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Admin\Desktop\Sample\"/>
    </mc:Choice>
  </mc:AlternateContent>
  <xr:revisionPtr revIDLastSave="0" documentId="13_ncr:1_{F070D5C7-5356-45E2-A945-771994089AE8}" xr6:coauthVersionLast="47" xr6:coauthVersionMax="47" xr10:uidLastSave="{00000000-0000-0000-0000-000000000000}"/>
  <bookViews>
    <workbookView xWindow="-120" yWindow="-120" windowWidth="20730" windowHeight="11040" tabRatio="835" firstSheet="6" activeTab="19" xr2:uid="{95784DF4-1552-42AC-A572-DBDD1A30FED9}"/>
  </bookViews>
  <sheets>
    <sheet name="Annexure" sheetId="28" r:id="rId1"/>
    <sheet name="Computation FY-2024-25" sheetId="32" r:id="rId2"/>
    <sheet name="Schedules" sheetId="18" r:id="rId3"/>
    <sheet name="TB 23-24" sheetId="31" state="hidden" r:id="rId4"/>
    <sheet name="Trail Balance" sheetId="33" r:id="rId5"/>
    <sheet name="BS" sheetId="3" r:id="rId6"/>
    <sheet name="P&amp;L" sheetId="4" r:id="rId7"/>
    <sheet name="CFS" sheetId="22" r:id="rId8"/>
    <sheet name="Note 1" sheetId="6" r:id="rId9"/>
    <sheet name="Note 2 - 7" sheetId="7" r:id="rId10"/>
    <sheet name="Note 8" sheetId="8" r:id="rId11"/>
    <sheet name="Dep Final FY 24-25" sheetId="35" r:id="rId12"/>
    <sheet name="Note 9-13" sheetId="9" r:id="rId13"/>
    <sheet name="Note 13-19" sheetId="10" r:id="rId14"/>
    <sheet name="Note 20-26" sheetId="11" r:id="rId15"/>
    <sheet name="Dep Final 23-24" sheetId="29" state="hidden" r:id="rId16"/>
    <sheet name="Ratios &amp; Deferred Tax" sheetId="19" r:id="rId17"/>
    <sheet name="TB 22-23" sheetId="23" state="hidden" r:id="rId18"/>
    <sheet name="Sheet1" sheetId="30" state="hidden" r:id="rId19"/>
    <sheet name="IT Dep " sheetId="27" r:id="rId20"/>
    <sheet name="TB 21-22 Hyd" sheetId="25" state="hidden" r:id="rId21"/>
    <sheet name="TB 21-22 Blr" sheetId="24"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s>
  <definedNames>
    <definedName name="\A">#REF!</definedName>
    <definedName name="\B">#REF!</definedName>
    <definedName name="\C">#REF!</definedName>
    <definedName name="\D">#REF!</definedName>
    <definedName name="\E">#REF!</definedName>
    <definedName name="\F">#REF!</definedName>
    <definedName name="\r">#N/A</definedName>
    <definedName name="\s">#REF!</definedName>
    <definedName name="\Z">#REF!</definedName>
    <definedName name="_____D91994">#REF!</definedName>
    <definedName name="_____pl9">'[1]Profit &amp; Loss'!#REF!</definedName>
    <definedName name="____col10">#REF!</definedName>
    <definedName name="____col11">#REF!</definedName>
    <definedName name="____col12">#REF!</definedName>
    <definedName name="____col13">#REF!</definedName>
    <definedName name="____col2">#REF!</definedName>
    <definedName name="____col3">#REF!</definedName>
    <definedName name="____col4">#REF!</definedName>
    <definedName name="____col5">#REF!</definedName>
    <definedName name="____col6">#REF!</definedName>
    <definedName name="____col7">#REF!</definedName>
    <definedName name="____col9">#REF!</definedName>
    <definedName name="____MAR9091">#REF!</definedName>
    <definedName name="___col1">#REF!</definedName>
    <definedName name="___col8">#REF!</definedName>
    <definedName name="___D91994">#REF!</definedName>
    <definedName name="___INDEX_SHEET___ASAP_Utilities" localSheetId="7">#REF!</definedName>
    <definedName name="___INDEX_SHEET___ASAP_Utilities">#REF!</definedName>
    <definedName name="___new1" hidden="1">#REF!</definedName>
    <definedName name="___pl9">'[1]Profit &amp; Loss'!#REF!</definedName>
    <definedName name="__1111" hidden="1">'[2]130-UNIDADES'!#REF!</definedName>
    <definedName name="__123Graph_A" hidden="1">'[3]TRIAL BALANCE'!#REF!</definedName>
    <definedName name="__123Graph_ACOMPARAT" hidden="1">'[2]130-UNIDADES'!#REF!</definedName>
    <definedName name="__123Graph_ACOMPARATACUM" hidden="1">'[2]130-UNIDADES'!#REF!</definedName>
    <definedName name="__123Graph_AOUTPUT" hidden="1">[4]ReworkLabour!$AD$7:$AD$18</definedName>
    <definedName name="__123Graph_APRINCIPAL" hidden="1">'[2]130-UNIDADES'!#REF!</definedName>
    <definedName name="__123Graph_AVENTAS" hidden="1">'[2]130-UNIDADES'!#REF!</definedName>
    <definedName name="__123Graph_B" hidden="1">'[3]TRIAL BALANCE'!#REF!</definedName>
    <definedName name="__123Graph_BCOMPARAT" hidden="1">'[2]130-UNIDADES'!#REF!</definedName>
    <definedName name="__123Graph_BCOMPARATACUM" hidden="1">'[2]130-UNIDADES'!#REF!</definedName>
    <definedName name="__123Graph_BCURRENT" hidden="1">[5]EXPENSES!#REF!</definedName>
    <definedName name="__123Graph_BPRINCIPAL" hidden="1">'[2]130-UNIDADES'!#REF!</definedName>
    <definedName name="__123Graph_BVENTAS" hidden="1">'[2]130-UNIDADES'!#REF!</definedName>
    <definedName name="__123Graph_CCURRENT" hidden="1">[5]EXPENSES!#REF!</definedName>
    <definedName name="__123Graph_D" hidden="1">'[6]vb 9&amp;10'!#REF!</definedName>
    <definedName name="__123Graph_DCURRENT" hidden="1">[5]EXPENSES!#REF!</definedName>
    <definedName name="__123Graph_DOUTPUT" hidden="1">[4]ReworkLabour!$AC$7:$AC$18</definedName>
    <definedName name="__123Graph_E" hidden="1">[4]ReworkLabour!$AE$7:$AE$18</definedName>
    <definedName name="__123Graph_ECURRENT" hidden="1">[5]EXPENSES!#REF!</definedName>
    <definedName name="__123Graph_EOUTPUT" hidden="1">[4]ReworkLabour!$AE$7:$AE$18</definedName>
    <definedName name="__123Graph_LBL_ACOMPARAT" hidden="1">'[2]130-UNIDADES'!#REF!</definedName>
    <definedName name="__123Graph_LBL_ACOMPARATACUM" hidden="1">'[2]130-UNIDADES'!#REF!</definedName>
    <definedName name="__123Graph_LBL_AOUTPUT" hidden="1">[4]ReworkLabour!$AD$7:$AD$18</definedName>
    <definedName name="__123Graph_LBL_APRINCIPAL" hidden="1">'[2]130-UNIDADES'!#REF!</definedName>
    <definedName name="__123Graph_LBL_AVENTAS" hidden="1">'[2]130-UNIDADES'!#REF!</definedName>
    <definedName name="__123Graph_LBL_BCOMPARAT" hidden="1">'[2]130-UNIDADES'!#REF!</definedName>
    <definedName name="__123Graph_LBL_BCOMPARATACUM" hidden="1">'[2]130-UNIDADES'!#REF!</definedName>
    <definedName name="__123Graph_LBL_BPRINCIPAL" hidden="1">'[2]130-UNIDADES'!#REF!</definedName>
    <definedName name="__123Graph_LBL_BVENTAS" hidden="1">'[2]130-UNIDADES'!#REF!</definedName>
    <definedName name="__123Graph_LBL_DOUTPUT" hidden="1">[4]ReworkLabour!$AC$7:$AC$18</definedName>
    <definedName name="__123Graph_X" hidden="1">'[3]TRIAL BALANCE'!#REF!</definedName>
    <definedName name="__123Graph_XCOMPARAT" hidden="1">'[2]130-UNIDADES'!#REF!</definedName>
    <definedName name="__123Graph_XCOMPARATACUM" hidden="1">'[2]130-UNIDADES'!#REF!</definedName>
    <definedName name="__123Graph_XOUTPUT" hidden="1">[4]ReworkLabour!$AB$7:$AB$18</definedName>
    <definedName name="__123Graph_XPRINCIPAL" hidden="1">'[2]130-UNIDADES'!#REF!</definedName>
    <definedName name="__123Graph_XVENTAS" hidden="1">'[2]130-UNIDADES'!#REF!</definedName>
    <definedName name="__ACK1">#REF!</definedName>
    <definedName name="__ACK2">#REF!</definedName>
    <definedName name="__bb1">#REF!</definedName>
    <definedName name="__IntlFixup" hidden="1">TRUE</definedName>
    <definedName name="__lia1">#REF!</definedName>
    <definedName name="__new1" hidden="1">#REF!</definedName>
    <definedName name="__PG1">#REF!</definedName>
    <definedName name="__PG10">#REF!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rdd1">#REF!</definedName>
    <definedName name="__s3" hidden="1">{#N/A,#N/A,TRUE,"CONTENTS";#N/A,#N/A,TRUE,"M2";#N/A,#N/A,TRUE,"M2a";#N/A,#N/A,TRUE,"M2b";#N/A,#N/A,TRUE,"M3";#N/A,#N/A,TRUE,"M3a";#N/A,#N/A,TRUE,"M4-P";#N/A,#N/A,TRUE,"M5";#N/A,#N/A,TRUE,"M6";#N/A,#N/A,TRUE,"M7";#N/A,#N/A,TRUE,"M8";#N/A,#N/A,TRUE,"M9";#N/A,#N/A,TRUE,"M10";#N/A,#N/A,TRUE,"M11";#N/A,#N/A,TRUE,"M13";#N/A,#N/A,TRUE,"M14";#N/A,#N/A,TRUE,"M15";#N/A,#N/A,TRUE,"K1"}</definedName>
    <definedName name="_03_04">#REF!</definedName>
    <definedName name="_03_05">#REF!</definedName>
    <definedName name="_03_06">#REF!</definedName>
    <definedName name="_03_07">#REF!</definedName>
    <definedName name="_03_08">#REF!</definedName>
    <definedName name="_03_09">#REF!</definedName>
    <definedName name="_1_100000">[7]table1!$K$1</definedName>
    <definedName name="_123" hidden="1">'[8]Cntmrs-Recruit'!$F$20:$Q$20</definedName>
    <definedName name="_2" hidden="1">#REF!</definedName>
    <definedName name="_380_KVA_Genset">'[9]5 - CITICORP'!$A$50</definedName>
    <definedName name="_380_KVA_GensetI">'[9]5 - CITICORP'!$A$363</definedName>
    <definedName name="_380KVA_Gen_Sets_3">'[10]Lakshmi GF'!#REF!</definedName>
    <definedName name="_500_Kva_Generator_3">[11]ICICI!#REF!</definedName>
    <definedName name="_500_Kva_Generator_3_400Kva_3_Pannel_Boar_2">[11]ICICI!#REF!</definedName>
    <definedName name="_500KVA_Gen_Sets">'[10]Lakshmi GF'!#REF!</definedName>
    <definedName name="_ACK1">#REF!</definedName>
    <definedName name="_ACK2">#REF!</definedName>
    <definedName name="_AD1" hidden="1">{#N/A,#N/A,FALSE,"Cash Flows";#N/A,#N/A,FALSE,"Fixed Assets";#N/A,#N/A,FALSE,"Balance Sheet";#N/A,#N/A,FALSE,"P &amp; L"}</definedName>
    <definedName name="_AD2" hidden="1">{#N/A,#N/A,FALSE,"Cash Flows";#N/A,#N/A,FALSE,"Fixed Assets";#N/A,#N/A,FALSE,"Balance Sheet";#N/A,#N/A,FALSE,"P &amp; L"}</definedName>
    <definedName name="_AD3" hidden="1">{#N/A,#N/A,FALSE,"Cash Flows";#N/A,#N/A,FALSE,"Fixed Assets";#N/A,#N/A,FALSE,"Balance Sheet";#N/A,#N/A,FALSE,"P &amp; L"}</definedName>
    <definedName name="_AD5" hidden="1">{#N/A,#N/A,FALSE,"Cash Flows";#N/A,#N/A,FALSE,"Fixed Assets";#N/A,#N/A,FALSE,"Balance Sheet";#N/A,#N/A,FALSE,"P &amp; L"}</definedName>
    <definedName name="_AD8" hidden="1">{#N/A,#N/A,FALSE,"Cash Flows";#N/A,#N/A,FALSE,"Fixed Assets";#N/A,#N/A,FALSE,"Balance Sheet";#N/A,#N/A,FALSE,"P &amp; L"}</definedName>
    <definedName name="_ann2">#REF!</definedName>
    <definedName name="_ann3">#REF!</definedName>
    <definedName name="_bb1">#REF!</definedName>
    <definedName name="_col1">#REF!</definedName>
    <definedName name="_col10">#REF!</definedName>
    <definedName name="_col11">#REF!</definedName>
    <definedName name="_col12">#REF!</definedName>
    <definedName name="_col13">#REF!</definedName>
    <definedName name="_col2">#REF!</definedName>
    <definedName name="_col3">#REF!</definedName>
    <definedName name="_col4">#REF!</definedName>
    <definedName name="_col5">#REF!</definedName>
    <definedName name="_col6">#REF!</definedName>
    <definedName name="_col7">#REF!</definedName>
    <definedName name="_col8">#REF!</definedName>
    <definedName name="_col9">#REF!</definedName>
    <definedName name="_D91994">#REF!</definedName>
    <definedName name="_DAT1">#REF!</definedName>
    <definedName name="_DAT10">#REF!</definedName>
    <definedName name="_DAT11">#REF!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#REF!</definedName>
    <definedName name="_Dist_Values" hidden="1">#REF!</definedName>
    <definedName name="_DIV98">[7]table1!$A$1:$L$43</definedName>
    <definedName name="_FEb05" hidden="1">{#N/A,#N/A,TRUE,"Summary";#N/A,#N/A,TRUE,"Balance Sheet";#N/A,#N/A,TRUE,"P &amp; L";#N/A,#N/A,TRUE,"Fixed Assets";#N/A,#N/A,TRUE,"Cash Flows"}</definedName>
    <definedName name="_Fill" hidden="1">#REF!</definedName>
    <definedName name="_xlnm._FilterDatabase" localSheetId="8" hidden="1">'Note 1'!$B$6:$C$40</definedName>
    <definedName name="_xlnm._FilterDatabase" localSheetId="6" hidden="1">'P&amp;L'!#REF!</definedName>
    <definedName name="_xlnm._FilterDatabase" hidden="1">#REF!</definedName>
    <definedName name="_Key1" hidden="1">#REF!</definedName>
    <definedName name="_Key2" hidden="1">#REF!</definedName>
    <definedName name="_lia1">#REF!</definedName>
    <definedName name="_MAR9091">'[12]TRIAL BALANCE'!#REF!</definedName>
    <definedName name="_new1" hidden="1">#REF!</definedName>
    <definedName name="_Order1" hidden="1">255</definedName>
    <definedName name="_Order2" hidden="1">255</definedName>
    <definedName name="_P1">#REF!</definedName>
    <definedName name="_Parse_In" hidden="1">#REF!</definedName>
    <definedName name="_Parse_Out" hidden="1">#REF!</definedName>
    <definedName name="_pcSlicerSheet_Slicer1" hidden="1">#REF!</definedName>
    <definedName name="_pcSlicerSheet1_Slicer1" hidden="1">#REF!</definedName>
    <definedName name="_PG1">#REF!</definedName>
    <definedName name="_PG10">#REF!</definedName>
    <definedName name="_PG2">#REF!</definedName>
    <definedName name="_PG3">#REF!</definedName>
    <definedName name="_PG4">#REF!</definedName>
    <definedName name="_PG5">#REF!</definedName>
    <definedName name="_PG6">#REF!</definedName>
    <definedName name="_PG7">#REF!</definedName>
    <definedName name="_PG8">#REF!</definedName>
    <definedName name="_PG9">#REF!</definedName>
    <definedName name="_PGE1">#REF!</definedName>
    <definedName name="_PGE10">#REF!</definedName>
    <definedName name="_PGE2">#REF!</definedName>
    <definedName name="_PGE3">#REF!</definedName>
    <definedName name="_PGE4">#REF!</definedName>
    <definedName name="_PGE5">#REF!</definedName>
    <definedName name="_PGE6">#REF!</definedName>
    <definedName name="_PGE7">#REF!</definedName>
    <definedName name="_PGE8">#REF!</definedName>
    <definedName name="_PGE9">#REF!</definedName>
    <definedName name="_pl1">#REF!</definedName>
    <definedName name="_pl9">'[1]Profit &amp; Loss'!#REF!</definedName>
    <definedName name="_PPE2004">#REF!</definedName>
    <definedName name="_PPE2005">#REF!</definedName>
    <definedName name="_PPE2006">#REF!</definedName>
    <definedName name="_PPE2007">#REF!</definedName>
    <definedName name="_PPE2008">#REF!</definedName>
    <definedName name="_PPE2009">#REF!</definedName>
    <definedName name="_rdd1">#REF!</definedName>
    <definedName name="_Regression_Int" hidden="1">1</definedName>
    <definedName name="_s3" hidden="1">{#N/A,#N/A,TRUE,"CONTENTS";#N/A,#N/A,TRUE,"M2";#N/A,#N/A,TRUE,"M2a";#N/A,#N/A,TRUE,"M2b";#N/A,#N/A,TRUE,"M3";#N/A,#N/A,TRUE,"M3a";#N/A,#N/A,TRUE,"M4-P";#N/A,#N/A,TRUE,"M5";#N/A,#N/A,TRUE,"M6";#N/A,#N/A,TRUE,"M7";#N/A,#N/A,TRUE,"M8";#N/A,#N/A,TRUE,"M9";#N/A,#N/A,TRUE,"M10";#N/A,#N/A,TRUE,"M11";#N/A,#N/A,TRUE,"M13";#N/A,#N/A,TRUE,"M14";#N/A,#N/A,TRUE,"M15";#N/A,#N/A,TRUE,"K1"}</definedName>
    <definedName name="_sch1">#REF!</definedName>
    <definedName name="_SCH11">[13]Schedules!#REF!</definedName>
    <definedName name="_SCH19">[13]Schedules!#REF!</definedName>
    <definedName name="_sga" hidden="1">#REF!</definedName>
    <definedName name="_SGA2004">#REF!</definedName>
    <definedName name="_SGA2005">#REF!</definedName>
    <definedName name="_SGA2006">#REF!</definedName>
    <definedName name="_SGA2007">#REF!</definedName>
    <definedName name="_SGA2008">#REF!</definedName>
    <definedName name="_SGA2009">#REF!</definedName>
    <definedName name="_Sort" hidden="1">#REF!</definedName>
    <definedName name="_SSK1" hidden="1">{#N/A,#N/A,FALSE,"COMP"}</definedName>
    <definedName name="_Table1_In1" hidden="1">#REF!</definedName>
    <definedName name="_Table1_Out" hidden="1">#REF!</definedName>
    <definedName name="_tamas" hidden="1">'[2]130-UNIDADES'!#REF!</definedName>
    <definedName name="_WB2" hidden="1">{#N/A,#N/A,FALSE,"Cash Flows";#N/A,#N/A,FALSE,"Fixed Assets";#N/A,#N/A,FALSE,"Balance Sheet";#N/A,#N/A,FALSE,"P &amp; L"}</definedName>
    <definedName name="A">#REF!</definedName>
    <definedName name="a0">#REF!</definedName>
    <definedName name="aa" hidden="1">{#N/A,#N/A,FALSE,"Cash Flows";#N/A,#N/A,FALSE,"Fixed Assets";#N/A,#N/A,FALSE,"Balance Sheet";#N/A,#N/A,FALSE,"P &amp; L"}</definedName>
    <definedName name="aaa" hidden="1">{#N/A,#N/A,FALSE,"Cash Flows";#N/A,#N/A,FALSE,"Fixed Assets";#N/A,#N/A,FALSE,"Balance Sheet";#N/A,#N/A,FALSE,"P &amp; L"}</definedName>
    <definedName name="aaaa">#REF!</definedName>
    <definedName name="aaaaaa">#REF!</definedName>
    <definedName name="aaud">#REF!</definedName>
    <definedName name="ab">'[14]Rev Driv FE'!$A$1:$A$65536</definedName>
    <definedName name="ABC">#REF!</definedName>
    <definedName name="abcd">#REF!</definedName>
    <definedName name="abdc">#N/A</definedName>
    <definedName name="ABRMENU">#N/A</definedName>
    <definedName name="AccessDatabase" hidden="1">"D:\Planning &amp; QS\Planning\Progress Reports\Daily Progress Report\Physical Progress.mdb"</definedName>
    <definedName name="AccPay2004">#REF!</definedName>
    <definedName name="AccPay2005">#REF!</definedName>
    <definedName name="AccPay2006">#REF!</definedName>
    <definedName name="AccPay2007">#REF!</definedName>
    <definedName name="AccPay2008">#REF!</definedName>
    <definedName name="AccPay2009">#REF!</definedName>
    <definedName name="AccRec2004">#REF!</definedName>
    <definedName name="AccRec2005">#REF!</definedName>
    <definedName name="AccRec2006">#REF!</definedName>
    <definedName name="AccRec2007">#REF!</definedName>
    <definedName name="AccRec2008">#REF!</definedName>
    <definedName name="AccRec2009">#REF!</definedName>
    <definedName name="ACCRUALS">[7]table1!$A$1:$H$538</definedName>
    <definedName name="ACK">#REF!</definedName>
    <definedName name="ackcheck">#REF!</definedName>
    <definedName name="AD" hidden="1">{#N/A,#N/A,FALSE,"Cash Flows";#N/A,#N/A,FALSE,"Fixed Assets";#N/A,#N/A,FALSE,"Balance Sheet";#N/A,#N/A,FALSE,"P &amp; L"}</definedName>
    <definedName name="ADD">[15]ASSUMPTIONS!$A$4</definedName>
    <definedName name="AddInFound" localSheetId="7">#REF!</definedName>
    <definedName name="AddInFound" localSheetId="1">[16]Control!$B$14</definedName>
    <definedName name="AddInFound">#REF!</definedName>
    <definedName name="additions" hidden="1">{#N/A,#N/A,FALSE,"COMP"}</definedName>
    <definedName name="Address">[7]table1!$E$25</definedName>
    <definedName name="ADJ_BS">#REF!</definedName>
    <definedName name="ADJ_PL">#REF!</definedName>
    <definedName name="ADMIN_EXP" localSheetId="7">#REF!</definedName>
    <definedName name="ADMIN_EXP">#REF!</definedName>
    <definedName name="advances">#REF!</definedName>
    <definedName name="advancetax">#REF!</definedName>
    <definedName name="af" hidden="1">[7]table1!#REF!</definedName>
    <definedName name="agno">[17]party!$B$2:$E$828</definedName>
    <definedName name="AHSKASK" hidden="1">{#N/A,#N/A,FALSE,"COMP"}</definedName>
    <definedName name="Air_Conditioners">#REF!</definedName>
    <definedName name="AKASH">#REF!</definedName>
    <definedName name="AL_2516_2">'[9]5 - CITICORP'!$A$277</definedName>
    <definedName name="AL_Taurus">[11]HDFC!#REF!</definedName>
    <definedName name="AL_Taurus_1612">'[9]5 - CITICORP'!$A$8</definedName>
    <definedName name="AL_Taurus_5">[11]HDFC!#REF!</definedName>
    <definedName name="All_data">[7]table1!$A$2:$O$589</definedName>
    <definedName name="alp">#REF!</definedName>
    <definedName name="altogether">#N/A</definedName>
    <definedName name="AN">[18]ASSUMPTIONS!$A$2</definedName>
    <definedName name="AN_0">[19]Contract_Analysis!#REF!</definedName>
    <definedName name="AN_1">[19]Contract_Analysis!#REF!</definedName>
    <definedName name="AN_2">[19]Contract_Analysis!#REF!</definedName>
    <definedName name="AN_3">[19]Contract_Analysis!#REF!</definedName>
    <definedName name="AN_4">[19]Contract_Analysis!#REF!</definedName>
    <definedName name="AN_5">[19]Contract_Analysis!#REF!</definedName>
    <definedName name="anil">#REF!</definedName>
    <definedName name="ann">#REF!</definedName>
    <definedName name="ANN26C">[7]table1!$O$54:$AB$71</definedName>
    <definedName name="ANN26J">[7]table1!$M$51:$X$66</definedName>
    <definedName name="ann2AA">[20]MAT!#REF!</definedName>
    <definedName name="ann3AA">[20]MAT!#REF!</definedName>
    <definedName name="ANNEXURE_1">#REF!</definedName>
    <definedName name="ANNEXURE_2">#REF!</definedName>
    <definedName name="ANNEXURE_3">#REF!</definedName>
    <definedName name="ANNEXURE_4">#REF!</definedName>
    <definedName name="Annexure1">#REF!</definedName>
    <definedName name="Annexure2">#REF!</definedName>
    <definedName name="annexure6revised"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PART1">#REF!</definedName>
    <definedName name="ap">#REF!</definedName>
    <definedName name="Apollo_paver">'[10]Lakshmi GF'!#REF!</definedName>
    <definedName name="ARAP_Aging">#REF!</definedName>
    <definedName name="area1">#REF!</definedName>
    <definedName name="area1M">[7]table1!$B$11:$H$29</definedName>
    <definedName name="area1Y">[7]table1!$B$11:$H$29</definedName>
    <definedName name="area2">#REF!</definedName>
    <definedName name="area2M">[7]table1!$B$40:$H$58</definedName>
    <definedName name="area2Y">[7]table1!$B$41:$H$59</definedName>
    <definedName name="area3">#REF!</definedName>
    <definedName name="area3M">[7]table1!$B$69:$H$87</definedName>
    <definedName name="area3Y">[7]table1!$B$71:$H$89</definedName>
    <definedName name="area4">#REF!</definedName>
    <definedName name="area4M">[7]table1!$B$98:$H$116</definedName>
    <definedName name="area4Y">[7]table1!$B$101:$H$119</definedName>
    <definedName name="as" hidden="1">{#N/A,#N/A,FALSE,"COMP"}</definedName>
    <definedName name="AS2DocOpenMode" hidden="1">"AS2DocumentEdit"</definedName>
    <definedName name="AS2ReportLS" hidden="1">1</definedName>
    <definedName name="AS2SyncStepLS" hidden="1">0</definedName>
    <definedName name="AS2TickmarkLS" hidden="1">#REF!</definedName>
    <definedName name="AS2VersionLS" hidden="1">300</definedName>
    <definedName name="asd" hidden="1">{#N/A,#N/A,FALSE,"Cash Flows";#N/A,#N/A,FALSE,"Fixed Assets";#N/A,#N/A,FALSE,"Balance Sheet";#N/A,#N/A,FALSE,"P &amp; L"}</definedName>
    <definedName name="asda" hidden="1">{#N/A,#N/A,FALSE,"Cash Flows";#N/A,#N/A,FALSE,"Fixed Assets";#N/A,#N/A,FALSE,"Balance Sheet";#N/A,#N/A,FALSE,"P &amp; L"}</definedName>
    <definedName name="asda1" hidden="1">{#N/A,#N/A,FALSE,"Cash Flows";#N/A,#N/A,FALSE,"Fixed Assets";#N/A,#N/A,FALSE,"Balance Sheet";#N/A,#N/A,FALSE,"P &amp; L"}</definedName>
    <definedName name="asda10" hidden="1">{#N/A,#N/A,FALSE,"Cash Flows";#N/A,#N/A,FALSE,"Fixed Assets";#N/A,#N/A,FALSE,"Balance Sheet";#N/A,#N/A,FALSE,"P &amp; L"}</definedName>
    <definedName name="asda11" hidden="1">{#N/A,#N/A,FALSE,"Cash Flows";#N/A,#N/A,FALSE,"Fixed Assets";#N/A,#N/A,FALSE,"Balance Sheet";#N/A,#N/A,FALSE,"P &amp; L"}</definedName>
    <definedName name="asda12" hidden="1">{#N/A,#N/A,FALSE,"Cash Flows";#N/A,#N/A,FALSE,"Fixed Assets";#N/A,#N/A,FALSE,"Balance Sheet";#N/A,#N/A,FALSE,"P &amp; L"}</definedName>
    <definedName name="asda2" hidden="1">{#N/A,#N/A,FALSE,"Cash Flows";#N/A,#N/A,FALSE,"Fixed Assets";#N/A,#N/A,FALSE,"Balance Sheet";#N/A,#N/A,FALSE,"P &amp; L"}</definedName>
    <definedName name="asda21" hidden="1">{#N/A,#N/A,FALSE,"Cash Flows";#N/A,#N/A,FALSE,"Fixed Assets";#N/A,#N/A,FALSE,"Balance Sheet";#N/A,#N/A,FALSE,"P &amp; L"}</definedName>
    <definedName name="asda22" hidden="1">{#N/A,#N/A,FALSE,"Cash Flows";#N/A,#N/A,FALSE,"Fixed Assets";#N/A,#N/A,FALSE,"Balance Sheet";#N/A,#N/A,FALSE,"P &amp; L"}</definedName>
    <definedName name="asda24" hidden="1">{#N/A,#N/A,FALSE,"Cash Flows";#N/A,#N/A,FALSE,"Fixed Assets";#N/A,#N/A,FALSE,"Balance Sheet";#N/A,#N/A,FALSE,"P &amp; L"}</definedName>
    <definedName name="asda8" hidden="1">{#N/A,#N/A,FALSE,"Cash Flows";#N/A,#N/A,FALSE,"Fixed Assets";#N/A,#N/A,FALSE,"Balance Sheet";#N/A,#N/A,FALSE,"P &amp; L"}</definedName>
    <definedName name="ASDAD" hidden="1">{"P1",#N/A,TRUE,"P1";"P2",#N/A,TRUE,"P2"}</definedName>
    <definedName name="asdasdasd" hidden="1">{#N/A,#N/A,FALSE,"COMP"}</definedName>
    <definedName name="ASET">'[21]BS Schld'!$G$582</definedName>
    <definedName name="asfsdf" hidden="1">{#N/A,#N/A,FALSE,"COMP"}</definedName>
    <definedName name="ASIA_PLASTIC_in_KUSD">#REF!</definedName>
    <definedName name="AsiaGRP">[22]Sheet2!$F$15:$G$28</definedName>
    <definedName name="ass" hidden="1">{#N/A,#N/A,FALSE,"COMP"}</definedName>
    <definedName name="ass_cc">[23]Sheet1!$A$1:$C$2443</definedName>
    <definedName name="ASS_POFT">#REF!</definedName>
    <definedName name="asset">#REF!</definedName>
    <definedName name="asset1">#REF!</definedName>
    <definedName name="assets">#REF!</definedName>
    <definedName name="ASSMPT">#REF!</definedName>
    <definedName name="AsstYr">[24]Masters!$C$34</definedName>
    <definedName name="at">[25]Acc!#REF!</definedName>
    <definedName name="Atlas_Copco_Compressor">'[9]5 - CITICORP'!$A$92</definedName>
    <definedName name="AUD">#REF!</definedName>
    <definedName name="auud">#REF!</definedName>
    <definedName name="axedoc">#REF!</definedName>
    <definedName name="AZ">'[26]Payroll BL'!#REF!</definedName>
    <definedName name="b">#REF!</definedName>
    <definedName name="back_4A">[1]Schedules_BS!#REF!</definedName>
    <definedName name="back_5A">[1]Schedules_BS!#REF!</definedName>
    <definedName name="Back_5B">[1]Schedules_BS!#REF!</definedName>
    <definedName name="back_8A">[1]Schedules_BS!#REF!</definedName>
    <definedName name="back_8B">[1]Schedules_BS!#REF!</definedName>
    <definedName name="back_8C">[1]Schedules_BS!#REF!</definedName>
    <definedName name="back_9A">[1]Schedules_BS!#REF!</definedName>
    <definedName name="back_9B">[1]Schedules_BS!#REF!</definedName>
    <definedName name="back_9C">[1]Schedules_BS!#REF!</definedName>
    <definedName name="back_9D">[1]Schedules_BS!#REF!</definedName>
    <definedName name="back_9E">[1]Schedules_BS!#REF!</definedName>
    <definedName name="back_9F">[1]Schedules_BS!#REF!</definedName>
    <definedName name="back_9G">[1]Schedules_BS!#REF!</definedName>
    <definedName name="back_9H">[1]Schedules_BS!#REF!</definedName>
    <definedName name="back_9I">[1]Schedules_BS!#REF!</definedName>
    <definedName name="back_9J">[1]Schedules_BS!#REF!</definedName>
    <definedName name="back_9K">[1]Schedules_BS!#REF!</definedName>
    <definedName name="back_9L">[1]Schedules_BS!#REF!</definedName>
    <definedName name="back_9M">[1]Schedules_BS!#REF!</definedName>
    <definedName name="back_TDS_working">[1]Schedules_BS!#REF!</definedName>
    <definedName name="Bal">'[27]223.582'!#REF!</definedName>
    <definedName name="balancesheet2">'[1]Balance Sheet'!#REF!</definedName>
    <definedName name="BalSheet">#REF!</definedName>
    <definedName name="Bank_rec">[7]table1!$A$1:$F$33</definedName>
    <definedName name="Bank2004">#REF!</definedName>
    <definedName name="Bank2005">#REF!</definedName>
    <definedName name="Bank2006">#REF!</definedName>
    <definedName name="Bank2007">#REF!</definedName>
    <definedName name="Bank2008">#REF!</definedName>
    <definedName name="Bank2009">#REF!</definedName>
    <definedName name="Barnac_8100">[10]CITICORP!#REF!</definedName>
    <definedName name="BaseData_1" hidden="1">{#N/A,#N/A,FALSE,"Cash Flows";#N/A,#N/A,FALSE,"Fixed Assets";#N/A,#N/A,FALSE,"Balance Sheet";#N/A,#N/A,FALSE,"P &amp; L"}</definedName>
    <definedName name="basedata_2" hidden="1">{#N/A,#N/A,FALSE,"Cash Flows";#N/A,#N/A,FALSE,"Fixed Assets";#N/A,#N/A,FALSE,"Balance Sheet";#N/A,#N/A,FALSE,"P &amp; L"}</definedName>
    <definedName name="BaseData_7" hidden="1">{#N/A,#N/A,FALSE,"Cash Flows";#N/A,#N/A,FALSE,"Fixed Assets";#N/A,#N/A,FALSE,"Balance Sheet";#N/A,#N/A,FALSE,"P &amp; L"}</definedName>
    <definedName name="Batching_Plant">'[9]5 - CITICORP'!$A$220</definedName>
    <definedName name="BB" hidden="1">{#N/A,#N/A,FALSE,"FINAL"}</definedName>
    <definedName name="bbb">#REF!</definedName>
    <definedName name="bbbb">#REF!</definedName>
    <definedName name="bcbcbcbcb" hidden="1">[28]UNIDADES!#REF!</definedName>
    <definedName name="BCHART" hidden="1">'[29]Cntmrs-Recruit'!$F$20:$Q$20</definedName>
    <definedName name="Benz">[10]HDFC!#REF!</definedName>
    <definedName name="Benz_I">[11]HDFC!#REF!</definedName>
    <definedName name="BEP">#REF!</definedName>
    <definedName name="bf">[25]Acc!#REF!</definedName>
    <definedName name="BG_Del" hidden="1">15</definedName>
    <definedName name="BG_Ins" hidden="1">4</definedName>
    <definedName name="BG_Mod" hidden="1">6</definedName>
    <definedName name="bha" hidden="1">{#N/A,#N/A,TRUE,"Summary";#N/A,#N/A,TRUE,"Balance Sheet";#N/A,#N/A,TRUE,"P &amp; L";#N/A,#N/A,TRUE,"Fixed Assets";#N/A,#N/A,TRUE,"Cash Flows"}</definedName>
    <definedName name="bhavesh" hidden="1">{#N/A,#N/A,FALSE,"Cash Flows";#N/A,#N/A,FALSE,"Fixed Assets";#N/A,#N/A,FALSE,"Balance Sheet";#N/A,#N/A,FALSE,"P &amp; L"}</definedName>
    <definedName name="bhaveshm" hidden="1">{#N/A,#N/A,FALSE,"Cash Flows";#N/A,#N/A,FALSE,"Fixed Assets";#N/A,#N/A,FALSE,"Balance Sheet";#N/A,#N/A,FALSE,"P &amp; L"}</definedName>
    <definedName name="Bitelli_Paver">'[9]5 - CITICORP'!$A$708</definedName>
    <definedName name="BLR80IA">#N/A</definedName>
    <definedName name="BNGF" hidden="1">{#N/A,#N/A,FALSE,"FINAL"}</definedName>
    <definedName name="Book">#REF!</definedName>
    <definedName name="bookdepr">#REF!</definedName>
    <definedName name="brk">#REF!</definedName>
    <definedName name="BS" localSheetId="7">#REF!</definedName>
    <definedName name="BS">#REF!</definedName>
    <definedName name="BSDateSF">[24]Masters!$C$28</definedName>
    <definedName name="BSGROUP">#REF!</definedName>
    <definedName name="bsht" hidden="1">{#N/A,#N/A,FALSE,"FINAL"}</definedName>
    <definedName name="bsI">#REF!</definedName>
    <definedName name="bsii">#REF!</definedName>
    <definedName name="bssch">#REF!</definedName>
    <definedName name="buffer">#REF!</definedName>
    <definedName name="BUFFF16A">[7]table1!$AA$101</definedName>
    <definedName name="BUFFF26C">[7]table1!$AA$87</definedName>
    <definedName name="BUFFF26J">[7]table1!$AA$100</definedName>
    <definedName name="BUFFF27">[7]table1!$AA$111</definedName>
    <definedName name="BUILDING">#REF!</definedName>
    <definedName name="BuiltIn_Print_Area___0">#REF!</definedName>
    <definedName name="Button_2">"Physical_Progress_Daily_Financial_List"</definedName>
    <definedName name="C_">#REF!</definedName>
    <definedName name="CA">#REF!</definedName>
    <definedName name="Calculation" localSheetId="1">[16]Control!$B$13</definedName>
    <definedName name="Calculation">#REF!</definedName>
    <definedName name="cap\loan">#REF!</definedName>
    <definedName name="capgains">#REF!</definedName>
    <definedName name="CAPITAL">#REF!</definedName>
    <definedName name="CapitalGains_exempt_PrintArea">[7]table1!$A$1:$K$112</definedName>
    <definedName name="CapitalGains_taxable_PrintArea">[7]table1!$A$1:$K$112</definedName>
    <definedName name="CaratPL_1">#REF!</definedName>
    <definedName name="CaratPL_2">#REF!</definedName>
    <definedName name="carryforw">#REF!</definedName>
    <definedName name="CASH">#REF!</definedName>
    <definedName name="Cash2004">#REF!</definedName>
    <definedName name="Cash2005">#REF!</definedName>
    <definedName name="Cash2006">#REF!</definedName>
    <definedName name="Cash2007">#REF!</definedName>
    <definedName name="Cash2008">#REF!</definedName>
    <definedName name="Cash2009">#REF!</definedName>
    <definedName name="Cat_Dumper">[10]CITICORP!#REF!</definedName>
    <definedName name="CAT_Dumper2">[10]KOTAK!#REF!</definedName>
    <definedName name="Cat_Dumpers">'[10]Lakshmi GF'!#REF!</definedName>
    <definedName name="Cat_Dumpers_1">'[10]Lakshmi GF'!#REF!</definedName>
    <definedName name="categ">[30]Categ!$A$2:$E$14</definedName>
    <definedName name="ccc" hidden="1">{#N/A,#N/A,TRUE,"Summary";#N/A,#N/A,TRUE,"Balance Sheet";#N/A,#N/A,TRUE,"P &amp; L";#N/A,#N/A,TRUE,"Fixed Assets";#N/A,#N/A,TRUE,"Cash Flows"}</definedName>
    <definedName name="cchart" hidden="1">'[31]Cntmrs-Recruit'!$F$20:$Q$20</definedName>
    <definedName name="cf">#REF!</definedName>
    <definedName name="CGHM" hidden="1">{#N/A,#N/A,FALSE,"FINAL"}</definedName>
    <definedName name="CHA">#REF!</definedName>
    <definedName name="CHANGE">#REF!</definedName>
    <definedName name="CheckForm" localSheetId="1">'[16]405'!$G$8:$G$25</definedName>
    <definedName name="CheckForm">#REF!</definedName>
    <definedName name="CheckGainLoss" localSheetId="1">'[16]427'!$N$7:$N$39</definedName>
    <definedName name="CheckGainLoss">#REF!</definedName>
    <definedName name="CHINA_1">#REF!</definedName>
    <definedName name="CHINA_2">#REF!</definedName>
    <definedName name="CHINA_3">#REF!</definedName>
    <definedName name="CHINA_4">#REF!</definedName>
    <definedName name="CHINA_5">#REF!</definedName>
    <definedName name="CHINA_6">#REF!</definedName>
    <definedName name="CHINA_PLASTIC_in_KUSD">#REF!</definedName>
    <definedName name="chl_candy">#REF!</definedName>
    <definedName name="chl_gum">#REF!</definedName>
    <definedName name="ci">#REF!</definedName>
    <definedName name="City">[7]table1!$E$26</definedName>
    <definedName name="CL" localSheetId="1">#REF!</definedName>
    <definedName name="CL">#REF!</definedName>
    <definedName name="cl_debt">'[32]debt schedule'!#REF!</definedName>
    <definedName name="Cl_Stock">#REF!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M">#REF!</definedName>
    <definedName name="CMCM" hidden="1">{#N/A,#N/A,FALSE,"FINAL"}</definedName>
    <definedName name="CN">[15]ASSUMPTIONS!$A$2</definedName>
    <definedName name="cnny">#REF!</definedName>
    <definedName name="CNY">#REF!</definedName>
    <definedName name="cnyy">#REF!</definedName>
    <definedName name="COA">'[33]lov-COAct'!$A$2:$A$24</definedName>
    <definedName name="CoAdd">[24]Masters!$C$4</definedName>
    <definedName name="Code" hidden="1">[7]table1!#REF!</definedName>
    <definedName name="codestds">'[34]Sch 24 TDS'!$AC$3:$AC$23</definedName>
    <definedName name="ColumnAttributes1">#REF!</definedName>
    <definedName name="ColumnHeadings1">#REF!</definedName>
    <definedName name="com">#REF!</definedName>
    <definedName name="COMP">#REF!</definedName>
    <definedName name="comp1">#REF!</definedName>
    <definedName name="comp2">#REF!</definedName>
    <definedName name="Company">[7]table1!$E$24</definedName>
    <definedName name="CompanyCode">[7]table1!$D$5</definedName>
    <definedName name="COMPLIANCE">[7]table1!$A$1:$H$50</definedName>
    <definedName name="COMPUTATION">#REF!</definedName>
    <definedName name="Computation_of_interest_under_section_12B">[7]table1!$M$76:$N$103</definedName>
    <definedName name="COMPUTATION_OF_INTEREST_UNDER_SECTION_234_C">#REF!</definedName>
    <definedName name="Computers">#REF!</definedName>
    <definedName name="Computers_and_accessories">#REF!</definedName>
    <definedName name="CoName">[24]Masters!$C$3</definedName>
    <definedName name="Concrete_Chassis">'[10]Lakshmi GF'!#REF!</definedName>
    <definedName name="Concrete_Mix_Chasis">[11]HDFC!#REF!</definedName>
    <definedName name="Concrete_Mix_Chasis_I">[11]HDFC!#REF!</definedName>
    <definedName name="CONE">#REF!</definedName>
    <definedName name="conso">#REF!</definedName>
    <definedName name="Consolidated" hidden="1">{"P1",#N/A,TRUE,"P1";"P2",#N/A,TRUE,"P2"}</definedName>
    <definedName name="ConSrc">#REF!</definedName>
    <definedName name="CONT">#REF!</definedName>
    <definedName name="ContDesc">#REF!</definedName>
    <definedName name="contractor">#REF!</definedName>
    <definedName name="ContratCutCopy">#REF!</definedName>
    <definedName name="ContratsListe">#REF!</definedName>
    <definedName name="ContratsListeExist">#REF!</definedName>
    <definedName name="COSP2004">#REF!</definedName>
    <definedName name="COSP2005">#REF!</definedName>
    <definedName name="COSP2006">#REF!</definedName>
    <definedName name="COSP2007">#REF!</definedName>
    <definedName name="COSP2008">#REF!</definedName>
    <definedName name="COSP2009">#REF!</definedName>
    <definedName name="COST">#REF!</definedName>
    <definedName name="cost_calcn">#REF!</definedName>
    <definedName name="CoStatus">[24]Masters!$C$7</definedName>
    <definedName name="Country">[7]table1!$E$29</definedName>
    <definedName name="COVER">[7]table1!$A$1:$K$21</definedName>
    <definedName name="crawler_drill">[11]HDFC!#REF!</definedName>
    <definedName name="_xlnm.Criteria" localSheetId="1">[16]Control!$A$18:$B$19</definedName>
    <definedName name="_xlnm.Criteria">#REF!</definedName>
    <definedName name="Crsher_B6100">#REF!</definedName>
    <definedName name="csDesignMode">1</definedName>
    <definedName name="CSPL">'[33]lov-cspl'!$A$2:$A$24</definedName>
    <definedName name="CurrentYear" localSheetId="1">[16]Control!$B$2</definedName>
    <definedName name="CurrentYear">#REF!</definedName>
    <definedName name="cv">[35]Projects!$A$1:$G$52</definedName>
    <definedName name="cxz">#REF!</definedName>
    <definedName name="d" hidden="1">{#N/A,#N/A,FALSE,"Cash Flows";#N/A,#N/A,FALSE,"Fixed Assets";#N/A,#N/A,FALSE,"Balance Sheet";#N/A,#N/A,FALSE,"P &amp; L"}</definedName>
    <definedName name="D.K._PRADHAN_31607">#REF!</definedName>
    <definedName name="data">[36]Data!$B$2:$O$7755</definedName>
    <definedName name="data_bus">[7]table1!$P$1:$T$65536</definedName>
    <definedName name="_xlnm.Data_Form" localSheetId="7">CFS!_xlnm.Data_Form</definedName>
    <definedName name="_xlnm.Data_Form" localSheetId="1">#N/A</definedName>
    <definedName name="_xlnm.Data_Form" localSheetId="8">'Note 1'!_xlnm.Data_Form</definedName>
    <definedName name="_xlnm.Data_Form" localSheetId="14">'Note 20-26'!_xlnm.Data_Form</definedName>
    <definedName name="_xlnm.Data_Form" localSheetId="10">'Note 8'!_xlnm.Data_Form</definedName>
    <definedName name="_xlnm.Data_Form">[0]!_xlnm.Data_Form</definedName>
    <definedName name="data_le">[7]table1!$P$15:$AF$454</definedName>
    <definedName name="data1" hidden="1">[7]table1!$E$23:$E$29</definedName>
    <definedName name="data2" hidden="1">[7]table1!$E$31:$E$33</definedName>
    <definedName name="data3" hidden="1">[7]table1!#REF!</definedName>
    <definedName name="_xlnm.Database">#REF!</definedName>
    <definedName name="Date">'[37]3645-9_1_96'!#REF!</definedName>
    <definedName name="Date1">#REF!</definedName>
    <definedName name="DaysoftheWeek">[7]table1!#REF!</definedName>
    <definedName name="dd">#REF!</definedName>
    <definedName name="dddd">#REF!</definedName>
    <definedName name="DDK">[35]Projects!$A$1:$G$52</definedName>
    <definedName name="debt_repay">'[32]debt schedule'!#REF!</definedName>
    <definedName name="debtrepay">#REF!</definedName>
    <definedName name="debtsch">#REF!</definedName>
    <definedName name="deferf" hidden="1">[38]EXPENSES!#REF!</definedName>
    <definedName name="DEMAND_LOANS">#REF!</definedName>
    <definedName name="DEP">#REF!</definedName>
    <definedName name="depn">#REF!</definedName>
    <definedName name="DEPN_ATTACHMENT">#REF!</definedName>
    <definedName name="depn1">#REF!</definedName>
    <definedName name="depr">[39]Financials!#REF!</definedName>
    <definedName name="Depreciation">#REF!</definedName>
    <definedName name="Depreciation2139">#REF!</definedName>
    <definedName name="DEPRI" hidden="1">[31]EXPENSES!#REF!</definedName>
    <definedName name="DEPRT">#REF!</definedName>
    <definedName name="Dept">[22]Sheet2!$A$2:$D$11</definedName>
    <definedName name="DESC">#REF!</definedName>
    <definedName name="det">#REF!</definedName>
    <definedName name="DFLT">ME ExRate</definedName>
    <definedName name="DG_Set">'[9]5 - CITICORP'!$A$1001</definedName>
    <definedName name="DG_Sets___6Nos">[11]ICICI!#REF!</definedName>
    <definedName name="DG_sets_1_No">[11]ICICI!#REF!</definedName>
    <definedName name="DG_sets_5_Nos">[11]ICICI!#REF!</definedName>
    <definedName name="dir" hidden="1">{#N/A,#N/A,FALSE,"COMP"}</definedName>
    <definedName name="Discount">'[37]3645-9_1_96'!#REF!</definedName>
    <definedName name="display_area_2" hidden="1">[7]table1!$C$3:$K$46</definedName>
    <definedName name="div">[40]PARAMS!$B$7</definedName>
    <definedName name="DME_Dirty" hidden="1">"False"</definedName>
    <definedName name="DME_LocalFile" hidden="1">"True"</definedName>
    <definedName name="DMI_Plant">[11]HDFC!#REF!</definedName>
    <definedName name="DMM_Plant">'[10]Lakshmi GF'!#REF!</definedName>
    <definedName name="DPC" localSheetId="7">#REF!</definedName>
    <definedName name="DPC" localSheetId="1">#REF!</definedName>
    <definedName name="DPC">#REF!</definedName>
    <definedName name="dqdqedr" hidden="1">{"SchK1",#N/A,FALSE,"Schedules";"SchK2",#N/A,FALSE,"Schedules"}</definedName>
    <definedName name="DR.BISHNU_PADA_DAS">'[41]Fixed Prof Fees'!#REF!</definedName>
    <definedName name="DragandDrop" localSheetId="7">#REF!</definedName>
    <definedName name="DragandDrop" localSheetId="1">[16]Control!$B$12</definedName>
    <definedName name="DragandDrop">#REF!</definedName>
    <definedName name="DSCR">#REF!</definedName>
    <definedName name="dscsd" hidden="1">[42]EXPENSES!#REF!</definedName>
    <definedName name="eee">[35]Projects!$A$1:$G$52</definedName>
    <definedName name="EEEE" hidden="1">{#N/A,#N/A,TRUE,"Summary";#N/A,#N/A,TRUE,"Balance Sheet";#N/A,#N/A,TRUE,"P &amp; L";#N/A,#N/A,TRUE,"Fixed Assets";#N/A,#N/A,TRUE,"Cash Flows"}</definedName>
    <definedName name="effr" hidden="1">[42]EXPENSES!#REF!</definedName>
    <definedName name="EIOEIOI" hidden="1">{#N/A,#N/A,FALSE,"Cash Flows";#N/A,#N/A,FALSE,"Fixed Assets";#N/A,#N/A,FALSE,"Balance Sheet";#N/A,#N/A,FALSE,"P &amp; L"}</definedName>
    <definedName name="Electric__Equipment">#REF!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mail">[7]table1!$E$33</definedName>
    <definedName name="emi" localSheetId="7">#REF!</definedName>
    <definedName name="emi" localSheetId="1">#REF!</definedName>
    <definedName name="emi">#REF!</definedName>
    <definedName name="EMP_BENFIT_EXP">#REF!</definedName>
    <definedName name="ENTIER">#REF!</definedName>
    <definedName name="Eqpt">'[37]3645-9_1_96'!#REF!</definedName>
    <definedName name="Eqpt_Price">'[37]3645-9_1_96'!#REF!</definedName>
    <definedName name="Eqpt_Qty">'[37]3645-9_1_96'!#REF!</definedName>
    <definedName name="Escorts_Crane">'[9]5 - CITICORP'!$A$915</definedName>
    <definedName name="Escorts_Loader_1">'[9]5 - CITICORP'!$A$458</definedName>
    <definedName name="Escorts_Loader_2">'[9]5 - CITICORP'!$A$406</definedName>
    <definedName name="est">#REF!</definedName>
    <definedName name="etc" hidden="1">#REF!</definedName>
    <definedName name="EWWF" hidden="1">{#N/A,#N/A,FALSE,"FINAL"}</definedName>
    <definedName name="EX_350">'[9]5 - CITICORP'!$A$597</definedName>
    <definedName name="EX_350_I">'[9]5 - CITICORP'!$A$860</definedName>
    <definedName name="Excel_BuiltIn__FilterDatabase_9">#REF!</definedName>
    <definedName name="exhibit1">#REF!</definedName>
    <definedName name="exp">#REF!</definedName>
    <definedName name="_xlnm.Extract">#REF!</definedName>
    <definedName name="F26C">[7]table1!$A$1:$N$52</definedName>
    <definedName name="F26C.12">[7]table1!$A$1:$M$20</definedName>
    <definedName name="F26C.6a">[7]table1!$A$1:$O$19</definedName>
    <definedName name="F26C.6b">[7]table1!$A$1:$O$19</definedName>
    <definedName name="F26J">[7]table1!$A$1:$L$50</definedName>
    <definedName name="F26J.12">[7]table1!$A$1:$K$20</definedName>
    <definedName name="F26J.6a">[7]table1!$A$1:$N$19</definedName>
    <definedName name="F26J.6b">[7]table1!$A$1:$N$19</definedName>
    <definedName name="F26K.6a">[7]table1!$A$1:$N$19</definedName>
    <definedName name="F26K.6b">[7]table1!$A$1:$N$19</definedName>
    <definedName name="F27N">[7]table1!$A$1:$K$52</definedName>
    <definedName name="FA" localSheetId="1" hidden="1">{"P1",#N/A,TRUE,"P1";"P2",#N/A,TRUE,"P2"}</definedName>
    <definedName name="FA">#REF!</definedName>
    <definedName name="FAC_CLASS">[7]table1!$A$1:$B$65536</definedName>
    <definedName name="fadf">[43]Stock!$B$4</definedName>
    <definedName name="Fax">[7]table1!$E$32</definedName>
    <definedName name="fbt">#REF!</definedName>
    <definedName name="FCMapping">#REF!</definedName>
    <definedName name="FCode" hidden="1">[7]table1!$D$46</definedName>
    <definedName name="FD">#REF!</definedName>
    <definedName name="fdf" hidden="1">[44]IncidentsEAP!$P$20:$S$20</definedName>
    <definedName name="fdfwegerger" hidden="1">{#N/A,#N/A,FALSE,"Cash Flows";#N/A,#N/A,FALSE,"Fixed Assets";#N/A,#N/A,FALSE,"Balance Sheet";#N/A,#N/A,FALSE,"P &amp; L"}</definedName>
    <definedName name="Feeders">'[10]Lakshmi GF'!#REF!</definedName>
    <definedName name="FileDirectory" localSheetId="1">[16]Control!$B$7</definedName>
    <definedName name="FileDirectory">#REF!</definedName>
    <definedName name="FileID">[7]table1!$B$3</definedName>
    <definedName name="FixIndex1_1">#REF!</definedName>
    <definedName name="FixIndex1_2">#REF!</definedName>
    <definedName name="FixIndex13_1">#REF!</definedName>
    <definedName name="FixIndex13_2">#REF!</definedName>
    <definedName name="FixIndex14_1">#REF!</definedName>
    <definedName name="FixIndex15_1">#REF!</definedName>
    <definedName name="FixIndex16_1">#REF!</definedName>
    <definedName name="FixIndex17_1">#REF!</definedName>
    <definedName name="FixIndex17_2">#REF!</definedName>
    <definedName name="FixIndex17_3">#REF!</definedName>
    <definedName name="FixIndex18_1">#REF!</definedName>
    <definedName name="FixIndex18_2">#REF!</definedName>
    <definedName name="FixIndex18_3">#REF!</definedName>
    <definedName name="FixIndex19_1">#REF!</definedName>
    <definedName name="FixIndex19_2">#REF!</definedName>
    <definedName name="FixIndex19_3">#REF!</definedName>
    <definedName name="FixIndex2_1">#REF!</definedName>
    <definedName name="FixIndex20_1">#REF!</definedName>
    <definedName name="FixIndex24_1">#REF!</definedName>
    <definedName name="FixIndex24_2">#REF!</definedName>
    <definedName name="FixIndex3_1">#REF!</definedName>
    <definedName name="FixIndex4_1">#REF!</definedName>
    <definedName name="FixIndex5_1">#REF!</definedName>
    <definedName name="FixIndex6_1">#REF!</definedName>
    <definedName name="FixIndex6_2">#REF!</definedName>
    <definedName name="FixIndex9_1">#REF!</definedName>
    <definedName name="FJK" hidden="1">{#N/A,#N/A,FALSE,"FINAL"}</definedName>
    <definedName name="for">#REF!</definedName>
    <definedName name="Ford_Mondeo">[10]HDFC!#REF!</definedName>
    <definedName name="forex">#REF!</definedName>
    <definedName name="fORM" hidden="1">{#N/A,#N/A,FALSE,"COMP"}</definedName>
    <definedName name="fsdf" hidden="1">#REF!</definedName>
    <definedName name="FUNDFLOW">#REF!</definedName>
    <definedName name="Furniture___Fixtures">#REF!</definedName>
    <definedName name="g" hidden="1">{#N/A,#N/A,FALSE,"FINAL"}</definedName>
    <definedName name="g_total">#REF!</definedName>
    <definedName name="gb">#REF!</definedName>
    <definedName name="GBDBDB">#N/A</definedName>
    <definedName name="GDF" hidden="1">{#N/A,#N/A,FALSE,"COMP"}</definedName>
    <definedName name="GDFA" hidden="1">{#N/A,#N/A,FALSE,"COMP"}</definedName>
    <definedName name="ge">#REF!</definedName>
    <definedName name="Get_36120CR">#REF!</definedName>
    <definedName name="Get_36120NL">#REF!</definedName>
    <definedName name="Get_36150CON">#REF!</definedName>
    <definedName name="Get_36150FIG">#REF!</definedName>
    <definedName name="Get_36170CON">#REF!</definedName>
    <definedName name="Get_36170FRC">#REF!</definedName>
    <definedName name="Get_36170FRS">#REF!</definedName>
    <definedName name="Get_36170PER">#REF!</definedName>
    <definedName name="Get_36170PVC">#REF!</definedName>
    <definedName name="Get_36170SW">#REF!</definedName>
    <definedName name="Get_ATM_TMC">#REF!</definedName>
    <definedName name="Get_ROUTER">#REF!</definedName>
    <definedName name="giy">[7]table1!$B$4:$AC$69</definedName>
    <definedName name="gjygj" hidden="1">{#N/A,#N/A,FALSE,"COMP"}</definedName>
    <definedName name="golia">#REF!</definedName>
    <definedName name="gp">#REF!</definedName>
    <definedName name="Gross_Margin___Rs_M">#REF!</definedName>
    <definedName name="grossmarginline">#REF!</definedName>
    <definedName name="Gsoh">#REF!</definedName>
    <definedName name="gsoh1">#REF!</definedName>
    <definedName name="H" hidden="1">#REF!</definedName>
    <definedName name="H_3000_Crusher">[10]CITICORP!#REF!</definedName>
    <definedName name="hdr2WorksheetNames" localSheetId="1">[16]Control!$D$21</definedName>
    <definedName name="hdr2WorksheetNames">#REF!</definedName>
    <definedName name="HdrText">[7]table1!$I$5</definedName>
    <definedName name="hdrWorksheetNames" localSheetId="1">[16]Control!$B$21</definedName>
    <definedName name="hdrWorksheetNames">#REF!</definedName>
    <definedName name="Header">#REF!</definedName>
    <definedName name="hesd" hidden="1">{#N/A,#N/A,FALSE,"COMP"}</definedName>
    <definedName name="HiddenRows" hidden="1">[7]table1!$A$35:$A$35</definedName>
    <definedName name="hjhka" hidden="1">{#N/A,#N/A,TRUE,"CONTENTS";#N/A,#N/A,TRUE,"M2";#N/A,#N/A,TRUE,"M2a";#N/A,#N/A,TRUE,"M2b";#N/A,#N/A,TRUE,"M3";#N/A,#N/A,TRUE,"M3a";#N/A,#N/A,TRUE,"M4-P";#N/A,#N/A,TRUE,"M5";#N/A,#N/A,TRUE,"M6";#N/A,#N/A,TRUE,"M7";#N/A,#N/A,TRUE,"M8";#N/A,#N/A,TRUE,"M9";#N/A,#N/A,TRUE,"M10";#N/A,#N/A,TRUE,"M11";#N/A,#N/A,TRUE,"M13";#N/A,#N/A,TRUE,"M14";#N/A,#N/A,TRUE,"M15";#N/A,#N/A,TRUE,"K1"}</definedName>
    <definedName name="HKD">#REF!</definedName>
    <definedName name="HLREC">#REF!</definedName>
    <definedName name="home">#REF!</definedName>
    <definedName name="homePlate" localSheetId="1">'[16]403'!$H$5</definedName>
    <definedName name="homePlate">#REF!</definedName>
    <definedName name="HP_NOTES">#REF!</definedName>
    <definedName name="HTML_CodePage" hidden="1">1252</definedName>
    <definedName name="HTML_Control" hidden="1">{"'Sheet1'!$A$5:$E$42"}</definedName>
    <definedName name="HTML_Description" hidden="1">""</definedName>
    <definedName name="HTML_Email" hidden="1">"modak.b@indorama-ind.com"</definedName>
    <definedName name="HTML_Header" hidden="1">"Class-wise Depreciation Rates"</definedName>
    <definedName name="HTML_LastUpdate" hidden="1">"12/3/99"</definedName>
    <definedName name="HTML_LineAfter" hidden="1">TRUE</definedName>
    <definedName name="HTML_LineBefore" hidden="1">TRUE</definedName>
    <definedName name="HTML_Name" hidden="1">"Chandrakant Modak"</definedName>
    <definedName name="HTML_OBDlg2" hidden="1">TRUE</definedName>
    <definedName name="HTML_OBDlg4" hidden="1">TRUE</definedName>
    <definedName name="HTML_OS" hidden="1">0</definedName>
    <definedName name="HTML_PathFile" hidden="1">"C:\My Documents\AssetMatrix.html"</definedName>
    <definedName name="HTML_Title" hidden="1">"Assets Matrix"</definedName>
    <definedName name="hui">#N/A</definedName>
    <definedName name="HUNDRED">[7]table1!$C$13</definedName>
    <definedName name="I234B">#REF!</definedName>
    <definedName name="I234C">#REF!</definedName>
    <definedName name="IDD_90">'[9]5 - CITICORP'!$A$512</definedName>
    <definedName name="IJIUI" hidden="1">{#N/A,#N/A,TRUE,"Summary";#N/A,#N/A,TRUE,"Balance Sheet";#N/A,#N/A,TRUE,"P &amp; L";#N/A,#N/A,TRUE,"Fixed Assets";#N/A,#N/A,TRUE,"Cash Flows"}</definedName>
    <definedName name="ijoi" hidden="1">[42]EXPENSES!#REF!</definedName>
    <definedName name="ImpFNames">[45]Instructions!$A$2:$A$10</definedName>
    <definedName name="In_Desc">'[37]3645-9_1_96'!#REF!</definedName>
    <definedName name="In_Maint">'[37]3645-9_1_96'!#REF!</definedName>
    <definedName name="In_Maint_Price">'[37]3645-9_1_96'!#REF!</definedName>
    <definedName name="In_Maint_Qty">'[37]3645-9_1_96'!#REF!</definedName>
    <definedName name="INDIA_PLASTIC_in_KUSD">#REF!</definedName>
    <definedName name="INDICAT">#REF!</definedName>
    <definedName name="Inflation">[46]Inputs!$C$12</definedName>
    <definedName name="input1_1">#REF!</definedName>
    <definedName name="input10_1">#REF!</definedName>
    <definedName name="input13_1">#REF!</definedName>
    <definedName name="input14_1">#REF!</definedName>
    <definedName name="input15_1">#REF!</definedName>
    <definedName name="input16_1">#REF!</definedName>
    <definedName name="input17_1">#REF!</definedName>
    <definedName name="input18_1">#REF!</definedName>
    <definedName name="input19_1">#REF!</definedName>
    <definedName name="input2_1">#REF!</definedName>
    <definedName name="input20_1">#REF!</definedName>
    <definedName name="input22_1">#REF!</definedName>
    <definedName name="input23_1">#REF!</definedName>
    <definedName name="input24_1">#REF!</definedName>
    <definedName name="input25_1">[7]table1!$X$28:$Y$50</definedName>
    <definedName name="input5_1">#REF!</definedName>
    <definedName name="input6_1">#REF!</definedName>
    <definedName name="input9_1">#REF!</definedName>
    <definedName name="INR">'[47]ME ExRate'!$B$6</definedName>
    <definedName name="Install">'[37]3645-9_1_96'!#REF!</definedName>
    <definedName name="Install_Qty">'[37]3645-9_1_96'!#REF!</definedName>
    <definedName name="INT_EXI">#REF!</definedName>
    <definedName name="INT_FUN">#REF!</definedName>
    <definedName name="INT_PRO">#REF!</definedName>
    <definedName name="INT_WCTL">#REF!</definedName>
    <definedName name="int234B">#REF!</definedName>
    <definedName name="int234C">#REF!</definedName>
    <definedName name="INT234C1">#REF!</definedName>
    <definedName name="INT234C2">#REF!</definedName>
    <definedName name="interest">'[48]Tax Computation'!#REF!</definedName>
    <definedName name="interest_tax">[7]table1!$A$1:$F$41</definedName>
    <definedName name="Interest2004">#REF!</definedName>
    <definedName name="Interest2005">#REF!</definedName>
    <definedName name="Interest2006">#REF!</definedName>
    <definedName name="Interest2007">#REF!</definedName>
    <definedName name="Interest2008">#REF!</definedName>
    <definedName name="Interest2009">#REF!</definedName>
    <definedName name="intsch">#REF!</definedName>
    <definedName name="INTT_EXP">#REF!</definedName>
    <definedName name="INV">#REF!</definedName>
    <definedName name="INVESTMENTS">[7]table1!$A$1:$K$190</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40070.5420486111</definedName>
    <definedName name="IQ_NTM" hidden="1">6000</definedName>
    <definedName name="IQ_OPENED55" hidden="1">1</definedName>
    <definedName name="IQ_TODAY" hidden="1">0</definedName>
    <definedName name="IQ_WEEK" hidden="1">50000</definedName>
    <definedName name="IQ_YTD" hidden="1">3000</definedName>
    <definedName name="IR_Compactor">'[9]5 - CITICORP'!$A$135</definedName>
    <definedName name="IR_IDD_90_2">[10]CITICORP!#REF!</definedName>
    <definedName name="IR_IDD_90_Compactor">'[9]5 - CITICORP'!$A$555</definedName>
    <definedName name="IR_ISD_100_2">[10]CITICORP!#REF!</definedName>
    <definedName name="IRR">#REF!</definedName>
    <definedName name="IUIU" hidden="1">{#N/A,#N/A,TRUE,"Summary";#N/A,#N/A,TRUE,"Balance Sheet";#N/A,#N/A,TRUE,"P &amp; L";#N/A,#N/A,TRUE,"Fixed Assets";#N/A,#N/A,TRUE,"Cash Flows"}</definedName>
    <definedName name="J" hidden="1">{#N/A,#N/A,FALSE,"COMP"}</definedName>
    <definedName name="Jaw_Crusher_6240">'[10]Lakshmi GF'!#REF!</definedName>
    <definedName name="Jaw_Crusher_8013">'[10]Lakshmi GF'!#REF!</definedName>
    <definedName name="jhfg" hidden="1">{#N/A,#N/A,FALSE,"COMP"}</definedName>
    <definedName name="jim" hidden="1">{#N/A,#N/A,TRUE,"CONTENTS";#N/A,#N/A,TRUE,"M2";#N/A,#N/A,TRUE,"M2a";#N/A,#N/A,TRUE,"M2b";#N/A,#N/A,TRUE,"M3";#N/A,#N/A,TRUE,"M3a";#N/A,#N/A,TRUE,"M4-H";#N/A,#N/A,TRUE,"M4-P";#N/A,#N/A,TRUE,"M4a";#N/A,#N/A,TRUE,"M4b";#N/A,#N/A,TRUE,"M4c";#N/A,#N/A,TRUE,"M5";#N/A,#N/A,TRUE,"M6";#N/A,#N/A,TRUE,"M7";#N/A,#N/A,TRUE,"M8";#N/A,#N/A,TRUE,"M9";#N/A,#N/A,TRUE,"M10";#N/A,#N/A,TRUE,"M11";#N/A,#N/A,TRUE,"M13";#N/A,#N/A,TRUE,"M14";#N/A,#N/A,TRUE,"M15";#N/A,#N/A,TRUE,"K1"}</definedName>
    <definedName name="JM_1312_Crusher">[10]CITICORP!#REF!</definedName>
    <definedName name="jmgkdjgkdfjgkf" hidden="1">{#N/A,#N/A,FALSE,"Cash Flows";#N/A,#N/A,FALSE,"Fixed Assets";#N/A,#N/A,FALSE,"Balance Sheet";#N/A,#N/A,FALSE,"P &amp; L"}</definedName>
    <definedName name="JNTCMB">#REF!</definedName>
    <definedName name="JNTCYOS2">#REF!</definedName>
    <definedName name="JNTEXP">#REF!</definedName>
    <definedName name="Jobtypes">[49]FORM7!$R$3:$S$7</definedName>
    <definedName name="JPY">#REF!</definedName>
    <definedName name="k">'[50]SALES-VAL'!#REF!</definedName>
    <definedName name="Kerber">'[9]5 - CITICORP'!$A$763</definedName>
    <definedName name="kjk" hidden="1">[28]UNIDADES!#REF!</definedName>
    <definedName name="kkkkk">#REF!</definedName>
    <definedName name="komal">#REF!</definedName>
    <definedName name="KOREA_PLASTIC_in_KUSD">#REF!</definedName>
    <definedName name="KRW">#REF!</definedName>
    <definedName name="ks" hidden="1">{#N/A,#N/A,FALSE,"COMP"}</definedName>
    <definedName name="KUULSD" hidden="1">{#N/A,#N/A,FALSE,"COMP"}</definedName>
    <definedName name="L" hidden="1">#REF!</definedName>
    <definedName name="L___T_72_CK">'[10]Lakshmi GF'!#REF!</definedName>
    <definedName name="L_A">'[51]TB Jan-Dec96'!$B$100:$H$181</definedName>
    <definedName name="L_T_Compactors_4">[11]ICICI!#REF!</definedName>
    <definedName name="L_T_Dozer">[10]CITICORP!#REF!</definedName>
    <definedName name="L_T_Dozer_I">[10]CITICORP!#REF!</definedName>
    <definedName name="L_T_Excavator_PC200">[11]ICICI!#REF!</definedName>
    <definedName name="L_T_Grader">[10]CITICORP!#REF!</definedName>
    <definedName name="L_T_Grader_I">[10]CITICORP!#REF!</definedName>
    <definedName name="L_T_PC_200">'[9]5 - CITICORP'!$A$178</definedName>
    <definedName name="L_Tpc200">[11]HDFC!#REF!</definedName>
    <definedName name="LAC">#REF!</definedName>
    <definedName name="lacs">[7]table1!$K$1</definedName>
    <definedName name="Lancer_Car">[11]ICICI!#REF!</definedName>
    <definedName name="LAND">#REF!</definedName>
    <definedName name="last">[7]table1!$A$9:$W$9</definedName>
    <definedName name="LCell">[7]table1!$IV$16383</definedName>
    <definedName name="le_data">[7]table1!$Q$1:$AR$65536</definedName>
    <definedName name="lease">#N/A</definedName>
    <definedName name="LesContrWB">#REF!</definedName>
    <definedName name="LesContrWB2">#REF!</definedName>
    <definedName name="letab">[7]table1!#REF!</definedName>
    <definedName name="liab">#REF!</definedName>
    <definedName name="liab\inc\intt">#REF!</definedName>
    <definedName name="Liab1">#REF!</definedName>
    <definedName name="LIABL">'[21]BS Schld'!$H$74</definedName>
    <definedName name="List_Total">'[37]3645-9_1_96'!#REF!</definedName>
    <definedName name="LKJL" hidden="1">{#N/A,#N/A,FALSE,"FINAL"}</definedName>
    <definedName name="LMC_CLASS1">[7]table1!$A$1:$C$65536</definedName>
    <definedName name="LMC_CLASS2">[7]table1!$A$1:$D$65536</definedName>
    <definedName name="loan">#REF!</definedName>
    <definedName name="LoanAdv2004">#REF!</definedName>
    <definedName name="LoanAdv2005">#REF!</definedName>
    <definedName name="LoanAdv2006">#REF!</definedName>
    <definedName name="LoanAdv2007">#REF!</definedName>
    <definedName name="LoanAdv2008">#REF!</definedName>
    <definedName name="LoanAdv2009">#REF!</definedName>
    <definedName name="LocationCode" localSheetId="1">[16]Control!$B$4</definedName>
    <definedName name="LocationCode">#REF!</definedName>
    <definedName name="LOCMapping">#REF!</definedName>
    <definedName name="lookup_range">'[52]Trial Balance'!$A$6:$C$145</definedName>
    <definedName name="LOSSES">#REF!</definedName>
    <definedName name="m" hidden="1">{#N/A,#N/A,FALSE,"COMP"}</definedName>
    <definedName name="macro" hidden="1">{#N/A,#N/A,TRUE,"CONTENTS";#N/A,#N/A,TRUE,"M2";#N/A,#N/A,TRUE,"M2a";#N/A,#N/A,TRUE,"M2b";#N/A,#N/A,TRUE,"M3";#N/A,#N/A,TRUE,"M3a";#N/A,#N/A,TRUE,"M4-H";#N/A,#N/A,TRUE,"M4-P";#N/A,#N/A,TRUE,"M4a";#N/A,#N/A,TRUE,"M4b";#N/A,#N/A,TRUE,"M4c";#N/A,#N/A,TRUE,"M5";#N/A,#N/A,TRUE,"M6";#N/A,#N/A,TRUE,"M7";#N/A,#N/A,TRUE,"M8";#N/A,#N/A,TRUE,"M9";#N/A,#N/A,TRUE,"M10";#N/A,#N/A,TRUE,"M11";#N/A,#N/A,TRUE,"M13";#N/A,#N/A,TRUE,"M14";#N/A,#N/A,TRUE,"M15";#N/A,#N/A,TRUE,"K1"}</definedName>
    <definedName name="main_comp">#REF!</definedName>
    <definedName name="MAINCOMP">#REF!</definedName>
    <definedName name="Maint">'[37]3645-9_1_96'!#REF!</definedName>
    <definedName name="Maint_Price">'[37]3645-9_1_96'!#REF!</definedName>
    <definedName name="Maint_Qty">'[37]3645-9_1_96'!#REF!</definedName>
    <definedName name="MANU_EXP" localSheetId="1">#REF!</definedName>
    <definedName name="MANU_EXP">#REF!</definedName>
    <definedName name="Mar.04">#REF!</definedName>
    <definedName name="March" hidden="1">{#N/A,#N/A,FALSE,"Cash Flows";#N/A,#N/A,FALSE,"Fixed Assets";#N/A,#N/A,FALSE,"Balance Sheet";#N/A,#N/A,FALSE,"P &amp; L"}</definedName>
    <definedName name="MAT">#REF!</definedName>
    <definedName name="Mat.Liab.1">#REF!</definedName>
    <definedName name="mat_credit">#N/A</definedName>
    <definedName name="matchperiod">[36]Data!$B$1:$O$1</definedName>
    <definedName name="matchrow">[36]Data!$A$2:$A$7756</definedName>
    <definedName name="MDEVISES">#REF!,#REF!,#REF!</definedName>
    <definedName name="mdfne" hidden="1">'[53]TRIAL BALANCE'!#REF!</definedName>
    <definedName name="MEANS">#REF!</definedName>
    <definedName name="MethodAcc">[24]Masters!$C$46</definedName>
    <definedName name="mf" hidden="1">{#N/A,#N/A,FALSE,"COMP"}</definedName>
    <definedName name="mfi">#REF!</definedName>
    <definedName name="MFRF">#REF!,#REF!,#REF!,#REF!,#REF!</definedName>
    <definedName name="mg_data">[7]table1!$Q$1:$S$65536</definedName>
    <definedName name="mim">#REF!</definedName>
    <definedName name="MIS">#REF!</definedName>
    <definedName name="MISC_EXP">#REF!</definedName>
    <definedName name="MOVEMENT" hidden="1">{#N/A,#N/A,FALSE,"COMP"}</definedName>
    <definedName name="msa">#REF!</definedName>
    <definedName name="MStVal">[24]Masters!$C$47</definedName>
    <definedName name="MUMBAI_HC">[7]table1!$A$1:$P$51</definedName>
    <definedName name="n">#REF!</definedName>
    <definedName name="Name">[7]table1!$E$23</definedName>
    <definedName name="NatureBusiness">[24]Masters!$C$45</definedName>
    <definedName name="nav_BASED_EXP">[7]table1!$A$1:$G$226</definedName>
    <definedName name="NEA_Sep_2003_Recon_List">#REF!</definedName>
    <definedName name="NEW" hidden="1">{"letter",#N/A,FALSE,"Letter";"amort",#N/A,FALSE,"Amort"}</definedName>
    <definedName name="newa">#REF!</definedName>
    <definedName name="newack2">#REF!</definedName>
    <definedName name="Newone" hidden="1">{#N/A,#N/A,FALSE,"COMP"}</definedName>
    <definedName name="noe" hidden="1">{"Summ1",#N/A,FALSE,"Summary"}</definedName>
    <definedName name="NONINTEREST_REVENU">[7]table1!#REF!</definedName>
    <definedName name="Note">#REF!</definedName>
    <definedName name="NOTE_1">#REF!</definedName>
    <definedName name="note_1_2">#REF!</definedName>
    <definedName name="note_1to7">#REF!</definedName>
    <definedName name="NOTE_2">#REF!</definedName>
    <definedName name="NOTE_234c">#REF!</definedName>
    <definedName name="NOTE_3">#REF!</definedName>
    <definedName name="NOTE_4">#REF!</definedName>
    <definedName name="NOTE_4_5">#REF!</definedName>
    <definedName name="NOTE_8">#REF!</definedName>
    <definedName name="NOTE1">#REF!</definedName>
    <definedName name="NOTE1_2">#REF!</definedName>
    <definedName name="NOTE2">#REF!</definedName>
    <definedName name="NOTE3">#REF!</definedName>
    <definedName name="notes">#REF!</definedName>
    <definedName name="Notes_Page1">#REF!</definedName>
    <definedName name="Notes_Page2">#REF!</definedName>
    <definedName name="Notes2">#REF!</definedName>
    <definedName name="notesforcomp">#REF!</definedName>
    <definedName name="NotestoBS">#REF!</definedName>
    <definedName name="np">[7]table1!$AA$84:$AB$88</definedName>
    <definedName name="NRI_MKT1">#REF!</definedName>
    <definedName name="numéro">#REF!</definedName>
    <definedName name="NvsAnswerCol">"[Drill1]Voucher!$A$6:$A$22"</definedName>
    <definedName name="NvsASD">"V2010-12-31"</definedName>
    <definedName name="NvsAutoDrillOk">"VN"</definedName>
    <definedName name="NvsElapsedTime">0.0000347222230629995</definedName>
    <definedName name="NvsEndTime">40552.7366666667</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"V1990-01-01"</definedName>
    <definedName name="NvsPanelSetid">"VPLYCM"</definedName>
    <definedName name="NvsParentRef">"[DR_1431691_Bal_Sht_Compare_Detail.xls]ACTBUS!$J$18"</definedName>
    <definedName name="NvsReqBU">"VTHAOP"</definedName>
    <definedName name="NvsReqBUOnly">"VY"</definedName>
    <definedName name="NvsTransLed">"VN"</definedName>
    <definedName name="NvsTreeASD">"V2010-12-31"</definedName>
    <definedName name="NvsValTbl.ACCOUNT">"GL_ACCOUNT_TBL"</definedName>
    <definedName name="NvsValTbl.BUSINESS_UNIT">"BUS_UNIT_TBL_GL"</definedName>
    <definedName name="NvsValTbl.CURRENCY_CD">"CURRENCY_CD_TBL"</definedName>
    <definedName name="NvsValTbl.DEPTID">"DEPARTMENT_TBL"</definedName>
    <definedName name="NvsValTbl.PRODUCT">"PRODUCT_TBL"</definedName>
    <definedName name="NvsValTbl.PROJECT_ID">"PROJECT_ID_VW"</definedName>
    <definedName name="NvsValTbl.SCENARIO">"BD_SCENARIO_TBL"</definedName>
    <definedName name="NvsValTbl.ZE_DIVISION">"ZE_DIVISION_TBL"</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B">#REF!</definedName>
    <definedName name="ofaname">[36]Control!$H$2</definedName>
    <definedName name="Office_Equipment">#REF!</definedName>
    <definedName name="ok" hidden="1">{#N/A,#N/A,FALSE,"COMP"}</definedName>
    <definedName name="old_serial">'[23]old_serial no.'!$A$1:$F$2520</definedName>
    <definedName name="OLTOTAL">#REF!</definedName>
    <definedName name="Opel_Astra">[10]HDFC!#REF!</definedName>
    <definedName name="operations">#REF!</definedName>
    <definedName name="opexp">#REF!</definedName>
    <definedName name="OrderTable" hidden="1">[7]table1!#REF!</definedName>
    <definedName name="OTH_INC" localSheetId="1">#REF!</definedName>
    <definedName name="OTH_INC">#REF!</definedName>
    <definedName name="others">#REF!</definedName>
    <definedName name="OU_CLASS">#REF!</definedName>
    <definedName name="OutPut">[7]table1!#REF!</definedName>
    <definedName name="Ovh" hidden="1">{#N/A,#N/A,FALSE,"Cash Flows";#N/A,#N/A,FALSE,"Fixed Assets";#N/A,#N/A,FALSE,"Balance Sheet";#N/A,#N/A,FALSE,"P &amp; L"}</definedName>
    <definedName name="P">#REF!</definedName>
    <definedName name="P___L___Statement">#REF!</definedName>
    <definedName name="P___M">#REF!</definedName>
    <definedName name="P_A">'[51]Managerial Remuneration-Dec96'!$A$1:$G$17</definedName>
    <definedName name="P_L">#REF!</definedName>
    <definedName name="P_Lhalwel">[10]CITICORP!#REF!</definedName>
    <definedName name="PAGE">#N/A</definedName>
    <definedName name="PAGE_1">#REF!</definedName>
    <definedName name="PAGE_10">#REF!</definedName>
    <definedName name="PAGE_2">#REF!</definedName>
    <definedName name="PAGE_3">#REF!</definedName>
    <definedName name="PAGE_4">'[54]cap gains'!#REF!</definedName>
    <definedName name="PAGE_5">#REF!</definedName>
    <definedName name="PAGE_6">#REF!</definedName>
    <definedName name="PAGE_7">#REF!</definedName>
    <definedName name="PAGE_8">#REF!</definedName>
    <definedName name="PAGE_9">#REF!</definedName>
    <definedName name="page1">#REF!</definedName>
    <definedName name="PAGE10">#REF!</definedName>
    <definedName name="page2">#REF!</definedName>
    <definedName name="page3">#REF!</definedName>
    <definedName name="page4">#REF!</definedName>
    <definedName name="PAGE8">#REF!</definedName>
    <definedName name="pagu6.xls">[7]table1!#REF!</definedName>
    <definedName name="PAN">[24]Masters!$C$11</definedName>
    <definedName name="pankaj">'[55]Trial-Sub'!$A$3:$I$647</definedName>
    <definedName name="PartDesignation">[24]Masters!$C$16</definedName>
    <definedName name="PasteHereCN">#REF!</definedName>
    <definedName name="Paver">#REF!</definedName>
    <definedName name="payee">[7]table1!$AC$50:$AD$51</definedName>
    <definedName name="period">[56]Lookup!$C$3:$N$3</definedName>
    <definedName name="pesetas" hidden="1">[28]UNIDADES!#REF!</definedName>
    <definedName name="PF">#REF!</definedName>
    <definedName name="PG10.123">#REF!</definedName>
    <definedName name="Phone">[7]table1!$E$31</definedName>
    <definedName name="Physical_Progress_Daily_Financial_List">'[57]Fin Mar'!$A$4:$T$23</definedName>
    <definedName name="pil">#REF!</definedName>
    <definedName name="PL">#REF!</definedName>
    <definedName name="PL_CF">'[58]pack pnl-99'!#REF!</definedName>
    <definedName name="PLAN_CLASS">[7]table1!$A$1:$D$65536</definedName>
    <definedName name="plcf">'[58]pack pnl-99'!#REF!</definedName>
    <definedName name="PLMENU">#N/A</definedName>
    <definedName name="PM">#REF!</definedName>
    <definedName name="POP">#REF!</definedName>
    <definedName name="PopupIndex13_1">#REF!</definedName>
    <definedName name="PopupIndex14_1">#REF!</definedName>
    <definedName name="PopupIndex15_1">#REF!</definedName>
    <definedName name="PopupIndex16_1">#REF!</definedName>
    <definedName name="PostDate">[7]table1!$E$5</definedName>
    <definedName name="PP">[59]Sheet2!$K$2:$K$21</definedName>
    <definedName name="Prime_Mover">[11]HDFC!#REF!</definedName>
    <definedName name="PRINT">#REF!</definedName>
    <definedName name="_xlnm.Print_Area" localSheetId="5">BS!$A$1:$E$56</definedName>
    <definedName name="_xlnm.Print_Area" localSheetId="7">CFS!$A$1:$F$57</definedName>
    <definedName name="_xlnm.Print_Area" localSheetId="1">'Computation FY-2024-25'!$A$1:$D$41</definedName>
    <definedName name="_xlnm.Print_Area" localSheetId="8">'Note 1'!$A$1:$C$55</definedName>
    <definedName name="_xlnm.Print_Area" localSheetId="13">'Note 13-19'!$A$1:$C$61</definedName>
    <definedName name="_xlnm.Print_Area" localSheetId="9">'Note 2 - 7'!$A$1:$G$98</definedName>
    <definedName name="_xlnm.Print_Area" localSheetId="14">'Note 20-26'!$A$1:$H$85</definedName>
    <definedName name="_xlnm.Print_Area" localSheetId="10">'Note 8'!$A$1:$L$13</definedName>
    <definedName name="_xlnm.Print_Area" localSheetId="12">'Note 9-13'!$A$1:$C$46</definedName>
    <definedName name="_xlnm.Print_Area" localSheetId="6">'P&amp;L'!$A$1:$E$47</definedName>
    <definedName name="_xlnm.Print_Area" localSheetId="16">'Ratios &amp; Deferred Tax'!$A$1:$F$49</definedName>
    <definedName name="_xlnm.Print_Area" localSheetId="2">Schedules!$A$1:$D$156</definedName>
    <definedName name="_xlnm.Print_Area">#REF!</definedName>
    <definedName name="Print_Area_MI">[60]FCAST96!$C$1:$Q$28</definedName>
    <definedName name="_xlnm.Print_Titles" localSheetId="19">'IT Dep '!#REF!</definedName>
    <definedName name="_xlnm.Print_Titles" localSheetId="8">'Note 1'!$1:$5</definedName>
    <definedName name="_xlnm.Print_Titles" localSheetId="13">'Note 13-19'!$1:$4</definedName>
    <definedName name="_xlnm.Print_Titles" localSheetId="9">'Note 2 - 7'!$1:$4</definedName>
    <definedName name="_xlnm.Print_Titles" localSheetId="14">'Note 20-26'!$1:$2</definedName>
    <definedName name="_xlnm.Print_Titles" localSheetId="12">'Note 9-13'!$1:$4</definedName>
    <definedName name="Print_Titles_MI">[61]ENCL6!#REF!</definedName>
    <definedName name="ProdForm" hidden="1">[7]table1!#REF!</definedName>
    <definedName name="Product" hidden="1">[7]table1!#REF!</definedName>
    <definedName name="professional">#REF!</definedName>
    <definedName name="Profit\Loss">#REF!</definedName>
    <definedName name="Profit___loss_account">#REF!</definedName>
    <definedName name="proj">#N/A</definedName>
    <definedName name="Prov_Liab_Exp.">#REF!</definedName>
    <definedName name="Prov_liab_Mate">#REF!</definedName>
    <definedName name="Prov_liab_STock_Exp">#REF!</definedName>
    <definedName name="prtWorksheetNames" localSheetId="7">#REF!</definedName>
    <definedName name="prtWorksheetNames" localSheetId="1">[16]Control!$E$22:$E$61</definedName>
    <definedName name="prtWorksheetNames">#REF!</definedName>
    <definedName name="ptas" hidden="1">[28]UNIDADES!#REF!</definedName>
    <definedName name="PuzolonaCrusherr">[11]ICICI!#REF!</definedName>
    <definedName name="Puzzolona_Crusher">'[9]5 - CITICORP'!$A$958</definedName>
    <definedName name="Puzzolona_Crushers">[11]ICICI!#REF!</definedName>
    <definedName name="PuzzolonaCrusherr">[11]ICICI!#REF!</definedName>
    <definedName name="q">#REF!</definedName>
    <definedName name="qewqeqwerq" hidden="1">{#N/A,#N/A,FALSE,"Cash Flows";#N/A,#N/A,FALSE,"Fixed Assets";#N/A,#N/A,FALSE,"Balance Sheet";#N/A,#N/A,FALSE,"P &amp; L"}</definedName>
    <definedName name="QMPL" hidden="1">{#N/A,#N/A,FALSE,"COMP"}</definedName>
    <definedName name="QMPL0809" hidden="1">{#N/A,#N/A,FALSE,"COMP"}</definedName>
    <definedName name="qq">#REF!</definedName>
    <definedName name="Quote_No">'[37]3645-9_1_96'!#REF!</definedName>
    <definedName name="RawData">#REF!</definedName>
    <definedName name="RCArea" hidden="1">[7]table1!#REF!</definedName>
    <definedName name="RDD">#REF!</definedName>
    <definedName name="Realisations_salevalue">#REF!</definedName>
    <definedName name="rec">[7]table1!$A$19</definedName>
    <definedName name="REF" hidden="1">{#N/A,#N/A,FALSE,"COMP"}</definedName>
    <definedName name="refer11_1">#REF!</definedName>
    <definedName name="refer12_1">#REF!</definedName>
    <definedName name="refer21_1">#REF!</definedName>
    <definedName name="refer3_1">#REF!</definedName>
    <definedName name="refer4_1">#REF!</definedName>
    <definedName name="refer7_1">#REF!</definedName>
    <definedName name="refer8_1">#REF!</definedName>
    <definedName name="Refund">[62]Comp!#REF!</definedName>
    <definedName name="rental">#REF!</definedName>
    <definedName name="REP_FRIDAY">[7]table1!$B$5</definedName>
    <definedName name="ReportTitle1">#REF!</definedName>
    <definedName name="RES">#REF!</definedName>
    <definedName name="RESERVE" localSheetId="7">#REF!</definedName>
    <definedName name="RESERVE">#REF!</definedName>
    <definedName name="Revenue_2005_2006">#REF!</definedName>
    <definedName name="Revenue2004">#REF!</definedName>
    <definedName name="Revenue2005">#REF!</definedName>
    <definedName name="Revenue2006">#REF!</definedName>
    <definedName name="Revenue2007">#REF!</definedName>
    <definedName name="Revenue2008">#REF!</definedName>
    <definedName name="Revenue2009">#REF!</definedName>
    <definedName name="revmanfin">#REF!</definedName>
    <definedName name="RMB">[63]Data!$D$10</definedName>
    <definedName name="RowCount">[7]table1!$B$39</definedName>
    <definedName name="RowDetails1">#REF!</definedName>
    <definedName name="rr">#REF!</definedName>
    <definedName name="RSV">[64]Payroll!#REF!</definedName>
    <definedName name="S_3000_Crusher">#REF!</definedName>
    <definedName name="S3a" hidden="1">{#N/A,#N/A,TRUE,"CONTENTS";#N/A,#N/A,TRUE,"M2";#N/A,#N/A,TRUE,"M2a";#N/A,#N/A,TRUE,"M2b";#N/A,#N/A,TRUE,"M3";#N/A,#N/A,TRUE,"M3a";#N/A,#N/A,TRUE,"M4-P";#N/A,#N/A,TRUE,"M5";#N/A,#N/A,TRUE,"M6";#N/A,#N/A,TRUE,"M7";#N/A,#N/A,TRUE,"M8";#N/A,#N/A,TRUE,"M9";#N/A,#N/A,TRUE,"M10";#N/A,#N/A,TRUE,"M11";#N/A,#N/A,TRUE,"M13";#N/A,#N/A,TRUE,"M14";#N/A,#N/A,TRUE,"M15";#N/A,#N/A,TRUE,"K1"}</definedName>
    <definedName name="Sal">#REF!</definedName>
    <definedName name="salaries">#REF!</definedName>
    <definedName name="SALES">#REF!</definedName>
    <definedName name="Sand_Classifier">'[10]Lakshmi GF'!#REF!</definedName>
    <definedName name="Sanjay">[65]sch!#REF!</definedName>
    <definedName name="SAPBEXrevision" hidden="1">0</definedName>
    <definedName name="SAPBEXsysID" hidden="1">"BWP"</definedName>
    <definedName name="SAPBEXwbID" hidden="1">"4D1VRVRRV2PZX2PJNWZWPYJGL"</definedName>
    <definedName name="SCA">#N/A</definedName>
    <definedName name="SCA_Category">#REF!</definedName>
    <definedName name="SCH__2">#REF!</definedName>
    <definedName name="SCH_11">#REF!</definedName>
    <definedName name="SCH1_5">#REF!</definedName>
    <definedName name="SCH6_10">#REF!</definedName>
    <definedName name="Schdule1" hidden="1">{#N/A,#N/A,FALSE,"COMP"}</definedName>
    <definedName name="Schdule12_15">#REF!</definedName>
    <definedName name="schedule" hidden="1">{#N/A,#N/A,FALSE,"COMP"}</definedName>
    <definedName name="Schedule___2__Reserves___Surplus">[1]Schedules_BS!#REF!</definedName>
    <definedName name="Schedule___7_Other_Income">[1]Schedules_BS!#REF!</definedName>
    <definedName name="Schedule___8_Payments_and_benefits_to_staff">[1]Schedules_BS!#REF!</definedName>
    <definedName name="Schedule___9_Administration_and_other_expenses">[1]Schedules_BS!#REF!</definedName>
    <definedName name="Schedule_5_to_8">[66]BALANCESHEET!#REF!</definedName>
    <definedName name="SDASD">#REF!</definedName>
    <definedName name="SDF" hidden="1">{#N/A,#N/A,FALSE,"FINAL"}</definedName>
    <definedName name="SEC_LOAN" localSheetId="7">#REF!</definedName>
    <definedName name="SEC_LOAN" localSheetId="1">#REF!</definedName>
    <definedName name="SEC_LOAN">#REF!</definedName>
    <definedName name="Setter_Plant">#REF!</definedName>
    <definedName name="SGD">#REF!</definedName>
    <definedName name="SHARED_FORMULA_1">#N/A</definedName>
    <definedName name="SHARED_FORMULA_3">#N/A</definedName>
    <definedName name="SHARED_FORMULA_5">#N/A</definedName>
    <definedName name="SHARED_FORMULA_7">#N/A</definedName>
    <definedName name="SHARED_FORMULA_9">#N/A</definedName>
    <definedName name="sheet2">#REF!</definedName>
    <definedName name="SHEET4">#REF!</definedName>
    <definedName name="SKJ">[65]sch!#REF!</definedName>
    <definedName name="so">#REF!</definedName>
    <definedName name="SpecialPrice" hidden="1">[7]table1!#REF!</definedName>
    <definedName name="sridhar">'[51]BS&amp;PL_DEC96'!$A$1:$J$62</definedName>
    <definedName name="SSK" hidden="1">{#N/A,#N/A,FALSE,"COMP"}</definedName>
    <definedName name="SSS" hidden="1">{#N/A,#N/A,FALSE,"Cash Flows";#N/A,#N/A,FALSE,"Fixed Assets";#N/A,#N/A,FALSE,"Balance Sheet";#N/A,#N/A,FALSE,"P &amp; L"}</definedName>
    <definedName name="SSSSB" hidden="1">{#N/A,#N/A,TRUE,"Summary";#N/A,#N/A,TRUE,"Balance Sheet";#N/A,#N/A,TRUE,"P &amp; L";#N/A,#N/A,TRUE,"Fixed Assets";#N/A,#N/A,TRUE,"Cash Flows"}</definedName>
    <definedName name="SSSSSB" hidden="1">{#N/A,#N/A,FALSE,"Cash Flows";#N/A,#N/A,FALSE,"Fixed Assets";#N/A,#N/A,FALSE,"Balance Sheet";#N/A,#N/A,FALSE,"P &amp; L"}</definedName>
    <definedName name="State">[7]table1!$E$27</definedName>
    <definedName name="STATUS_REPORT">[7]table1!$BA$52:$BB$71</definedName>
    <definedName name="Stetter_Plant_1">[11]ICICI!#REF!</definedName>
    <definedName name="Stetter_Plant_2">[11]ICICI!#REF!</definedName>
    <definedName name="Stocks">#REF!</definedName>
    <definedName name="Sub_Schedule_4A">#REF!</definedName>
    <definedName name="Sub_Schedule_5A">#REF!</definedName>
    <definedName name="Sub_Schedule_5B">#REF!</definedName>
    <definedName name="Sub_Schedule_8A">#REF!</definedName>
    <definedName name="Sub_Schedule_8B">#REF!</definedName>
    <definedName name="Sub_Schedule_8C">#REF!</definedName>
    <definedName name="Sub_schedule_9A">#REF!</definedName>
    <definedName name="Sub_schedule_9B">#REF!</definedName>
    <definedName name="Sub_Schedule_9C">#REF!</definedName>
    <definedName name="Sub_schedule_9D">#REF!</definedName>
    <definedName name="Sub_schedule_9E">#REF!</definedName>
    <definedName name="Sub_schedule_9F">#REF!</definedName>
    <definedName name="Sub_schedule_9G">#REF!</definedName>
    <definedName name="Sub_schedule_9H">#REF!</definedName>
    <definedName name="Sub_schedule_9I">#REF!</definedName>
    <definedName name="Sub_Schedule_9J">#REF!</definedName>
    <definedName name="Sub_Schedule_9K">#REF!</definedName>
    <definedName name="Sub_Schedule_9L">#REF!</definedName>
    <definedName name="Sub_Schedule_9M">#REF!</definedName>
    <definedName name="sumana">#REF!</definedName>
    <definedName name="SupDat.DG">'[67]Supplementary Data'!$B$11:$B$21</definedName>
    <definedName name="SupDat.SDU">'[67]Supplementary Data'!$B$5:$B$7</definedName>
    <definedName name="SUPPORT">[7]table1!#REF!</definedName>
    <definedName name="Svedala_H_3000">[10]CITICORP!#REF!</definedName>
    <definedName name="Svedala_JM_1312">[10]CITICORP!#REF!</definedName>
    <definedName name="TAFName">[24]Masters!$C$19</definedName>
    <definedName name="tamas" hidden="1">'[2]130-UNIDADES'!#REF!</definedName>
    <definedName name="TAMNo">[24]Masters!$C$23</definedName>
    <definedName name="TAName">[24]Masters!$C$20</definedName>
    <definedName name="Tandum_Roller">'[9]5 - CITICORP'!$A$320</definedName>
    <definedName name="TAPlace">[24]Masters!$C$43</definedName>
    <definedName name="Tata_HitachiEx_350">#REF!</definedName>
    <definedName name="Taurus_Tippers_10">[11]ICICI!#REF!</definedName>
    <definedName name="Taurus_Tippers10">[11]ICICI!#REF!</definedName>
    <definedName name="Tax">[62]Comp!#REF!</definedName>
    <definedName name="TAX_COMP">#REF!</definedName>
    <definedName name="tax1M">[7]table1!$G$11:$H$29</definedName>
    <definedName name="tax1Y">[7]table1!$G$11:$H$29</definedName>
    <definedName name="tax2M">[7]table1!$G$40:$H$58</definedName>
    <definedName name="tax2Y">[7]table1!$G$41:$H$59</definedName>
    <definedName name="tax3M">[7]table1!$G$69:$H$87</definedName>
    <definedName name="tax3Y">[7]table1!$G$71:$H$89</definedName>
    <definedName name="tax4M">[7]table1!$G$98:$H$116</definedName>
    <definedName name="tax4Y">[7]table1!$G$101:$H$119</definedName>
    <definedName name="TaxAudAdd">[24]Masters!$C$24</definedName>
    <definedName name="TaxAuditDate">[24]Masters!$C$40</definedName>
    <definedName name="TAXCOMP">#REF!</definedName>
    <definedName name="Taxes2004">#REF!</definedName>
    <definedName name="Taxes2005">#REF!</definedName>
    <definedName name="Taxes2006">#REF!</definedName>
    <definedName name="Taxes2007">#REF!</definedName>
    <definedName name="Taxes2008">#REF!</definedName>
    <definedName name="Taxes2009">#REF!</definedName>
    <definedName name="TaxExpense04">#REF!</definedName>
    <definedName name="TaxExpense05">#REF!</definedName>
    <definedName name="TaxExpense06">#REF!</definedName>
    <definedName name="TaxExpense07">#REF!</definedName>
    <definedName name="TaxExpense08">#REF!</definedName>
    <definedName name="TaxExpense09">#REF!</definedName>
    <definedName name="taxliab">#REF!</definedName>
    <definedName name="tb">#REF!</definedName>
    <definedName name="TB_LOCAL">'[68]TB (Local)'!$A$1:$D$65536</definedName>
    <definedName name="TB_USD">'[68]TB (USD)'!$A$1:$D$65536</definedName>
    <definedName name="tbbbbbbbbbbbbbbb"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l_ProdInfo" hidden="1">[7]table1!#REF!</definedName>
    <definedName name="TDM">#REF!</definedName>
    <definedName name="TDS_Workings">#REF!</definedName>
    <definedName name="TDSCERTICATES">#REF!</definedName>
    <definedName name="TEMP">[7]table1!#REF!</definedName>
    <definedName name="TEMP1">[7]table1!$A$1:$B$70</definedName>
    <definedName name="TEN">[7]table1!$D$13</definedName>
    <definedName name="TEST0">#REF!</definedName>
    <definedName name="TESTHKEY">#REF!</definedName>
    <definedName name="TESTKEYS">#REF!</definedName>
    <definedName name="TESTVKEY">#REF!</definedName>
    <definedName name="TextRefCopyRangeCount" hidden="1">7</definedName>
    <definedName name="THAI_PLASTIC_in_KUSD">#REF!</definedName>
    <definedName name="THB">#REF!</definedName>
    <definedName name="THIS_FILE" localSheetId="1">[16]Control!$B$6</definedName>
    <definedName name="THIS_FILE">#REF!</definedName>
    <definedName name="THOUSAND">[7]table1!$B$13</definedName>
    <definedName name="Tipper_9">'[10]Lakshmi GF'!#REF!</definedName>
    <definedName name="TOTAL">#REF!</definedName>
    <definedName name="TOTASS">[23]tot_ass_9697!$A$1:$H$2376</definedName>
    <definedName name="Toyota_Camry">[11]ICICI!#REF!</definedName>
    <definedName name="TRIAL">#REF!</definedName>
    <definedName name="Tru">#REF!</definedName>
    <definedName name="TWL">'[9]5 - CITICORP'!$A$806</definedName>
    <definedName name="TWL_Wheel_Loader">[10]CITICORP!#REF!</definedName>
    <definedName name="TXT">#REF!</definedName>
    <definedName name="U30a57">#REF!</definedName>
    <definedName name="UEIUIUE" hidden="1">{#N/A,#N/A,TRUE,"Summary";#N/A,#N/A,TRUE,"Balance Sheet";#N/A,#N/A,TRUE,"P &amp; L";#N/A,#N/A,TRUE,"Fixed Assets";#N/A,#N/A,TRUE,"Cash Flows"}</definedName>
    <definedName name="UNSEC_LOAN" localSheetId="1">#REF!</definedName>
    <definedName name="UNSEC_LOAN">#REF!</definedName>
    <definedName name="UPS_System">#REF!</definedName>
    <definedName name="USD.A">#REF!</definedName>
    <definedName name="USD.E">#REF!</definedName>
    <definedName name="USD_B">#REF!</definedName>
    <definedName name="USD_BOOK">[7]table1!$B$7</definedName>
    <definedName name="usd_fedai">[7]table1!$B$17</definedName>
    <definedName name="UserFirstName" localSheetId="1">[16]Control!$B$10</definedName>
    <definedName name="UserFirstName">#REF!</definedName>
    <definedName name="UserName" localSheetId="1">[16]Control!$B$9</definedName>
    <definedName name="UserName">#REF!</definedName>
    <definedName name="UUIIE" hidden="1">{#N/A,#N/A,FALSE,"Cash Flows";#N/A,#N/A,FALSE,"Fixed Assets";#N/A,#N/A,FALSE,"Balance Sheet";#N/A,#N/A,FALSE,"P &amp; L"}</definedName>
    <definedName name="var" hidden="1">{#N/A,#N/A,FALSE,"FINAL"}</definedName>
    <definedName name="vara" hidden="1">{#N/A,#N/A,FALSE,"FINAL"}</definedName>
    <definedName name="Version" localSheetId="1">#REF!</definedName>
    <definedName name="Version">#REF!</definedName>
    <definedName name="vga" hidden="1">{#N/A,#N/A,TRUE,"Summary";#N/A,#N/A,TRUE,"Balance Sheet";#N/A,#N/A,TRUE,"P &amp; L";#N/A,#N/A,TRUE,"Fixed Assets";#N/A,#N/A,TRUE,"Cash Flows"}</definedName>
    <definedName name="Vogele_Paver">[11]HDFC!#REF!</definedName>
    <definedName name="Volvo">[10]CITICORP!#REF!</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B" hidden="1">{#N/A,#N/A,TRUE,"Summary";#N/A,#N/A,TRUE,"Balance Sheet";#N/A,#N/A,TRUE,"P &amp; L";#N/A,#N/A,TRUE,"Fixed Assets";#N/A,#N/A,TRUE,"Cash Flows"}</definedName>
    <definedName name="WBB" hidden="1">{#N/A,#N/A,TRUE,"Summary";#N/A,#N/A,TRUE,"Balance Sheet";#N/A,#N/A,TRUE,"P &amp; L";#N/A,#N/A,TRUE,"Fixed Assets";#N/A,#N/A,TRUE,"Cash Flows"}</definedName>
    <definedName name="WBBB" hidden="1">{#N/A,#N/A,FALSE,"Cash Flows";#N/A,#N/A,FALSE,"Fixed Assets";#N/A,#N/A,FALSE,"Balance Sheet";#N/A,#N/A,FALSE,"P &amp; L"}</definedName>
    <definedName name="WBBBBB" hidden="1">{#N/A,#N/A,TRUE,"Summary";#N/A,#N/A,TRUE,"Balance Sheet";#N/A,#N/A,TRUE,"P &amp; L";#N/A,#N/A,TRUE,"Fixed Assets";#N/A,#N/A,TRUE,"Cash Flows"}</definedName>
    <definedName name="WBBBBBB" hidden="1">{#N/A,#N/A,FALSE,"Cash Flows";#N/A,#N/A,FALSE,"Fixed Assets";#N/A,#N/A,FALSE,"Balance Sheet";#N/A,#N/A,FALSE,"P &amp; L"}</definedName>
    <definedName name="WBBBBBBB" hidden="1">{#N/A,#N/A,TRUE,"Summary";#N/A,#N/A,TRUE,"Balance Sheet";#N/A,#N/A,TRUE,"P &amp; L";#N/A,#N/A,TRUE,"Fixed Assets";#N/A,#N/A,TRUE,"Cash Flows"}</definedName>
    <definedName name="WBBBBCCC" hidden="1">{#N/A,#N/A,FALSE,"Cash Flows";#N/A,#N/A,FALSE,"Fixed Assets";#N/A,#N/A,FALSE,"Balance Sheet";#N/A,#N/A,FALSE,"P &amp; L"}</definedName>
    <definedName name="WC">#REF!</definedName>
    <definedName name="WDV">[7]table1!$T$74:$Z$93</definedName>
    <definedName name="wealth_tax">[7]table1!$A$1:$K$43</definedName>
    <definedName name="WETFGW" hidden="1">{#N/A,#N/A,FALSE,"FINAL"}</definedName>
    <definedName name="WORDS">[7]table1!$A$15:$B$114</definedName>
    <definedName name="working" hidden="1">{#N/A,#N/A,FALSE,"COMP"}</definedName>
    <definedName name="worksheet" hidden="1">{#N/A,#N/A,FALSE,"COMP"}</definedName>
    <definedName name="WorksheetNames" localSheetId="1">[16]Control!$B$22:$B$61</definedName>
    <definedName name="WorksheetNames">#REF!</definedName>
    <definedName name="wr" hidden="1">{#N/A,#N/A,FALSE,"COMP"}</definedName>
    <definedName name="wre" hidden="1">{#N/A,#N/A,TRUE,"CONTENTS";#N/A,#N/A,TRUE,"M2";#N/A,#N/A,TRUE,"M2a";#N/A,#N/A,TRUE,"M2b";#N/A,#N/A,TRUE,"M3";#N/A,#N/A,TRUE,"M3a";#N/A,#N/A,TRUE,"M4-H";#N/A,#N/A,TRUE,"M4-P";#N/A,#N/A,TRUE,"M4a";#N/A,#N/A,TRUE,"M4b";#N/A,#N/A,TRUE,"M4c";#N/A,#N/A,TRUE,"M5";#N/A,#N/A,TRUE,"M6";#N/A,#N/A,TRUE,"M7";#N/A,#N/A,TRUE,"M8";#N/A,#N/A,TRUE,"M9";#N/A,#N/A,TRUE,"M10";#N/A,#N/A,TRUE,"M11";#N/A,#N/A,TRUE,"M13";#N/A,#N/A,TRUE,"M14";#N/A,#N/A,TRUE,"M15";#N/A,#N/A,TRUE,"K1"}</definedName>
    <definedName name="WRI" hidden="1">{#N/A,#N/A,FALSE,"COMP"}</definedName>
    <definedName name="wrm" hidden="1">{"SchL1",#N/A,FALSE,"Schedules";"SchL2",#N/A,FALSE,"Schedules"}</definedName>
    <definedName name="wrn.Aging._.and._.Trend._.Analysis." hidden="1">{#N/A,#N/A,FALSE,"Aging Summary";#N/A,#N/A,FALSE,"Ratio Analysis";#N/A,#N/A,FALSE,"Test 120 Day Accts";#N/A,#N/A,FALSE,"Tickmarks"}</definedName>
    <definedName name="wrn.BB." hidden="1">{"P1",#N/A,TRUE,"P1";"P2",#N/A,TRUE,"P2"}</definedName>
    <definedName name="wrn.brief" hidden="1">{#N/A,#N/A,TRUE,"Summary";#N/A,#N/A,TRUE,"Balance Sheet";#N/A,#N/A,TRUE,"P &amp; L";#N/A,#N/A,TRUE,"Fixed Assets";#N/A,#N/A,TRUE,"Cash Flows"}</definedName>
    <definedName name="wrn.Brief." hidden="1">{#N/A,#N/A,TRUE,"Summary";#N/A,#N/A,TRUE,"Balance Sheet";#N/A,#N/A,TRUE,"P &amp; L";#N/A,#N/A,TRUE,"Fixed Assets";#N/A,#N/A,TRUE,"Cash Flows"}</definedName>
    <definedName name="wrn.ela" hidden="1">{#N/A,#N/A,FALSE,"Cash Flows";#N/A,#N/A,FALSE,"Fixed Assets";#N/A,#N/A,FALSE,"Balance Sheet";#N/A,#N/A,FALSE,"P &amp; L"}</definedName>
    <definedName name="wrn.elaborate" hidden="1">{#N/A,#N/A,FALSE,"Cash Flows";#N/A,#N/A,FALSE,"Fixed Assets";#N/A,#N/A,FALSE,"Balance Sheet";#N/A,#N/A,FALSE,"P &amp; L"}</definedName>
    <definedName name="wrn.Elaborate." hidden="1">{#N/A,#N/A,FALSE,"Cash Flows";#N/A,#N/A,FALSE,"Fixed Assets";#N/A,#N/A,FALSE,"Balance Sheet";#N/A,#N/A,FALSE,"P &amp; L"}</definedName>
    <definedName name="wrn.fc." hidden="1">{"letter",#N/A,FALSE,"Letter";"amort",#N/A,FALSE,"Amort"}</definedName>
    <definedName name="wrn.Fixed._.Assets." hidden="1">{"Sch c",#N/A,FALSE,"Accounts"}</definedName>
    <definedName name="wrn.FORM1." hidden="1">{#N/A,#N/A,FALSE,"COMP"}</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NCOME." hidden="1">{#N/A,#N/A,FALSE,"FINAL"}</definedName>
    <definedName name="wrn.INCOME1." hidden="1">{#N/A,#N/A,FALSE,"FINAL"}</definedName>
    <definedName name="wrn.income2" hidden="1">{#N/A,#N/A,FALSE,"FINAL"}</definedName>
    <definedName name="wrn.INCOME2." hidden="1">{#N/A,#N/A,FALSE,"FINAL"}</definedName>
    <definedName name="WRN.INCOME3." hidden="1">{#N/A,#N/A,FALSE,"FINAL"}</definedName>
    <definedName name="WRN.INCOME4" hidden="1">{#N/A,#N/A,FALSE,"FINAL"}</definedName>
    <definedName name="wrn.MARK98FULL.1"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H."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P." hidden="1">{#N/A,#N/A,TRUE,"CONTENTS";#N/A,#N/A,TRUE,"M2";#N/A,#N/A,TRUE,"M2a";#N/A,#N/A,TRUE,"M2b";#N/A,#N/A,TRUE,"M3";#N/A,#N/A,TRUE,"M3a";#N/A,#N/A,TRUE,"M4-P";#N/A,#N/A,TRUE,"M5";#N/A,#N/A,TRUE,"M6";#N/A,#N/A,TRUE,"M7";#N/A,#N/A,TRUE,"M8";#N/A,#N/A,TRUE,"M9";#N/A,#N/A,TRUE,"M10";#N/A,#N/A,TRUE,"M11";#N/A,#N/A,TRUE,"M13";#N/A,#N/A,TRUE,"M14";#N/A,#N/A,TRUE,"M15";#N/A,#N/A,TRUE,"K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1.brief" hidden="1">{#N/A,#N/A,TRUE,"Summary";#N/A,#N/A,TRUE,"Balance Sheet";#N/A,#N/A,TRUE,"P &amp; L";#N/A,#N/A,TRUE,"Fixed Assets";#N/A,#N/A,TRUE,"Cash Flows"}</definedName>
    <definedName name="wrn1.elaborate" hidden="1">{#N/A,#N/A,FALSE,"Cash Flows";#N/A,#N/A,FALSE,"Fixed Assets";#N/A,#N/A,FALSE,"Balance Sheet";#N/A,#N/A,FALSE,"P &amp; L"}</definedName>
    <definedName name="wrn10.brief" hidden="1">{#N/A,#N/A,TRUE,"Summary";#N/A,#N/A,TRUE,"Balance Sheet";#N/A,#N/A,TRUE,"P &amp; L";#N/A,#N/A,TRUE,"Fixed Assets";#N/A,#N/A,TRUE,"Cash Flows"}</definedName>
    <definedName name="wrn10.elaborate" hidden="1">{#N/A,#N/A,FALSE,"Cash Flows";#N/A,#N/A,FALSE,"Fixed Assets";#N/A,#N/A,FALSE,"Balance Sheet";#N/A,#N/A,FALSE,"P &amp; L"}</definedName>
    <definedName name="wrn11.brief" hidden="1">{#N/A,#N/A,TRUE,"Summary";#N/A,#N/A,TRUE,"Balance Sheet";#N/A,#N/A,TRUE,"P &amp; L";#N/A,#N/A,TRUE,"Fixed Assets";#N/A,#N/A,TRUE,"Cash Flows"}</definedName>
    <definedName name="wrn11.elaborate" hidden="1">{#N/A,#N/A,FALSE,"Cash Flows";#N/A,#N/A,FALSE,"Fixed Assets";#N/A,#N/A,FALSE,"Balance Sheet";#N/A,#N/A,FALSE,"P &amp; L"}</definedName>
    <definedName name="wrn12.elaborate" hidden="1">{#N/A,#N/A,FALSE,"Cash Flows";#N/A,#N/A,FALSE,"Fixed Assets";#N/A,#N/A,FALSE,"Balance Sheet";#N/A,#N/A,FALSE,"P &amp; L"}</definedName>
    <definedName name="wrn13.brief" hidden="1">{#N/A,#N/A,TRUE,"Summary";#N/A,#N/A,TRUE,"Balance Sheet";#N/A,#N/A,TRUE,"P &amp; L";#N/A,#N/A,TRUE,"Fixed Assets";#N/A,#N/A,TRUE,"Cash Flows"}</definedName>
    <definedName name="wrn13.elaborate" hidden="1">{#N/A,#N/A,FALSE,"Cash Flows";#N/A,#N/A,FALSE,"Fixed Assets";#N/A,#N/A,FALSE,"Balance Sheet";#N/A,#N/A,FALSE,"P &amp; L"}</definedName>
    <definedName name="wrn14.elaborate" hidden="1">{#N/A,#N/A,FALSE,"Cash Flows";#N/A,#N/A,FALSE,"Fixed Assets";#N/A,#N/A,FALSE,"Balance Sheet";#N/A,#N/A,FALSE,"P &amp; L"}</definedName>
    <definedName name="wrn15.brief" hidden="1">{#N/A,#N/A,TRUE,"Summary";#N/A,#N/A,TRUE,"Balance Sheet";#N/A,#N/A,TRUE,"P &amp; L";#N/A,#N/A,TRUE,"Fixed Assets";#N/A,#N/A,TRUE,"Cash Flows"}</definedName>
    <definedName name="wrn16.elaborate" hidden="1">{#N/A,#N/A,FALSE,"Cash Flows";#N/A,#N/A,FALSE,"Fixed Assets";#N/A,#N/A,FALSE,"Balance Sheet";#N/A,#N/A,FALSE,"P &amp; L"}</definedName>
    <definedName name="wrn18.brief" hidden="1">{#N/A,#N/A,TRUE,"Summary";#N/A,#N/A,TRUE,"Balance Sheet";#N/A,#N/A,TRUE,"P &amp; L";#N/A,#N/A,TRUE,"Fixed Assets";#N/A,#N/A,TRUE,"Cash Flows"}</definedName>
    <definedName name="wrn19.elaborate" hidden="1">{#N/A,#N/A,FALSE,"Cash Flows";#N/A,#N/A,FALSE,"Fixed Assets";#N/A,#N/A,FALSE,"Balance Sheet";#N/A,#N/A,FALSE,"P &amp; L"}</definedName>
    <definedName name="wrn2.brief" hidden="1">{#N/A,#N/A,TRUE,"Summary";#N/A,#N/A,TRUE,"Balance Sheet";#N/A,#N/A,TRUE,"P &amp; L";#N/A,#N/A,TRUE,"Fixed Assets";#N/A,#N/A,TRUE,"Cash Flows"}</definedName>
    <definedName name="wrn20.brief" hidden="1">{#N/A,#N/A,TRUE,"Summary";#N/A,#N/A,TRUE,"Balance Sheet";#N/A,#N/A,TRUE,"P &amp; L";#N/A,#N/A,TRUE,"Fixed Assets";#N/A,#N/A,TRUE,"Cash Flows"}</definedName>
    <definedName name="wrn20.elaborate" hidden="1">{#N/A,#N/A,FALSE,"Cash Flows";#N/A,#N/A,FALSE,"Fixed Assets";#N/A,#N/A,FALSE,"Balance Sheet";#N/A,#N/A,FALSE,"P &amp; L"}</definedName>
    <definedName name="wrn21.elaborate" hidden="1">{#N/A,#N/A,FALSE,"Cash Flows";#N/A,#N/A,FALSE,"Fixed Assets";#N/A,#N/A,FALSE,"Balance Sheet";#N/A,#N/A,FALSE,"P &amp; L"}</definedName>
    <definedName name="Wrn22.brief" hidden="1">{#N/A,#N/A,TRUE,"Summary";#N/A,#N/A,TRUE,"Balance Sheet";#N/A,#N/A,TRUE,"P &amp; L";#N/A,#N/A,TRUE,"Fixed Assets";#N/A,#N/A,TRUE,"Cash Flows"}</definedName>
    <definedName name="wrn22.elaborate" hidden="1">{#N/A,#N/A,FALSE,"Cash Flows";#N/A,#N/A,FALSE,"Fixed Assets";#N/A,#N/A,FALSE,"Balance Sheet";#N/A,#N/A,FALSE,"P &amp; L"}</definedName>
    <definedName name="wrn24.brief" hidden="1">{#N/A,#N/A,TRUE,"Summary";#N/A,#N/A,TRUE,"Balance Sheet";#N/A,#N/A,TRUE,"P &amp; L";#N/A,#N/A,TRUE,"Fixed Assets";#N/A,#N/A,TRUE,"Cash Flows"}</definedName>
    <definedName name="wrn25.breif" hidden="1">{#N/A,#N/A,TRUE,"Summary";#N/A,#N/A,TRUE,"Balance Sheet";#N/A,#N/A,TRUE,"P &amp; L";#N/A,#N/A,TRUE,"Fixed Assets";#N/A,#N/A,TRUE,"Cash Flows"}</definedName>
    <definedName name="wrn25.elaborate" hidden="1">{#N/A,#N/A,FALSE,"Cash Flows";#N/A,#N/A,FALSE,"Fixed Assets";#N/A,#N/A,FALSE,"Balance Sheet";#N/A,#N/A,FALSE,"P &amp; L"}</definedName>
    <definedName name="wrn26.brief" hidden="1">{#N/A,#N/A,TRUE,"Summary";#N/A,#N/A,TRUE,"Balance Sheet";#N/A,#N/A,TRUE,"P &amp; L";#N/A,#N/A,TRUE,"Fixed Assets";#N/A,#N/A,TRUE,"Cash Flows"}</definedName>
    <definedName name="wrn27.elaborate" hidden="1">{#N/A,#N/A,FALSE,"Cash Flows";#N/A,#N/A,FALSE,"Fixed Assets";#N/A,#N/A,FALSE,"Balance Sheet";#N/A,#N/A,FALSE,"P &amp; L"}</definedName>
    <definedName name="wrn28.brief" hidden="1">{#N/A,#N/A,TRUE,"Summary";#N/A,#N/A,TRUE,"Balance Sheet";#N/A,#N/A,TRUE,"P &amp; L";#N/A,#N/A,TRUE,"Fixed Assets";#N/A,#N/A,TRUE,"Cash Flows"}</definedName>
    <definedName name="wrn29.brief" hidden="1">{#N/A,#N/A,TRUE,"Summary";#N/A,#N/A,TRUE,"Balance Sheet";#N/A,#N/A,TRUE,"P &amp; L";#N/A,#N/A,TRUE,"Fixed Assets";#N/A,#N/A,TRUE,"Cash Flows"}</definedName>
    <definedName name="wrn29.elaborate" hidden="1">{#N/A,#N/A,FALSE,"Cash Flows";#N/A,#N/A,FALSE,"Fixed Assets";#N/A,#N/A,FALSE,"Balance Sheet";#N/A,#N/A,FALSE,"P &amp; L"}</definedName>
    <definedName name="wrn3.brief" hidden="1">{#N/A,#N/A,TRUE,"Summary";#N/A,#N/A,TRUE,"Balance Sheet";#N/A,#N/A,TRUE,"P &amp; L";#N/A,#N/A,TRUE,"Fixed Assets";#N/A,#N/A,TRUE,"Cash Flows"}</definedName>
    <definedName name="wrn3.elaborate" hidden="1">{#N/A,#N/A,FALSE,"Cash Flows";#N/A,#N/A,FALSE,"Fixed Assets";#N/A,#N/A,FALSE,"Balance Sheet";#N/A,#N/A,FALSE,"P &amp; L"}</definedName>
    <definedName name="wrn4.brief" hidden="1">{#N/A,#N/A,FALSE,"Cash Flows";#N/A,#N/A,FALSE,"Fixed Assets";#N/A,#N/A,FALSE,"Balance Sheet";#N/A,#N/A,FALSE,"P &amp; L"}</definedName>
    <definedName name="wrn5.brief" hidden="1">{#N/A,#N/A,TRUE,"Summary";#N/A,#N/A,TRUE,"Balance Sheet";#N/A,#N/A,TRUE,"P &amp; L";#N/A,#N/A,TRUE,"Fixed Assets";#N/A,#N/A,TRUE,"Cash Flows"}</definedName>
    <definedName name="wrn6.elaborate" hidden="1">{#N/A,#N/A,FALSE,"Cash Flows";#N/A,#N/A,FALSE,"Fixed Assets";#N/A,#N/A,FALSE,"Balance Sheet";#N/A,#N/A,FALSE,"P &amp; L"}</definedName>
    <definedName name="wrn7.brief" hidden="1">{#N/A,#N/A,TRUE,"Summary";#N/A,#N/A,TRUE,"Balance Sheet";#N/A,#N/A,TRUE,"P &amp; L";#N/A,#N/A,TRUE,"Fixed Assets";#N/A,#N/A,TRUE,"Cash Flows"}</definedName>
    <definedName name="wrn8.brief" hidden="1">{#N/A,#N/A,TRUE,"Summary";#N/A,#N/A,TRUE,"Balance Sheet";#N/A,#N/A,TRUE,"P &amp; L";#N/A,#N/A,TRUE,"Fixed Assets";#N/A,#N/A,TRUE,"Cash Flows"}</definedName>
    <definedName name="wrn8.elaborate" hidden="1">{#N/A,#N/A,FALSE,"Cash Flows";#N/A,#N/A,FALSE,"Fixed Assets";#N/A,#N/A,FALSE,"Balance Sheet";#N/A,#N/A,FALSE,"P &amp; L"}</definedName>
    <definedName name="wrn9.brief" hidden="1">{#N/A,#N/A,TRUE,"Summary";#N/A,#N/A,TRUE,"Balance Sheet";#N/A,#N/A,TRUE,"P &amp; L";#N/A,#N/A,TRUE,"Fixed Assets";#N/A,#N/A,TRUE,"Cash Flows"}</definedName>
    <definedName name="wrn9.elaborate" hidden="1">{#N/A,#N/A,FALSE,"Cash Flows";#N/A,#N/A,FALSE,"Fixed Assets";#N/A,#N/A,FALSE,"Balance Sheet";#N/A,#N/A,FALSE,"P &amp; L"}</definedName>
    <definedName name="wwwwwwww" hidden="1">{#N/A,#N/A,FALSE,"Cash Flows";#N/A,#N/A,FALSE,"Fixed Assets";#N/A,#N/A,FALSE,"Balance Sheet";#N/A,#N/A,FALSE,"P &amp; L"}</definedName>
    <definedName name="x">#REF!</definedName>
    <definedName name="XBFXZB" hidden="1">{#N/A,#N/A,FALSE,"FINAL"}</definedName>
    <definedName name="XRefColumnsCount" hidden="1">18</definedName>
    <definedName name="XRefCopy13" hidden="1">'[69]Fixed asset register'!#REF!</definedName>
    <definedName name="XRefCopy13Row" hidden="1">[69]XREF!#REF!</definedName>
    <definedName name="XRefCopy14" hidden="1">'[69]Fixed asset register'!#REF!</definedName>
    <definedName name="XRefCopy14Row" hidden="1">[69]XREF!#REF!</definedName>
    <definedName name="XRefCopy15Row" hidden="1">[69]XREF!#REF!</definedName>
    <definedName name="XRefCopy4Row" hidden="1">[69]XREF!#REF!</definedName>
    <definedName name="XRefCopy7Row" hidden="1">[69]XREF!#REF!</definedName>
    <definedName name="XRefCopyRangeCount" hidden="1">60</definedName>
    <definedName name="XRefPaste12Row" hidden="1">[69]XREF!#REF!</definedName>
    <definedName name="XRefPaste13Row" hidden="1">[69]XREF!#REF!</definedName>
    <definedName name="XRefPaste14Row" hidden="1">[69]XREF!#REF!</definedName>
    <definedName name="XRefPaste6Row" hidden="1">[69]XREF!#REF!</definedName>
    <definedName name="XRefPasteRangeCount" hidden="1">22</definedName>
    <definedName name="xx">'[70]TRIAL BALANCE'!#REF!</definedName>
    <definedName name="XXX">[71]Page1!$B$1:$AH$62</definedName>
    <definedName name="y">#REF!</definedName>
    <definedName name="ye">[40]PARAMS!$B$4</definedName>
    <definedName name="Z_14630C72_F5A7_427C_8277_844AD49AAA2B_.wvu.FilterData" hidden="1">#REF!</definedName>
    <definedName name="Z_26F1B120_222F_11D7_91EB_0050BA7F1DA7_.wvu.FilterData" hidden="1">#REF!</definedName>
    <definedName name="Z_2F5C3FD9_C8E7_4E40_AA1F_860552691881_.wvu.FilterData" hidden="1">#REF!</definedName>
    <definedName name="Z_9426E38C_13B4_4AE0_934B_D7DFB740B66C_.wvu.PrintArea" localSheetId="8" hidden="1">'Note 1'!$A$1:$C$18</definedName>
    <definedName name="Z_A5119AD0_659E_471B_9088_DD59E9BD25E4_.wvu.PrintArea" localSheetId="13" hidden="1">'Note 13-19'!$A$2:$C$22</definedName>
    <definedName name="Z_A5119AD0_659E_471B_9088_DD59E9BD25E4_.wvu.PrintArea" localSheetId="6" hidden="1">'P&amp;L'!$A$1:$D$43</definedName>
    <definedName name="Z_EFB67AC7_05F0_469E_80A5_5FCD6B1C866B_.wvu.PrintArea" localSheetId="12" hidden="1">'Note 9-13'!$A$1:$A$47</definedName>
    <definedName name="zc">#REF!</definedName>
    <definedName name="ZDFGD" hidden="1">{#N/A,#N/A,FALSE,"FINAL"}</definedName>
    <definedName name="Zip">[7]table1!$E$28</definedName>
    <definedName name="zvc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6" i="4" l="1"/>
  <c r="F26" i="4"/>
  <c r="F15" i="4" l="1"/>
  <c r="F14" i="4"/>
  <c r="F13" i="4"/>
  <c r="F9" i="4"/>
  <c r="F8" i="4"/>
  <c r="B156" i="18"/>
  <c r="D95" i="7"/>
  <c r="C21" i="4"/>
  <c r="E20" i="22" s="1"/>
  <c r="C27" i="3"/>
  <c r="H4" i="19"/>
  <c r="F126" i="33"/>
  <c r="F124" i="33"/>
  <c r="F125" i="33"/>
  <c r="G25" i="22"/>
  <c r="E23" i="22"/>
  <c r="E15" i="22"/>
  <c r="E14" i="22"/>
  <c r="E18" i="22"/>
  <c r="E17" i="22"/>
  <c r="E12" i="22"/>
  <c r="E31" i="22"/>
  <c r="E37" i="22" l="1"/>
  <c r="E36" i="22"/>
  <c r="E35" i="22"/>
  <c r="E26" i="22"/>
  <c r="E9" i="22"/>
  <c r="E7" i="22"/>
  <c r="E10" i="22" s="1"/>
  <c r="B44" i="9" l="1"/>
  <c r="B123" i="18"/>
  <c r="B120" i="18"/>
  <c r="C32" i="3"/>
  <c r="D89" i="7"/>
  <c r="D90" i="7"/>
  <c r="D59" i="7"/>
  <c r="D58" i="7"/>
  <c r="C15" i="4"/>
  <c r="C9" i="3"/>
  <c r="W92" i="35"/>
  <c r="W91" i="35"/>
  <c r="W90" i="35"/>
  <c r="W89" i="35"/>
  <c r="W88" i="35"/>
  <c r="AA92" i="35"/>
  <c r="AC86" i="35"/>
  <c r="V86" i="35"/>
  <c r="O86" i="35"/>
  <c r="N86" i="35"/>
  <c r="G86" i="35"/>
  <c r="F86" i="35"/>
  <c r="AF83" i="35"/>
  <c r="AE83" i="35"/>
  <c r="Y83" i="35"/>
  <c r="AA83" i="35" s="1"/>
  <c r="AB83" i="35" s="1"/>
  <c r="X83" i="35"/>
  <c r="D83" i="35"/>
  <c r="AF82" i="35"/>
  <c r="AE82" i="35"/>
  <c r="Y82" i="35"/>
  <c r="AA82" i="35" s="1"/>
  <c r="AB82" i="35" s="1"/>
  <c r="X82" i="35"/>
  <c r="D82" i="35"/>
  <c r="AF81" i="35"/>
  <c r="AE81" i="35"/>
  <c r="Y81" i="35"/>
  <c r="X81" i="35"/>
  <c r="AA81" i="35" s="1"/>
  <c r="AB81" i="35" s="1"/>
  <c r="D81" i="35"/>
  <c r="AF80" i="35"/>
  <c r="AE80" i="35"/>
  <c r="Y80" i="35"/>
  <c r="AA80" i="35" s="1"/>
  <c r="AB80" i="35" s="1"/>
  <c r="X80" i="35"/>
  <c r="D80" i="35"/>
  <c r="AF79" i="35"/>
  <c r="AE79" i="35"/>
  <c r="AA79" i="35"/>
  <c r="AB79" i="35" s="1"/>
  <c r="Y79" i="35"/>
  <c r="X79" i="35"/>
  <c r="D79" i="35"/>
  <c r="AE78" i="35"/>
  <c r="Y78" i="35"/>
  <c r="AA78" i="35" s="1"/>
  <c r="AB78" i="35" s="1"/>
  <c r="X78" i="35"/>
  <c r="D78" i="35"/>
  <c r="AF78" i="35" s="1"/>
  <c r="AE77" i="35"/>
  <c r="Y77" i="35"/>
  <c r="X77" i="35"/>
  <c r="AA77" i="35" s="1"/>
  <c r="AB77" i="35" s="1"/>
  <c r="D77" i="35"/>
  <c r="AF77" i="35" s="1"/>
  <c r="AF76" i="35"/>
  <c r="AE76" i="35"/>
  <c r="Y76" i="35"/>
  <c r="AA76" i="35" s="1"/>
  <c r="AB76" i="35" s="1"/>
  <c r="X76" i="35"/>
  <c r="D76" i="35"/>
  <c r="AF75" i="35"/>
  <c r="AE75" i="35"/>
  <c r="AA75" i="35"/>
  <c r="AB75" i="35" s="1"/>
  <c r="Y75" i="35"/>
  <c r="X75" i="35"/>
  <c r="D75" i="35"/>
  <c r="AE74" i="35"/>
  <c r="AB74" i="35"/>
  <c r="AA74" i="35"/>
  <c r="Y74" i="35"/>
  <c r="X74" i="35"/>
  <c r="D74" i="35"/>
  <c r="AF74" i="35" s="1"/>
  <c r="AE73" i="35"/>
  <c r="Y73" i="35"/>
  <c r="X73" i="35"/>
  <c r="AA73" i="35" s="1"/>
  <c r="AB73" i="35" s="1"/>
  <c r="D73" i="35"/>
  <c r="AF73" i="35" s="1"/>
  <c r="AF72" i="35"/>
  <c r="AE72" i="35"/>
  <c r="Y72" i="35"/>
  <c r="X72" i="35"/>
  <c r="Q72" i="35"/>
  <c r="T72" i="35" s="1"/>
  <c r="U72" i="35" s="1"/>
  <c r="D72" i="35"/>
  <c r="AF71" i="35"/>
  <c r="AE71" i="35"/>
  <c r="Y71" i="35"/>
  <c r="X71" i="35"/>
  <c r="Q71" i="35"/>
  <c r="T71" i="35" s="1"/>
  <c r="U71" i="35" s="1"/>
  <c r="D71" i="35"/>
  <c r="AI70" i="35"/>
  <c r="AF70" i="35"/>
  <c r="AB70" i="35"/>
  <c r="X70" i="35"/>
  <c r="T70" i="35"/>
  <c r="U70" i="35" s="1"/>
  <c r="Q70" i="35"/>
  <c r="M70" i="35"/>
  <c r="L70" i="35"/>
  <c r="I70" i="35"/>
  <c r="D70" i="35"/>
  <c r="Y70" i="35" s="1"/>
  <c r="AI69" i="35"/>
  <c r="AF69" i="35"/>
  <c r="AB69" i="35"/>
  <c r="AH69" i="35" s="1"/>
  <c r="X69" i="35"/>
  <c r="U69" i="35"/>
  <c r="AA69" i="35" s="1"/>
  <c r="T69" i="35"/>
  <c r="Q69" i="35"/>
  <c r="M69" i="35"/>
  <c r="L69" i="35"/>
  <c r="I69" i="35"/>
  <c r="D69" i="35"/>
  <c r="Y69" i="35" s="1"/>
  <c r="AI68" i="35"/>
  <c r="AH68" i="35" s="1"/>
  <c r="AF68" i="35"/>
  <c r="AB68" i="35"/>
  <c r="AA68" i="35"/>
  <c r="Y68" i="35"/>
  <c r="U68" i="35"/>
  <c r="T68" i="35" s="1"/>
  <c r="Q68" i="35"/>
  <c r="M68" i="35"/>
  <c r="L68" i="35"/>
  <c r="I68" i="35"/>
  <c r="AI67" i="35"/>
  <c r="AH67" i="35" s="1"/>
  <c r="AF67" i="35"/>
  <c r="AB67" i="35"/>
  <c r="AA67" i="35"/>
  <c r="Y67" i="35"/>
  <c r="U67" i="35"/>
  <c r="T67" i="35" s="1"/>
  <c r="Q67" i="35"/>
  <c r="M67" i="35"/>
  <c r="L67" i="35"/>
  <c r="I67" i="35"/>
  <c r="AI66" i="35"/>
  <c r="AH66" i="35" s="1"/>
  <c r="AF66" i="35"/>
  <c r="AB66" i="35"/>
  <c r="AA66" i="35"/>
  <c r="Y66" i="35"/>
  <c r="U66" i="35"/>
  <c r="T66" i="35" s="1"/>
  <c r="Q66" i="35"/>
  <c r="M66" i="35"/>
  <c r="L66" i="35"/>
  <c r="I66" i="35"/>
  <c r="AI65" i="35"/>
  <c r="AH65" i="35" s="1"/>
  <c r="AF65" i="35"/>
  <c r="AB65" i="35"/>
  <c r="AA65" i="35"/>
  <c r="Y65" i="35"/>
  <c r="U65" i="35"/>
  <c r="T65" i="35" s="1"/>
  <c r="Q65" i="35"/>
  <c r="M65" i="35"/>
  <c r="L65" i="35"/>
  <c r="I65" i="35"/>
  <c r="AI64" i="35"/>
  <c r="AH64" i="35" s="1"/>
  <c r="AF64" i="35"/>
  <c r="AB64" i="35"/>
  <c r="AA64" i="35"/>
  <c r="Y64" i="35"/>
  <c r="U64" i="35"/>
  <c r="T64" i="35" s="1"/>
  <c r="Q64" i="35"/>
  <c r="M64" i="35"/>
  <c r="L64" i="35"/>
  <c r="I64" i="35"/>
  <c r="AF63" i="35"/>
  <c r="Y63" i="35"/>
  <c r="R63" i="35"/>
  <c r="J63" i="35"/>
  <c r="I63" i="35"/>
  <c r="E63" i="35"/>
  <c r="M63" i="35" s="1"/>
  <c r="L63" i="35" s="1"/>
  <c r="AF62" i="35"/>
  <c r="Y62" i="35"/>
  <c r="R62" i="35"/>
  <c r="M62" i="35"/>
  <c r="L62" i="35"/>
  <c r="J62" i="35"/>
  <c r="I62" i="35"/>
  <c r="AF61" i="35"/>
  <c r="Y61" i="35"/>
  <c r="R61" i="35"/>
  <c r="M61" i="35"/>
  <c r="L61" i="35" s="1"/>
  <c r="J61" i="35"/>
  <c r="I61" i="35"/>
  <c r="AF60" i="35"/>
  <c r="Y60" i="35"/>
  <c r="R60" i="35"/>
  <c r="M60" i="35"/>
  <c r="L60" i="35" s="1"/>
  <c r="I60" i="35"/>
  <c r="J60" i="35" s="1"/>
  <c r="AF59" i="35"/>
  <c r="Y59" i="35"/>
  <c r="R59" i="35"/>
  <c r="M59" i="35"/>
  <c r="L59" i="35" s="1"/>
  <c r="J59" i="35"/>
  <c r="I59" i="35"/>
  <c r="AF58" i="35"/>
  <c r="Y58" i="35"/>
  <c r="R58" i="35"/>
  <c r="M58" i="35"/>
  <c r="L58" i="35"/>
  <c r="J58" i="35"/>
  <c r="I58" i="35"/>
  <c r="AF57" i="35"/>
  <c r="Y57" i="35"/>
  <c r="R57" i="35"/>
  <c r="M57" i="35"/>
  <c r="L57" i="35" s="1"/>
  <c r="J57" i="35"/>
  <c r="I57" i="35"/>
  <c r="AF56" i="35"/>
  <c r="Y56" i="35"/>
  <c r="R56" i="35"/>
  <c r="M56" i="35"/>
  <c r="L56" i="35" s="1"/>
  <c r="I56" i="35"/>
  <c r="J56" i="35" s="1"/>
  <c r="AF55" i="35"/>
  <c r="Y55" i="35"/>
  <c r="R55" i="35"/>
  <c r="M55" i="35"/>
  <c r="L55" i="35" s="1"/>
  <c r="J55" i="35"/>
  <c r="I55" i="35"/>
  <c r="AF54" i="35"/>
  <c r="Y54" i="35"/>
  <c r="R54" i="35"/>
  <c r="M54" i="35"/>
  <c r="L54" i="35"/>
  <c r="J54" i="35"/>
  <c r="I54" i="35"/>
  <c r="AF53" i="35"/>
  <c r="Y53" i="35"/>
  <c r="R53" i="35"/>
  <c r="M53" i="35"/>
  <c r="L53" i="35" s="1"/>
  <c r="J53" i="35"/>
  <c r="I53" i="35"/>
  <c r="AF52" i="35"/>
  <c r="Y52" i="35"/>
  <c r="R52" i="35"/>
  <c r="M52" i="35"/>
  <c r="L52" i="35" s="1"/>
  <c r="I52" i="35"/>
  <c r="J52" i="35" s="1"/>
  <c r="AF51" i="35"/>
  <c r="Y51" i="35"/>
  <c r="R51" i="35"/>
  <c r="M51" i="35"/>
  <c r="L51" i="35" s="1"/>
  <c r="J51" i="35"/>
  <c r="I51" i="35"/>
  <c r="AF50" i="35"/>
  <c r="Y50" i="35"/>
  <c r="R50" i="35"/>
  <c r="M50" i="35"/>
  <c r="L50" i="35"/>
  <c r="I50" i="35"/>
  <c r="J50" i="35" s="1"/>
  <c r="AF49" i="35"/>
  <c r="Y49" i="35"/>
  <c r="R49" i="35"/>
  <c r="M49" i="35"/>
  <c r="L49" i="35" s="1"/>
  <c r="J49" i="35"/>
  <c r="I49" i="35"/>
  <c r="AF48" i="35"/>
  <c r="Y48" i="35"/>
  <c r="M48" i="35"/>
  <c r="L48" i="35" s="1"/>
  <c r="I48" i="35"/>
  <c r="AF47" i="35"/>
  <c r="Y47" i="35"/>
  <c r="M47" i="35"/>
  <c r="L47" i="35" s="1"/>
  <c r="I47" i="35"/>
  <c r="AI46" i="35"/>
  <c r="AF46" i="35"/>
  <c r="AB46" i="35"/>
  <c r="Y46" i="35"/>
  <c r="M46" i="35"/>
  <c r="L46" i="35" s="1"/>
  <c r="I46" i="35"/>
  <c r="AF45" i="35"/>
  <c r="AB45" i="35"/>
  <c r="Y45" i="35"/>
  <c r="M45" i="35"/>
  <c r="L45" i="35" s="1"/>
  <c r="I45" i="35"/>
  <c r="AF44" i="35"/>
  <c r="AB44" i="35"/>
  <c r="Y44" i="35"/>
  <c r="M44" i="35"/>
  <c r="L44" i="35" s="1"/>
  <c r="I44" i="35"/>
  <c r="AF43" i="35"/>
  <c r="AB43" i="35"/>
  <c r="Y43" i="35"/>
  <c r="M43" i="35"/>
  <c r="L43" i="35" s="1"/>
  <c r="I43" i="35"/>
  <c r="AF42" i="35"/>
  <c r="AB42" i="35"/>
  <c r="Y42" i="35"/>
  <c r="M42" i="35"/>
  <c r="L42" i="35" s="1"/>
  <c r="I42" i="35"/>
  <c r="AF41" i="35"/>
  <c r="AB41" i="35"/>
  <c r="AI41" i="35" s="1"/>
  <c r="Y41" i="35"/>
  <c r="U41" i="35"/>
  <c r="R41" i="35"/>
  <c r="M41" i="35"/>
  <c r="J41" i="35"/>
  <c r="AF40" i="35"/>
  <c r="AB40" i="35"/>
  <c r="AI40" i="35" s="1"/>
  <c r="Y40" i="35"/>
  <c r="U40" i="35"/>
  <c r="R40" i="35"/>
  <c r="M40" i="35"/>
  <c r="J40" i="35"/>
  <c r="AF39" i="35"/>
  <c r="AB39" i="35"/>
  <c r="AI39" i="35" s="1"/>
  <c r="Y39" i="35"/>
  <c r="U39" i="35"/>
  <c r="R39" i="35"/>
  <c r="M39" i="35"/>
  <c r="J39" i="35"/>
  <c r="AF38" i="35"/>
  <c r="AB38" i="35"/>
  <c r="AI38" i="35" s="1"/>
  <c r="Y38" i="35"/>
  <c r="U38" i="35"/>
  <c r="R38" i="35"/>
  <c r="M38" i="35"/>
  <c r="J38" i="35"/>
  <c r="AF37" i="35"/>
  <c r="AB37" i="35"/>
  <c r="AI37" i="35" s="1"/>
  <c r="Y37" i="35"/>
  <c r="U37" i="35"/>
  <c r="R37" i="35"/>
  <c r="M37" i="35"/>
  <c r="J37" i="35"/>
  <c r="AF36" i="35"/>
  <c r="AB36" i="35"/>
  <c r="AI36" i="35" s="1"/>
  <c r="Y36" i="35"/>
  <c r="U36" i="35"/>
  <c r="R36" i="35"/>
  <c r="M36" i="35"/>
  <c r="J36" i="35"/>
  <c r="AF35" i="35"/>
  <c r="AB35" i="35"/>
  <c r="AI35" i="35" s="1"/>
  <c r="Y35" i="35"/>
  <c r="U35" i="35"/>
  <c r="R35" i="35"/>
  <c r="M35" i="35"/>
  <c r="J35" i="35"/>
  <c r="AF34" i="35"/>
  <c r="AB34" i="35"/>
  <c r="AI34" i="35" s="1"/>
  <c r="Y34" i="35"/>
  <c r="U34" i="35"/>
  <c r="R34" i="35"/>
  <c r="M34" i="35"/>
  <c r="J34" i="35"/>
  <c r="AF33" i="35"/>
  <c r="AB33" i="35"/>
  <c r="AI33" i="35" s="1"/>
  <c r="Y33" i="35"/>
  <c r="U33" i="35"/>
  <c r="R33" i="35"/>
  <c r="M33" i="35"/>
  <c r="J33" i="35"/>
  <c r="AF32" i="35"/>
  <c r="AB32" i="35"/>
  <c r="AI32" i="35" s="1"/>
  <c r="Y32" i="35"/>
  <c r="U32" i="35"/>
  <c r="R32" i="35"/>
  <c r="M32" i="35"/>
  <c r="J32" i="35"/>
  <c r="AF31" i="35"/>
  <c r="AB31" i="35"/>
  <c r="AI31" i="35" s="1"/>
  <c r="Y31" i="35"/>
  <c r="U31" i="35"/>
  <c r="R31" i="35"/>
  <c r="M31" i="35"/>
  <c r="J31" i="35"/>
  <c r="AF30" i="35"/>
  <c r="AB30" i="35"/>
  <c r="AI30" i="35" s="1"/>
  <c r="Y30" i="35"/>
  <c r="U30" i="35"/>
  <c r="R30" i="35"/>
  <c r="M30" i="35"/>
  <c r="J30" i="35"/>
  <c r="AF29" i="35"/>
  <c r="AB29" i="35"/>
  <c r="AI29" i="35" s="1"/>
  <c r="Y29" i="35"/>
  <c r="U29" i="35"/>
  <c r="R29" i="35"/>
  <c r="M29" i="35"/>
  <c r="J29" i="35"/>
  <c r="AF28" i="35"/>
  <c r="AB28" i="35"/>
  <c r="AI28" i="35" s="1"/>
  <c r="Y28" i="35"/>
  <c r="U28" i="35"/>
  <c r="R28" i="35"/>
  <c r="M28" i="35"/>
  <c r="J28" i="35"/>
  <c r="AF27" i="35"/>
  <c r="AB27" i="35"/>
  <c r="AI27" i="35" s="1"/>
  <c r="Y27" i="35"/>
  <c r="U27" i="35"/>
  <c r="R27" i="35"/>
  <c r="M27" i="35"/>
  <c r="J27" i="35"/>
  <c r="AF26" i="35"/>
  <c r="AB26" i="35"/>
  <c r="AI26" i="35" s="1"/>
  <c r="Y26" i="35"/>
  <c r="U26" i="35"/>
  <c r="R26" i="35"/>
  <c r="M26" i="35"/>
  <c r="J26" i="35"/>
  <c r="AF25" i="35"/>
  <c r="AB25" i="35"/>
  <c r="AI25" i="35" s="1"/>
  <c r="Y25" i="35"/>
  <c r="U25" i="35"/>
  <c r="R25" i="35"/>
  <c r="M25" i="35"/>
  <c r="J25" i="35"/>
  <c r="AF24" i="35"/>
  <c r="AB24" i="35"/>
  <c r="AI24" i="35" s="1"/>
  <c r="Y24" i="35"/>
  <c r="U24" i="35"/>
  <c r="R24" i="35"/>
  <c r="M24" i="35"/>
  <c r="J24" i="35"/>
  <c r="AF23" i="35"/>
  <c r="AB23" i="35"/>
  <c r="AI23" i="35" s="1"/>
  <c r="Y23" i="35"/>
  <c r="U23" i="35"/>
  <c r="R23" i="35"/>
  <c r="M23" i="35"/>
  <c r="J23" i="35"/>
  <c r="AF22" i="35"/>
  <c r="AB22" i="35"/>
  <c r="AI22" i="35" s="1"/>
  <c r="Y22" i="35"/>
  <c r="U22" i="35"/>
  <c r="R22" i="35"/>
  <c r="M22" i="35"/>
  <c r="J22" i="35"/>
  <c r="AF21" i="35"/>
  <c r="AB21" i="35"/>
  <c r="AI21" i="35" s="1"/>
  <c r="Y21" i="35"/>
  <c r="U21" i="35"/>
  <c r="R21" i="35"/>
  <c r="M21" i="35"/>
  <c r="J21" i="35"/>
  <c r="AF20" i="35"/>
  <c r="AB20" i="35"/>
  <c r="AI20" i="35" s="1"/>
  <c r="Y20" i="35"/>
  <c r="U20" i="35"/>
  <c r="R20" i="35"/>
  <c r="M20" i="35"/>
  <c r="J20" i="35"/>
  <c r="AF19" i="35"/>
  <c r="AB19" i="35"/>
  <c r="AI19" i="35" s="1"/>
  <c r="Y19" i="35"/>
  <c r="U19" i="35"/>
  <c r="R19" i="35"/>
  <c r="M19" i="35"/>
  <c r="J19" i="35"/>
  <c r="AF18" i="35"/>
  <c r="AB18" i="35"/>
  <c r="AI18" i="35" s="1"/>
  <c r="Y18" i="35"/>
  <c r="U18" i="35"/>
  <c r="R18" i="35"/>
  <c r="M18" i="35"/>
  <c r="J18" i="35"/>
  <c r="AF17" i="35"/>
  <c r="AB17" i="35"/>
  <c r="AI17" i="35" s="1"/>
  <c r="Y17" i="35"/>
  <c r="U17" i="35"/>
  <c r="R17" i="35"/>
  <c r="M17" i="35"/>
  <c r="J17" i="35"/>
  <c r="AF16" i="35"/>
  <c r="AB16" i="35"/>
  <c r="AI16" i="35" s="1"/>
  <c r="Y16" i="35"/>
  <c r="U16" i="35"/>
  <c r="R16" i="35"/>
  <c r="M16" i="35"/>
  <c r="J16" i="35"/>
  <c r="AF15" i="35"/>
  <c r="AB15" i="35"/>
  <c r="AI15" i="35" s="1"/>
  <c r="Y15" i="35"/>
  <c r="U15" i="35"/>
  <c r="R15" i="35"/>
  <c r="M15" i="35"/>
  <c r="J15" i="35"/>
  <c r="AF14" i="35"/>
  <c r="AB14" i="35"/>
  <c r="AI14" i="35" s="1"/>
  <c r="Y14" i="35"/>
  <c r="U14" i="35"/>
  <c r="R14" i="35"/>
  <c r="M14" i="35"/>
  <c r="J14" i="35"/>
  <c r="AF13" i="35"/>
  <c r="AB13" i="35"/>
  <c r="AI13" i="35" s="1"/>
  <c r="Y13" i="35"/>
  <c r="U13" i="35"/>
  <c r="R13" i="35"/>
  <c r="M13" i="35"/>
  <c r="J13" i="35"/>
  <c r="AF12" i="35"/>
  <c r="AB12" i="35"/>
  <c r="AI12" i="35" s="1"/>
  <c r="Y12" i="35"/>
  <c r="U12" i="35"/>
  <c r="R12" i="35"/>
  <c r="M12" i="35"/>
  <c r="J12" i="35"/>
  <c r="AF11" i="35"/>
  <c r="AB11" i="35"/>
  <c r="AI11" i="35" s="1"/>
  <c r="Y11" i="35"/>
  <c r="U11" i="35"/>
  <c r="R11" i="35"/>
  <c r="M11" i="35"/>
  <c r="J11" i="35"/>
  <c r="AF10" i="35"/>
  <c r="AB10" i="35"/>
  <c r="AI10" i="35" s="1"/>
  <c r="Y10" i="35"/>
  <c r="U10" i="35"/>
  <c r="R10" i="35"/>
  <c r="M10" i="35"/>
  <c r="J10" i="35"/>
  <c r="AF9" i="35"/>
  <c r="AB9" i="35"/>
  <c r="AI9" i="35" s="1"/>
  <c r="Y9" i="35"/>
  <c r="U9" i="35"/>
  <c r="R9" i="35"/>
  <c r="M9" i="35"/>
  <c r="J9" i="35"/>
  <c r="J86" i="35" s="1"/>
  <c r="AI8" i="35"/>
  <c r="AH8" i="35"/>
  <c r="AB8" i="35"/>
  <c r="Y8" i="35"/>
  <c r="X8" i="35"/>
  <c r="Q8" i="35"/>
  <c r="T8" i="35" s="1"/>
  <c r="U8" i="35" s="1"/>
  <c r="AA8" i="35" s="1"/>
  <c r="M8" i="35"/>
  <c r="L8" i="35"/>
  <c r="I8" i="35"/>
  <c r="D8" i="35"/>
  <c r="AF8" i="35" s="1"/>
  <c r="AE7" i="35"/>
  <c r="X7" i="35"/>
  <c r="U7" i="35"/>
  <c r="T7" i="35"/>
  <c r="Q7" i="35"/>
  <c r="M7" i="35"/>
  <c r="L7" i="35"/>
  <c r="I7" i="35"/>
  <c r="D7" i="35"/>
  <c r="AF7" i="35" s="1"/>
  <c r="AE6" i="35"/>
  <c r="X6" i="35"/>
  <c r="U6" i="35"/>
  <c r="U86" i="35" s="1"/>
  <c r="T6" i="35"/>
  <c r="Q6" i="35"/>
  <c r="L6" i="35"/>
  <c r="M6" i="35" s="1"/>
  <c r="M86" i="35" s="1"/>
  <c r="I6" i="35"/>
  <c r="I86" i="35" s="1"/>
  <c r="D6" i="35"/>
  <c r="AF6" i="35" s="1"/>
  <c r="AH76" i="35" l="1"/>
  <c r="AI76" i="35"/>
  <c r="AH77" i="35"/>
  <c r="AI77" i="35" s="1"/>
  <c r="T86" i="35"/>
  <c r="AA72" i="35"/>
  <c r="AB72" i="35" s="1"/>
  <c r="AI78" i="35"/>
  <c r="AH78" i="35"/>
  <c r="AI82" i="35"/>
  <c r="AH82" i="35"/>
  <c r="AI79" i="35"/>
  <c r="AH79" i="35"/>
  <c r="AI83" i="35"/>
  <c r="AH83" i="35"/>
  <c r="AA71" i="35"/>
  <c r="AB71" i="35"/>
  <c r="AH73" i="35"/>
  <c r="AI73" i="35" s="1"/>
  <c r="AH75" i="35"/>
  <c r="AI75" i="35" s="1"/>
  <c r="AH80" i="35"/>
  <c r="AI80" i="35"/>
  <c r="AH81" i="35"/>
  <c r="AI81" i="35" s="1"/>
  <c r="Y6" i="35"/>
  <c r="E86" i="35"/>
  <c r="AB6" i="35"/>
  <c r="AA6" i="35"/>
  <c r="AH74" i="35"/>
  <c r="AI74" i="35" s="1"/>
  <c r="L86" i="35"/>
  <c r="Y7" i="35"/>
  <c r="AA7" i="35" s="1"/>
  <c r="AB7" i="35" s="1"/>
  <c r="AH7" i="35" l="1"/>
  <c r="AI7" i="35" s="1"/>
  <c r="AH72" i="35"/>
  <c r="AI72" i="35"/>
  <c r="AH71" i="35"/>
  <c r="AI71" i="35"/>
  <c r="AI6" i="35"/>
  <c r="AB86" i="35"/>
  <c r="AH6" i="35"/>
  <c r="AA86" i="35"/>
  <c r="AI86" i="35" l="1"/>
  <c r="AH86" i="35"/>
  <c r="B41" i="9" l="1"/>
  <c r="B40" i="9"/>
  <c r="B39" i="9"/>
  <c r="B20" i="9"/>
  <c r="B101" i="18"/>
  <c r="B100" i="18"/>
  <c r="B99" i="18"/>
  <c r="H71" i="33"/>
  <c r="B111" i="18"/>
  <c r="B116" i="18"/>
  <c r="B114" i="18"/>
  <c r="B108" i="18"/>
  <c r="B107" i="18"/>
  <c r="B106" i="18"/>
  <c r="B105" i="18"/>
  <c r="B119" i="18"/>
  <c r="B118" i="18"/>
  <c r="B117" i="18"/>
  <c r="B127" i="18"/>
  <c r="B128" i="18"/>
  <c r="B130" i="18"/>
  <c r="B132" i="18"/>
  <c r="B137" i="18"/>
  <c r="B136" i="18"/>
  <c r="B151" i="18"/>
  <c r="B150" i="18"/>
  <c r="B149" i="18"/>
  <c r="B7" i="18"/>
  <c r="C8" i="32"/>
  <c r="B96" i="18"/>
  <c r="B94" i="18"/>
  <c r="B46" i="10" s="1"/>
  <c r="B91" i="18"/>
  <c r="B90" i="18"/>
  <c r="B87" i="18"/>
  <c r="B86" i="18"/>
  <c r="B85" i="18"/>
  <c r="B81" i="18"/>
  <c r="B39" i="10" s="1"/>
  <c r="B78" i="18"/>
  <c r="B76" i="18"/>
  <c r="B73" i="18"/>
  <c r="B71" i="18"/>
  <c r="B67" i="18"/>
  <c r="B61" i="18"/>
  <c r="B56" i="18"/>
  <c r="B55" i="18"/>
  <c r="B54" i="18"/>
  <c r="B30" i="18"/>
  <c r="B41" i="18"/>
  <c r="B44" i="18"/>
  <c r="B40" i="18"/>
  <c r="B28" i="18"/>
  <c r="B34" i="18"/>
  <c r="B33" i="18"/>
  <c r="B13" i="10"/>
  <c r="B14" i="10" s="1"/>
  <c r="C9" i="4" s="1"/>
  <c r="B23" i="18"/>
  <c r="B22" i="18"/>
  <c r="B21" i="18"/>
  <c r="B16" i="18"/>
  <c r="B15" i="18"/>
  <c r="B14" i="18"/>
  <c r="B9" i="18"/>
  <c r="B7" i="10"/>
  <c r="D111" i="33"/>
  <c r="C11" i="32"/>
  <c r="C49" i="19"/>
  <c r="C44" i="19"/>
  <c r="E44" i="19"/>
  <c r="D18" i="3"/>
  <c r="D15" i="3"/>
  <c r="D38" i="3"/>
  <c r="D32" i="3"/>
  <c r="D52" i="7" l="1"/>
  <c r="B140" i="18"/>
  <c r="B19" i="9" s="1"/>
  <c r="B109" i="18"/>
  <c r="B133" i="18"/>
  <c r="B8" i="9" s="1"/>
  <c r="B9" i="9" s="1"/>
  <c r="C29" i="3" s="1"/>
  <c r="F38" i="11"/>
  <c r="L10" i="27"/>
  <c r="D31" i="4"/>
  <c r="C31" i="4"/>
  <c r="B154" i="18"/>
  <c r="B28" i="9" s="1"/>
  <c r="B102" i="18"/>
  <c r="B92" i="18"/>
  <c r="B40" i="10" s="1"/>
  <c r="B79" i="18"/>
  <c r="B38" i="10" s="1"/>
  <c r="B69" i="18"/>
  <c r="B34" i="10" s="1"/>
  <c r="B62" i="18"/>
  <c r="B32" i="10" s="1"/>
  <c r="B57" i="18"/>
  <c r="B31" i="10" s="1"/>
  <c r="B50" i="18"/>
  <c r="B45" i="18"/>
  <c r="B28" i="10" s="1"/>
  <c r="B37" i="18"/>
  <c r="B27" i="10" s="1"/>
  <c r="B24" i="18"/>
  <c r="B20" i="10" s="1"/>
  <c r="B17" i="18"/>
  <c r="B19" i="10" s="1"/>
  <c r="B11" i="18"/>
  <c r="B47" i="10"/>
  <c r="B59" i="10"/>
  <c r="B61" i="10" s="1"/>
  <c r="B37" i="10"/>
  <c r="B36" i="10"/>
  <c r="B35" i="10"/>
  <c r="B33" i="10"/>
  <c r="B26" i="10"/>
  <c r="B25" i="10"/>
  <c r="B8" i="10"/>
  <c r="C8" i="4" s="1"/>
  <c r="A85" i="11"/>
  <c r="A84" i="11"/>
  <c r="A83" i="11"/>
  <c r="F31" i="11"/>
  <c r="G9" i="11"/>
  <c r="H9" i="11"/>
  <c r="C38" i="9"/>
  <c r="B38" i="9"/>
  <c r="C45" i="9"/>
  <c r="B45" i="9"/>
  <c r="C38" i="3" s="1"/>
  <c r="E13" i="22" s="1"/>
  <c r="C24" i="9"/>
  <c r="B24" i="9"/>
  <c r="B26" i="9"/>
  <c r="C17" i="9"/>
  <c r="B17" i="9"/>
  <c r="C12" i="9"/>
  <c r="B12" i="9"/>
  <c r="C14" i="9"/>
  <c r="D53" i="7"/>
  <c r="C15" i="3" s="1"/>
  <c r="E53" i="7"/>
  <c r="D97" i="7"/>
  <c r="C20" i="3" s="1"/>
  <c r="E16" i="22" s="1"/>
  <c r="D91" i="7"/>
  <c r="C19" i="3" s="1"/>
  <c r="E94" i="7"/>
  <c r="D94" i="7"/>
  <c r="E88" i="7"/>
  <c r="D88" i="7"/>
  <c r="G80" i="7"/>
  <c r="E51" i="7"/>
  <c r="D51" i="7"/>
  <c r="E41" i="7"/>
  <c r="E12" i="7"/>
  <c r="E8" i="7"/>
  <c r="A57" i="22"/>
  <c r="A56" i="22"/>
  <c r="A55" i="22"/>
  <c r="A47" i="4"/>
  <c r="A46" i="4"/>
  <c r="A45" i="4"/>
  <c r="C22" i="4"/>
  <c r="F80" i="32"/>
  <c r="E80" i="32"/>
  <c r="G67" i="32"/>
  <c r="G66" i="32"/>
  <c r="G65" i="32"/>
  <c r="G64" i="32"/>
  <c r="I67" i="32" s="1"/>
  <c r="I69" i="32" s="1"/>
  <c r="I70" i="32" s="1"/>
  <c r="I61" i="32"/>
  <c r="D52" i="32"/>
  <c r="G49" i="32"/>
  <c r="G50" i="32" s="1"/>
  <c r="G48" i="32"/>
  <c r="H48" i="32" s="1"/>
  <c r="I48" i="32" s="1"/>
  <c r="G9" i="32"/>
  <c r="G11" i="32" s="1"/>
  <c r="G13" i="32" s="1"/>
  <c r="G15" i="32" s="1"/>
  <c r="E19" i="22" l="1"/>
  <c r="E21" i="22" s="1"/>
  <c r="E30" i="22" s="1"/>
  <c r="E32" i="22" s="1"/>
  <c r="G37" i="22" s="1"/>
  <c r="D13" i="19"/>
  <c r="D20" i="19" s="1"/>
  <c r="B18" i="10"/>
  <c r="B21" i="10" s="1"/>
  <c r="C13" i="4" s="1"/>
  <c r="B29" i="9"/>
  <c r="C37" i="3" s="1"/>
  <c r="C10" i="4"/>
  <c r="B41" i="10"/>
  <c r="C14" i="4" s="1"/>
  <c r="B21" i="9"/>
  <c r="C36" i="3" s="1"/>
  <c r="F65" i="11"/>
  <c r="C24" i="4"/>
  <c r="E82" i="32"/>
  <c r="G16" i="32"/>
  <c r="G17" i="32" s="1"/>
  <c r="G51" i="32"/>
  <c r="H51" i="32" s="1"/>
  <c r="I51" i="32" s="1"/>
  <c r="H50" i="32"/>
  <c r="I50" i="32" s="1"/>
  <c r="H49" i="32"/>
  <c r="I49" i="32" s="1"/>
  <c r="I52" i="32" s="1"/>
  <c r="I72" i="32" s="1"/>
  <c r="C39" i="3" l="1"/>
  <c r="D3" i="19" s="1"/>
  <c r="E89" i="31"/>
  <c r="E46" i="7"/>
  <c r="F25" i="22"/>
  <c r="D34" i="31" l="1"/>
  <c r="D32" i="31"/>
  <c r="C5" i="31"/>
  <c r="E5" i="31" l="1"/>
  <c r="C44" i="9" l="1"/>
  <c r="D36" i="9"/>
  <c r="F26" i="22"/>
  <c r="E52" i="7" l="1"/>
  <c r="C105" i="18" l="1"/>
  <c r="G38" i="11" s="1"/>
  <c r="D30" i="10" l="1"/>
  <c r="D29" i="10"/>
  <c r="K8" i="31" l="1"/>
  <c r="J10" i="31"/>
  <c r="C88" i="18"/>
  <c r="E32" i="31"/>
  <c r="E34" i="31"/>
  <c r="C33" i="31"/>
  <c r="E33" i="31" s="1"/>
  <c r="E124" i="31" l="1"/>
  <c r="C124" i="31"/>
  <c r="D20" i="31" l="1"/>
  <c r="C81" i="18" l="1"/>
  <c r="C39" i="10" s="1"/>
  <c r="D39" i="10" s="1"/>
  <c r="D27" i="3"/>
  <c r="C107" i="18"/>
  <c r="C108" i="18"/>
  <c r="G104" i="31"/>
  <c r="G102" i="31"/>
  <c r="C73" i="18"/>
  <c r="C36" i="10" s="1"/>
  <c r="D36" i="10" s="1"/>
  <c r="C71" i="18"/>
  <c r="C35" i="10" s="1"/>
  <c r="D35" i="10" s="1"/>
  <c r="C87" i="18"/>
  <c r="C78" i="18"/>
  <c r="C54" i="18"/>
  <c r="D22" i="4"/>
  <c r="C128" i="18"/>
  <c r="C20" i="9"/>
  <c r="C40" i="9"/>
  <c r="C41" i="9"/>
  <c r="C80" i="7"/>
  <c r="H13" i="8"/>
  <c r="C39" i="9"/>
  <c r="T6" i="29"/>
  <c r="T7" i="29"/>
  <c r="T8" i="29"/>
  <c r="S8" i="29"/>
  <c r="C119" i="18"/>
  <c r="C106" i="18"/>
  <c r="C117" i="18"/>
  <c r="C118" i="18"/>
  <c r="C130" i="18"/>
  <c r="C132" i="18"/>
  <c r="C131" i="18"/>
  <c r="C127" i="18"/>
  <c r="C102" i="18"/>
  <c r="C139" i="18"/>
  <c r="C138" i="18"/>
  <c r="C137" i="18"/>
  <c r="C150" i="18"/>
  <c r="C151" i="18"/>
  <c r="C149" i="18"/>
  <c r="C67" i="18"/>
  <c r="C96" i="18"/>
  <c r="C37" i="10" s="1"/>
  <c r="D37" i="10" s="1"/>
  <c r="C55" i="18"/>
  <c r="C56" i="18"/>
  <c r="C91" i="18"/>
  <c r="C90" i="18"/>
  <c r="C86" i="18"/>
  <c r="C76" i="18"/>
  <c r="C79" i="18" s="1"/>
  <c r="C61" i="18"/>
  <c r="C62" i="18" s="1"/>
  <c r="C40" i="18"/>
  <c r="C49" i="18"/>
  <c r="C50" i="18" s="1"/>
  <c r="C41" i="18"/>
  <c r="C44" i="18"/>
  <c r="C34" i="18"/>
  <c r="C33" i="18"/>
  <c r="C30" i="18"/>
  <c r="C26" i="10" s="1"/>
  <c r="D26" i="10" s="1"/>
  <c r="C28" i="18"/>
  <c r="C25" i="10" s="1"/>
  <c r="C23" i="18"/>
  <c r="C22" i="18"/>
  <c r="C21" i="18"/>
  <c r="C16" i="18"/>
  <c r="C15" i="18"/>
  <c r="C14" i="18"/>
  <c r="C9" i="18"/>
  <c r="C7" i="18"/>
  <c r="C7" i="10"/>
  <c r="C8" i="10" s="1"/>
  <c r="D8" i="4" s="1"/>
  <c r="C92" i="18" l="1"/>
  <c r="C40" i="10" s="1"/>
  <c r="D40" i="10" s="1"/>
  <c r="G106" i="31"/>
  <c r="C69" i="18"/>
  <c r="C34" i="10" s="1"/>
  <c r="D34" i="10" s="1"/>
  <c r="C32" i="10"/>
  <c r="D32" i="10" s="1"/>
  <c r="C57" i="18"/>
  <c r="C31" i="10" s="1"/>
  <c r="D31" i="10" s="1"/>
  <c r="C38" i="10"/>
  <c r="D38" i="10" s="1"/>
  <c r="C17" i="18"/>
  <c r="C19" i="10" s="1"/>
  <c r="C37" i="18"/>
  <c r="C27" i="10" s="1"/>
  <c r="D27" i="10" s="1"/>
  <c r="C24" i="18"/>
  <c r="C20" i="10" s="1"/>
  <c r="C140" i="18"/>
  <c r="C19" i="9" s="1"/>
  <c r="C21" i="9" s="1"/>
  <c r="D36" i="3" s="1"/>
  <c r="C133" i="18"/>
  <c r="C8" i="9" s="1"/>
  <c r="C45" i="18"/>
  <c r="C28" i="10" s="1"/>
  <c r="D28" i="10" s="1"/>
  <c r="C120" i="18"/>
  <c r="E90" i="7" s="1"/>
  <c r="C109" i="18"/>
  <c r="E89" i="7" s="1"/>
  <c r="C11" i="18"/>
  <c r="C18" i="10" s="1"/>
  <c r="C154" i="18"/>
  <c r="C28" i="9" s="1"/>
  <c r="C156" i="30"/>
  <c r="C157" i="30" s="1"/>
  <c r="D152" i="23"/>
  <c r="B155" i="30"/>
  <c r="C152" i="23"/>
  <c r="B156" i="30"/>
  <c r="D89" i="30"/>
  <c r="E121" i="30"/>
  <c r="B167" i="30"/>
  <c r="B169" i="30" s="1"/>
  <c r="E165" i="30"/>
  <c r="G151" i="30"/>
  <c r="J151" i="30" s="1"/>
  <c r="C147" i="30"/>
  <c r="B147" i="30"/>
  <c r="F146" i="30"/>
  <c r="G145" i="30"/>
  <c r="G144" i="30"/>
  <c r="F144" i="30"/>
  <c r="G143" i="30"/>
  <c r="F143" i="30"/>
  <c r="G142" i="30"/>
  <c r="F142" i="30"/>
  <c r="G141" i="30"/>
  <c r="F141" i="30"/>
  <c r="G140" i="30"/>
  <c r="F140" i="30"/>
  <c r="G139" i="30"/>
  <c r="F139" i="30"/>
  <c r="G138" i="30"/>
  <c r="F138" i="30"/>
  <c r="G137" i="30"/>
  <c r="F137" i="30"/>
  <c r="G136" i="30"/>
  <c r="F136" i="30"/>
  <c r="G135" i="30"/>
  <c r="F135" i="30"/>
  <c r="G134" i="30"/>
  <c r="F134" i="30"/>
  <c r="G133" i="30"/>
  <c r="F133" i="30"/>
  <c r="G132" i="30"/>
  <c r="F132" i="30"/>
  <c r="G131" i="30"/>
  <c r="F131" i="30"/>
  <c r="G130" i="30"/>
  <c r="F130" i="30"/>
  <c r="G129" i="30"/>
  <c r="F129" i="30"/>
  <c r="G128" i="30"/>
  <c r="F128" i="30"/>
  <c r="G127" i="30"/>
  <c r="F127" i="30"/>
  <c r="G126" i="30"/>
  <c r="F126" i="30"/>
  <c r="G125" i="30"/>
  <c r="F125" i="30"/>
  <c r="G124" i="30"/>
  <c r="F124" i="30"/>
  <c r="G123" i="30"/>
  <c r="F123" i="30"/>
  <c r="G122" i="30"/>
  <c r="F122" i="30"/>
  <c r="F121" i="30"/>
  <c r="G121" i="30"/>
  <c r="G120" i="30"/>
  <c r="F120" i="30"/>
  <c r="G119" i="30"/>
  <c r="F119" i="30"/>
  <c r="G118" i="30"/>
  <c r="F118" i="30"/>
  <c r="G117" i="30"/>
  <c r="F117" i="30"/>
  <c r="G116" i="30"/>
  <c r="F116" i="30"/>
  <c r="G115" i="30"/>
  <c r="F115" i="30"/>
  <c r="G114" i="30"/>
  <c r="F114" i="30"/>
  <c r="G113" i="30"/>
  <c r="F113" i="30"/>
  <c r="G112" i="30"/>
  <c r="F112" i="30"/>
  <c r="G111" i="30"/>
  <c r="F111" i="30"/>
  <c r="F110" i="30"/>
  <c r="G109" i="30"/>
  <c r="F109" i="30"/>
  <c r="G108" i="30"/>
  <c r="F108" i="30"/>
  <c r="G107" i="30"/>
  <c r="F107" i="30"/>
  <c r="G103" i="30"/>
  <c r="F103" i="30"/>
  <c r="G99" i="30"/>
  <c r="F99" i="30"/>
  <c r="G98" i="30"/>
  <c r="F98" i="30"/>
  <c r="G97" i="30"/>
  <c r="F97" i="30"/>
  <c r="G96" i="30"/>
  <c r="F96" i="30"/>
  <c r="G92" i="30"/>
  <c r="F92" i="30"/>
  <c r="G91" i="30"/>
  <c r="F91" i="30"/>
  <c r="G90" i="30"/>
  <c r="F90" i="30"/>
  <c r="G89" i="30"/>
  <c r="F89" i="30"/>
  <c r="G88" i="30"/>
  <c r="F88" i="30"/>
  <c r="G87" i="30"/>
  <c r="F87" i="30"/>
  <c r="G86" i="30"/>
  <c r="F86" i="30"/>
  <c r="G85" i="30"/>
  <c r="F85" i="30"/>
  <c r="G84" i="30"/>
  <c r="G83" i="30"/>
  <c r="F83" i="30"/>
  <c r="G82" i="30"/>
  <c r="F82" i="30"/>
  <c r="G81" i="30"/>
  <c r="F81" i="30"/>
  <c r="G79" i="30"/>
  <c r="F79" i="30"/>
  <c r="G78" i="30"/>
  <c r="F78" i="30"/>
  <c r="G77" i="30"/>
  <c r="F77" i="30"/>
  <c r="G76" i="30"/>
  <c r="F76" i="30"/>
  <c r="G75" i="30"/>
  <c r="F75" i="30"/>
  <c r="G74" i="30"/>
  <c r="F74" i="30"/>
  <c r="G73" i="30"/>
  <c r="F73" i="30"/>
  <c r="G72" i="30"/>
  <c r="F72" i="30"/>
  <c r="G71" i="30"/>
  <c r="F71" i="30"/>
  <c r="G70" i="30"/>
  <c r="F70" i="30"/>
  <c r="G69" i="30"/>
  <c r="F69" i="30"/>
  <c r="G68" i="30"/>
  <c r="F68" i="30"/>
  <c r="G67" i="30"/>
  <c r="F67" i="30"/>
  <c r="G66" i="30"/>
  <c r="F66" i="30"/>
  <c r="G65" i="30"/>
  <c r="F65" i="30"/>
  <c r="G64" i="30"/>
  <c r="F64" i="30"/>
  <c r="G63" i="30"/>
  <c r="F63" i="30"/>
  <c r="G62" i="30"/>
  <c r="F62" i="30"/>
  <c r="G61" i="30"/>
  <c r="F61" i="30"/>
  <c r="G60" i="30"/>
  <c r="F60" i="30"/>
  <c r="G59" i="30"/>
  <c r="F59" i="30"/>
  <c r="G58" i="30"/>
  <c r="F58" i="30"/>
  <c r="G57" i="30"/>
  <c r="F57" i="30"/>
  <c r="G56" i="30"/>
  <c r="F56" i="30"/>
  <c r="G55" i="30"/>
  <c r="F55" i="30"/>
  <c r="G54" i="30"/>
  <c r="F54" i="30"/>
  <c r="G53" i="30"/>
  <c r="F53" i="30"/>
  <c r="G52" i="30"/>
  <c r="F52" i="30"/>
  <c r="G51" i="30"/>
  <c r="F51" i="30"/>
  <c r="G50" i="30"/>
  <c r="F50" i="30"/>
  <c r="G49" i="30"/>
  <c r="F49" i="30"/>
  <c r="G48" i="30"/>
  <c r="F48" i="30"/>
  <c r="G47" i="30"/>
  <c r="F47" i="30"/>
  <c r="G46" i="30"/>
  <c r="F46" i="30"/>
  <c r="G45" i="30"/>
  <c r="F45" i="30"/>
  <c r="G44" i="30"/>
  <c r="F44" i="30"/>
  <c r="G43" i="30"/>
  <c r="F43" i="30"/>
  <c r="G42" i="30"/>
  <c r="F42" i="30"/>
  <c r="G41" i="30"/>
  <c r="F41" i="30"/>
  <c r="G40" i="30"/>
  <c r="F40" i="30"/>
  <c r="G39" i="30"/>
  <c r="F39" i="30"/>
  <c r="G38" i="30"/>
  <c r="F38" i="30"/>
  <c r="G37" i="30"/>
  <c r="F37" i="30"/>
  <c r="G36" i="30"/>
  <c r="F36" i="30"/>
  <c r="G35" i="30"/>
  <c r="F35" i="30"/>
  <c r="G34" i="30"/>
  <c r="F34" i="30"/>
  <c r="G33" i="30"/>
  <c r="F33" i="30"/>
  <c r="G32" i="30"/>
  <c r="F32" i="30"/>
  <c r="G31" i="30"/>
  <c r="F31" i="30"/>
  <c r="G29" i="30"/>
  <c r="F29" i="30"/>
  <c r="G28" i="30"/>
  <c r="F28" i="30"/>
  <c r="G27" i="30"/>
  <c r="F27" i="30"/>
  <c r="G26" i="30"/>
  <c r="F26" i="30"/>
  <c r="G25" i="30"/>
  <c r="F25" i="30"/>
  <c r="G24" i="30"/>
  <c r="F24" i="30"/>
  <c r="G23" i="30"/>
  <c r="F23" i="30"/>
  <c r="G22" i="30"/>
  <c r="F22" i="30"/>
  <c r="G21" i="30"/>
  <c r="F21" i="30"/>
  <c r="F20" i="30"/>
  <c r="G19" i="30"/>
  <c r="G18" i="30"/>
  <c r="F18" i="30"/>
  <c r="G17" i="30"/>
  <c r="F17" i="30"/>
  <c r="G16" i="30"/>
  <c r="F16" i="30"/>
  <c r="G15" i="30"/>
  <c r="F15" i="30"/>
  <c r="G14" i="30"/>
  <c r="F14" i="30"/>
  <c r="G13" i="30"/>
  <c r="F13" i="30"/>
  <c r="G10" i="30"/>
  <c r="F10" i="30"/>
  <c r="G9" i="30"/>
  <c r="F9" i="30"/>
  <c r="G8" i="30"/>
  <c r="F8" i="30"/>
  <c r="G7" i="30"/>
  <c r="F7" i="30"/>
  <c r="G6" i="30"/>
  <c r="F6" i="30"/>
  <c r="B151" i="23"/>
  <c r="C151" i="23"/>
  <c r="B152" i="23"/>
  <c r="P12" i="27"/>
  <c r="O12" i="27"/>
  <c r="M10" i="27"/>
  <c r="L11" i="27"/>
  <c r="M11" i="27" s="1"/>
  <c r="K11" i="27"/>
  <c r="K10" i="27"/>
  <c r="K12" i="27" s="1"/>
  <c r="J11" i="27"/>
  <c r="J10" i="27"/>
  <c r="F12" i="27"/>
  <c r="N73" i="29"/>
  <c r="M73" i="29"/>
  <c r="F73" i="29"/>
  <c r="E73" i="29"/>
  <c r="P72" i="29"/>
  <c r="S72" i="29" s="1"/>
  <c r="T72" i="29" s="1"/>
  <c r="T71" i="29"/>
  <c r="S71" i="29"/>
  <c r="P71" i="29"/>
  <c r="P70" i="29"/>
  <c r="S70" i="29" s="1"/>
  <c r="T70" i="29" s="1"/>
  <c r="K70" i="29"/>
  <c r="L70" i="29" s="1"/>
  <c r="H70" i="29"/>
  <c r="P69" i="29"/>
  <c r="S69" i="29" s="1"/>
  <c r="T69" i="29" s="1"/>
  <c r="K69" i="29"/>
  <c r="L69" i="29" s="1"/>
  <c r="H69" i="29"/>
  <c r="T68" i="29"/>
  <c r="S68" i="29"/>
  <c r="P68" i="29"/>
  <c r="K68" i="29"/>
  <c r="L68" i="29" s="1"/>
  <c r="H68" i="29"/>
  <c r="T67" i="29"/>
  <c r="S67" i="29" s="1"/>
  <c r="P67" i="29"/>
  <c r="K67" i="29"/>
  <c r="L67" i="29" s="1"/>
  <c r="H67" i="29"/>
  <c r="T66" i="29"/>
  <c r="S66" i="29" s="1"/>
  <c r="P66" i="29"/>
  <c r="K66" i="29"/>
  <c r="L66" i="29" s="1"/>
  <c r="H66" i="29"/>
  <c r="T65" i="29"/>
  <c r="S65" i="29" s="1"/>
  <c r="P65" i="29"/>
  <c r="K65" i="29"/>
  <c r="L65" i="29" s="1"/>
  <c r="H65" i="29"/>
  <c r="T64" i="29"/>
  <c r="S64" i="29"/>
  <c r="P64" i="29"/>
  <c r="K64" i="29"/>
  <c r="L64" i="29" s="1"/>
  <c r="H64" i="29"/>
  <c r="Q63" i="29"/>
  <c r="L63" i="29"/>
  <c r="K63" i="29"/>
  <c r="H63" i="29"/>
  <c r="I63" i="29" s="1"/>
  <c r="D63" i="29"/>
  <c r="D73" i="29" s="1"/>
  <c r="Q62" i="29"/>
  <c r="L62" i="29"/>
  <c r="K62" i="29"/>
  <c r="H62" i="29"/>
  <c r="I62" i="29" s="1"/>
  <c r="Q61" i="29"/>
  <c r="L61" i="29"/>
  <c r="K61" i="29" s="1"/>
  <c r="I61" i="29"/>
  <c r="H61" i="29"/>
  <c r="Q60" i="29"/>
  <c r="L60" i="29"/>
  <c r="K60" i="29"/>
  <c r="H60" i="29"/>
  <c r="I60" i="29" s="1"/>
  <c r="Q59" i="29"/>
  <c r="L59" i="29"/>
  <c r="K59" i="29" s="1"/>
  <c r="I59" i="29"/>
  <c r="H59" i="29"/>
  <c r="Q58" i="29"/>
  <c r="L58" i="29"/>
  <c r="K58" i="29"/>
  <c r="H58" i="29"/>
  <c r="I58" i="29" s="1"/>
  <c r="Q57" i="29"/>
  <c r="L57" i="29"/>
  <c r="K57" i="29" s="1"/>
  <c r="H57" i="29"/>
  <c r="I57" i="29" s="1"/>
  <c r="Q56" i="29"/>
  <c r="L56" i="29"/>
  <c r="K56" i="29"/>
  <c r="H56" i="29"/>
  <c r="I56" i="29" s="1"/>
  <c r="Q55" i="29"/>
  <c r="L55" i="29"/>
  <c r="K55" i="29"/>
  <c r="I55" i="29"/>
  <c r="H55" i="29"/>
  <c r="Q54" i="29"/>
  <c r="L54" i="29"/>
  <c r="K54" i="29"/>
  <c r="H54" i="29"/>
  <c r="I54" i="29" s="1"/>
  <c r="Q53" i="29"/>
  <c r="K53" i="29"/>
  <c r="H53" i="29"/>
  <c r="I53" i="29" s="1"/>
  <c r="Q52" i="29"/>
  <c r="L52" i="29"/>
  <c r="K52" i="29" s="1"/>
  <c r="H52" i="29"/>
  <c r="I52" i="29" s="1"/>
  <c r="Q51" i="29"/>
  <c r="L51" i="29"/>
  <c r="K51" i="29"/>
  <c r="H51" i="29"/>
  <c r="I51" i="29" s="1"/>
  <c r="Q50" i="29"/>
  <c r="L50" i="29"/>
  <c r="K50" i="29"/>
  <c r="I50" i="29"/>
  <c r="H50" i="29"/>
  <c r="Q49" i="29"/>
  <c r="L49" i="29"/>
  <c r="K49" i="29"/>
  <c r="H49" i="29"/>
  <c r="I49" i="29" s="1"/>
  <c r="L48" i="29"/>
  <c r="K48" i="29"/>
  <c r="H48" i="29"/>
  <c r="L47" i="29"/>
  <c r="K47" i="29" s="1"/>
  <c r="H47" i="29"/>
  <c r="L46" i="29"/>
  <c r="K46" i="29"/>
  <c r="H46" i="29"/>
  <c r="L45" i="29"/>
  <c r="K45" i="29" s="1"/>
  <c r="H45" i="29"/>
  <c r="L44" i="29"/>
  <c r="K44" i="29"/>
  <c r="H44" i="29"/>
  <c r="L43" i="29"/>
  <c r="K43" i="29"/>
  <c r="H43" i="29"/>
  <c r="L42" i="29"/>
  <c r="K42" i="29"/>
  <c r="H42" i="29"/>
  <c r="T41" i="29"/>
  <c r="Q41" i="29"/>
  <c r="L41" i="29"/>
  <c r="I41" i="29"/>
  <c r="T40" i="29"/>
  <c r="Q40" i="29"/>
  <c r="L40" i="29"/>
  <c r="I40" i="29"/>
  <c r="T39" i="29"/>
  <c r="Q39" i="29"/>
  <c r="L39" i="29"/>
  <c r="I39" i="29"/>
  <c r="T38" i="29"/>
  <c r="Q38" i="29"/>
  <c r="L38" i="29"/>
  <c r="I38" i="29"/>
  <c r="T37" i="29"/>
  <c r="Q37" i="29"/>
  <c r="L37" i="29"/>
  <c r="I37" i="29"/>
  <c r="T36" i="29"/>
  <c r="Q36" i="29"/>
  <c r="L36" i="29"/>
  <c r="I36" i="29"/>
  <c r="T35" i="29"/>
  <c r="Q35" i="29"/>
  <c r="L35" i="29"/>
  <c r="I35" i="29"/>
  <c r="T34" i="29"/>
  <c r="Q34" i="29"/>
  <c r="L34" i="29"/>
  <c r="I34" i="29"/>
  <c r="T33" i="29"/>
  <c r="Q33" i="29"/>
  <c r="L33" i="29"/>
  <c r="I33" i="29"/>
  <c r="T32" i="29"/>
  <c r="Q32" i="29"/>
  <c r="L32" i="29"/>
  <c r="I32" i="29"/>
  <c r="T31" i="29"/>
  <c r="Q31" i="29"/>
  <c r="L31" i="29"/>
  <c r="I31" i="29"/>
  <c r="T30" i="29"/>
  <c r="Q30" i="29"/>
  <c r="L30" i="29"/>
  <c r="I30" i="29"/>
  <c r="T29" i="29"/>
  <c r="Q29" i="29"/>
  <c r="L29" i="29"/>
  <c r="I29" i="29"/>
  <c r="T28" i="29"/>
  <c r="Q28" i="29"/>
  <c r="L28" i="29"/>
  <c r="I28" i="29"/>
  <c r="T27" i="29"/>
  <c r="Q27" i="29"/>
  <c r="L27" i="29"/>
  <c r="I27" i="29"/>
  <c r="T26" i="29"/>
  <c r="Q26" i="29"/>
  <c r="L26" i="29"/>
  <c r="I26" i="29"/>
  <c r="T25" i="29"/>
  <c r="Q25" i="29"/>
  <c r="L25" i="29"/>
  <c r="I25" i="29"/>
  <c r="T24" i="29"/>
  <c r="Q24" i="29"/>
  <c r="L24" i="29"/>
  <c r="I24" i="29"/>
  <c r="T23" i="29"/>
  <c r="Q23" i="29"/>
  <c r="L23" i="29"/>
  <c r="I23" i="29"/>
  <c r="T22" i="29"/>
  <c r="Q22" i="29"/>
  <c r="L22" i="29"/>
  <c r="I22" i="29"/>
  <c r="T21" i="29"/>
  <c r="Q21" i="29"/>
  <c r="L21" i="29"/>
  <c r="I21" i="29"/>
  <c r="T20" i="29"/>
  <c r="Q20" i="29"/>
  <c r="L20" i="29"/>
  <c r="I20" i="29"/>
  <c r="T19" i="29"/>
  <c r="Q19" i="29"/>
  <c r="L19" i="29"/>
  <c r="I19" i="29"/>
  <c r="T18" i="29"/>
  <c r="Q18" i="29"/>
  <c r="L18" i="29"/>
  <c r="I18" i="29"/>
  <c r="T17" i="29"/>
  <c r="Q17" i="29"/>
  <c r="L17" i="29"/>
  <c r="I17" i="29"/>
  <c r="T16" i="29"/>
  <c r="Q16" i="29"/>
  <c r="L16" i="29"/>
  <c r="I16" i="29"/>
  <c r="T15" i="29"/>
  <c r="Q15" i="29"/>
  <c r="L15" i="29"/>
  <c r="I15" i="29"/>
  <c r="T14" i="29"/>
  <c r="Q14" i="29"/>
  <c r="L14" i="29"/>
  <c r="I14" i="29"/>
  <c r="T13" i="29"/>
  <c r="Q13" i="29"/>
  <c r="L13" i="29"/>
  <c r="I13" i="29"/>
  <c r="T12" i="29"/>
  <c r="Q12" i="29"/>
  <c r="L12" i="29"/>
  <c r="I12" i="29"/>
  <c r="T11" i="29"/>
  <c r="Q11" i="29"/>
  <c r="L11" i="29"/>
  <c r="I11" i="29"/>
  <c r="T10" i="29"/>
  <c r="Q10" i="29"/>
  <c r="L10" i="29"/>
  <c r="I10" i="29"/>
  <c r="T9" i="29"/>
  <c r="Q9" i="29"/>
  <c r="L9" i="29"/>
  <c r="I9" i="29"/>
  <c r="P8" i="29"/>
  <c r="H8" i="29"/>
  <c r="K8" i="29" s="1"/>
  <c r="L8" i="29" s="1"/>
  <c r="P7" i="29"/>
  <c r="S7" i="29" s="1"/>
  <c r="K7" i="29"/>
  <c r="L7" i="29" s="1"/>
  <c r="H7" i="29"/>
  <c r="S6" i="29"/>
  <c r="P6" i="29"/>
  <c r="H6" i="29"/>
  <c r="K6" i="29" s="1"/>
  <c r="F11" i="8"/>
  <c r="C11" i="10"/>
  <c r="C17" i="10" s="1"/>
  <c r="C24" i="10" s="1"/>
  <c r="C45" i="10" s="1"/>
  <c r="C58" i="10" s="1"/>
  <c r="B11" i="10"/>
  <c r="B17" i="10" s="1"/>
  <c r="B24" i="10" s="1"/>
  <c r="B45" i="10" s="1"/>
  <c r="B58" i="10" s="1"/>
  <c r="E91" i="7" l="1"/>
  <c r="D19" i="3" s="1"/>
  <c r="L12" i="27"/>
  <c r="M12" i="27"/>
  <c r="C14" i="32" s="1"/>
  <c r="J12" i="27"/>
  <c r="N11" i="27"/>
  <c r="N10" i="27"/>
  <c r="C21" i="10"/>
  <c r="D13" i="4" s="1"/>
  <c r="I88" i="30"/>
  <c r="C148" i="30"/>
  <c r="C155" i="30"/>
  <c r="C158" i="30"/>
  <c r="B158" i="30"/>
  <c r="S73" i="29"/>
  <c r="I73" i="29"/>
  <c r="L6" i="29"/>
  <c r="L73" i="29" s="1"/>
  <c r="K73" i="29"/>
  <c r="H73" i="29"/>
  <c r="T73" i="29"/>
  <c r="D4" i="4"/>
  <c r="E4" i="7" s="1"/>
  <c r="C4" i="10" s="1"/>
  <c r="G4" i="11" s="1"/>
  <c r="B166" i="23"/>
  <c r="B164" i="23"/>
  <c r="G63" i="11"/>
  <c r="F63" i="11"/>
  <c r="N12" i="27" l="1"/>
  <c r="D37" i="19"/>
  <c r="D44" i="19" s="1"/>
  <c r="D46" i="19" s="1"/>
  <c r="L5" i="8"/>
  <c r="C4" i="9" s="1"/>
  <c r="C46" i="10"/>
  <c r="C47" i="10" s="1"/>
  <c r="C159" i="30"/>
  <c r="D155" i="30"/>
  <c r="D157" i="30" s="1"/>
  <c r="G142" i="23"/>
  <c r="D49" i="19" l="1"/>
  <c r="C109" i="31"/>
  <c r="D19" i="30"/>
  <c r="F19" i="30" s="1"/>
  <c r="E146" i="30"/>
  <c r="G146" i="30" s="1"/>
  <c r="F41" i="19"/>
  <c r="F37" i="19"/>
  <c r="D123" i="18"/>
  <c r="D156" i="18"/>
  <c r="B9" i="4"/>
  <c r="B13" i="4" s="1"/>
  <c r="B14" i="4" s="1"/>
  <c r="B15" i="4" s="1"/>
  <c r="B37" i="3"/>
  <c r="B38" i="3" s="1"/>
  <c r="B36" i="3"/>
  <c r="J148" i="23"/>
  <c r="G148" i="23"/>
  <c r="D86" i="23"/>
  <c r="E118" i="23"/>
  <c r="F143" i="23"/>
  <c r="G81" i="23"/>
  <c r="D107" i="18" s="1"/>
  <c r="F107" i="23"/>
  <c r="D43" i="18" s="1"/>
  <c r="E162" i="23"/>
  <c r="B154" i="23"/>
  <c r="F44" i="19" l="1"/>
  <c r="F46" i="19" s="1"/>
  <c r="D146" i="18"/>
  <c r="C26" i="9" s="1"/>
  <c r="D99" i="18"/>
  <c r="F49" i="19" l="1"/>
  <c r="B153" i="23"/>
  <c r="B155" i="23" s="1"/>
  <c r="C153" i="23"/>
  <c r="I13" i="8"/>
  <c r="G13" i="8"/>
  <c r="E13" i="8"/>
  <c r="D13" i="8"/>
  <c r="C13" i="8"/>
  <c r="D102" i="18"/>
  <c r="D28" i="7"/>
  <c r="D8" i="7"/>
  <c r="G80" i="23"/>
  <c r="D108" i="18" s="1"/>
  <c r="F80" i="23"/>
  <c r="G106" i="23"/>
  <c r="F106" i="23"/>
  <c r="C33" i="10"/>
  <c r="G141" i="23"/>
  <c r="F141" i="23"/>
  <c r="D86" i="18" s="1"/>
  <c r="G140" i="23"/>
  <c r="F140" i="23"/>
  <c r="D68" i="18" s="1"/>
  <c r="G139" i="23"/>
  <c r="F139" i="23"/>
  <c r="D8" i="18" s="1"/>
  <c r="G138" i="23"/>
  <c r="F138" i="23"/>
  <c r="D61" i="18" s="1"/>
  <c r="G137" i="23"/>
  <c r="F137" i="23"/>
  <c r="D23" i="18" s="1"/>
  <c r="G136" i="23"/>
  <c r="F136" i="23"/>
  <c r="D49" i="18" s="1"/>
  <c r="G135" i="23"/>
  <c r="F135" i="23"/>
  <c r="D76" i="18" s="1"/>
  <c r="G134" i="23"/>
  <c r="F134" i="23"/>
  <c r="D44" i="18" s="1"/>
  <c r="G133" i="23"/>
  <c r="F133" i="23"/>
  <c r="D34" i="18" s="1"/>
  <c r="G132" i="23"/>
  <c r="F132" i="23"/>
  <c r="D41" i="18" s="1"/>
  <c r="G131" i="23"/>
  <c r="F131" i="23"/>
  <c r="D71" i="18" s="1"/>
  <c r="G130" i="23"/>
  <c r="F130" i="23"/>
  <c r="D73" i="18" s="1"/>
  <c r="G129" i="23"/>
  <c r="F129" i="23"/>
  <c r="D15" i="18" s="1"/>
  <c r="G128" i="23"/>
  <c r="F128" i="23"/>
  <c r="D90" i="18" s="1"/>
  <c r="G127" i="23"/>
  <c r="F127" i="23"/>
  <c r="G126" i="23"/>
  <c r="F126" i="23"/>
  <c r="D91" i="18" s="1"/>
  <c r="G125" i="23"/>
  <c r="F125" i="23"/>
  <c r="D28" i="18" s="1"/>
  <c r="G124" i="23"/>
  <c r="F124" i="23"/>
  <c r="D48" i="18" s="1"/>
  <c r="G123" i="23"/>
  <c r="F123" i="23"/>
  <c r="D30" i="18" s="1"/>
  <c r="G122" i="23"/>
  <c r="F122" i="23"/>
  <c r="D56" i="18" s="1"/>
  <c r="G121" i="23"/>
  <c r="F121" i="23"/>
  <c r="D55" i="18" s="1"/>
  <c r="G120" i="23"/>
  <c r="D60" i="18" s="1"/>
  <c r="F120" i="23"/>
  <c r="G119" i="23"/>
  <c r="F119" i="23"/>
  <c r="D85" i="18" s="1"/>
  <c r="G118" i="23"/>
  <c r="F118" i="23"/>
  <c r="G117" i="23"/>
  <c r="D16" i="18" s="1"/>
  <c r="F117" i="23"/>
  <c r="G116" i="23"/>
  <c r="F116" i="23"/>
  <c r="D14" i="18" s="1"/>
  <c r="G115" i="23"/>
  <c r="F115" i="23"/>
  <c r="D22" i="18" s="1"/>
  <c r="G114" i="23"/>
  <c r="F114" i="23"/>
  <c r="D21" i="18" s="1"/>
  <c r="G113" i="23"/>
  <c r="F113" i="23"/>
  <c r="D20" i="18" s="1"/>
  <c r="G112" i="23"/>
  <c r="F112" i="23"/>
  <c r="D9" i="18" s="1"/>
  <c r="G111" i="23"/>
  <c r="F111" i="23"/>
  <c r="D33" i="18" s="1"/>
  <c r="G110" i="23"/>
  <c r="F110" i="23"/>
  <c r="G109" i="23"/>
  <c r="F109" i="23"/>
  <c r="D40" i="18" s="1"/>
  <c r="G108" i="23"/>
  <c r="F108" i="23"/>
  <c r="D96" i="18" s="1"/>
  <c r="G105" i="23"/>
  <c r="F105" i="23"/>
  <c r="D67" i="18" s="1"/>
  <c r="G104" i="23"/>
  <c r="F104" i="23"/>
  <c r="D78" i="18" s="1"/>
  <c r="G100" i="23"/>
  <c r="G31" i="11" s="1"/>
  <c r="F100" i="23"/>
  <c r="G96" i="23"/>
  <c r="B28" i="7" s="1"/>
  <c r="F96" i="23"/>
  <c r="G95" i="23"/>
  <c r="F95" i="23"/>
  <c r="G94" i="23"/>
  <c r="F94" i="23"/>
  <c r="G93" i="23"/>
  <c r="F93" i="23"/>
  <c r="G89" i="23"/>
  <c r="F89" i="23"/>
  <c r="G88" i="23"/>
  <c r="D105" i="18" s="1"/>
  <c r="F88" i="23"/>
  <c r="G87" i="23"/>
  <c r="D119" i="18" s="1"/>
  <c r="F87" i="23"/>
  <c r="G86" i="23"/>
  <c r="F86" i="23"/>
  <c r="G85" i="23"/>
  <c r="F85" i="23"/>
  <c r="G84" i="23"/>
  <c r="D118" i="18" s="1"/>
  <c r="F84" i="23"/>
  <c r="G83" i="23"/>
  <c r="D117" i="18" s="1"/>
  <c r="F83" i="23"/>
  <c r="G82" i="23"/>
  <c r="D106" i="18" s="1"/>
  <c r="F82" i="23"/>
  <c r="G79" i="23"/>
  <c r="F79" i="23"/>
  <c r="G78" i="23"/>
  <c r="F78" i="23"/>
  <c r="G76" i="23"/>
  <c r="F76" i="23"/>
  <c r="G75" i="23"/>
  <c r="F75" i="23"/>
  <c r="G74" i="23"/>
  <c r="F74" i="23"/>
  <c r="D126" i="18" s="1"/>
  <c r="G73" i="23"/>
  <c r="F73" i="23"/>
  <c r="D132" i="18" s="1"/>
  <c r="G72" i="23"/>
  <c r="F72" i="23"/>
  <c r="D131" i="18" s="1"/>
  <c r="G71" i="23"/>
  <c r="F71" i="23"/>
  <c r="D127" i="18" s="1"/>
  <c r="G70" i="23"/>
  <c r="F70" i="23"/>
  <c r="G69" i="23"/>
  <c r="F69" i="23"/>
  <c r="G68" i="23"/>
  <c r="F68" i="23"/>
  <c r="G67" i="23"/>
  <c r="F67" i="23"/>
  <c r="G66" i="23"/>
  <c r="F66" i="23"/>
  <c r="G65" i="23"/>
  <c r="F65" i="23"/>
  <c r="G64" i="23"/>
  <c r="F64" i="23"/>
  <c r="G63" i="23"/>
  <c r="F63" i="23"/>
  <c r="G62" i="23"/>
  <c r="F62" i="23"/>
  <c r="G61" i="23"/>
  <c r="F61" i="23"/>
  <c r="G60" i="23"/>
  <c r="F60" i="23"/>
  <c r="G59" i="23"/>
  <c r="F59" i="23"/>
  <c r="G58" i="23"/>
  <c r="F58" i="23"/>
  <c r="F35" i="22" s="1"/>
  <c r="G57" i="23"/>
  <c r="F57" i="23"/>
  <c r="G56" i="23"/>
  <c r="F56" i="23"/>
  <c r="G55" i="23"/>
  <c r="F55" i="23"/>
  <c r="G54" i="23"/>
  <c r="F54" i="23"/>
  <c r="G53" i="23"/>
  <c r="F53" i="23"/>
  <c r="G52" i="23"/>
  <c r="F52" i="23"/>
  <c r="G51" i="23"/>
  <c r="F51" i="23"/>
  <c r="G50" i="23"/>
  <c r="F50" i="23"/>
  <c r="G49" i="23"/>
  <c r="F49" i="23"/>
  <c r="G48" i="23"/>
  <c r="F48" i="23"/>
  <c r="G47" i="23"/>
  <c r="F47" i="23"/>
  <c r="G46" i="23"/>
  <c r="F46" i="23"/>
  <c r="G45" i="23"/>
  <c r="F45" i="23"/>
  <c r="G44" i="23"/>
  <c r="F44" i="23"/>
  <c r="G43" i="23"/>
  <c r="F43" i="23"/>
  <c r="G42" i="23"/>
  <c r="F42" i="23"/>
  <c r="G41" i="23"/>
  <c r="F41" i="23"/>
  <c r="G40" i="23"/>
  <c r="F40" i="23"/>
  <c r="G39" i="23"/>
  <c r="F39" i="23"/>
  <c r="G38" i="23"/>
  <c r="F38" i="23"/>
  <c r="G37" i="23"/>
  <c r="F37" i="23"/>
  <c r="G36" i="23"/>
  <c r="F36" i="23"/>
  <c r="G35" i="23"/>
  <c r="F35" i="23"/>
  <c r="G34" i="23"/>
  <c r="F34" i="23"/>
  <c r="G33" i="23"/>
  <c r="F33" i="23"/>
  <c r="D139" i="18" s="1"/>
  <c r="G32" i="23"/>
  <c r="F32" i="23"/>
  <c r="D138" i="18" s="1"/>
  <c r="G31" i="23"/>
  <c r="F31" i="23"/>
  <c r="G30" i="23"/>
  <c r="F30" i="23"/>
  <c r="D151" i="18" s="1"/>
  <c r="G29" i="23"/>
  <c r="F29" i="23"/>
  <c r="D150" i="18" s="1"/>
  <c r="G28" i="23"/>
  <c r="F28" i="23"/>
  <c r="D149" i="18" s="1"/>
  <c r="G26" i="23"/>
  <c r="F26" i="23"/>
  <c r="G25" i="23"/>
  <c r="F25" i="23"/>
  <c r="G24" i="23"/>
  <c r="F24" i="23"/>
  <c r="G23" i="23"/>
  <c r="F23" i="23"/>
  <c r="G22" i="23"/>
  <c r="F22" i="23"/>
  <c r="G21" i="23"/>
  <c r="F21" i="23"/>
  <c r="G20" i="23"/>
  <c r="F20" i="23"/>
  <c r="G19" i="23"/>
  <c r="F19" i="23"/>
  <c r="G18" i="23"/>
  <c r="F18" i="23"/>
  <c r="F17" i="23"/>
  <c r="G16" i="23"/>
  <c r="G15" i="23"/>
  <c r="F15" i="23"/>
  <c r="D137" i="18" s="1"/>
  <c r="G14" i="23"/>
  <c r="F14" i="23"/>
  <c r="G13" i="23"/>
  <c r="F13" i="23"/>
  <c r="G12" i="23"/>
  <c r="F12" i="23"/>
  <c r="G11" i="23"/>
  <c r="F11" i="23"/>
  <c r="G10" i="23"/>
  <c r="F10" i="23"/>
  <c r="G9" i="23"/>
  <c r="F9" i="23"/>
  <c r="G8" i="23"/>
  <c r="F8" i="23"/>
  <c r="G7" i="23"/>
  <c r="F7" i="23"/>
  <c r="G6" i="23"/>
  <c r="F6" i="23"/>
  <c r="G5" i="23"/>
  <c r="F5" i="23"/>
  <c r="G164" i="25"/>
  <c r="E164" i="25"/>
  <c r="D164" i="25"/>
  <c r="G162" i="25"/>
  <c r="G161" i="25"/>
  <c r="E161" i="25"/>
  <c r="F160" i="25"/>
  <c r="D160" i="25"/>
  <c r="F159" i="25"/>
  <c r="E159" i="25"/>
  <c r="D159" i="25"/>
  <c r="F158" i="25"/>
  <c r="D158" i="25"/>
  <c r="F157" i="25"/>
  <c r="D157" i="25"/>
  <c r="F156" i="25"/>
  <c r="D156" i="25"/>
  <c r="F155" i="25"/>
  <c r="D155" i="25"/>
  <c r="F154" i="25"/>
  <c r="F153" i="25"/>
  <c r="F152" i="25"/>
  <c r="D152" i="25"/>
  <c r="F151" i="25"/>
  <c r="D151" i="25"/>
  <c r="F150" i="25"/>
  <c r="D150" i="25"/>
  <c r="F149" i="25"/>
  <c r="D149" i="25"/>
  <c r="F148" i="25"/>
  <c r="D148" i="25"/>
  <c r="F147" i="25"/>
  <c r="D147" i="25"/>
  <c r="F146" i="25"/>
  <c r="D146" i="25"/>
  <c r="F145" i="25"/>
  <c r="E145" i="25"/>
  <c r="D145" i="25"/>
  <c r="E144" i="25"/>
  <c r="D144" i="25"/>
  <c r="F143" i="25"/>
  <c r="D143" i="25"/>
  <c r="F142" i="25"/>
  <c r="D142" i="25"/>
  <c r="F141" i="25"/>
  <c r="D141" i="25"/>
  <c r="F140" i="25"/>
  <c r="D140" i="25"/>
  <c r="F139" i="25"/>
  <c r="E139" i="25"/>
  <c r="D139" i="25"/>
  <c r="F138" i="25"/>
  <c r="D138" i="25"/>
  <c r="F137" i="25"/>
  <c r="D137" i="25"/>
  <c r="F136" i="25"/>
  <c r="D136" i="25"/>
  <c r="F135" i="25"/>
  <c r="D135" i="25"/>
  <c r="F134" i="25"/>
  <c r="D134" i="25"/>
  <c r="F133" i="25"/>
  <c r="D133" i="25"/>
  <c r="F132" i="25"/>
  <c r="D132" i="25"/>
  <c r="F131" i="25"/>
  <c r="D131" i="25"/>
  <c r="F130" i="25"/>
  <c r="D130" i="25"/>
  <c r="F129" i="25"/>
  <c r="D129" i="25"/>
  <c r="F128" i="25"/>
  <c r="I128" i="25" s="1"/>
  <c r="D128" i="25"/>
  <c r="F127" i="25"/>
  <c r="D127" i="25"/>
  <c r="F126" i="25"/>
  <c r="D126" i="25"/>
  <c r="F125" i="25"/>
  <c r="D125" i="25"/>
  <c r="F124" i="25"/>
  <c r="D124" i="25"/>
  <c r="G123" i="25"/>
  <c r="E123" i="25"/>
  <c r="D122" i="25"/>
  <c r="C122" i="25"/>
  <c r="G121" i="25"/>
  <c r="E121" i="25"/>
  <c r="D120" i="25"/>
  <c r="C120" i="25"/>
  <c r="C119" i="25"/>
  <c r="B119" i="25"/>
  <c r="G118" i="25"/>
  <c r="E118" i="25"/>
  <c r="G117" i="25"/>
  <c r="C117" i="25"/>
  <c r="C116" i="25"/>
  <c r="B116" i="25"/>
  <c r="G115" i="25"/>
  <c r="C115" i="25"/>
  <c r="C113" i="25"/>
  <c r="B113" i="25"/>
  <c r="D112" i="25"/>
  <c r="C112" i="25"/>
  <c r="D111" i="25"/>
  <c r="C111" i="25"/>
  <c r="D110" i="25"/>
  <c r="C110" i="25"/>
  <c r="D109" i="25"/>
  <c r="C109" i="25"/>
  <c r="G108" i="25"/>
  <c r="E108" i="25"/>
  <c r="D108" i="25"/>
  <c r="C107" i="25"/>
  <c r="B107" i="25"/>
  <c r="G105" i="25"/>
  <c r="D105" i="25"/>
  <c r="D104" i="25"/>
  <c r="C104" i="25"/>
  <c r="G103" i="25"/>
  <c r="E103" i="25"/>
  <c r="G102" i="25"/>
  <c r="E102" i="25"/>
  <c r="D102" i="25"/>
  <c r="C102" i="25"/>
  <c r="G101" i="25"/>
  <c r="E101" i="25"/>
  <c r="D101" i="25"/>
  <c r="C101" i="25"/>
  <c r="G100" i="25"/>
  <c r="E100" i="25"/>
  <c r="D100" i="25"/>
  <c r="C100" i="25"/>
  <c r="E99" i="25"/>
  <c r="D99" i="25"/>
  <c r="E98" i="25"/>
  <c r="D98" i="25"/>
  <c r="C97" i="25"/>
  <c r="B97" i="25"/>
  <c r="C96" i="25"/>
  <c r="B96" i="25"/>
  <c r="C95" i="25"/>
  <c r="B95" i="25"/>
  <c r="C94" i="25"/>
  <c r="B94" i="25"/>
  <c r="C93" i="25"/>
  <c r="B93" i="25"/>
  <c r="F92" i="25"/>
  <c r="D92" i="25"/>
  <c r="B92" i="25"/>
  <c r="C91" i="25"/>
  <c r="B91" i="25"/>
  <c r="F90" i="25"/>
  <c r="E90" i="25"/>
  <c r="D90" i="25"/>
  <c r="B90" i="25"/>
  <c r="C89" i="25"/>
  <c r="B89" i="25"/>
  <c r="C88" i="25"/>
  <c r="B88" i="25"/>
  <c r="C87" i="25"/>
  <c r="B87" i="25"/>
  <c r="C86" i="25"/>
  <c r="B86" i="25"/>
  <c r="C85" i="25"/>
  <c r="B85" i="25"/>
  <c r="F84" i="25"/>
  <c r="D84" i="25"/>
  <c r="B84" i="25"/>
  <c r="C83" i="25"/>
  <c r="B83" i="25"/>
  <c r="C82" i="25"/>
  <c r="B82" i="25"/>
  <c r="G81" i="25"/>
  <c r="E81" i="25"/>
  <c r="D81" i="25"/>
  <c r="C81" i="25"/>
  <c r="C80" i="25"/>
  <c r="B80" i="25"/>
  <c r="E79" i="25"/>
  <c r="B79" i="25"/>
  <c r="F78" i="25"/>
  <c r="D78" i="25"/>
  <c r="B77" i="25"/>
  <c r="F76" i="25"/>
  <c r="D76" i="25"/>
  <c r="E75" i="25"/>
  <c r="B75" i="25"/>
  <c r="E74" i="25"/>
  <c r="B74" i="25"/>
  <c r="F73" i="25"/>
  <c r="E73" i="25"/>
  <c r="B73" i="25"/>
  <c r="E72" i="25"/>
  <c r="B72" i="25"/>
  <c r="F71" i="25"/>
  <c r="E71" i="25"/>
  <c r="B71" i="25"/>
  <c r="F70" i="25"/>
  <c r="E70" i="25"/>
  <c r="B70" i="25"/>
  <c r="E69" i="25"/>
  <c r="B69" i="25"/>
  <c r="F68" i="25"/>
  <c r="E68" i="25"/>
  <c r="B68" i="25"/>
  <c r="F67" i="25"/>
  <c r="E67" i="25"/>
  <c r="B67" i="25"/>
  <c r="F66" i="25"/>
  <c r="E66" i="25"/>
  <c r="B66" i="25"/>
  <c r="F65" i="25"/>
  <c r="E65" i="25"/>
  <c r="B65" i="25"/>
  <c r="F64" i="25"/>
  <c r="E64" i="25"/>
  <c r="B64" i="25"/>
  <c r="F63" i="25"/>
  <c r="E63" i="25"/>
  <c r="B63" i="25"/>
  <c r="F62" i="25"/>
  <c r="E62" i="25"/>
  <c r="B62" i="25"/>
  <c r="F61" i="25"/>
  <c r="E61" i="25"/>
  <c r="B61" i="25"/>
  <c r="F60" i="25"/>
  <c r="E60" i="25"/>
  <c r="B60" i="25"/>
  <c r="F59" i="25"/>
  <c r="E59" i="25"/>
  <c r="B59" i="25"/>
  <c r="F58" i="25"/>
  <c r="E58" i="25"/>
  <c r="B58" i="25"/>
  <c r="F57" i="25"/>
  <c r="B57" i="25"/>
  <c r="F56" i="25"/>
  <c r="B56" i="25"/>
  <c r="F55" i="25"/>
  <c r="B55" i="25"/>
  <c r="F54" i="25"/>
  <c r="B54" i="25"/>
  <c r="F53" i="25"/>
  <c r="B53" i="25"/>
  <c r="F52" i="25"/>
  <c r="B52" i="25"/>
  <c r="F51" i="25"/>
  <c r="E51" i="25"/>
  <c r="B51" i="25"/>
  <c r="F50" i="25"/>
  <c r="E50" i="25"/>
  <c r="B50" i="25"/>
  <c r="F49" i="25"/>
  <c r="E49" i="25"/>
  <c r="B49" i="25"/>
  <c r="F48" i="25"/>
  <c r="E48" i="25"/>
  <c r="B48" i="25"/>
  <c r="F47" i="25"/>
  <c r="E47" i="25"/>
  <c r="B47" i="25"/>
  <c r="F46" i="25"/>
  <c r="E46" i="25"/>
  <c r="B46" i="25"/>
  <c r="F45" i="25"/>
  <c r="E45" i="25"/>
  <c r="B45" i="25"/>
  <c r="F44" i="25"/>
  <c r="E44" i="25"/>
  <c r="B44" i="25"/>
  <c r="F43" i="25"/>
  <c r="E43" i="25"/>
  <c r="B43" i="25"/>
  <c r="F42" i="25"/>
  <c r="B42" i="25"/>
  <c r="F41" i="25"/>
  <c r="E41" i="25"/>
  <c r="B41" i="25"/>
  <c r="F40" i="25"/>
  <c r="E40" i="25"/>
  <c r="B40" i="25"/>
  <c r="F39" i="25"/>
  <c r="E39" i="25"/>
  <c r="B39" i="25"/>
  <c r="F38" i="25"/>
  <c r="E38" i="25"/>
  <c r="B38" i="25"/>
  <c r="F37" i="25"/>
  <c r="E37" i="25"/>
  <c r="B37" i="25"/>
  <c r="F36" i="25"/>
  <c r="B36" i="25"/>
  <c r="F35" i="25"/>
  <c r="E35" i="25"/>
  <c r="D35" i="25"/>
  <c r="F34" i="25"/>
  <c r="E34" i="25"/>
  <c r="B34" i="25"/>
  <c r="F33" i="25"/>
  <c r="E33" i="25"/>
  <c r="B33" i="25"/>
  <c r="E32" i="25"/>
  <c r="B32" i="25"/>
  <c r="F31" i="25"/>
  <c r="E31" i="25"/>
  <c r="B31" i="25"/>
  <c r="F30" i="25"/>
  <c r="B30" i="25"/>
  <c r="F29" i="25"/>
  <c r="E29" i="25"/>
  <c r="B29" i="25"/>
  <c r="F28" i="25"/>
  <c r="E28" i="25"/>
  <c r="B28" i="25"/>
  <c r="F27" i="25"/>
  <c r="E27" i="25"/>
  <c r="B27" i="25"/>
  <c r="F26" i="25"/>
  <c r="E26" i="25"/>
  <c r="D26" i="25"/>
  <c r="F25" i="25"/>
  <c r="E25" i="25"/>
  <c r="B25" i="25"/>
  <c r="F24" i="25"/>
  <c r="E24" i="25"/>
  <c r="B24" i="25"/>
  <c r="C23" i="25"/>
  <c r="B23" i="25"/>
  <c r="C22" i="25"/>
  <c r="B22" i="25"/>
  <c r="E21" i="25"/>
  <c r="D21" i="25"/>
  <c r="E20" i="25"/>
  <c r="D20" i="25"/>
  <c r="F19" i="25"/>
  <c r="D19" i="25"/>
  <c r="C19" i="25"/>
  <c r="B19" i="25"/>
  <c r="F18" i="25"/>
  <c r="D18" i="25"/>
  <c r="C18" i="25"/>
  <c r="B18" i="25"/>
  <c r="E17" i="25"/>
  <c r="B17" i="25"/>
  <c r="E16" i="25"/>
  <c r="B16" i="25"/>
  <c r="G15" i="25"/>
  <c r="G165" i="25" s="1"/>
  <c r="C15" i="25"/>
  <c r="F14" i="25"/>
  <c r="F15" i="25" s="1"/>
  <c r="E14" i="25"/>
  <c r="E15" i="25" s="1"/>
  <c r="D14" i="25"/>
  <c r="D15" i="25" s="1"/>
  <c r="B14" i="25"/>
  <c r="B15" i="25" s="1"/>
  <c r="C12" i="25"/>
  <c r="B12" i="25"/>
  <c r="F11" i="25"/>
  <c r="E11" i="25"/>
  <c r="D11" i="25"/>
  <c r="B11" i="25"/>
  <c r="F10" i="25"/>
  <c r="D10" i="25"/>
  <c r="E9" i="25"/>
  <c r="D9" i="25"/>
  <c r="C9" i="25"/>
  <c r="C165" i="25" s="1"/>
  <c r="B9" i="25"/>
  <c r="F8" i="25"/>
  <c r="E8" i="25"/>
  <c r="D8" i="25"/>
  <c r="B8" i="25"/>
  <c r="F7" i="25"/>
  <c r="F165" i="25" s="1"/>
  <c r="E7" i="25"/>
  <c r="D7" i="25"/>
  <c r="D165" i="25" s="1"/>
  <c r="B7" i="25"/>
  <c r="B165" i="25" s="1"/>
  <c r="F47" i="24"/>
  <c r="D47" i="24"/>
  <c r="F46" i="24"/>
  <c r="D46" i="24"/>
  <c r="F45" i="24"/>
  <c r="D45" i="24"/>
  <c r="F44" i="24"/>
  <c r="E44" i="24"/>
  <c r="D44" i="24"/>
  <c r="F43" i="24"/>
  <c r="E43" i="24"/>
  <c r="D43" i="24"/>
  <c r="F42" i="24"/>
  <c r="E42" i="24"/>
  <c r="D42" i="24"/>
  <c r="F41" i="24"/>
  <c r="D41" i="24"/>
  <c r="F40" i="24"/>
  <c r="D40" i="24"/>
  <c r="F39" i="24"/>
  <c r="D39" i="24"/>
  <c r="F38" i="24"/>
  <c r="D38" i="24"/>
  <c r="F37" i="24"/>
  <c r="E37" i="24"/>
  <c r="D37" i="24"/>
  <c r="G36" i="24"/>
  <c r="E36" i="24"/>
  <c r="G34" i="24"/>
  <c r="E34" i="24"/>
  <c r="D34" i="24"/>
  <c r="C34" i="24"/>
  <c r="D33" i="24"/>
  <c r="C33" i="24"/>
  <c r="D32" i="24"/>
  <c r="C32" i="24"/>
  <c r="C31" i="24"/>
  <c r="B31" i="24"/>
  <c r="D30" i="24"/>
  <c r="C30" i="24"/>
  <c r="G29" i="24"/>
  <c r="E29" i="24"/>
  <c r="D29" i="24"/>
  <c r="E28" i="24"/>
  <c r="D28" i="24"/>
  <c r="C28" i="24"/>
  <c r="B28" i="24"/>
  <c r="G27" i="24"/>
  <c r="E27" i="24"/>
  <c r="D27" i="24"/>
  <c r="C27" i="24"/>
  <c r="G26" i="24"/>
  <c r="E26" i="24"/>
  <c r="D26" i="24"/>
  <c r="C26" i="24"/>
  <c r="C25" i="24"/>
  <c r="B25" i="24"/>
  <c r="F24" i="24"/>
  <c r="E24" i="24"/>
  <c r="D24" i="24"/>
  <c r="B24" i="24"/>
  <c r="C23" i="24"/>
  <c r="B23" i="24"/>
  <c r="F22" i="24"/>
  <c r="E22" i="24"/>
  <c r="D22" i="24"/>
  <c r="B22" i="24"/>
  <c r="C21" i="24"/>
  <c r="B21" i="24"/>
  <c r="F20" i="24"/>
  <c r="E20" i="24"/>
  <c r="D20" i="24"/>
  <c r="B20" i="24"/>
  <c r="G19" i="24"/>
  <c r="G48" i="24" s="1"/>
  <c r="E19" i="24"/>
  <c r="D19" i="24"/>
  <c r="C19" i="24"/>
  <c r="D18" i="24"/>
  <c r="C18" i="24"/>
  <c r="F17" i="24"/>
  <c r="B17" i="24"/>
  <c r="F16" i="24"/>
  <c r="E16" i="24"/>
  <c r="B16" i="24"/>
  <c r="F15" i="24"/>
  <c r="E15" i="24"/>
  <c r="B15" i="24"/>
  <c r="F14" i="24"/>
  <c r="E14" i="24"/>
  <c r="B14" i="24"/>
  <c r="F13" i="24"/>
  <c r="E13" i="24"/>
  <c r="B13" i="24"/>
  <c r="F12" i="24"/>
  <c r="E12" i="24"/>
  <c r="B12" i="24"/>
  <c r="E11" i="24"/>
  <c r="B11" i="24"/>
  <c r="E10" i="24"/>
  <c r="B10" i="24"/>
  <c r="E9" i="24"/>
  <c r="D9" i="24"/>
  <c r="D48" i="24" s="1"/>
  <c r="C9" i="24"/>
  <c r="C48" i="24" s="1"/>
  <c r="B9" i="24"/>
  <c r="E8" i="24"/>
  <c r="E48" i="24" s="1"/>
  <c r="B8" i="24"/>
  <c r="F7" i="24"/>
  <c r="F48" i="24" s="1"/>
  <c r="E7" i="24"/>
  <c r="D7" i="24"/>
  <c r="B7" i="24"/>
  <c r="B48" i="24" s="1"/>
  <c r="C144" i="23"/>
  <c r="B144" i="23"/>
  <c r="G80" i="11"/>
  <c r="D80" i="11"/>
  <c r="F53" i="22"/>
  <c r="D43" i="4"/>
  <c r="B3" i="6"/>
  <c r="A3" i="7" s="1"/>
  <c r="A3" i="8" s="1"/>
  <c r="A3" i="9" s="1"/>
  <c r="A3" i="10" s="1"/>
  <c r="A3" i="11" s="1"/>
  <c r="A3" i="22"/>
  <c r="A3" i="4"/>
  <c r="G78" i="11"/>
  <c r="D78" i="11"/>
  <c r="A78" i="11"/>
  <c r="E72" i="11"/>
  <c r="A72" i="11"/>
  <c r="F51" i="22"/>
  <c r="B51" i="22"/>
  <c r="D41" i="4"/>
  <c r="B41" i="4"/>
  <c r="A41" i="4"/>
  <c r="A51" i="22" s="1"/>
  <c r="B35" i="4"/>
  <c r="A35" i="4"/>
  <c r="A45" i="22" s="1"/>
  <c r="D33" i="10" l="1"/>
  <c r="C41" i="10"/>
  <c r="D14" i="4" s="1"/>
  <c r="D15" i="4"/>
  <c r="I85" i="23"/>
  <c r="D154" i="18"/>
  <c r="D42" i="18"/>
  <c r="D45" i="18" s="1"/>
  <c r="C154" i="23"/>
  <c r="C155" i="23" s="1"/>
  <c r="D11" i="7"/>
  <c r="D37" i="18"/>
  <c r="D140" i="18"/>
  <c r="F36" i="22" s="1"/>
  <c r="F37" i="22" s="1"/>
  <c r="D133" i="18"/>
  <c r="D120" i="18"/>
  <c r="D109" i="18"/>
  <c r="D92" i="18"/>
  <c r="D69" i="18"/>
  <c r="D50" i="18"/>
  <c r="D79" i="18"/>
  <c r="D57" i="18"/>
  <c r="D62" i="18"/>
  <c r="D24" i="18"/>
  <c r="D17" i="18"/>
  <c r="C145" i="23"/>
  <c r="E165" i="25"/>
  <c r="F29" i="22"/>
  <c r="F9" i="22" l="1"/>
  <c r="C156" i="23"/>
  <c r="D16" i="23" l="1"/>
  <c r="F16" i="23" s="1"/>
  <c r="E143" i="23"/>
  <c r="J11" i="8"/>
  <c r="L11" i="8"/>
  <c r="G143" i="23" l="1"/>
  <c r="D7" i="18"/>
  <c r="D11" i="18" s="1"/>
  <c r="L12" i="8" l="1"/>
  <c r="L10" i="8"/>
  <c r="J12" i="8"/>
  <c r="J10" i="8"/>
  <c r="F12" i="8"/>
  <c r="K11" i="8"/>
  <c r="F10" i="8"/>
  <c r="G83" i="7"/>
  <c r="E85" i="7"/>
  <c r="C85" i="7"/>
  <c r="G82" i="7"/>
  <c r="D85" i="7"/>
  <c r="G79" i="7"/>
  <c r="D73" i="7"/>
  <c r="C73" i="7"/>
  <c r="G67" i="7"/>
  <c r="L13" i="8" l="1"/>
  <c r="J13" i="8"/>
  <c r="F13" i="8"/>
  <c r="K10" i="8"/>
  <c r="K12" i="8"/>
  <c r="F85" i="7"/>
  <c r="F73" i="7"/>
  <c r="E73" i="7"/>
  <c r="E61" i="7"/>
  <c r="G85" i="7"/>
  <c r="G73" i="7" l="1"/>
  <c r="E59" i="7"/>
  <c r="D61" i="7" s="1"/>
  <c r="C18" i="3" s="1"/>
  <c r="C21" i="3" s="1"/>
  <c r="D4" i="19" s="1"/>
  <c r="H3" i="19" s="1"/>
  <c r="H5" i="19" s="1"/>
  <c r="H6" i="19" s="1"/>
  <c r="D14" i="19" s="1"/>
  <c r="K13" i="8"/>
  <c r="D5" i="19" l="1"/>
  <c r="D46" i="11" s="1"/>
  <c r="D15" i="19"/>
  <c r="D53" i="11" s="1"/>
  <c r="E17" i="23"/>
  <c r="D142" i="23"/>
  <c r="E28" i="7"/>
  <c r="D12" i="7"/>
  <c r="D9" i="3" s="1"/>
  <c r="B54" i="10"/>
  <c r="C14" i="10"/>
  <c r="D9" i="4" s="1"/>
  <c r="J8" i="8"/>
  <c r="K8" i="8" s="1"/>
  <c r="G8" i="8"/>
  <c r="L8" i="8" s="1"/>
  <c r="D38" i="7"/>
  <c r="B38" i="7"/>
  <c r="D25" i="7"/>
  <c r="D32" i="7" s="1"/>
  <c r="E56" i="7" s="1"/>
  <c r="B25" i="7"/>
  <c r="D19" i="7"/>
  <c r="E18" i="7"/>
  <c r="E19" i="7" s="1"/>
  <c r="A2" i="7"/>
  <c r="A2" i="8" s="1"/>
  <c r="A2" i="9" s="1"/>
  <c r="A2" i="10" s="1"/>
  <c r="A2" i="11" s="1"/>
  <c r="A1" i="7"/>
  <c r="A1" i="4"/>
  <c r="B32" i="7" l="1"/>
  <c r="D56" i="7" s="1"/>
  <c r="E20" i="30"/>
  <c r="D145" i="30"/>
  <c r="E144" i="23"/>
  <c r="G17" i="23"/>
  <c r="G144" i="23" s="1"/>
  <c r="F142" i="23"/>
  <c r="F144" i="23" s="1"/>
  <c r="B14" i="9"/>
  <c r="D144" i="23"/>
  <c r="B1" i="6"/>
  <c r="A1" i="8" s="1"/>
  <c r="A1" i="9" s="1"/>
  <c r="A1" i="10" s="1"/>
  <c r="A1" i="11" s="1"/>
  <c r="A1" i="22"/>
  <c r="B18" i="7"/>
  <c r="E35" i="7"/>
  <c r="E37" i="7"/>
  <c r="E36" i="7"/>
  <c r="C9" i="9"/>
  <c r="D29" i="3" s="1"/>
  <c r="D30" i="3" l="1"/>
  <c r="F145" i="30"/>
  <c r="F147" i="30" s="1"/>
  <c r="D147" i="30"/>
  <c r="G20" i="30"/>
  <c r="G147" i="30" s="1"/>
  <c r="E147" i="30"/>
  <c r="G145" i="23"/>
  <c r="B19" i="7"/>
  <c r="C35" i="7" s="1"/>
  <c r="C28" i="7"/>
  <c r="C18" i="7"/>
  <c r="C19" i="7" s="1"/>
  <c r="C29" i="9"/>
  <c r="D37" i="3" s="1"/>
  <c r="C37" i="7" l="1"/>
  <c r="G65" i="11"/>
  <c r="D10" i="4"/>
  <c r="G148" i="30"/>
  <c r="E13" i="19"/>
  <c r="E20" i="19" s="1"/>
  <c r="C36" i="7"/>
  <c r="D39" i="3"/>
  <c r="E3" i="19" s="1"/>
  <c r="H37" i="22" l="1"/>
  <c r="D40" i="3" l="1"/>
  <c r="C59" i="10" l="1"/>
  <c r="C61" i="10" s="1"/>
  <c r="D17" i="4" l="1"/>
  <c r="D18" i="4" s="1"/>
  <c r="E24" i="19" s="1"/>
  <c r="F7" i="22" l="1"/>
  <c r="F10" i="22" s="1"/>
  <c r="C117" i="31" l="1"/>
  <c r="F20" i="22" l="1"/>
  <c r="D24" i="4"/>
  <c r="D26" i="4" s="1"/>
  <c r="G92" i="31" l="1"/>
  <c r="E92" i="31"/>
  <c r="C123" i="18" s="1"/>
  <c r="E95" i="7" s="1"/>
  <c r="C141" i="31"/>
  <c r="C142" i="31" s="1"/>
  <c r="E8" i="19"/>
  <c r="E19" i="19" s="1"/>
  <c r="E21" i="19" s="1"/>
  <c r="E54" i="11" s="1"/>
  <c r="D29" i="4"/>
  <c r="E44" i="7"/>
  <c r="H7" i="11"/>
  <c r="H12" i="11" s="1"/>
  <c r="D96" i="31" l="1"/>
  <c r="E45" i="7"/>
  <c r="E47" i="7" s="1"/>
  <c r="E97" i="7"/>
  <c r="D20" i="3" s="1"/>
  <c r="D21" i="3" s="1"/>
  <c r="E4" i="19" s="1"/>
  <c r="F19" i="22"/>
  <c r="F21" i="22" s="1"/>
  <c r="D10" i="3" l="1"/>
  <c r="D43" i="7"/>
  <c r="F30" i="22"/>
  <c r="F32" i="22" s="1"/>
  <c r="D11" i="3"/>
  <c r="K6" i="31"/>
  <c r="K10" i="31" s="1"/>
  <c r="D142" i="31"/>
  <c r="G142" i="31" s="1"/>
  <c r="E5" i="19"/>
  <c r="E46" i="11" s="1"/>
  <c r="E14" i="19"/>
  <c r="E15" i="19" s="1"/>
  <c r="E53" i="11" s="1"/>
  <c r="E25" i="19" l="1"/>
  <c r="E26" i="19" s="1"/>
  <c r="E55" i="11" s="1"/>
  <c r="E10" i="19"/>
  <c r="E49" i="11" s="1"/>
  <c r="D22" i="3"/>
  <c r="C3" i="3" s="1"/>
  <c r="C30" i="3" l="1"/>
  <c r="C40" i="3" s="1"/>
  <c r="C12" i="32"/>
  <c r="C17" i="4" l="1"/>
  <c r="C18" i="4" s="1"/>
  <c r="C26" i="4" l="1"/>
  <c r="D44" i="7" s="1"/>
  <c r="D24" i="19"/>
  <c r="G7" i="11" l="1"/>
  <c r="G12" i="11" s="1"/>
  <c r="D45" i="7"/>
  <c r="D47" i="7" s="1"/>
  <c r="C10" i="3" s="1"/>
  <c r="C11" i="3" s="1"/>
  <c r="D8" i="19"/>
  <c r="C29" i="4"/>
  <c r="C7" i="32"/>
  <c r="C13" i="32" s="1"/>
  <c r="D15" i="32" s="1"/>
  <c r="D18" i="32" s="1"/>
  <c r="D20" i="32" s="1"/>
  <c r="D22" i="32" s="1"/>
  <c r="D19" i="19" l="1"/>
  <c r="D21" i="19" s="1"/>
  <c r="D54" i="11" s="1"/>
  <c r="D9" i="19"/>
  <c r="D10" i="19" s="1"/>
  <c r="D49" i="11" s="1"/>
  <c r="C22" i="3"/>
  <c r="XFC40" i="3" s="1"/>
  <c r="D25" i="19"/>
  <c r="D26" i="19" s="1"/>
  <c r="D55" i="11" s="1"/>
  <c r="D23" i="32"/>
  <c r="D24" i="32" s="1"/>
  <c r="D25" i="32" l="1"/>
  <c r="D26" i="32" s="1"/>
  <c r="D28" i="32" s="1"/>
  <c r="D30" i="32" s="1"/>
  <c r="D33" i="32" s="1"/>
  <c r="C36" i="32" l="1"/>
  <c r="D38" i="32" s="1"/>
  <c r="D39" i="32" s="1"/>
  <c r="D41" i="3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15" authorId="0" shapeId="0" xr:uid="{CC9331A4-7DF8-4802-A912-5998DEA95528}">
      <text>
        <r>
          <rPr>
            <b/>
            <sz val="9"/>
            <color indexed="81"/>
            <rFont val="Tahoma"/>
            <family val="2"/>
          </rPr>
          <t>Admin:</t>
        </r>
        <r>
          <rPr>
            <sz val="9"/>
            <color indexed="81"/>
            <rFont val="Tahoma"/>
            <family val="2"/>
          </rPr>
          <t xml:space="preserve">
Need to check Companies act rates.</t>
        </r>
      </text>
    </comment>
    <comment ref="C21" authorId="0" shapeId="0" xr:uid="{D97A8C34-7693-4509-939F-8B037F78146A}">
      <text>
        <r>
          <rPr>
            <b/>
            <sz val="9"/>
            <color indexed="81"/>
            <rFont val="Tahoma"/>
            <family val="2"/>
          </rPr>
          <t>Admin:</t>
        </r>
        <r>
          <rPr>
            <sz val="9"/>
            <color indexed="81"/>
            <rFont val="Tahoma"/>
            <family val="2"/>
          </rPr>
          <t xml:space="preserve">
TB figure need to calculate after posted in the Winman.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B8" authorId="0" shapeId="0" xr:uid="{CBC5A457-EC64-42DB-8C53-C0C3C7B22355}">
      <text>
        <r>
          <rPr>
            <b/>
            <sz val="9"/>
            <color indexed="81"/>
            <rFont val="Tahoma"/>
            <family val="2"/>
          </rPr>
          <t>Author:</t>
        </r>
        <r>
          <rPr>
            <sz val="9"/>
            <color indexed="81"/>
            <rFont val="Tahoma"/>
            <family val="2"/>
          </rPr>
          <t xml:space="preserve">
5% Scrap Value</t>
        </r>
      </text>
    </comment>
    <comment ref="AI8" authorId="0" shapeId="0" xr:uid="{C746DA59-11A2-426D-8824-28CAC9EEE8E2}">
      <text>
        <r>
          <rPr>
            <b/>
            <sz val="9"/>
            <color indexed="81"/>
            <rFont val="Tahoma"/>
            <family val="2"/>
          </rPr>
          <t>Author:</t>
        </r>
        <r>
          <rPr>
            <sz val="9"/>
            <color indexed="81"/>
            <rFont val="Tahoma"/>
            <family val="2"/>
          </rPr>
          <t xml:space="preserve">
5% Scrap Value</t>
        </r>
      </text>
    </comment>
    <comment ref="AB11" authorId="0" shapeId="0" xr:uid="{5988A51D-A951-4F4D-A9E2-730AF86DF64D}">
      <text>
        <r>
          <rPr>
            <b/>
            <sz val="9"/>
            <color indexed="81"/>
            <rFont val="Tahoma"/>
            <family val="2"/>
          </rPr>
          <t>Author:</t>
        </r>
        <r>
          <rPr>
            <sz val="9"/>
            <color indexed="81"/>
            <rFont val="Tahoma"/>
            <family val="2"/>
          </rPr>
          <t xml:space="preserve">
Sales of old Laptops on 28-03-2025</t>
        </r>
      </text>
    </comment>
    <comment ref="AI11" authorId="0" shapeId="0" xr:uid="{89A8ED92-8756-4F06-B667-B4248375EF6B}">
      <text>
        <r>
          <rPr>
            <b/>
            <sz val="9"/>
            <color indexed="81"/>
            <rFont val="Tahoma"/>
            <family val="2"/>
          </rPr>
          <t>Author:</t>
        </r>
        <r>
          <rPr>
            <sz val="9"/>
            <color indexed="81"/>
            <rFont val="Tahoma"/>
            <family val="2"/>
          </rPr>
          <t xml:space="preserve">
Sales of old Laptops on 28-03-2025</t>
        </r>
      </text>
    </comment>
    <comment ref="AB12" authorId="0" shapeId="0" xr:uid="{235A14C8-9561-42E9-8820-2923C1BBBBEF}">
      <text>
        <r>
          <rPr>
            <b/>
            <sz val="9"/>
            <color indexed="81"/>
            <rFont val="Tahoma"/>
            <family val="2"/>
          </rPr>
          <t>Author:</t>
        </r>
        <r>
          <rPr>
            <sz val="9"/>
            <color indexed="81"/>
            <rFont val="Tahoma"/>
            <family val="2"/>
          </rPr>
          <t xml:space="preserve">
Sales of old Laptops on 28-03-2025</t>
        </r>
      </text>
    </comment>
    <comment ref="AI12" authorId="0" shapeId="0" xr:uid="{EBFD70F5-AFD0-44C4-A6E3-940ED03A53FC}">
      <text>
        <r>
          <rPr>
            <b/>
            <sz val="9"/>
            <color indexed="81"/>
            <rFont val="Tahoma"/>
            <family val="2"/>
          </rPr>
          <t>Author:</t>
        </r>
        <r>
          <rPr>
            <sz val="9"/>
            <color indexed="81"/>
            <rFont val="Tahoma"/>
            <family val="2"/>
          </rPr>
          <t xml:space="preserve">
Sales of old Laptops on 28-03-2025</t>
        </r>
      </text>
    </comment>
    <comment ref="AB13" authorId="0" shapeId="0" xr:uid="{9950549B-0FF6-49F6-95F9-F893283278A1}">
      <text>
        <r>
          <rPr>
            <b/>
            <sz val="9"/>
            <color indexed="81"/>
            <rFont val="Tahoma"/>
            <family val="2"/>
          </rPr>
          <t>Author:</t>
        </r>
        <r>
          <rPr>
            <sz val="9"/>
            <color indexed="81"/>
            <rFont val="Tahoma"/>
            <family val="2"/>
          </rPr>
          <t xml:space="preserve">
Sales of old Laptops on 28-03-2025</t>
        </r>
      </text>
    </comment>
    <comment ref="AI13" authorId="0" shapeId="0" xr:uid="{7982FBB2-2D5F-44F7-9E53-F6C3FF6917B3}">
      <text>
        <r>
          <rPr>
            <b/>
            <sz val="9"/>
            <color indexed="81"/>
            <rFont val="Tahoma"/>
            <family val="2"/>
          </rPr>
          <t>Author:</t>
        </r>
        <r>
          <rPr>
            <sz val="9"/>
            <color indexed="81"/>
            <rFont val="Tahoma"/>
            <family val="2"/>
          </rPr>
          <t xml:space="preserve">
Sales of old Laptops on 28-03-2025</t>
        </r>
      </text>
    </comment>
    <comment ref="AB15" authorId="0" shapeId="0" xr:uid="{A6BB0C58-F5A6-4C55-981A-4EBED656BD9A}">
      <text>
        <r>
          <rPr>
            <b/>
            <sz val="9"/>
            <color indexed="81"/>
            <rFont val="Tahoma"/>
            <family val="2"/>
          </rPr>
          <t>Author:</t>
        </r>
        <r>
          <rPr>
            <sz val="9"/>
            <color indexed="81"/>
            <rFont val="Tahoma"/>
            <family val="2"/>
          </rPr>
          <t xml:space="preserve">
Sales of old Laptops on 28-03-2025</t>
        </r>
      </text>
    </comment>
    <comment ref="AI15" authorId="0" shapeId="0" xr:uid="{A4337A7E-E1FA-4D16-8BFA-0C44DFE636A9}">
      <text>
        <r>
          <rPr>
            <b/>
            <sz val="9"/>
            <color indexed="81"/>
            <rFont val="Tahoma"/>
            <family val="2"/>
          </rPr>
          <t>Author:</t>
        </r>
        <r>
          <rPr>
            <sz val="9"/>
            <color indexed="81"/>
            <rFont val="Tahoma"/>
            <family val="2"/>
          </rPr>
          <t xml:space="preserve">
Sales of old Laptops on 28-03-2025</t>
        </r>
      </text>
    </comment>
    <comment ref="AB16" authorId="0" shapeId="0" xr:uid="{09788932-BD04-4FCC-BBC6-93425CFCA9EB}">
      <text>
        <r>
          <rPr>
            <b/>
            <sz val="9"/>
            <color indexed="81"/>
            <rFont val="Tahoma"/>
            <family val="2"/>
          </rPr>
          <t>Author:</t>
        </r>
        <r>
          <rPr>
            <sz val="9"/>
            <color indexed="81"/>
            <rFont val="Tahoma"/>
            <family val="2"/>
          </rPr>
          <t xml:space="preserve">
Sales of old Laptops on 28-03-2025</t>
        </r>
      </text>
    </comment>
    <comment ref="AI16" authorId="0" shapeId="0" xr:uid="{3DCC6E29-F561-4075-B603-F105C0C8BDEA}">
      <text>
        <r>
          <rPr>
            <b/>
            <sz val="9"/>
            <color indexed="81"/>
            <rFont val="Tahoma"/>
            <family val="2"/>
          </rPr>
          <t>Author:</t>
        </r>
        <r>
          <rPr>
            <sz val="9"/>
            <color indexed="81"/>
            <rFont val="Tahoma"/>
            <family val="2"/>
          </rPr>
          <t xml:space="preserve">
Sales of old Laptops on 28-03-2025</t>
        </r>
      </text>
    </comment>
    <comment ref="AB22" authorId="0" shapeId="0" xr:uid="{06CC48EE-BD56-4C1A-88A9-925C3CC02B1A}">
      <text>
        <r>
          <rPr>
            <b/>
            <sz val="9"/>
            <color indexed="81"/>
            <rFont val="Tahoma"/>
            <family val="2"/>
          </rPr>
          <t>Author:</t>
        </r>
        <r>
          <rPr>
            <sz val="9"/>
            <color indexed="81"/>
            <rFont val="Tahoma"/>
            <family val="2"/>
          </rPr>
          <t xml:space="preserve">
Sales of old Laptops on 28-03-2025</t>
        </r>
      </text>
    </comment>
    <comment ref="AI22" authorId="0" shapeId="0" xr:uid="{6B20A545-FBFC-401D-92CB-E12C7549D9D0}">
      <text>
        <r>
          <rPr>
            <b/>
            <sz val="9"/>
            <color indexed="81"/>
            <rFont val="Tahoma"/>
            <family val="2"/>
          </rPr>
          <t>Author:</t>
        </r>
        <r>
          <rPr>
            <sz val="9"/>
            <color indexed="81"/>
            <rFont val="Tahoma"/>
            <family val="2"/>
          </rPr>
          <t xml:space="preserve">
Sales of old Laptops on 28-03-2025</t>
        </r>
      </text>
    </comment>
    <comment ref="AB23" authorId="0" shapeId="0" xr:uid="{238113C7-9B73-41BF-A3E1-4C11856FCE42}">
      <text>
        <r>
          <rPr>
            <b/>
            <sz val="9"/>
            <color indexed="81"/>
            <rFont val="Tahoma"/>
            <family val="2"/>
          </rPr>
          <t>Author:</t>
        </r>
        <r>
          <rPr>
            <sz val="9"/>
            <color indexed="81"/>
            <rFont val="Tahoma"/>
            <family val="2"/>
          </rPr>
          <t xml:space="preserve">
Sales of old Laptops on 28-03-2025</t>
        </r>
      </text>
    </comment>
    <comment ref="AI23" authorId="0" shapeId="0" xr:uid="{759638C1-B096-4026-93C5-F8A518E31A90}">
      <text>
        <r>
          <rPr>
            <b/>
            <sz val="9"/>
            <color indexed="81"/>
            <rFont val="Tahoma"/>
            <family val="2"/>
          </rPr>
          <t>Author:</t>
        </r>
        <r>
          <rPr>
            <sz val="9"/>
            <color indexed="81"/>
            <rFont val="Tahoma"/>
            <family val="2"/>
          </rPr>
          <t xml:space="preserve">
Sales of old Laptops on 28-03-2025</t>
        </r>
      </text>
    </comment>
    <comment ref="AB25" authorId="0" shapeId="0" xr:uid="{826A25CB-24DF-48C4-91A9-F94AC6B4C24D}">
      <text>
        <r>
          <rPr>
            <b/>
            <sz val="9"/>
            <color indexed="81"/>
            <rFont val="Tahoma"/>
            <family val="2"/>
          </rPr>
          <t>Author:</t>
        </r>
        <r>
          <rPr>
            <sz val="9"/>
            <color indexed="81"/>
            <rFont val="Tahoma"/>
            <family val="2"/>
          </rPr>
          <t xml:space="preserve">
Sales of old Laptops on 28-03-2025</t>
        </r>
      </text>
    </comment>
    <comment ref="AI25" authorId="0" shapeId="0" xr:uid="{73203962-7C97-4E1E-B7C7-13DC84E0281E}">
      <text>
        <r>
          <rPr>
            <b/>
            <sz val="9"/>
            <color indexed="81"/>
            <rFont val="Tahoma"/>
            <family val="2"/>
          </rPr>
          <t>Author:</t>
        </r>
        <r>
          <rPr>
            <sz val="9"/>
            <color indexed="81"/>
            <rFont val="Tahoma"/>
            <family val="2"/>
          </rPr>
          <t xml:space="preserve">
Sales of old Laptops on 28-03-2025</t>
        </r>
      </text>
    </comment>
    <comment ref="AB26" authorId="0" shapeId="0" xr:uid="{2023000E-0424-41C7-BB09-323BCC05A404}">
      <text>
        <r>
          <rPr>
            <b/>
            <sz val="9"/>
            <color indexed="81"/>
            <rFont val="Tahoma"/>
            <family val="2"/>
          </rPr>
          <t>Author:</t>
        </r>
        <r>
          <rPr>
            <sz val="9"/>
            <color indexed="81"/>
            <rFont val="Tahoma"/>
            <family val="2"/>
          </rPr>
          <t xml:space="preserve">
Sales of old Laptops on 28-03-2025</t>
        </r>
      </text>
    </comment>
    <comment ref="AI26" authorId="0" shapeId="0" xr:uid="{CDDE5E52-21A4-4AC1-956C-0CB022D89056}">
      <text>
        <r>
          <rPr>
            <b/>
            <sz val="9"/>
            <color indexed="81"/>
            <rFont val="Tahoma"/>
            <family val="2"/>
          </rPr>
          <t>Author:</t>
        </r>
        <r>
          <rPr>
            <sz val="9"/>
            <color indexed="81"/>
            <rFont val="Tahoma"/>
            <family val="2"/>
          </rPr>
          <t xml:space="preserve">
Sales of old Laptops on 28-03-2025</t>
        </r>
      </text>
    </comment>
    <comment ref="AB32" authorId="0" shapeId="0" xr:uid="{0B0A13FD-6C46-4A49-823F-F968ACBB4C82}">
      <text>
        <r>
          <rPr>
            <b/>
            <sz val="9"/>
            <color indexed="81"/>
            <rFont val="Tahoma"/>
            <family val="2"/>
          </rPr>
          <t>Author:</t>
        </r>
        <r>
          <rPr>
            <sz val="9"/>
            <color indexed="81"/>
            <rFont val="Tahoma"/>
            <family val="2"/>
          </rPr>
          <t xml:space="preserve">
Sales of old Laptops on 28-03-2025</t>
        </r>
      </text>
    </comment>
    <comment ref="AI32" authorId="0" shapeId="0" xr:uid="{2D9356C2-74DD-47CE-A42E-6D5FB0211B81}">
      <text>
        <r>
          <rPr>
            <b/>
            <sz val="9"/>
            <color indexed="81"/>
            <rFont val="Tahoma"/>
            <family val="2"/>
          </rPr>
          <t>Author:</t>
        </r>
        <r>
          <rPr>
            <sz val="9"/>
            <color indexed="81"/>
            <rFont val="Tahoma"/>
            <family val="2"/>
          </rPr>
          <t xml:space="preserve">
Sales of old Laptops on 28-03-2025</t>
        </r>
      </text>
    </comment>
    <comment ref="AB36" authorId="0" shapeId="0" xr:uid="{058EC18D-B056-49BA-910D-11F6EDCF0C11}">
      <text>
        <r>
          <rPr>
            <b/>
            <sz val="9"/>
            <color indexed="81"/>
            <rFont val="Tahoma"/>
            <family val="2"/>
          </rPr>
          <t>Author:</t>
        </r>
        <r>
          <rPr>
            <sz val="9"/>
            <color indexed="81"/>
            <rFont val="Tahoma"/>
            <family val="2"/>
          </rPr>
          <t xml:space="preserve">
Sales of old Laptops on 28-03-2025</t>
        </r>
      </text>
    </comment>
    <comment ref="AI36" authorId="0" shapeId="0" xr:uid="{6A3A3D51-9082-43B3-A7DD-706FD104FB90}">
      <text>
        <r>
          <rPr>
            <b/>
            <sz val="9"/>
            <color indexed="81"/>
            <rFont val="Tahoma"/>
            <family val="2"/>
          </rPr>
          <t>Author:</t>
        </r>
        <r>
          <rPr>
            <sz val="9"/>
            <color indexed="81"/>
            <rFont val="Tahoma"/>
            <family val="2"/>
          </rPr>
          <t xml:space="preserve">
Sales of old Laptops on 28-03-2025</t>
        </r>
      </text>
    </comment>
    <comment ref="AB37" authorId="0" shapeId="0" xr:uid="{680D789C-67FE-4B66-A2ED-CCDC0D3138B0}">
      <text>
        <r>
          <rPr>
            <b/>
            <sz val="9"/>
            <color indexed="81"/>
            <rFont val="Tahoma"/>
            <family val="2"/>
          </rPr>
          <t>Author:</t>
        </r>
        <r>
          <rPr>
            <sz val="9"/>
            <color indexed="81"/>
            <rFont val="Tahoma"/>
            <family val="2"/>
          </rPr>
          <t xml:space="preserve">
Sales of old Laptops on 28-03-2025</t>
        </r>
      </text>
    </comment>
    <comment ref="AI37" authorId="0" shapeId="0" xr:uid="{646EEFB5-A099-43E8-9DFA-E8BEA862DEFF}">
      <text>
        <r>
          <rPr>
            <b/>
            <sz val="9"/>
            <color indexed="81"/>
            <rFont val="Tahoma"/>
            <family val="2"/>
          </rPr>
          <t>Author:</t>
        </r>
        <r>
          <rPr>
            <sz val="9"/>
            <color indexed="81"/>
            <rFont val="Tahoma"/>
            <family val="2"/>
          </rPr>
          <t xml:space="preserve">
Sales of old Laptops on 28-03-2025</t>
        </r>
      </text>
    </comment>
    <comment ref="AB38" authorId="0" shapeId="0" xr:uid="{D47DE8D1-B007-4C68-AD68-1B447C5777B8}">
      <text>
        <r>
          <rPr>
            <b/>
            <sz val="9"/>
            <color indexed="81"/>
            <rFont val="Tahoma"/>
            <family val="2"/>
          </rPr>
          <t>Author:</t>
        </r>
        <r>
          <rPr>
            <sz val="9"/>
            <color indexed="81"/>
            <rFont val="Tahoma"/>
            <family val="2"/>
          </rPr>
          <t xml:space="preserve">
Sales of old Laptops on 28-03-2025</t>
        </r>
      </text>
    </comment>
    <comment ref="AI38" authorId="0" shapeId="0" xr:uid="{5134A199-6EBF-4BEA-90B5-8B5740E94554}">
      <text>
        <r>
          <rPr>
            <b/>
            <sz val="9"/>
            <color indexed="81"/>
            <rFont val="Tahoma"/>
            <family val="2"/>
          </rPr>
          <t>Author:</t>
        </r>
        <r>
          <rPr>
            <sz val="9"/>
            <color indexed="81"/>
            <rFont val="Tahoma"/>
            <family val="2"/>
          </rPr>
          <t xml:space="preserve">
Sales of old Laptops on 28-03-2025</t>
        </r>
      </text>
    </comment>
    <comment ref="AB39" authorId="0" shapeId="0" xr:uid="{2E314AD5-052F-4D40-9939-021EFDEC7EAB}">
      <text>
        <r>
          <rPr>
            <b/>
            <sz val="9"/>
            <color indexed="81"/>
            <rFont val="Tahoma"/>
            <family val="2"/>
          </rPr>
          <t>Author:</t>
        </r>
        <r>
          <rPr>
            <sz val="9"/>
            <color indexed="81"/>
            <rFont val="Tahoma"/>
            <family val="2"/>
          </rPr>
          <t xml:space="preserve">
Sales of old Laptops on 28-03-2025</t>
        </r>
      </text>
    </comment>
    <comment ref="AI39" authorId="0" shapeId="0" xr:uid="{27D9E518-9BC8-4622-80BB-CAA96B0C2764}">
      <text>
        <r>
          <rPr>
            <b/>
            <sz val="9"/>
            <color indexed="81"/>
            <rFont val="Tahoma"/>
            <family val="2"/>
          </rPr>
          <t>Author:</t>
        </r>
        <r>
          <rPr>
            <sz val="9"/>
            <color indexed="81"/>
            <rFont val="Tahoma"/>
            <family val="2"/>
          </rPr>
          <t xml:space="preserve">
Sales of old Laptops on 28-03-2025</t>
        </r>
      </text>
    </comment>
    <comment ref="M42" authorId="0" shapeId="0" xr:uid="{AE940525-E9DE-4E01-AB5D-0A60859D6760}">
      <text>
        <r>
          <rPr>
            <b/>
            <sz val="9"/>
            <color indexed="81"/>
            <rFont val="Tahoma"/>
            <family val="2"/>
          </rPr>
          <t>Author:</t>
        </r>
        <r>
          <rPr>
            <sz val="9"/>
            <color indexed="81"/>
            <rFont val="Tahoma"/>
            <family val="2"/>
          </rPr>
          <t xml:space="preserve">
5% Scrap Value</t>
        </r>
      </text>
    </comment>
    <comment ref="U42" authorId="0" shapeId="0" xr:uid="{C70FB154-4D3C-4248-ADCA-C98AD2DCABE5}">
      <text>
        <r>
          <rPr>
            <b/>
            <sz val="9"/>
            <color indexed="81"/>
            <rFont val="Tahoma"/>
            <family val="2"/>
          </rPr>
          <t>Author:</t>
        </r>
        <r>
          <rPr>
            <sz val="9"/>
            <color indexed="81"/>
            <rFont val="Tahoma"/>
            <family val="2"/>
          </rPr>
          <t xml:space="preserve">
5% Scrap Value</t>
        </r>
      </text>
    </comment>
    <comment ref="AB42" authorId="0" shapeId="0" xr:uid="{51495885-44B6-486D-93C1-20ECE1EB5135}">
      <text>
        <r>
          <rPr>
            <b/>
            <sz val="9"/>
            <color indexed="81"/>
            <rFont val="Tahoma"/>
            <family val="2"/>
          </rPr>
          <t>Author:</t>
        </r>
        <r>
          <rPr>
            <sz val="9"/>
            <color indexed="81"/>
            <rFont val="Tahoma"/>
            <family val="2"/>
          </rPr>
          <t xml:space="preserve">
5% Scrap Value</t>
        </r>
      </text>
    </comment>
    <comment ref="AI42" authorId="0" shapeId="0" xr:uid="{16EB65DB-5E7A-4278-8E8D-F5450D55C63C}">
      <text>
        <r>
          <rPr>
            <b/>
            <sz val="9"/>
            <color indexed="81"/>
            <rFont val="Tahoma"/>
            <family val="2"/>
          </rPr>
          <t>Author:</t>
        </r>
        <r>
          <rPr>
            <sz val="9"/>
            <color indexed="81"/>
            <rFont val="Tahoma"/>
            <family val="2"/>
          </rPr>
          <t xml:space="preserve">
5% Scrap Value</t>
        </r>
      </text>
    </comment>
    <comment ref="M43" authorId="0" shapeId="0" xr:uid="{9FED6E39-FDCD-478E-9FAF-ABAEC899200D}">
      <text>
        <r>
          <rPr>
            <b/>
            <sz val="9"/>
            <color indexed="81"/>
            <rFont val="Tahoma"/>
            <family val="2"/>
          </rPr>
          <t>Author:</t>
        </r>
        <r>
          <rPr>
            <sz val="9"/>
            <color indexed="81"/>
            <rFont val="Tahoma"/>
            <family val="2"/>
          </rPr>
          <t xml:space="preserve">
5% Scrap Value</t>
        </r>
      </text>
    </comment>
    <comment ref="U43" authorId="0" shapeId="0" xr:uid="{E56F4F5C-D70F-43D5-8F11-0260859067DA}">
      <text>
        <r>
          <rPr>
            <b/>
            <sz val="9"/>
            <color indexed="81"/>
            <rFont val="Tahoma"/>
            <family val="2"/>
          </rPr>
          <t>Author:</t>
        </r>
        <r>
          <rPr>
            <sz val="9"/>
            <color indexed="81"/>
            <rFont val="Tahoma"/>
            <family val="2"/>
          </rPr>
          <t xml:space="preserve">
5% Scrap Value</t>
        </r>
      </text>
    </comment>
    <comment ref="AB43" authorId="0" shapeId="0" xr:uid="{1F5F6379-41EE-4067-8A8D-724A0A06A926}">
      <text>
        <r>
          <rPr>
            <b/>
            <sz val="9"/>
            <color indexed="81"/>
            <rFont val="Tahoma"/>
            <family val="2"/>
          </rPr>
          <t>Author:</t>
        </r>
        <r>
          <rPr>
            <sz val="9"/>
            <color indexed="81"/>
            <rFont val="Tahoma"/>
            <family val="2"/>
          </rPr>
          <t xml:space="preserve">
5% Scrap Value</t>
        </r>
      </text>
    </comment>
    <comment ref="AI43" authorId="0" shapeId="0" xr:uid="{70C14E3A-5D23-4004-A757-5A45FF73B428}">
      <text>
        <r>
          <rPr>
            <b/>
            <sz val="9"/>
            <color indexed="81"/>
            <rFont val="Tahoma"/>
            <family val="2"/>
          </rPr>
          <t>Author:</t>
        </r>
        <r>
          <rPr>
            <sz val="9"/>
            <color indexed="81"/>
            <rFont val="Tahoma"/>
            <family val="2"/>
          </rPr>
          <t xml:space="preserve">
5% Scrap Value</t>
        </r>
      </text>
    </comment>
    <comment ref="M44" authorId="0" shapeId="0" xr:uid="{3AB649E2-8264-424A-B373-29A1DC05304D}">
      <text>
        <r>
          <rPr>
            <b/>
            <sz val="9"/>
            <color indexed="81"/>
            <rFont val="Tahoma"/>
            <family val="2"/>
          </rPr>
          <t>Author:</t>
        </r>
        <r>
          <rPr>
            <sz val="9"/>
            <color indexed="81"/>
            <rFont val="Tahoma"/>
            <family val="2"/>
          </rPr>
          <t xml:space="preserve">
5% Scrap Value</t>
        </r>
      </text>
    </comment>
    <comment ref="U44" authorId="0" shapeId="0" xr:uid="{40D93792-AE8A-4A30-BA76-0C8DD9223C5F}">
      <text>
        <r>
          <rPr>
            <b/>
            <sz val="9"/>
            <color indexed="81"/>
            <rFont val="Tahoma"/>
            <family val="2"/>
          </rPr>
          <t>Author:</t>
        </r>
        <r>
          <rPr>
            <sz val="9"/>
            <color indexed="81"/>
            <rFont val="Tahoma"/>
            <family val="2"/>
          </rPr>
          <t xml:space="preserve">
5% Scrap Value</t>
        </r>
      </text>
    </comment>
    <comment ref="AB44" authorId="0" shapeId="0" xr:uid="{2B385620-D440-442C-9EB3-7AB17AB45458}">
      <text>
        <r>
          <rPr>
            <b/>
            <sz val="9"/>
            <color indexed="81"/>
            <rFont val="Tahoma"/>
            <family val="2"/>
          </rPr>
          <t>Author:</t>
        </r>
        <r>
          <rPr>
            <sz val="9"/>
            <color indexed="81"/>
            <rFont val="Tahoma"/>
            <family val="2"/>
          </rPr>
          <t xml:space="preserve">
5% Scrap Value</t>
        </r>
      </text>
    </comment>
    <comment ref="AI44" authorId="0" shapeId="0" xr:uid="{386C1B55-E3EE-4101-87EE-2F97EFF32953}">
      <text>
        <r>
          <rPr>
            <b/>
            <sz val="9"/>
            <color indexed="81"/>
            <rFont val="Tahoma"/>
            <family val="2"/>
          </rPr>
          <t>Author:</t>
        </r>
        <r>
          <rPr>
            <sz val="9"/>
            <color indexed="81"/>
            <rFont val="Tahoma"/>
            <family val="2"/>
          </rPr>
          <t xml:space="preserve">
5% Scrap Value</t>
        </r>
      </text>
    </comment>
    <comment ref="M45" authorId="0" shapeId="0" xr:uid="{E95D8B09-04AA-4FC1-A556-444ECD2C2D2D}">
      <text>
        <r>
          <rPr>
            <b/>
            <sz val="9"/>
            <color indexed="81"/>
            <rFont val="Tahoma"/>
            <family val="2"/>
          </rPr>
          <t>Author:</t>
        </r>
        <r>
          <rPr>
            <sz val="9"/>
            <color indexed="81"/>
            <rFont val="Tahoma"/>
            <family val="2"/>
          </rPr>
          <t xml:space="preserve">
5% Scrap Value</t>
        </r>
      </text>
    </comment>
    <comment ref="U45" authorId="0" shapeId="0" xr:uid="{5DBDE5DA-0112-4D81-B82C-775177BB805B}">
      <text>
        <r>
          <rPr>
            <b/>
            <sz val="9"/>
            <color indexed="81"/>
            <rFont val="Tahoma"/>
            <family val="2"/>
          </rPr>
          <t>Author:</t>
        </r>
        <r>
          <rPr>
            <sz val="9"/>
            <color indexed="81"/>
            <rFont val="Tahoma"/>
            <family val="2"/>
          </rPr>
          <t xml:space="preserve">
5% Scrap Value</t>
        </r>
      </text>
    </comment>
    <comment ref="AB45" authorId="0" shapeId="0" xr:uid="{FF79F92E-8C24-4864-9275-36E6D775CECB}">
      <text>
        <r>
          <rPr>
            <b/>
            <sz val="9"/>
            <color indexed="81"/>
            <rFont val="Tahoma"/>
            <family val="2"/>
          </rPr>
          <t>Author:</t>
        </r>
        <r>
          <rPr>
            <sz val="9"/>
            <color indexed="81"/>
            <rFont val="Tahoma"/>
            <family val="2"/>
          </rPr>
          <t xml:space="preserve">
5% Scrap Value</t>
        </r>
      </text>
    </comment>
    <comment ref="AI45" authorId="0" shapeId="0" xr:uid="{361CE652-BDE7-405B-B968-68BA50199A97}">
      <text>
        <r>
          <rPr>
            <b/>
            <sz val="9"/>
            <color indexed="81"/>
            <rFont val="Tahoma"/>
            <family val="2"/>
          </rPr>
          <t>Author:</t>
        </r>
        <r>
          <rPr>
            <sz val="9"/>
            <color indexed="81"/>
            <rFont val="Tahoma"/>
            <family val="2"/>
          </rPr>
          <t xml:space="preserve">
5% Scrap Value</t>
        </r>
      </text>
    </comment>
    <comment ref="M46" authorId="0" shapeId="0" xr:uid="{1FD2EFE6-A8A3-450D-9B6B-EE7A2C6BE854}">
      <text>
        <r>
          <rPr>
            <b/>
            <sz val="9"/>
            <color indexed="81"/>
            <rFont val="Tahoma"/>
            <family val="2"/>
          </rPr>
          <t>Author:</t>
        </r>
        <r>
          <rPr>
            <sz val="9"/>
            <color indexed="81"/>
            <rFont val="Tahoma"/>
            <family val="2"/>
          </rPr>
          <t xml:space="preserve">
5% Scrap Value</t>
        </r>
      </text>
    </comment>
    <comment ref="U46" authorId="0" shapeId="0" xr:uid="{8AB8E533-4715-4C7A-A5B9-0F710629A66C}">
      <text>
        <r>
          <rPr>
            <b/>
            <sz val="9"/>
            <color indexed="81"/>
            <rFont val="Tahoma"/>
            <family val="2"/>
          </rPr>
          <t>Author:</t>
        </r>
        <r>
          <rPr>
            <sz val="9"/>
            <color indexed="81"/>
            <rFont val="Tahoma"/>
            <family val="2"/>
          </rPr>
          <t xml:space="preserve">
5% Scrap Value</t>
        </r>
      </text>
    </comment>
    <comment ref="AB46" authorId="0" shapeId="0" xr:uid="{858A4F0D-C092-4F4B-AD1A-309A8C265538}">
      <text>
        <r>
          <rPr>
            <b/>
            <sz val="9"/>
            <color indexed="81"/>
            <rFont val="Tahoma"/>
            <family val="2"/>
          </rPr>
          <t>Author:</t>
        </r>
        <r>
          <rPr>
            <sz val="9"/>
            <color indexed="81"/>
            <rFont val="Tahoma"/>
            <family val="2"/>
          </rPr>
          <t xml:space="preserve">
5% Scrap Value
Sales of Old laptops 4 Nos INR 15,160 on dt:28-03-2025</t>
        </r>
      </text>
    </comment>
    <comment ref="AI46" authorId="0" shapeId="0" xr:uid="{BD4BDFD8-77D1-490E-8E8F-BEAF89FF117A}">
      <text>
        <r>
          <rPr>
            <b/>
            <sz val="9"/>
            <color indexed="81"/>
            <rFont val="Tahoma"/>
            <family val="2"/>
          </rPr>
          <t>Author:</t>
        </r>
        <r>
          <rPr>
            <sz val="9"/>
            <color indexed="81"/>
            <rFont val="Tahoma"/>
            <family val="2"/>
          </rPr>
          <t xml:space="preserve">
5% Scrap Value
Sales of Old laptops 4 Nos INR 15,160 on dt:28-03-2025</t>
        </r>
      </text>
    </comment>
    <comment ref="M47" authorId="0" shapeId="0" xr:uid="{6795FC69-7A5F-4913-9B28-42D9A056077E}">
      <text>
        <r>
          <rPr>
            <b/>
            <sz val="9"/>
            <color indexed="81"/>
            <rFont val="Tahoma"/>
            <family val="2"/>
          </rPr>
          <t>Author:</t>
        </r>
        <r>
          <rPr>
            <sz val="9"/>
            <color indexed="81"/>
            <rFont val="Tahoma"/>
            <family val="2"/>
          </rPr>
          <t xml:space="preserve">
5% Scrap Value</t>
        </r>
      </text>
    </comment>
    <comment ref="U47" authorId="0" shapeId="0" xr:uid="{564272D3-4EBE-4092-BD06-D3CCC076CC88}">
      <text>
        <r>
          <rPr>
            <b/>
            <sz val="9"/>
            <color indexed="81"/>
            <rFont val="Tahoma"/>
            <family val="2"/>
          </rPr>
          <t>Author:</t>
        </r>
        <r>
          <rPr>
            <sz val="9"/>
            <color indexed="81"/>
            <rFont val="Tahoma"/>
            <family val="2"/>
          </rPr>
          <t xml:space="preserve">
5% Scrap Value</t>
        </r>
      </text>
    </comment>
    <comment ref="AB47" authorId="0" shapeId="0" xr:uid="{3BE94131-5F52-473A-9A28-746384BF67D8}">
      <text>
        <r>
          <rPr>
            <b/>
            <sz val="9"/>
            <color indexed="81"/>
            <rFont val="Tahoma"/>
            <family val="2"/>
          </rPr>
          <t>Author:</t>
        </r>
        <r>
          <rPr>
            <sz val="9"/>
            <color indexed="81"/>
            <rFont val="Tahoma"/>
            <family val="2"/>
          </rPr>
          <t xml:space="preserve">
5% Scrap Value</t>
        </r>
      </text>
    </comment>
    <comment ref="AI47" authorId="0" shapeId="0" xr:uid="{1A44241F-AED8-4860-BFFE-DCF42D4D5DBC}">
      <text>
        <r>
          <rPr>
            <b/>
            <sz val="9"/>
            <color indexed="81"/>
            <rFont val="Tahoma"/>
            <family val="2"/>
          </rPr>
          <t>Author:</t>
        </r>
        <r>
          <rPr>
            <sz val="9"/>
            <color indexed="81"/>
            <rFont val="Tahoma"/>
            <family val="2"/>
          </rPr>
          <t xml:space="preserve">
5% Scrap Value</t>
        </r>
      </text>
    </comment>
    <comment ref="M48" authorId="0" shapeId="0" xr:uid="{AE439703-B3E3-45EC-A3E5-514DAF064626}">
      <text>
        <r>
          <rPr>
            <b/>
            <sz val="9"/>
            <color indexed="81"/>
            <rFont val="Tahoma"/>
            <family val="2"/>
          </rPr>
          <t>Author:</t>
        </r>
        <r>
          <rPr>
            <sz val="9"/>
            <color indexed="81"/>
            <rFont val="Tahoma"/>
            <family val="2"/>
          </rPr>
          <t xml:space="preserve">
5% Scrap Value</t>
        </r>
      </text>
    </comment>
    <comment ref="U48" authorId="0" shapeId="0" xr:uid="{7373A0F1-DE9D-4B42-8C95-95BC8B257459}">
      <text>
        <r>
          <rPr>
            <b/>
            <sz val="9"/>
            <color indexed="81"/>
            <rFont val="Tahoma"/>
            <family val="2"/>
          </rPr>
          <t>Author:</t>
        </r>
        <r>
          <rPr>
            <sz val="9"/>
            <color indexed="81"/>
            <rFont val="Tahoma"/>
            <family val="2"/>
          </rPr>
          <t xml:space="preserve">
5% Scrap Value</t>
        </r>
      </text>
    </comment>
    <comment ref="AB48" authorId="0" shapeId="0" xr:uid="{35BC4721-4F97-40BF-98F5-F12EC632474C}">
      <text>
        <r>
          <rPr>
            <b/>
            <sz val="9"/>
            <color indexed="81"/>
            <rFont val="Tahoma"/>
            <family val="2"/>
          </rPr>
          <t>Author:</t>
        </r>
        <r>
          <rPr>
            <sz val="9"/>
            <color indexed="81"/>
            <rFont val="Tahoma"/>
            <family val="2"/>
          </rPr>
          <t xml:space="preserve">
5% Scrap Value</t>
        </r>
      </text>
    </comment>
    <comment ref="AI48" authorId="0" shapeId="0" xr:uid="{3E5705AA-79CE-420B-ABFF-3A8F95DCF609}">
      <text>
        <r>
          <rPr>
            <b/>
            <sz val="9"/>
            <color indexed="81"/>
            <rFont val="Tahoma"/>
            <family val="2"/>
          </rPr>
          <t>Author:</t>
        </r>
        <r>
          <rPr>
            <sz val="9"/>
            <color indexed="81"/>
            <rFont val="Tahoma"/>
            <family val="2"/>
          </rPr>
          <t xml:space="preserve">
5% Scrap Value</t>
        </r>
      </text>
    </comment>
    <comment ref="M49" authorId="0" shapeId="0" xr:uid="{290074C5-2235-458D-A403-AEF8EF365145}">
      <text>
        <r>
          <rPr>
            <b/>
            <sz val="9"/>
            <color indexed="81"/>
            <rFont val="Tahoma"/>
            <family val="2"/>
          </rPr>
          <t>Author:</t>
        </r>
        <r>
          <rPr>
            <sz val="9"/>
            <color indexed="81"/>
            <rFont val="Tahoma"/>
            <family val="2"/>
          </rPr>
          <t xml:space="preserve">
5% Scrap Value</t>
        </r>
      </text>
    </comment>
    <comment ref="U49" authorId="0" shapeId="0" xr:uid="{C96E3922-127E-42CD-B9CC-E2B7F3946853}">
      <text>
        <r>
          <rPr>
            <b/>
            <sz val="9"/>
            <color indexed="81"/>
            <rFont val="Tahoma"/>
            <family val="2"/>
          </rPr>
          <t>Author:</t>
        </r>
        <r>
          <rPr>
            <sz val="9"/>
            <color indexed="81"/>
            <rFont val="Tahoma"/>
            <family val="2"/>
          </rPr>
          <t xml:space="preserve">
5% Scrap Value</t>
        </r>
      </text>
    </comment>
    <comment ref="AB49" authorId="0" shapeId="0" xr:uid="{EA424D9E-120A-4279-882C-AAE946AC14D0}">
      <text>
        <r>
          <rPr>
            <b/>
            <sz val="9"/>
            <color indexed="81"/>
            <rFont val="Tahoma"/>
            <family val="2"/>
          </rPr>
          <t>Author:</t>
        </r>
        <r>
          <rPr>
            <sz val="9"/>
            <color indexed="81"/>
            <rFont val="Tahoma"/>
            <family val="2"/>
          </rPr>
          <t xml:space="preserve">
5% Scrap Value</t>
        </r>
      </text>
    </comment>
    <comment ref="AI49" authorId="0" shapeId="0" xr:uid="{B3FF0553-E8F2-4B52-B53E-106614487746}">
      <text>
        <r>
          <rPr>
            <b/>
            <sz val="9"/>
            <color indexed="81"/>
            <rFont val="Tahoma"/>
            <family val="2"/>
          </rPr>
          <t>Author:</t>
        </r>
        <r>
          <rPr>
            <sz val="9"/>
            <color indexed="81"/>
            <rFont val="Tahoma"/>
            <family val="2"/>
          </rPr>
          <t xml:space="preserve">
5% Scrap Value</t>
        </r>
      </text>
    </comment>
    <comment ref="M50" authorId="0" shapeId="0" xr:uid="{00D32471-8702-496E-BE2A-978924AD0480}">
      <text>
        <r>
          <rPr>
            <b/>
            <sz val="9"/>
            <color indexed="81"/>
            <rFont val="Tahoma"/>
            <family val="2"/>
          </rPr>
          <t>Author:</t>
        </r>
        <r>
          <rPr>
            <sz val="9"/>
            <color indexed="81"/>
            <rFont val="Tahoma"/>
            <family val="2"/>
          </rPr>
          <t xml:space="preserve">
5% Scrap Value</t>
        </r>
      </text>
    </comment>
    <comment ref="U50" authorId="0" shapeId="0" xr:uid="{851F9FC6-E85B-4EF0-8912-2CC306778B6A}">
      <text>
        <r>
          <rPr>
            <b/>
            <sz val="9"/>
            <color indexed="81"/>
            <rFont val="Tahoma"/>
            <family val="2"/>
          </rPr>
          <t>Author:</t>
        </r>
        <r>
          <rPr>
            <sz val="9"/>
            <color indexed="81"/>
            <rFont val="Tahoma"/>
            <family val="2"/>
          </rPr>
          <t xml:space="preserve">
5% Scrap Value</t>
        </r>
      </text>
    </comment>
    <comment ref="AB50" authorId="0" shapeId="0" xr:uid="{000524B4-88ED-4F95-A2E0-6EBBF08B6704}">
      <text>
        <r>
          <rPr>
            <b/>
            <sz val="9"/>
            <color indexed="81"/>
            <rFont val="Tahoma"/>
            <family val="2"/>
          </rPr>
          <t>Author:</t>
        </r>
        <r>
          <rPr>
            <sz val="9"/>
            <color indexed="81"/>
            <rFont val="Tahoma"/>
            <family val="2"/>
          </rPr>
          <t xml:space="preserve">
5% Scrap Value</t>
        </r>
      </text>
    </comment>
    <comment ref="AI50" authorId="0" shapeId="0" xr:uid="{D5052E6E-3B33-44C1-89C3-092C78F150B2}">
      <text>
        <r>
          <rPr>
            <b/>
            <sz val="9"/>
            <color indexed="81"/>
            <rFont val="Tahoma"/>
            <family val="2"/>
          </rPr>
          <t>Author:</t>
        </r>
        <r>
          <rPr>
            <sz val="9"/>
            <color indexed="81"/>
            <rFont val="Tahoma"/>
            <family val="2"/>
          </rPr>
          <t xml:space="preserve">
5% Scrap Value</t>
        </r>
      </text>
    </comment>
    <comment ref="M51" authorId="0" shapeId="0" xr:uid="{4D4DB840-1397-45FE-9E78-E91EDC4E17DF}">
      <text>
        <r>
          <rPr>
            <b/>
            <sz val="9"/>
            <color indexed="81"/>
            <rFont val="Tahoma"/>
            <family val="2"/>
          </rPr>
          <t>Author:</t>
        </r>
        <r>
          <rPr>
            <sz val="9"/>
            <color indexed="81"/>
            <rFont val="Tahoma"/>
            <family val="2"/>
          </rPr>
          <t xml:space="preserve">
5% Scrap Value</t>
        </r>
      </text>
    </comment>
    <comment ref="U51" authorId="0" shapeId="0" xr:uid="{23C628A5-5C97-4E68-BA3F-943F6E5F353F}">
      <text>
        <r>
          <rPr>
            <b/>
            <sz val="9"/>
            <color indexed="81"/>
            <rFont val="Tahoma"/>
            <family val="2"/>
          </rPr>
          <t>Author:</t>
        </r>
        <r>
          <rPr>
            <sz val="9"/>
            <color indexed="81"/>
            <rFont val="Tahoma"/>
            <family val="2"/>
          </rPr>
          <t xml:space="preserve">
5% Scrap Value</t>
        </r>
      </text>
    </comment>
    <comment ref="AB51" authorId="0" shapeId="0" xr:uid="{BE1F2E0B-1454-4DF0-88CF-30C631264EFF}">
      <text>
        <r>
          <rPr>
            <b/>
            <sz val="9"/>
            <color indexed="81"/>
            <rFont val="Tahoma"/>
            <family val="2"/>
          </rPr>
          <t>Author:</t>
        </r>
        <r>
          <rPr>
            <sz val="9"/>
            <color indexed="81"/>
            <rFont val="Tahoma"/>
            <family val="2"/>
          </rPr>
          <t xml:space="preserve">
5% Scrap Value</t>
        </r>
      </text>
    </comment>
    <comment ref="AI51" authorId="0" shapeId="0" xr:uid="{5E508ED8-77C5-4BFC-9410-2FCCD9542CFE}">
      <text>
        <r>
          <rPr>
            <b/>
            <sz val="9"/>
            <color indexed="81"/>
            <rFont val="Tahoma"/>
            <family val="2"/>
          </rPr>
          <t>Author:</t>
        </r>
        <r>
          <rPr>
            <sz val="9"/>
            <color indexed="81"/>
            <rFont val="Tahoma"/>
            <family val="2"/>
          </rPr>
          <t xml:space="preserve">
5% Scrap Value</t>
        </r>
      </text>
    </comment>
    <comment ref="M52" authorId="0" shapeId="0" xr:uid="{AC8C46A2-EC5F-4948-B73C-675AC04DEFCF}">
      <text>
        <r>
          <rPr>
            <b/>
            <sz val="9"/>
            <color indexed="81"/>
            <rFont val="Tahoma"/>
            <family val="2"/>
          </rPr>
          <t>Author:</t>
        </r>
        <r>
          <rPr>
            <sz val="9"/>
            <color indexed="81"/>
            <rFont val="Tahoma"/>
            <family val="2"/>
          </rPr>
          <t xml:space="preserve">
5% Scrap Value</t>
        </r>
      </text>
    </comment>
    <comment ref="U52" authorId="0" shapeId="0" xr:uid="{E59DE2C6-1D4C-4302-A823-6F04F1A4AA55}">
      <text>
        <r>
          <rPr>
            <b/>
            <sz val="9"/>
            <color indexed="81"/>
            <rFont val="Tahoma"/>
            <family val="2"/>
          </rPr>
          <t>Author:</t>
        </r>
        <r>
          <rPr>
            <sz val="9"/>
            <color indexed="81"/>
            <rFont val="Tahoma"/>
            <family val="2"/>
          </rPr>
          <t xml:space="preserve">
5% Scrap Value</t>
        </r>
      </text>
    </comment>
    <comment ref="AB52" authorId="0" shapeId="0" xr:uid="{E86C5112-0941-4235-BDD2-FD86727D3D86}">
      <text>
        <r>
          <rPr>
            <b/>
            <sz val="9"/>
            <color indexed="81"/>
            <rFont val="Tahoma"/>
            <family val="2"/>
          </rPr>
          <t>Author:</t>
        </r>
        <r>
          <rPr>
            <sz val="9"/>
            <color indexed="81"/>
            <rFont val="Tahoma"/>
            <family val="2"/>
          </rPr>
          <t xml:space="preserve">
5% Scrap Value</t>
        </r>
      </text>
    </comment>
    <comment ref="AI52" authorId="0" shapeId="0" xr:uid="{11374039-4CDA-4346-BA50-DF263A753266}">
      <text>
        <r>
          <rPr>
            <b/>
            <sz val="9"/>
            <color indexed="81"/>
            <rFont val="Tahoma"/>
            <family val="2"/>
          </rPr>
          <t>Author:</t>
        </r>
        <r>
          <rPr>
            <sz val="9"/>
            <color indexed="81"/>
            <rFont val="Tahoma"/>
            <family val="2"/>
          </rPr>
          <t xml:space="preserve">
5% Scrap Value</t>
        </r>
      </text>
    </comment>
    <comment ref="M53" authorId="0" shapeId="0" xr:uid="{C6CA650B-8293-416E-889B-153BC35F870A}">
      <text>
        <r>
          <rPr>
            <b/>
            <sz val="9"/>
            <color indexed="81"/>
            <rFont val="Tahoma"/>
            <family val="2"/>
          </rPr>
          <t>Author:</t>
        </r>
        <r>
          <rPr>
            <sz val="9"/>
            <color indexed="81"/>
            <rFont val="Tahoma"/>
            <family val="2"/>
          </rPr>
          <t xml:space="preserve">
5% Scrap Value</t>
        </r>
      </text>
    </comment>
    <comment ref="U53" authorId="0" shapeId="0" xr:uid="{752AC262-F8BC-44F4-9E7F-930E9D88FFBF}">
      <text>
        <r>
          <rPr>
            <b/>
            <sz val="9"/>
            <color indexed="81"/>
            <rFont val="Tahoma"/>
            <family val="2"/>
          </rPr>
          <t>Author:</t>
        </r>
        <r>
          <rPr>
            <sz val="9"/>
            <color indexed="81"/>
            <rFont val="Tahoma"/>
            <family val="2"/>
          </rPr>
          <t xml:space="preserve">
5% Scrap Value</t>
        </r>
      </text>
    </comment>
    <comment ref="AB53" authorId="0" shapeId="0" xr:uid="{58EA8EA5-BA25-4487-9F3D-40C44B84B8F5}">
      <text>
        <r>
          <rPr>
            <b/>
            <sz val="9"/>
            <color indexed="81"/>
            <rFont val="Tahoma"/>
            <family val="2"/>
          </rPr>
          <t>Author:</t>
        </r>
        <r>
          <rPr>
            <sz val="9"/>
            <color indexed="81"/>
            <rFont val="Tahoma"/>
            <family val="2"/>
          </rPr>
          <t xml:space="preserve">
5% Scrap Value</t>
        </r>
      </text>
    </comment>
    <comment ref="AI53" authorId="0" shapeId="0" xr:uid="{12DB102D-ABB3-43F0-961C-E7A36385D2AF}">
      <text>
        <r>
          <rPr>
            <b/>
            <sz val="9"/>
            <color indexed="81"/>
            <rFont val="Tahoma"/>
            <family val="2"/>
          </rPr>
          <t>Author:</t>
        </r>
        <r>
          <rPr>
            <sz val="9"/>
            <color indexed="81"/>
            <rFont val="Tahoma"/>
            <family val="2"/>
          </rPr>
          <t xml:space="preserve">
5% Scrap Value</t>
        </r>
      </text>
    </comment>
    <comment ref="M54" authorId="0" shapeId="0" xr:uid="{BD19B22B-6A77-43B4-AFA2-429C6DF9B91D}">
      <text>
        <r>
          <rPr>
            <b/>
            <sz val="9"/>
            <color indexed="81"/>
            <rFont val="Tahoma"/>
            <family val="2"/>
          </rPr>
          <t>Author:</t>
        </r>
        <r>
          <rPr>
            <sz val="9"/>
            <color indexed="81"/>
            <rFont val="Tahoma"/>
            <family val="2"/>
          </rPr>
          <t xml:space="preserve">
5% Scrap Value</t>
        </r>
      </text>
    </comment>
    <comment ref="U54" authorId="0" shapeId="0" xr:uid="{C68C2FC3-B5B0-48A6-AB0D-05C1828E85DA}">
      <text>
        <r>
          <rPr>
            <b/>
            <sz val="9"/>
            <color indexed="81"/>
            <rFont val="Tahoma"/>
            <family val="2"/>
          </rPr>
          <t>Author:</t>
        </r>
        <r>
          <rPr>
            <sz val="9"/>
            <color indexed="81"/>
            <rFont val="Tahoma"/>
            <family val="2"/>
          </rPr>
          <t xml:space="preserve">
5% Scrap Value</t>
        </r>
      </text>
    </comment>
    <comment ref="AB54" authorId="0" shapeId="0" xr:uid="{DFA8103B-7159-45B1-B815-4C02B4F63ADC}">
      <text>
        <r>
          <rPr>
            <b/>
            <sz val="9"/>
            <color indexed="81"/>
            <rFont val="Tahoma"/>
            <family val="2"/>
          </rPr>
          <t>Author:</t>
        </r>
        <r>
          <rPr>
            <sz val="9"/>
            <color indexed="81"/>
            <rFont val="Tahoma"/>
            <family val="2"/>
          </rPr>
          <t xml:space="preserve">
5% Scrap Value</t>
        </r>
      </text>
    </comment>
    <comment ref="AI54" authorId="0" shapeId="0" xr:uid="{C25DB361-F020-423A-822F-6668C42400FA}">
      <text>
        <r>
          <rPr>
            <b/>
            <sz val="9"/>
            <color indexed="81"/>
            <rFont val="Tahoma"/>
            <family val="2"/>
          </rPr>
          <t>Author:</t>
        </r>
        <r>
          <rPr>
            <sz val="9"/>
            <color indexed="81"/>
            <rFont val="Tahoma"/>
            <family val="2"/>
          </rPr>
          <t xml:space="preserve">
5% Scrap Value</t>
        </r>
      </text>
    </comment>
    <comment ref="M55" authorId="0" shapeId="0" xr:uid="{CE24A248-FA4A-4C92-85BD-0B2AE7DD1DDC}">
      <text>
        <r>
          <rPr>
            <b/>
            <sz val="9"/>
            <color indexed="81"/>
            <rFont val="Tahoma"/>
            <family val="2"/>
          </rPr>
          <t>Author:</t>
        </r>
        <r>
          <rPr>
            <sz val="9"/>
            <color indexed="81"/>
            <rFont val="Tahoma"/>
            <family val="2"/>
          </rPr>
          <t xml:space="preserve">
5% Scrap Value</t>
        </r>
      </text>
    </comment>
    <comment ref="U55" authorId="0" shapeId="0" xr:uid="{68181356-1328-4B4E-A974-30D6B2052CD7}">
      <text>
        <r>
          <rPr>
            <b/>
            <sz val="9"/>
            <color indexed="81"/>
            <rFont val="Tahoma"/>
            <family val="2"/>
          </rPr>
          <t>Author:</t>
        </r>
        <r>
          <rPr>
            <sz val="9"/>
            <color indexed="81"/>
            <rFont val="Tahoma"/>
            <family val="2"/>
          </rPr>
          <t xml:space="preserve">
5% Scrap Value</t>
        </r>
      </text>
    </comment>
    <comment ref="AB55" authorId="0" shapeId="0" xr:uid="{0EB42ADF-9705-4EB3-B90D-3FE0D912834B}">
      <text>
        <r>
          <rPr>
            <b/>
            <sz val="9"/>
            <color indexed="81"/>
            <rFont val="Tahoma"/>
            <family val="2"/>
          </rPr>
          <t>Author:</t>
        </r>
        <r>
          <rPr>
            <sz val="9"/>
            <color indexed="81"/>
            <rFont val="Tahoma"/>
            <family val="2"/>
          </rPr>
          <t xml:space="preserve">
5% Scrap Value</t>
        </r>
      </text>
    </comment>
    <comment ref="AI55" authorId="0" shapeId="0" xr:uid="{38046DEC-6350-4015-839E-9018828AECB4}">
      <text>
        <r>
          <rPr>
            <b/>
            <sz val="9"/>
            <color indexed="81"/>
            <rFont val="Tahoma"/>
            <family val="2"/>
          </rPr>
          <t>Author:</t>
        </r>
        <r>
          <rPr>
            <sz val="9"/>
            <color indexed="81"/>
            <rFont val="Tahoma"/>
            <family val="2"/>
          </rPr>
          <t xml:space="preserve">
5% Scrap Value</t>
        </r>
      </text>
    </comment>
    <comment ref="M56" authorId="0" shapeId="0" xr:uid="{2A5CB9DB-8B6D-4C1C-856A-84BF4268A6DD}">
      <text>
        <r>
          <rPr>
            <b/>
            <sz val="9"/>
            <color indexed="81"/>
            <rFont val="Tahoma"/>
            <family val="2"/>
          </rPr>
          <t>Author:</t>
        </r>
        <r>
          <rPr>
            <sz val="9"/>
            <color indexed="81"/>
            <rFont val="Tahoma"/>
            <family val="2"/>
          </rPr>
          <t xml:space="preserve">
5% Scrap Value</t>
        </r>
      </text>
    </comment>
    <comment ref="U56" authorId="0" shapeId="0" xr:uid="{BF3B0EEA-AABF-429A-B2CB-4CB8FCB8D264}">
      <text>
        <r>
          <rPr>
            <b/>
            <sz val="9"/>
            <color indexed="81"/>
            <rFont val="Tahoma"/>
            <family val="2"/>
          </rPr>
          <t>Author:</t>
        </r>
        <r>
          <rPr>
            <sz val="9"/>
            <color indexed="81"/>
            <rFont val="Tahoma"/>
            <family val="2"/>
          </rPr>
          <t xml:space="preserve">
5% Scrap Value</t>
        </r>
      </text>
    </comment>
    <comment ref="AB56" authorId="0" shapeId="0" xr:uid="{8202DD1B-D341-4524-95D9-0B014A1859FB}">
      <text>
        <r>
          <rPr>
            <b/>
            <sz val="9"/>
            <color indexed="81"/>
            <rFont val="Tahoma"/>
            <family val="2"/>
          </rPr>
          <t>Author:</t>
        </r>
        <r>
          <rPr>
            <sz val="9"/>
            <color indexed="81"/>
            <rFont val="Tahoma"/>
            <family val="2"/>
          </rPr>
          <t xml:space="preserve">
5% Scrap Value</t>
        </r>
      </text>
    </comment>
    <comment ref="AI56" authorId="0" shapeId="0" xr:uid="{A19BC4B7-4151-40D6-ADC9-1A31A3F90224}">
      <text>
        <r>
          <rPr>
            <b/>
            <sz val="9"/>
            <color indexed="81"/>
            <rFont val="Tahoma"/>
            <family val="2"/>
          </rPr>
          <t>Author:</t>
        </r>
        <r>
          <rPr>
            <sz val="9"/>
            <color indexed="81"/>
            <rFont val="Tahoma"/>
            <family val="2"/>
          </rPr>
          <t xml:space="preserve">
5% Scrap Value</t>
        </r>
      </text>
    </comment>
    <comment ref="M57" authorId="0" shapeId="0" xr:uid="{0AC97834-1BF6-4AF9-B312-7818EF9F8E80}">
      <text>
        <r>
          <rPr>
            <b/>
            <sz val="9"/>
            <color indexed="81"/>
            <rFont val="Tahoma"/>
            <family val="2"/>
          </rPr>
          <t>Author:</t>
        </r>
        <r>
          <rPr>
            <sz val="9"/>
            <color indexed="81"/>
            <rFont val="Tahoma"/>
            <family val="2"/>
          </rPr>
          <t xml:space="preserve">
5% Scrap Value</t>
        </r>
      </text>
    </comment>
    <comment ref="U57" authorId="0" shapeId="0" xr:uid="{B06DB2F9-9924-47DB-B535-34C9FCDD5E30}">
      <text>
        <r>
          <rPr>
            <b/>
            <sz val="9"/>
            <color indexed="81"/>
            <rFont val="Tahoma"/>
            <family val="2"/>
          </rPr>
          <t>Author:</t>
        </r>
        <r>
          <rPr>
            <sz val="9"/>
            <color indexed="81"/>
            <rFont val="Tahoma"/>
            <family val="2"/>
          </rPr>
          <t xml:space="preserve">
5% Scrap Value</t>
        </r>
      </text>
    </comment>
    <comment ref="AB57" authorId="0" shapeId="0" xr:uid="{5345BD5D-736E-4747-9EDF-A4D5A35E141E}">
      <text>
        <r>
          <rPr>
            <b/>
            <sz val="9"/>
            <color indexed="81"/>
            <rFont val="Tahoma"/>
            <family val="2"/>
          </rPr>
          <t>Author:</t>
        </r>
        <r>
          <rPr>
            <sz val="9"/>
            <color indexed="81"/>
            <rFont val="Tahoma"/>
            <family val="2"/>
          </rPr>
          <t xml:space="preserve">
5% Scrap Value</t>
        </r>
      </text>
    </comment>
    <comment ref="AI57" authorId="0" shapeId="0" xr:uid="{1F7B21BD-8BF1-4CA0-ACDB-0E14CA435B8C}">
      <text>
        <r>
          <rPr>
            <b/>
            <sz val="9"/>
            <color indexed="81"/>
            <rFont val="Tahoma"/>
            <family val="2"/>
          </rPr>
          <t>Author:</t>
        </r>
        <r>
          <rPr>
            <sz val="9"/>
            <color indexed="81"/>
            <rFont val="Tahoma"/>
            <family val="2"/>
          </rPr>
          <t xml:space="preserve">
5% Scrap Value</t>
        </r>
      </text>
    </comment>
    <comment ref="M58" authorId="0" shapeId="0" xr:uid="{B607A204-D8CC-435F-B15D-8D9362604325}">
      <text>
        <r>
          <rPr>
            <b/>
            <sz val="9"/>
            <color indexed="81"/>
            <rFont val="Tahoma"/>
            <family val="2"/>
          </rPr>
          <t>Author:</t>
        </r>
        <r>
          <rPr>
            <sz val="9"/>
            <color indexed="81"/>
            <rFont val="Tahoma"/>
            <family val="2"/>
          </rPr>
          <t xml:space="preserve">
5% Scrap Value</t>
        </r>
      </text>
    </comment>
    <comment ref="U58" authorId="0" shapeId="0" xr:uid="{8DEF5EBB-B889-4432-A398-BC8C55313674}">
      <text>
        <r>
          <rPr>
            <b/>
            <sz val="9"/>
            <color indexed="81"/>
            <rFont val="Tahoma"/>
            <family val="2"/>
          </rPr>
          <t>Author:</t>
        </r>
        <r>
          <rPr>
            <sz val="9"/>
            <color indexed="81"/>
            <rFont val="Tahoma"/>
            <family val="2"/>
          </rPr>
          <t xml:space="preserve">
5% Scrap Value</t>
        </r>
      </text>
    </comment>
    <comment ref="AB58" authorId="0" shapeId="0" xr:uid="{4C885F43-5772-4751-AC7A-2FE81354E3A1}">
      <text>
        <r>
          <rPr>
            <b/>
            <sz val="9"/>
            <color indexed="81"/>
            <rFont val="Tahoma"/>
            <family val="2"/>
          </rPr>
          <t>Author:</t>
        </r>
        <r>
          <rPr>
            <sz val="9"/>
            <color indexed="81"/>
            <rFont val="Tahoma"/>
            <family val="2"/>
          </rPr>
          <t xml:space="preserve">
5% Scrap Value</t>
        </r>
      </text>
    </comment>
    <comment ref="AI58" authorId="0" shapeId="0" xr:uid="{9C96E120-989C-4281-9D61-30039B23179A}">
      <text>
        <r>
          <rPr>
            <b/>
            <sz val="9"/>
            <color indexed="81"/>
            <rFont val="Tahoma"/>
            <family val="2"/>
          </rPr>
          <t>Author:</t>
        </r>
        <r>
          <rPr>
            <sz val="9"/>
            <color indexed="81"/>
            <rFont val="Tahoma"/>
            <family val="2"/>
          </rPr>
          <t xml:space="preserve">
5% Scrap Value</t>
        </r>
      </text>
    </comment>
    <comment ref="M59" authorId="0" shapeId="0" xr:uid="{8B02B4D2-C4FA-4533-ACD5-5BB30EB9C1C5}">
      <text>
        <r>
          <rPr>
            <b/>
            <sz val="9"/>
            <color indexed="81"/>
            <rFont val="Tahoma"/>
            <family val="2"/>
          </rPr>
          <t>Author:</t>
        </r>
        <r>
          <rPr>
            <sz val="9"/>
            <color indexed="81"/>
            <rFont val="Tahoma"/>
            <family val="2"/>
          </rPr>
          <t xml:space="preserve">
5% Scrap Value</t>
        </r>
      </text>
    </comment>
    <comment ref="U59" authorId="0" shapeId="0" xr:uid="{BCFE7C7B-7195-4381-88A2-84788EF45CDE}">
      <text>
        <r>
          <rPr>
            <b/>
            <sz val="9"/>
            <color indexed="81"/>
            <rFont val="Tahoma"/>
            <family val="2"/>
          </rPr>
          <t>Author:</t>
        </r>
        <r>
          <rPr>
            <sz val="9"/>
            <color indexed="81"/>
            <rFont val="Tahoma"/>
            <family val="2"/>
          </rPr>
          <t xml:space="preserve">
5% Scrap Value</t>
        </r>
      </text>
    </comment>
    <comment ref="AB59" authorId="0" shapeId="0" xr:uid="{011D3640-5E16-4515-A0AE-E6F0591A0EC1}">
      <text>
        <r>
          <rPr>
            <b/>
            <sz val="9"/>
            <color indexed="81"/>
            <rFont val="Tahoma"/>
            <family val="2"/>
          </rPr>
          <t>Author:</t>
        </r>
        <r>
          <rPr>
            <sz val="9"/>
            <color indexed="81"/>
            <rFont val="Tahoma"/>
            <family val="2"/>
          </rPr>
          <t xml:space="preserve">
5% Scrap Value</t>
        </r>
      </text>
    </comment>
    <comment ref="AI59" authorId="0" shapeId="0" xr:uid="{5F61EC0C-59C3-498C-8786-83F327BBFB4B}">
      <text>
        <r>
          <rPr>
            <b/>
            <sz val="9"/>
            <color indexed="81"/>
            <rFont val="Tahoma"/>
            <family val="2"/>
          </rPr>
          <t>Author:</t>
        </r>
        <r>
          <rPr>
            <sz val="9"/>
            <color indexed="81"/>
            <rFont val="Tahoma"/>
            <family val="2"/>
          </rPr>
          <t xml:space="preserve">
5% Scrap Value</t>
        </r>
      </text>
    </comment>
    <comment ref="M60" authorId="0" shapeId="0" xr:uid="{9339FF4E-F122-4849-8DB1-E120EA0A7113}">
      <text>
        <r>
          <rPr>
            <b/>
            <sz val="9"/>
            <color indexed="81"/>
            <rFont val="Tahoma"/>
            <family val="2"/>
          </rPr>
          <t>Author:</t>
        </r>
        <r>
          <rPr>
            <sz val="9"/>
            <color indexed="81"/>
            <rFont val="Tahoma"/>
            <family val="2"/>
          </rPr>
          <t xml:space="preserve">
5% Scrap Value</t>
        </r>
      </text>
    </comment>
    <comment ref="U60" authorId="0" shapeId="0" xr:uid="{818EAF72-C9DA-4754-B134-B6DE51DCF0BF}">
      <text>
        <r>
          <rPr>
            <b/>
            <sz val="9"/>
            <color indexed="81"/>
            <rFont val="Tahoma"/>
            <family val="2"/>
          </rPr>
          <t>Author:</t>
        </r>
        <r>
          <rPr>
            <sz val="9"/>
            <color indexed="81"/>
            <rFont val="Tahoma"/>
            <family val="2"/>
          </rPr>
          <t xml:space="preserve">
5% Scrap Value</t>
        </r>
      </text>
    </comment>
    <comment ref="AB60" authorId="0" shapeId="0" xr:uid="{1767CC84-63AB-4E83-A1F3-05280549ED30}">
      <text>
        <r>
          <rPr>
            <b/>
            <sz val="9"/>
            <color indexed="81"/>
            <rFont val="Tahoma"/>
            <family val="2"/>
          </rPr>
          <t>Author:</t>
        </r>
        <r>
          <rPr>
            <sz val="9"/>
            <color indexed="81"/>
            <rFont val="Tahoma"/>
            <family val="2"/>
          </rPr>
          <t xml:space="preserve">
5% Scrap Value</t>
        </r>
      </text>
    </comment>
    <comment ref="AI60" authorId="0" shapeId="0" xr:uid="{0B12CF81-048A-4527-929C-68D000B195F6}">
      <text>
        <r>
          <rPr>
            <b/>
            <sz val="9"/>
            <color indexed="81"/>
            <rFont val="Tahoma"/>
            <family val="2"/>
          </rPr>
          <t>Author:</t>
        </r>
        <r>
          <rPr>
            <sz val="9"/>
            <color indexed="81"/>
            <rFont val="Tahoma"/>
            <family val="2"/>
          </rPr>
          <t xml:space="preserve">
5% Scrap Value</t>
        </r>
      </text>
    </comment>
    <comment ref="M61" authorId="0" shapeId="0" xr:uid="{69BF958D-5545-4DBE-9CE5-E94C9A98256C}">
      <text>
        <r>
          <rPr>
            <b/>
            <sz val="9"/>
            <color indexed="81"/>
            <rFont val="Tahoma"/>
            <family val="2"/>
          </rPr>
          <t>Author:</t>
        </r>
        <r>
          <rPr>
            <sz val="9"/>
            <color indexed="81"/>
            <rFont val="Tahoma"/>
            <family val="2"/>
          </rPr>
          <t xml:space="preserve">
5% Scrap Value</t>
        </r>
      </text>
    </comment>
    <comment ref="U61" authorId="0" shapeId="0" xr:uid="{3454A147-1747-4637-B211-BDC1DAC07FF7}">
      <text>
        <r>
          <rPr>
            <b/>
            <sz val="9"/>
            <color indexed="81"/>
            <rFont val="Tahoma"/>
            <family val="2"/>
          </rPr>
          <t>Author:</t>
        </r>
        <r>
          <rPr>
            <sz val="9"/>
            <color indexed="81"/>
            <rFont val="Tahoma"/>
            <family val="2"/>
          </rPr>
          <t xml:space="preserve">
5% Scrap Value</t>
        </r>
      </text>
    </comment>
    <comment ref="AB61" authorId="0" shapeId="0" xr:uid="{026D7808-FE1F-4DED-910D-7274AF198E52}">
      <text>
        <r>
          <rPr>
            <b/>
            <sz val="9"/>
            <color indexed="81"/>
            <rFont val="Tahoma"/>
            <family val="2"/>
          </rPr>
          <t>Author:</t>
        </r>
        <r>
          <rPr>
            <sz val="9"/>
            <color indexed="81"/>
            <rFont val="Tahoma"/>
            <family val="2"/>
          </rPr>
          <t xml:space="preserve">
5% Scrap Value</t>
        </r>
      </text>
    </comment>
    <comment ref="AI61" authorId="0" shapeId="0" xr:uid="{6DAFB534-9717-4911-BBC1-0CB2F683070A}">
      <text>
        <r>
          <rPr>
            <b/>
            <sz val="9"/>
            <color indexed="81"/>
            <rFont val="Tahoma"/>
            <family val="2"/>
          </rPr>
          <t>Author:</t>
        </r>
        <r>
          <rPr>
            <sz val="9"/>
            <color indexed="81"/>
            <rFont val="Tahoma"/>
            <family val="2"/>
          </rPr>
          <t xml:space="preserve">
5% Scrap Value</t>
        </r>
      </text>
    </comment>
    <comment ref="M62" authorId="0" shapeId="0" xr:uid="{F3A24EAA-E6B0-4BBC-A2AD-EA4A6FCD649C}">
      <text>
        <r>
          <rPr>
            <b/>
            <sz val="9"/>
            <color indexed="81"/>
            <rFont val="Tahoma"/>
            <family val="2"/>
          </rPr>
          <t>Author:</t>
        </r>
        <r>
          <rPr>
            <sz val="9"/>
            <color indexed="81"/>
            <rFont val="Tahoma"/>
            <family val="2"/>
          </rPr>
          <t xml:space="preserve">
5% Scrap Value</t>
        </r>
      </text>
    </comment>
    <comment ref="U62" authorId="0" shapeId="0" xr:uid="{5FB1F8B4-F400-415D-8083-D10F6EF73942}">
      <text>
        <r>
          <rPr>
            <b/>
            <sz val="9"/>
            <color indexed="81"/>
            <rFont val="Tahoma"/>
            <family val="2"/>
          </rPr>
          <t>Author:</t>
        </r>
        <r>
          <rPr>
            <sz val="9"/>
            <color indexed="81"/>
            <rFont val="Tahoma"/>
            <family val="2"/>
          </rPr>
          <t xml:space="preserve">
5% Scrap Value</t>
        </r>
      </text>
    </comment>
    <comment ref="AB62" authorId="0" shapeId="0" xr:uid="{4ACCFCA5-25A4-492A-990C-0A4D678832F6}">
      <text>
        <r>
          <rPr>
            <b/>
            <sz val="9"/>
            <color indexed="81"/>
            <rFont val="Tahoma"/>
            <family val="2"/>
          </rPr>
          <t>Author:</t>
        </r>
        <r>
          <rPr>
            <sz val="9"/>
            <color indexed="81"/>
            <rFont val="Tahoma"/>
            <family val="2"/>
          </rPr>
          <t xml:space="preserve">
5% Scrap Value</t>
        </r>
      </text>
    </comment>
    <comment ref="AI62" authorId="0" shapeId="0" xr:uid="{11D794C7-4690-4329-B8A0-9170CC1FF0E1}">
      <text>
        <r>
          <rPr>
            <b/>
            <sz val="9"/>
            <color indexed="81"/>
            <rFont val="Tahoma"/>
            <family val="2"/>
          </rPr>
          <t>Author:</t>
        </r>
        <r>
          <rPr>
            <sz val="9"/>
            <color indexed="81"/>
            <rFont val="Tahoma"/>
            <family val="2"/>
          </rPr>
          <t xml:space="preserve">
5% Scrap Value</t>
        </r>
      </text>
    </comment>
    <comment ref="M63" authorId="0" shapeId="0" xr:uid="{0F7B179E-BADF-4BAE-B04D-2C0A1FB535E2}">
      <text>
        <r>
          <rPr>
            <b/>
            <sz val="9"/>
            <color indexed="81"/>
            <rFont val="Tahoma"/>
            <family val="2"/>
          </rPr>
          <t>Author:</t>
        </r>
        <r>
          <rPr>
            <sz val="9"/>
            <color indexed="81"/>
            <rFont val="Tahoma"/>
            <family val="2"/>
          </rPr>
          <t xml:space="preserve">
5% Scrap Value</t>
        </r>
      </text>
    </comment>
    <comment ref="U63" authorId="0" shapeId="0" xr:uid="{CE3E7F7B-800B-40D3-8B2B-E044C4BD614E}">
      <text>
        <r>
          <rPr>
            <b/>
            <sz val="9"/>
            <color indexed="81"/>
            <rFont val="Tahoma"/>
            <family val="2"/>
          </rPr>
          <t>Author:</t>
        </r>
        <r>
          <rPr>
            <sz val="9"/>
            <color indexed="81"/>
            <rFont val="Tahoma"/>
            <family val="2"/>
          </rPr>
          <t xml:space="preserve">
5% Scrap Value</t>
        </r>
      </text>
    </comment>
    <comment ref="AB63" authorId="0" shapeId="0" xr:uid="{BDE8AEEB-CD9B-4664-892B-C3BBDD24E8DE}">
      <text>
        <r>
          <rPr>
            <b/>
            <sz val="9"/>
            <color indexed="81"/>
            <rFont val="Tahoma"/>
            <family val="2"/>
          </rPr>
          <t>Author:</t>
        </r>
        <r>
          <rPr>
            <sz val="9"/>
            <color indexed="81"/>
            <rFont val="Tahoma"/>
            <family val="2"/>
          </rPr>
          <t xml:space="preserve">
5% Scrap Value</t>
        </r>
      </text>
    </comment>
    <comment ref="AI63" authorId="0" shapeId="0" xr:uid="{D1F54C0B-F4FF-4B00-AD96-792FB3EECC54}">
      <text>
        <r>
          <rPr>
            <b/>
            <sz val="9"/>
            <color indexed="81"/>
            <rFont val="Tahoma"/>
            <family val="2"/>
          </rPr>
          <t>Author:</t>
        </r>
        <r>
          <rPr>
            <sz val="9"/>
            <color indexed="81"/>
            <rFont val="Tahoma"/>
            <family val="2"/>
          </rPr>
          <t xml:space="preserve">
5% Scrap Value</t>
        </r>
      </text>
    </comment>
    <comment ref="U64" authorId="0" shapeId="0" xr:uid="{58FC1A56-B2F0-46A6-A2E7-A86F2E5FB6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Assets value to be maintained @5% of original cost as Salvage Value
On the request of Mr.Anwar</t>
        </r>
      </text>
    </comment>
    <comment ref="AB64" authorId="0" shapeId="0" xr:uid="{937B882C-9D76-4638-B940-5B9293D7CEB7}">
      <text>
        <r>
          <rPr>
            <b/>
            <sz val="9"/>
            <color indexed="81"/>
            <rFont val="Tahoma"/>
            <family val="2"/>
          </rPr>
          <t>Author:</t>
        </r>
        <r>
          <rPr>
            <sz val="9"/>
            <color indexed="81"/>
            <rFont val="Tahoma"/>
            <family val="2"/>
          </rPr>
          <t xml:space="preserve">
5% Scrap Value</t>
        </r>
      </text>
    </comment>
    <comment ref="AI64" authorId="0" shapeId="0" xr:uid="{CEDC208B-7565-44D8-922E-1D20F222C212}">
      <text>
        <r>
          <rPr>
            <b/>
            <sz val="9"/>
            <color indexed="81"/>
            <rFont val="Tahoma"/>
            <family val="2"/>
          </rPr>
          <t>Author:</t>
        </r>
        <r>
          <rPr>
            <sz val="9"/>
            <color indexed="81"/>
            <rFont val="Tahoma"/>
            <family val="2"/>
          </rPr>
          <t xml:space="preserve">
5% Scrap Value</t>
        </r>
      </text>
    </comment>
    <comment ref="AB65" authorId="0" shapeId="0" xr:uid="{CEC77973-59FC-4233-A18C-19AF446A48FC}">
      <text>
        <r>
          <rPr>
            <b/>
            <sz val="9"/>
            <color indexed="81"/>
            <rFont val="Tahoma"/>
            <family val="2"/>
          </rPr>
          <t>Author:</t>
        </r>
        <r>
          <rPr>
            <sz val="9"/>
            <color indexed="81"/>
            <rFont val="Tahoma"/>
            <family val="2"/>
          </rPr>
          <t xml:space="preserve">
5% Scrap Value</t>
        </r>
      </text>
    </comment>
    <comment ref="AI65" authorId="0" shapeId="0" xr:uid="{7D620591-60A5-41D4-B791-F961665C3C39}">
      <text>
        <r>
          <rPr>
            <b/>
            <sz val="9"/>
            <color indexed="81"/>
            <rFont val="Tahoma"/>
            <family val="2"/>
          </rPr>
          <t>Author:</t>
        </r>
        <r>
          <rPr>
            <sz val="9"/>
            <color indexed="81"/>
            <rFont val="Tahoma"/>
            <family val="2"/>
          </rPr>
          <t xml:space="preserve">
5% Scrap Value</t>
        </r>
      </text>
    </comment>
    <comment ref="AB66" authorId="0" shapeId="0" xr:uid="{57C71DB9-1CBE-466E-8522-E158CD8F46F9}">
      <text>
        <r>
          <rPr>
            <b/>
            <sz val="9"/>
            <color indexed="81"/>
            <rFont val="Tahoma"/>
            <family val="2"/>
          </rPr>
          <t>Author:</t>
        </r>
        <r>
          <rPr>
            <sz val="9"/>
            <color indexed="81"/>
            <rFont val="Tahoma"/>
            <family val="2"/>
          </rPr>
          <t xml:space="preserve">
5% Scrap Value</t>
        </r>
      </text>
    </comment>
    <comment ref="AI66" authorId="0" shapeId="0" xr:uid="{A50C2ACA-F325-4090-83D7-932C189C17E8}">
      <text>
        <r>
          <rPr>
            <b/>
            <sz val="9"/>
            <color indexed="81"/>
            <rFont val="Tahoma"/>
            <family val="2"/>
          </rPr>
          <t>Author:</t>
        </r>
        <r>
          <rPr>
            <sz val="9"/>
            <color indexed="81"/>
            <rFont val="Tahoma"/>
            <family val="2"/>
          </rPr>
          <t xml:space="preserve">
5% Scrap Value</t>
        </r>
      </text>
    </comment>
    <comment ref="AB67" authorId="0" shapeId="0" xr:uid="{E0F13149-2222-4B52-B668-548EF2AD2636}">
      <text>
        <r>
          <rPr>
            <b/>
            <sz val="9"/>
            <color indexed="81"/>
            <rFont val="Tahoma"/>
            <family val="2"/>
          </rPr>
          <t>Author:</t>
        </r>
        <r>
          <rPr>
            <sz val="9"/>
            <color indexed="81"/>
            <rFont val="Tahoma"/>
            <family val="2"/>
          </rPr>
          <t xml:space="preserve">
5% Scrap Value</t>
        </r>
      </text>
    </comment>
    <comment ref="AI67" authorId="0" shapeId="0" xr:uid="{E72B32C4-3686-4A4C-85DA-4981E18A62C4}">
      <text>
        <r>
          <rPr>
            <b/>
            <sz val="9"/>
            <color indexed="81"/>
            <rFont val="Tahoma"/>
            <family val="2"/>
          </rPr>
          <t>Author:</t>
        </r>
        <r>
          <rPr>
            <sz val="9"/>
            <color indexed="81"/>
            <rFont val="Tahoma"/>
            <family val="2"/>
          </rPr>
          <t xml:space="preserve">
5% Scrap Value</t>
        </r>
      </text>
    </comment>
    <comment ref="AB68" authorId="0" shapeId="0" xr:uid="{9D139C26-EB09-4D99-B5C0-BA6CCEB32B83}">
      <text>
        <r>
          <rPr>
            <b/>
            <sz val="9"/>
            <color indexed="81"/>
            <rFont val="Tahoma"/>
            <family val="2"/>
          </rPr>
          <t>Author:</t>
        </r>
        <r>
          <rPr>
            <sz val="9"/>
            <color indexed="81"/>
            <rFont val="Tahoma"/>
            <family val="2"/>
          </rPr>
          <t xml:space="preserve">
5% Scrap Value</t>
        </r>
      </text>
    </comment>
    <comment ref="AI68" authorId="0" shapeId="0" xr:uid="{6B9B4320-60DC-4DEB-8396-38D106AF0F30}">
      <text>
        <r>
          <rPr>
            <b/>
            <sz val="9"/>
            <color indexed="81"/>
            <rFont val="Tahoma"/>
            <family val="2"/>
          </rPr>
          <t>Author:</t>
        </r>
        <r>
          <rPr>
            <sz val="9"/>
            <color indexed="81"/>
            <rFont val="Tahoma"/>
            <family val="2"/>
          </rPr>
          <t xml:space="preserve">
5% Scrap Value</t>
        </r>
      </text>
    </comment>
    <comment ref="AB69" authorId="0" shapeId="0" xr:uid="{F8D9A460-F051-4462-A16F-398EA91A1636}">
      <text>
        <r>
          <rPr>
            <b/>
            <sz val="9"/>
            <color indexed="81"/>
            <rFont val="Tahoma"/>
            <family val="2"/>
          </rPr>
          <t>Author:</t>
        </r>
        <r>
          <rPr>
            <sz val="9"/>
            <color indexed="81"/>
            <rFont val="Tahoma"/>
            <family val="2"/>
          </rPr>
          <t xml:space="preserve">
5% Scrap Value</t>
        </r>
      </text>
    </comment>
    <comment ref="AI69" authorId="0" shapeId="0" xr:uid="{5BF45860-ED54-4DD5-A54F-CA41871002E6}">
      <text>
        <r>
          <rPr>
            <b/>
            <sz val="9"/>
            <color indexed="81"/>
            <rFont val="Tahoma"/>
            <family val="2"/>
          </rPr>
          <t>Author:</t>
        </r>
        <r>
          <rPr>
            <sz val="9"/>
            <color indexed="81"/>
            <rFont val="Tahoma"/>
            <family val="2"/>
          </rPr>
          <t xml:space="preserve">
5% Scrap Value</t>
        </r>
      </text>
    </comment>
    <comment ref="AB70" authorId="0" shapeId="0" xr:uid="{F1ACFF1F-DF47-4492-800C-B0A876C7BC6E}">
      <text>
        <r>
          <rPr>
            <b/>
            <sz val="9"/>
            <color indexed="81"/>
            <rFont val="Tahoma"/>
            <family val="2"/>
          </rPr>
          <t>Author:</t>
        </r>
        <r>
          <rPr>
            <sz val="9"/>
            <color indexed="81"/>
            <rFont val="Tahoma"/>
            <family val="2"/>
          </rPr>
          <t xml:space="preserve">
5% Scrap Value
Dell Laptop not returned by exit employee "Nikitha Rathore and adjusted the laptop cost INR 3,776 from F&amp;F settlement on dt:27-07-2024</t>
        </r>
      </text>
    </comment>
    <comment ref="AI70" authorId="0" shapeId="0" xr:uid="{DF2F7CD5-C1FA-45C2-A765-163D91DDC146}">
      <text>
        <r>
          <rPr>
            <b/>
            <sz val="9"/>
            <color indexed="81"/>
            <rFont val="Tahoma"/>
            <family val="2"/>
          </rPr>
          <t>Author:</t>
        </r>
        <r>
          <rPr>
            <sz val="9"/>
            <color indexed="81"/>
            <rFont val="Tahoma"/>
            <family val="2"/>
          </rPr>
          <t xml:space="preserve">
5% Scrap Value
Dell Laptop not returned by exit employee "Nikitha Rathore and adjusted the laptop cost INR 3,776 from F&amp;F settlement on dt:27-07-2024</t>
        </r>
      </text>
    </comment>
    <comment ref="AE88" authorId="0" shapeId="0" xr:uid="{1BDF9BF7-D897-469A-B0A8-1E660F29DAC0}">
      <text>
        <r>
          <rPr>
            <b/>
            <sz val="9"/>
            <color indexed="81"/>
            <rFont val="Tahoma"/>
            <family val="2"/>
          </rPr>
          <t>Author:</t>
        </r>
        <r>
          <rPr>
            <b/>
            <sz val="9"/>
            <color indexed="81"/>
            <rFont val="Tahoma"/>
            <family val="2"/>
          </rPr>
          <t xml:space="preserve">
Sale of Old laptops amount removed from Net Block as on 31-Mar-2025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Mohammed ANWAR</author>
    <author>tc={7944F21A-7700-4F20-B335-37FDEF23FF08}</author>
  </authors>
  <commentList>
    <comment ref="L42" authorId="0" shapeId="0" xr:uid="{4A5E1D9C-E22E-42C7-AC1F-919225AAF20F}">
      <text>
        <r>
          <rPr>
            <b/>
            <sz val="9"/>
            <color indexed="81"/>
            <rFont val="Tahoma"/>
            <family val="2"/>
          </rPr>
          <t>Mohammed ANWAR:</t>
        </r>
        <r>
          <rPr>
            <sz val="9"/>
            <color indexed="81"/>
            <rFont val="Tahoma"/>
            <family val="2"/>
          </rPr>
          <t xml:space="preserve">
5% Scrap Value</t>
        </r>
      </text>
    </comment>
    <comment ref="T42" authorId="0" shapeId="0" xr:uid="{4B55AF5E-643A-4E07-A555-AA4E41A02A41}">
      <text>
        <r>
          <rPr>
            <b/>
            <sz val="9"/>
            <color indexed="81"/>
            <rFont val="Tahoma"/>
            <family val="2"/>
          </rPr>
          <t>Mohammed ANWAR:</t>
        </r>
        <r>
          <rPr>
            <sz val="9"/>
            <color indexed="81"/>
            <rFont val="Tahoma"/>
            <family val="2"/>
          </rPr>
          <t xml:space="preserve">
5% Scrap Value</t>
        </r>
      </text>
    </comment>
    <comment ref="L43" authorId="0" shapeId="0" xr:uid="{A10F0713-399B-4EC9-B810-96A773642960}">
      <text>
        <r>
          <rPr>
            <b/>
            <sz val="9"/>
            <color indexed="81"/>
            <rFont val="Tahoma"/>
            <family val="2"/>
          </rPr>
          <t>Mohammed ANWAR:</t>
        </r>
        <r>
          <rPr>
            <sz val="9"/>
            <color indexed="81"/>
            <rFont val="Tahoma"/>
            <family val="2"/>
          </rPr>
          <t xml:space="preserve">
5% Scrap Value</t>
        </r>
      </text>
    </comment>
    <comment ref="T43" authorId="0" shapeId="0" xr:uid="{285B4C5C-F218-448C-A9C2-E58424DB6610}">
      <text>
        <r>
          <rPr>
            <b/>
            <sz val="9"/>
            <color indexed="81"/>
            <rFont val="Tahoma"/>
            <family val="2"/>
          </rPr>
          <t>Mohammed ANWAR:</t>
        </r>
        <r>
          <rPr>
            <sz val="9"/>
            <color indexed="81"/>
            <rFont val="Tahoma"/>
            <family val="2"/>
          </rPr>
          <t xml:space="preserve">
5% Scrap Value</t>
        </r>
      </text>
    </comment>
    <comment ref="L44" authorId="0" shapeId="0" xr:uid="{FE28398B-E78E-469A-96DA-713E67A6299C}">
      <text>
        <r>
          <rPr>
            <b/>
            <sz val="9"/>
            <color indexed="81"/>
            <rFont val="Tahoma"/>
            <family val="2"/>
          </rPr>
          <t>Mohammed ANWAR:</t>
        </r>
        <r>
          <rPr>
            <sz val="9"/>
            <color indexed="81"/>
            <rFont val="Tahoma"/>
            <family val="2"/>
          </rPr>
          <t xml:space="preserve">
5% Scrap Value</t>
        </r>
      </text>
    </comment>
    <comment ref="T44" authorId="0" shapeId="0" xr:uid="{818535F8-3D37-484F-8472-73DADF00CA39}">
      <text>
        <r>
          <rPr>
            <b/>
            <sz val="9"/>
            <color indexed="81"/>
            <rFont val="Tahoma"/>
            <family val="2"/>
          </rPr>
          <t>Mohammed ANWAR:</t>
        </r>
        <r>
          <rPr>
            <sz val="9"/>
            <color indexed="81"/>
            <rFont val="Tahoma"/>
            <family val="2"/>
          </rPr>
          <t xml:space="preserve">
5% Scrap Value</t>
        </r>
      </text>
    </comment>
    <comment ref="L45" authorId="0" shapeId="0" xr:uid="{2A445355-008F-44ED-A1AB-D0E0266AC356}">
      <text>
        <r>
          <rPr>
            <b/>
            <sz val="9"/>
            <color indexed="81"/>
            <rFont val="Tahoma"/>
            <family val="2"/>
          </rPr>
          <t>Mohammed ANWAR:</t>
        </r>
        <r>
          <rPr>
            <sz val="9"/>
            <color indexed="81"/>
            <rFont val="Tahoma"/>
            <family val="2"/>
          </rPr>
          <t xml:space="preserve">
5% Scrap Value</t>
        </r>
      </text>
    </comment>
    <comment ref="T45" authorId="0" shapeId="0" xr:uid="{283E1E45-8A18-4ABE-82FE-057CA7C0D4EA}">
      <text>
        <r>
          <rPr>
            <b/>
            <sz val="9"/>
            <color indexed="81"/>
            <rFont val="Tahoma"/>
            <family val="2"/>
          </rPr>
          <t>Mohammed ANWAR:</t>
        </r>
        <r>
          <rPr>
            <sz val="9"/>
            <color indexed="81"/>
            <rFont val="Tahoma"/>
            <family val="2"/>
          </rPr>
          <t xml:space="preserve">
5% Scrap Value</t>
        </r>
      </text>
    </comment>
    <comment ref="L46" authorId="0" shapeId="0" xr:uid="{170C8E11-5531-4EAC-8436-77B81C9C456B}">
      <text>
        <r>
          <rPr>
            <b/>
            <sz val="9"/>
            <color indexed="81"/>
            <rFont val="Tahoma"/>
            <family val="2"/>
          </rPr>
          <t>Mohammed ANWAR:</t>
        </r>
        <r>
          <rPr>
            <sz val="9"/>
            <color indexed="81"/>
            <rFont val="Tahoma"/>
            <family val="2"/>
          </rPr>
          <t xml:space="preserve">
5% Scrap Value</t>
        </r>
      </text>
    </comment>
    <comment ref="T46" authorId="0" shapeId="0" xr:uid="{9A0CE715-BFB5-45AE-BE59-4961FBD5FA69}">
      <text>
        <r>
          <rPr>
            <b/>
            <sz val="9"/>
            <color indexed="81"/>
            <rFont val="Tahoma"/>
            <family val="2"/>
          </rPr>
          <t>Mohammed ANWAR:</t>
        </r>
        <r>
          <rPr>
            <sz val="9"/>
            <color indexed="81"/>
            <rFont val="Tahoma"/>
            <family val="2"/>
          </rPr>
          <t xml:space="preserve">
5% Scrap Value</t>
        </r>
      </text>
    </comment>
    <comment ref="L47" authorId="0" shapeId="0" xr:uid="{14A3062A-FFB8-4055-A071-7FA89D90D215}">
      <text>
        <r>
          <rPr>
            <b/>
            <sz val="9"/>
            <color indexed="81"/>
            <rFont val="Tahoma"/>
            <family val="2"/>
          </rPr>
          <t>Mohammed ANWAR:</t>
        </r>
        <r>
          <rPr>
            <sz val="9"/>
            <color indexed="81"/>
            <rFont val="Tahoma"/>
            <family val="2"/>
          </rPr>
          <t xml:space="preserve">
5% Scrap Value</t>
        </r>
      </text>
    </comment>
    <comment ref="T47" authorId="0" shapeId="0" xr:uid="{F9A4FDC4-5405-4B40-A1C5-0880D8A83D67}">
      <text>
        <r>
          <rPr>
            <b/>
            <sz val="9"/>
            <color indexed="81"/>
            <rFont val="Tahoma"/>
            <family val="2"/>
          </rPr>
          <t>Mohammed ANWAR:</t>
        </r>
        <r>
          <rPr>
            <sz val="9"/>
            <color indexed="81"/>
            <rFont val="Tahoma"/>
            <family val="2"/>
          </rPr>
          <t xml:space="preserve">
5% Scrap Value</t>
        </r>
      </text>
    </comment>
    <comment ref="L48" authorId="0" shapeId="0" xr:uid="{D1203F2C-0867-48B2-B3F6-8A5D69F9F864}">
      <text>
        <r>
          <rPr>
            <b/>
            <sz val="9"/>
            <color indexed="81"/>
            <rFont val="Tahoma"/>
            <family val="2"/>
          </rPr>
          <t>Mohammed ANWAR:</t>
        </r>
        <r>
          <rPr>
            <sz val="9"/>
            <color indexed="81"/>
            <rFont val="Tahoma"/>
            <family val="2"/>
          </rPr>
          <t xml:space="preserve">
5% Scrap Value</t>
        </r>
      </text>
    </comment>
    <comment ref="T48" authorId="0" shapeId="0" xr:uid="{1E6419DE-081B-4336-971C-F4B3EB2955B5}">
      <text>
        <r>
          <rPr>
            <b/>
            <sz val="9"/>
            <color indexed="81"/>
            <rFont val="Tahoma"/>
            <family val="2"/>
          </rPr>
          <t>Mohammed ANWAR:</t>
        </r>
        <r>
          <rPr>
            <sz val="9"/>
            <color indexed="81"/>
            <rFont val="Tahoma"/>
            <family val="2"/>
          </rPr>
          <t xml:space="preserve">
5% Scrap Value</t>
        </r>
      </text>
    </comment>
    <comment ref="L49" authorId="0" shapeId="0" xr:uid="{69784E53-9146-4596-84E4-4CB78306EF26}">
      <text>
        <r>
          <rPr>
            <b/>
            <sz val="9"/>
            <color indexed="81"/>
            <rFont val="Tahoma"/>
            <family val="2"/>
          </rPr>
          <t>Mohammed ANWAR:</t>
        </r>
        <r>
          <rPr>
            <sz val="9"/>
            <color indexed="81"/>
            <rFont val="Tahoma"/>
            <family val="2"/>
          </rPr>
          <t xml:space="preserve">
5% Scrap Value</t>
        </r>
      </text>
    </comment>
    <comment ref="T49" authorId="0" shapeId="0" xr:uid="{03A4C1BE-C351-403A-AC43-1EAAE6E39551}">
      <text>
        <r>
          <rPr>
            <b/>
            <sz val="9"/>
            <color indexed="81"/>
            <rFont val="Tahoma"/>
            <family val="2"/>
          </rPr>
          <t>Mohammed ANWAR:</t>
        </r>
        <r>
          <rPr>
            <sz val="9"/>
            <color indexed="81"/>
            <rFont val="Tahoma"/>
            <family val="2"/>
          </rPr>
          <t xml:space="preserve">
5% Scrap Value</t>
        </r>
      </text>
    </comment>
    <comment ref="L50" authorId="0" shapeId="0" xr:uid="{72C30842-EBCE-4A68-B67F-F37522A5E3F8}">
      <text>
        <r>
          <rPr>
            <b/>
            <sz val="9"/>
            <color indexed="81"/>
            <rFont val="Tahoma"/>
            <family val="2"/>
          </rPr>
          <t>Mohammed ANWAR:</t>
        </r>
        <r>
          <rPr>
            <sz val="9"/>
            <color indexed="81"/>
            <rFont val="Tahoma"/>
            <family val="2"/>
          </rPr>
          <t xml:space="preserve">
5% Scrap Value</t>
        </r>
      </text>
    </comment>
    <comment ref="T50" authorId="0" shapeId="0" xr:uid="{72DB869D-F244-4A7D-8C02-1332B063A93F}">
      <text>
        <r>
          <rPr>
            <b/>
            <sz val="9"/>
            <color indexed="81"/>
            <rFont val="Tahoma"/>
            <family val="2"/>
          </rPr>
          <t>Mohammed ANWAR:</t>
        </r>
        <r>
          <rPr>
            <sz val="9"/>
            <color indexed="81"/>
            <rFont val="Tahoma"/>
            <family val="2"/>
          </rPr>
          <t xml:space="preserve">
5% Scrap Value</t>
        </r>
      </text>
    </comment>
    <comment ref="L51" authorId="0" shapeId="0" xr:uid="{E33C957E-7BC1-423E-9D0C-A6523FFB8D7D}">
      <text>
        <r>
          <rPr>
            <b/>
            <sz val="9"/>
            <color indexed="81"/>
            <rFont val="Tahoma"/>
            <family val="2"/>
          </rPr>
          <t>Mohammed ANWAR:</t>
        </r>
        <r>
          <rPr>
            <sz val="9"/>
            <color indexed="81"/>
            <rFont val="Tahoma"/>
            <family val="2"/>
          </rPr>
          <t xml:space="preserve">
5% Scrap Value</t>
        </r>
      </text>
    </comment>
    <comment ref="T51" authorId="0" shapeId="0" xr:uid="{DEFC6000-7990-4C7E-8FB2-35E1F694E4AE}">
      <text>
        <r>
          <rPr>
            <b/>
            <sz val="9"/>
            <color indexed="81"/>
            <rFont val="Tahoma"/>
            <family val="2"/>
          </rPr>
          <t>Mohammed ANWAR:</t>
        </r>
        <r>
          <rPr>
            <sz val="9"/>
            <color indexed="81"/>
            <rFont val="Tahoma"/>
            <family val="2"/>
          </rPr>
          <t xml:space="preserve">
5% Scrap Value</t>
        </r>
      </text>
    </comment>
    <comment ref="L52" authorId="0" shapeId="0" xr:uid="{FF9B9A7D-DC3F-41A6-9022-E228C6BEF404}">
      <text>
        <r>
          <rPr>
            <b/>
            <sz val="9"/>
            <color indexed="81"/>
            <rFont val="Tahoma"/>
            <family val="2"/>
          </rPr>
          <t>Mohammed ANWAR:</t>
        </r>
        <r>
          <rPr>
            <sz val="9"/>
            <color indexed="81"/>
            <rFont val="Tahoma"/>
            <family val="2"/>
          </rPr>
          <t xml:space="preserve">
5% Scrap Value</t>
        </r>
      </text>
    </comment>
    <comment ref="T52" authorId="0" shapeId="0" xr:uid="{DE3BFE8B-2EE8-47C9-884C-2538A651031E}">
      <text>
        <r>
          <rPr>
            <b/>
            <sz val="9"/>
            <color indexed="81"/>
            <rFont val="Tahoma"/>
            <family val="2"/>
          </rPr>
          <t>Mohammed ANWAR:</t>
        </r>
        <r>
          <rPr>
            <sz val="9"/>
            <color indexed="81"/>
            <rFont val="Tahoma"/>
            <family val="2"/>
          </rPr>
          <t xml:space="preserve">
5% Scrap Value</t>
        </r>
      </text>
    </comment>
    <comment ref="L53" authorId="0" shapeId="0" xr:uid="{FE2F2E72-42D8-44C5-AF38-285FA352C599}">
      <text>
        <r>
          <rPr>
            <b/>
            <sz val="9"/>
            <color indexed="81"/>
            <rFont val="Tahoma"/>
            <family val="2"/>
          </rPr>
          <t>Mohammed ANWAR:</t>
        </r>
        <r>
          <rPr>
            <sz val="9"/>
            <color indexed="81"/>
            <rFont val="Tahoma"/>
            <family val="2"/>
          </rPr>
          <t xml:space="preserve">
5% Scrap Value</t>
        </r>
      </text>
    </comment>
    <comment ref="T53" authorId="0" shapeId="0" xr:uid="{5AF80A4F-F62A-42F9-BF43-9F3FF8806BE1}">
      <text>
        <r>
          <rPr>
            <b/>
            <sz val="9"/>
            <color indexed="81"/>
            <rFont val="Tahoma"/>
            <family val="2"/>
          </rPr>
          <t>Mohammed ANWAR:</t>
        </r>
        <r>
          <rPr>
            <sz val="9"/>
            <color indexed="81"/>
            <rFont val="Tahoma"/>
            <family val="2"/>
          </rPr>
          <t xml:space="preserve">
5% Scrap Value</t>
        </r>
      </text>
    </comment>
    <comment ref="L54" authorId="0" shapeId="0" xr:uid="{6D365AD9-1CA1-4D62-92FE-0304AFD73506}">
      <text>
        <r>
          <rPr>
            <b/>
            <sz val="9"/>
            <color indexed="81"/>
            <rFont val="Tahoma"/>
            <family val="2"/>
          </rPr>
          <t>Mohammed ANWAR:</t>
        </r>
        <r>
          <rPr>
            <sz val="9"/>
            <color indexed="81"/>
            <rFont val="Tahoma"/>
            <family val="2"/>
          </rPr>
          <t xml:space="preserve">
5% Scrap Value</t>
        </r>
      </text>
    </comment>
    <comment ref="T54" authorId="0" shapeId="0" xr:uid="{2760D472-2E47-4D76-9681-C77CE26EADC0}">
      <text>
        <r>
          <rPr>
            <b/>
            <sz val="9"/>
            <color indexed="81"/>
            <rFont val="Tahoma"/>
            <family val="2"/>
          </rPr>
          <t>Mohammed ANWAR:</t>
        </r>
        <r>
          <rPr>
            <sz val="9"/>
            <color indexed="81"/>
            <rFont val="Tahoma"/>
            <family val="2"/>
          </rPr>
          <t xml:space="preserve">
5% Scrap Value</t>
        </r>
      </text>
    </comment>
    <comment ref="L55" authorId="0" shapeId="0" xr:uid="{715F4939-A865-4F9D-93BA-E6D461D5A270}">
      <text>
        <r>
          <rPr>
            <b/>
            <sz val="9"/>
            <color indexed="81"/>
            <rFont val="Tahoma"/>
            <family val="2"/>
          </rPr>
          <t>Mohammed ANWAR:</t>
        </r>
        <r>
          <rPr>
            <sz val="9"/>
            <color indexed="81"/>
            <rFont val="Tahoma"/>
            <family val="2"/>
          </rPr>
          <t xml:space="preserve">
5% Scrap Value</t>
        </r>
      </text>
    </comment>
    <comment ref="T55" authorId="0" shapeId="0" xr:uid="{EAF0B63E-560A-4721-8A00-9CA294BBF9FF}">
      <text>
        <r>
          <rPr>
            <b/>
            <sz val="9"/>
            <color indexed="81"/>
            <rFont val="Tahoma"/>
            <family val="2"/>
          </rPr>
          <t>Mohammed ANWAR:</t>
        </r>
        <r>
          <rPr>
            <sz val="9"/>
            <color indexed="81"/>
            <rFont val="Tahoma"/>
            <family val="2"/>
          </rPr>
          <t xml:space="preserve">
5% Scrap Value</t>
        </r>
      </text>
    </comment>
    <comment ref="L56" authorId="0" shapeId="0" xr:uid="{7E59315C-D7AE-46C0-AD83-B5E05F0A3F08}">
      <text>
        <r>
          <rPr>
            <b/>
            <sz val="9"/>
            <color indexed="81"/>
            <rFont val="Tahoma"/>
            <family val="2"/>
          </rPr>
          <t>Mohammed ANWAR:</t>
        </r>
        <r>
          <rPr>
            <sz val="9"/>
            <color indexed="81"/>
            <rFont val="Tahoma"/>
            <family val="2"/>
          </rPr>
          <t xml:space="preserve">
5% Scrap Value</t>
        </r>
      </text>
    </comment>
    <comment ref="T56" authorId="0" shapeId="0" xr:uid="{CACCA5F7-C2B8-4CC8-BE9B-39406351C12A}">
      <text>
        <r>
          <rPr>
            <b/>
            <sz val="9"/>
            <color indexed="81"/>
            <rFont val="Tahoma"/>
            <family val="2"/>
          </rPr>
          <t>Mohammed ANWAR:</t>
        </r>
        <r>
          <rPr>
            <sz val="9"/>
            <color indexed="81"/>
            <rFont val="Tahoma"/>
            <family val="2"/>
          </rPr>
          <t xml:space="preserve">
5% Scrap Value</t>
        </r>
      </text>
    </comment>
    <comment ref="L57" authorId="0" shapeId="0" xr:uid="{6E733B97-BF44-47AC-8164-084C1A21EE66}">
      <text>
        <r>
          <rPr>
            <b/>
            <sz val="9"/>
            <color indexed="81"/>
            <rFont val="Tahoma"/>
            <family val="2"/>
          </rPr>
          <t>Mohammed ANWAR:</t>
        </r>
        <r>
          <rPr>
            <sz val="9"/>
            <color indexed="81"/>
            <rFont val="Tahoma"/>
            <family val="2"/>
          </rPr>
          <t xml:space="preserve">
5% Scrap Value</t>
        </r>
      </text>
    </comment>
    <comment ref="T57" authorId="0" shapeId="0" xr:uid="{0A4A33D1-EA97-4F9E-AA32-D1DE93B62E2E}">
      <text>
        <r>
          <rPr>
            <b/>
            <sz val="9"/>
            <color indexed="81"/>
            <rFont val="Tahoma"/>
            <family val="2"/>
          </rPr>
          <t>Mohammed ANWAR:</t>
        </r>
        <r>
          <rPr>
            <sz val="9"/>
            <color indexed="81"/>
            <rFont val="Tahoma"/>
            <family val="2"/>
          </rPr>
          <t xml:space="preserve">
5% Scrap Value</t>
        </r>
      </text>
    </comment>
    <comment ref="L58" authorId="0" shapeId="0" xr:uid="{48E04DE1-1D40-47BB-8142-C83007B19FD8}">
      <text>
        <r>
          <rPr>
            <b/>
            <sz val="9"/>
            <color indexed="81"/>
            <rFont val="Tahoma"/>
            <family val="2"/>
          </rPr>
          <t>Mohammed ANWAR:</t>
        </r>
        <r>
          <rPr>
            <sz val="9"/>
            <color indexed="81"/>
            <rFont val="Tahoma"/>
            <family val="2"/>
          </rPr>
          <t xml:space="preserve">
5% Scrap Value</t>
        </r>
      </text>
    </comment>
    <comment ref="T58" authorId="0" shapeId="0" xr:uid="{EB2D3C36-6FF1-4094-8428-88FE1ABFEE4F}">
      <text>
        <r>
          <rPr>
            <b/>
            <sz val="9"/>
            <color indexed="81"/>
            <rFont val="Tahoma"/>
            <family val="2"/>
          </rPr>
          <t>Mohammed ANWAR:</t>
        </r>
        <r>
          <rPr>
            <sz val="9"/>
            <color indexed="81"/>
            <rFont val="Tahoma"/>
            <family val="2"/>
          </rPr>
          <t xml:space="preserve">
5% Scrap Value</t>
        </r>
      </text>
    </comment>
    <comment ref="L59" authorId="0" shapeId="0" xr:uid="{6339927D-5BCA-4ED2-A1CE-25F59F8DFFBD}">
      <text>
        <r>
          <rPr>
            <b/>
            <sz val="9"/>
            <color indexed="81"/>
            <rFont val="Tahoma"/>
            <family val="2"/>
          </rPr>
          <t>Mohammed ANWAR:</t>
        </r>
        <r>
          <rPr>
            <sz val="9"/>
            <color indexed="81"/>
            <rFont val="Tahoma"/>
            <family val="2"/>
          </rPr>
          <t xml:space="preserve">
5% Scrap Value</t>
        </r>
      </text>
    </comment>
    <comment ref="T59" authorId="0" shapeId="0" xr:uid="{E6839D38-85E9-4CE1-9B5A-DA752BBC625C}">
      <text>
        <r>
          <rPr>
            <b/>
            <sz val="9"/>
            <color indexed="81"/>
            <rFont val="Tahoma"/>
            <family val="2"/>
          </rPr>
          <t>Mohammed ANWAR:</t>
        </r>
        <r>
          <rPr>
            <sz val="9"/>
            <color indexed="81"/>
            <rFont val="Tahoma"/>
            <family val="2"/>
          </rPr>
          <t xml:space="preserve">
5% Scrap Value</t>
        </r>
      </text>
    </comment>
    <comment ref="L60" authorId="0" shapeId="0" xr:uid="{6E2358A6-AA71-46C6-92F2-9F387D57ABCE}">
      <text>
        <r>
          <rPr>
            <b/>
            <sz val="9"/>
            <color indexed="81"/>
            <rFont val="Tahoma"/>
            <family val="2"/>
          </rPr>
          <t>Mohammed ANWAR:</t>
        </r>
        <r>
          <rPr>
            <sz val="9"/>
            <color indexed="81"/>
            <rFont val="Tahoma"/>
            <family val="2"/>
          </rPr>
          <t xml:space="preserve">
5% Scrap Value</t>
        </r>
      </text>
    </comment>
    <comment ref="T60" authorId="0" shapeId="0" xr:uid="{1C1CBF60-10DB-4D2C-84FF-3DF7B0E2C7F1}">
      <text>
        <r>
          <rPr>
            <b/>
            <sz val="9"/>
            <color indexed="81"/>
            <rFont val="Tahoma"/>
            <family val="2"/>
          </rPr>
          <t>Mohammed ANWAR:</t>
        </r>
        <r>
          <rPr>
            <sz val="9"/>
            <color indexed="81"/>
            <rFont val="Tahoma"/>
            <family val="2"/>
          </rPr>
          <t xml:space="preserve">
5% Scrap Value</t>
        </r>
      </text>
    </comment>
    <comment ref="L61" authorId="0" shapeId="0" xr:uid="{C784FA4B-5AB8-4401-8D42-32BF96E5731F}">
      <text>
        <r>
          <rPr>
            <b/>
            <sz val="9"/>
            <color indexed="81"/>
            <rFont val="Tahoma"/>
            <family val="2"/>
          </rPr>
          <t>Mohammed ANWAR:</t>
        </r>
        <r>
          <rPr>
            <sz val="9"/>
            <color indexed="81"/>
            <rFont val="Tahoma"/>
            <family val="2"/>
          </rPr>
          <t xml:space="preserve">
5% Scrap Value</t>
        </r>
      </text>
    </comment>
    <comment ref="T61" authorId="0" shapeId="0" xr:uid="{E6ADCF44-C042-4CA7-AA41-99A27C9E5635}">
      <text>
        <r>
          <rPr>
            <b/>
            <sz val="9"/>
            <color indexed="81"/>
            <rFont val="Tahoma"/>
            <family val="2"/>
          </rPr>
          <t>Mohammed ANWAR:</t>
        </r>
        <r>
          <rPr>
            <sz val="9"/>
            <color indexed="81"/>
            <rFont val="Tahoma"/>
            <family val="2"/>
          </rPr>
          <t xml:space="preserve">
5% Scrap Value</t>
        </r>
      </text>
    </comment>
    <comment ref="L62" authorId="0" shapeId="0" xr:uid="{E32ECF5A-FB1D-43A9-BEBD-8BC1D4258652}">
      <text>
        <r>
          <rPr>
            <b/>
            <sz val="9"/>
            <color indexed="81"/>
            <rFont val="Tahoma"/>
            <family val="2"/>
          </rPr>
          <t>Mohammed ANWAR:</t>
        </r>
        <r>
          <rPr>
            <sz val="9"/>
            <color indexed="81"/>
            <rFont val="Tahoma"/>
            <family val="2"/>
          </rPr>
          <t xml:space="preserve">
5% Scrap Value</t>
        </r>
      </text>
    </comment>
    <comment ref="T62" authorId="0" shapeId="0" xr:uid="{FFEF2867-A523-4B3F-B624-1A5DE51DAD61}">
      <text>
        <r>
          <rPr>
            <b/>
            <sz val="9"/>
            <color indexed="81"/>
            <rFont val="Tahoma"/>
            <family val="2"/>
          </rPr>
          <t>Mohammed ANWAR:</t>
        </r>
        <r>
          <rPr>
            <sz val="9"/>
            <color indexed="81"/>
            <rFont val="Tahoma"/>
            <family val="2"/>
          </rPr>
          <t xml:space="preserve">
5% Scrap Value</t>
        </r>
      </text>
    </comment>
    <comment ref="L63" authorId="0" shapeId="0" xr:uid="{68CBB79B-62C5-4DEE-B0E4-95E24490B37D}">
      <text>
        <r>
          <rPr>
            <b/>
            <sz val="9"/>
            <color indexed="81"/>
            <rFont val="Tahoma"/>
            <family val="2"/>
          </rPr>
          <t>Mohammed ANWAR:</t>
        </r>
        <r>
          <rPr>
            <sz val="9"/>
            <color indexed="81"/>
            <rFont val="Tahoma"/>
            <family val="2"/>
          </rPr>
          <t xml:space="preserve">
5% Scrap Value</t>
        </r>
      </text>
    </comment>
    <comment ref="T63" authorId="0" shapeId="0" xr:uid="{98B27668-2FCE-4849-82E6-2EF532EDEEEB}">
      <text>
        <r>
          <rPr>
            <b/>
            <sz val="9"/>
            <color indexed="81"/>
            <rFont val="Tahoma"/>
            <family val="2"/>
          </rPr>
          <t>Mohammed ANWAR:</t>
        </r>
        <r>
          <rPr>
            <sz val="9"/>
            <color indexed="81"/>
            <rFont val="Tahoma"/>
            <family val="2"/>
          </rPr>
          <t xml:space="preserve">
5% Scrap Value</t>
        </r>
      </text>
    </comment>
    <comment ref="T64" authorId="1" shapeId="0" xr:uid="{7944F21A-7700-4F20-B335-37FDEF23FF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Assets value to be maintained @5% of original cost as Salvage Value
On the request of Mr.Anwar</t>
        </r>
      </text>
    </comment>
  </commentList>
</comments>
</file>

<file path=xl/sharedStrings.xml><?xml version="1.0" encoding="utf-8"?>
<sst xmlns="http://schemas.openxmlformats.org/spreadsheetml/2006/main" count="1959" uniqueCount="1084">
  <si>
    <t>Particulars</t>
  </si>
  <si>
    <t>Additions</t>
  </si>
  <si>
    <t>q</t>
  </si>
  <si>
    <t>Notes</t>
  </si>
  <si>
    <t>Equity and liabilities</t>
  </si>
  <si>
    <t>Shareholders' funds</t>
  </si>
  <si>
    <t>Share capital</t>
  </si>
  <si>
    <t>Reserves and surplus</t>
  </si>
  <si>
    <t>Non-Current liabilities</t>
  </si>
  <si>
    <t>Current liabilities</t>
  </si>
  <si>
    <t>Trade payables</t>
  </si>
  <si>
    <t>Other current liabilities</t>
  </si>
  <si>
    <t>Short term provisions</t>
  </si>
  <si>
    <t>TOTAL</t>
  </si>
  <si>
    <t>Assets</t>
  </si>
  <si>
    <t>Non-current assets</t>
  </si>
  <si>
    <t>Fixed assets</t>
  </si>
  <si>
    <t>Tangible assets</t>
  </si>
  <si>
    <t>Intangible assets</t>
  </si>
  <si>
    <t>Long Term Loans and Advances</t>
  </si>
  <si>
    <t>Current assets</t>
  </si>
  <si>
    <t>Trade receivables</t>
  </si>
  <si>
    <t>Cash and bank balances</t>
  </si>
  <si>
    <t>Short-term loans and advances</t>
  </si>
  <si>
    <t>Other current assets</t>
  </si>
  <si>
    <t>The accompanying notes are an integral part of the financial statements.</t>
  </si>
  <si>
    <t>As per my report of even date.</t>
  </si>
  <si>
    <t>For and on behalf of the Board of Directors</t>
  </si>
  <si>
    <t>Income</t>
  </si>
  <si>
    <t>Revenue from operations (net)</t>
  </si>
  <si>
    <t>Other income</t>
  </si>
  <si>
    <t>Total revenue (i)</t>
  </si>
  <si>
    <t>Expenses</t>
  </si>
  <si>
    <t>Employee benefit expense</t>
  </si>
  <si>
    <t>Other expenses</t>
  </si>
  <si>
    <t>Depreciation and amortisation expense</t>
  </si>
  <si>
    <t>Total Expenses(ii)</t>
  </si>
  <si>
    <t>Profit before Tax[(i) - (ii)]</t>
  </si>
  <si>
    <t>Prior period adjustments</t>
  </si>
  <si>
    <t>Tax Expense :</t>
  </si>
  <si>
    <t>Current Tax</t>
  </si>
  <si>
    <t>Deferred Tax Liability/(Asset)</t>
  </si>
  <si>
    <t>Income Tax relating to Prior Year</t>
  </si>
  <si>
    <t>Profit after Tax</t>
  </si>
  <si>
    <t>Earnings per share</t>
  </si>
  <si>
    <t>Nominal value</t>
  </si>
  <si>
    <t>Weighted average number of equity shares</t>
  </si>
  <si>
    <t>Cash on hand</t>
  </si>
  <si>
    <t>Ref No.</t>
  </si>
  <si>
    <t>Note 1</t>
  </si>
  <si>
    <t>Significant accounting policies</t>
  </si>
  <si>
    <t>AS 1.1</t>
  </si>
  <si>
    <t>a.</t>
  </si>
  <si>
    <t>Basis of preparation of Financial Statements:</t>
  </si>
  <si>
    <t>These financial statements have been prepared under historical cost convention from books of accounts maintained on an accrual basis (unless otherwise stated hereinafter) in conformity with accounting principles generally accepted in India and comply with the Accounting Standards issued by the Institute of Chartered Accountants of India and referred to Sec 129 &amp; 133 of the Companies Act, 2013, of India. The accounting policies applied by the company are consistent with those used in previous year.</t>
  </si>
  <si>
    <t>The  Company  generally  follows  mercantile   system   of   accounting   and   recognises significant items of income and expenditure on accrual basis.</t>
  </si>
  <si>
    <t>b.</t>
  </si>
  <si>
    <t>Use of Estimates:</t>
  </si>
  <si>
    <t>The preparation of financial statements in conformity with Indian GAAP requires the management to make estimates and assumptions that affect the reported amount of assets and liabilities on the date of the financial statements and the reported amount of revenues and expenses during the reporting period. Difference between the actual result and estimates are recognised in the year in which the results are known/ materialised.</t>
  </si>
  <si>
    <t>c.</t>
  </si>
  <si>
    <t>Revenue Recognition:</t>
  </si>
  <si>
    <t>d.</t>
  </si>
  <si>
    <t>Fixed Assets:</t>
  </si>
  <si>
    <t>a. Tangible Assets:</t>
  </si>
  <si>
    <t>Tangible fixed assets are stated at cost less accumulated depreciation/impairment losses, if any. Cost includes original cost of acquisition, including incidental expenses related to such acquisition and installation.</t>
  </si>
  <si>
    <t>b. Intangible Assets:</t>
  </si>
  <si>
    <t>Intangible assets are stated at cost less accumulated depreciation/amortisation, if any.</t>
  </si>
  <si>
    <t>e.</t>
  </si>
  <si>
    <t>Depreciation / Amortisation:</t>
  </si>
  <si>
    <t>Depreciation has been provided based on life assigned to each asset in accordance with Schedule II of the Companies Act, 2013.</t>
  </si>
  <si>
    <t>f.</t>
  </si>
  <si>
    <t>Investments:</t>
  </si>
  <si>
    <t>Investments are classified as long term investments and current investments. Quoted and Unquoted Current Investments are valued at cost.</t>
  </si>
  <si>
    <t>g.</t>
  </si>
  <si>
    <t>Borrowing Costs:</t>
  </si>
  <si>
    <t>All borrowing costs are charged to the statement of Profit and Loss under the head "Finance Costs".</t>
  </si>
  <si>
    <t>h.</t>
  </si>
  <si>
    <t>Employee Benefits:</t>
  </si>
  <si>
    <t>AS 6.29
AS 26.63
AS 26.78
AS 26.90.a
AS 26.90.b
AS 26.94.a</t>
  </si>
  <si>
    <t xml:space="preserve">The Company's contribution to Provident Fund is charged to the Statement of Profit and Loss. </t>
  </si>
  <si>
    <t>i.</t>
  </si>
  <si>
    <t>Taxes on Income:</t>
  </si>
  <si>
    <t>Current tax is determined as the tax payable in respect of taxable income for the year and is computed in accordance with relevant tax regulations.</t>
  </si>
  <si>
    <t xml:space="preserve">Deferred tax is recognised, subject to consideration of prudence, on timing differences, being  the difference between taxable income and accounting income that originate in one period and are capable of reversal in one or more subsequent periods. </t>
  </si>
  <si>
    <t>j.</t>
  </si>
  <si>
    <t>Provisions and Contingent Liabilities :</t>
  </si>
  <si>
    <t>Provisions involving substantial degree of estimation in measurement are recognized when there is a permanent obligation as a result of past events and it is probable that there will be an outflow of resources. Contingent liabilities are not recognised but are disclosed in the notes.</t>
  </si>
  <si>
    <t>k.</t>
  </si>
  <si>
    <t>Earning Per Share</t>
  </si>
  <si>
    <t>Basic earnings per share is calculated by dividing the net profit or loss for the year attributable to equity shareholders by the weighted average number of equity share holders outstanding during the year. The weighted average number of equity shares outstanding during the year is adjusted for events such as bonus issue, bonus elements in a right issue, share split, and reverse share split (consolidation of shares) that have changed the number of equity shares outstanding, without a corresponding change in resources.</t>
  </si>
  <si>
    <t>For the purpose of calculating diluted earnings per share, the net profit or loss for the year attributable to equity shareholders and the weighted average number of shares outstanding during the year are adjusted for the effects of all dilutive potential equity shares.</t>
  </si>
  <si>
    <t>2. Share capital</t>
  </si>
  <si>
    <t>Authorised shares</t>
  </si>
  <si>
    <t>Issued, subscribed and fully paid-up shares</t>
  </si>
  <si>
    <t>Total issued, subscribed and fully paid-up share capital</t>
  </si>
  <si>
    <t>(a) Reconciliation of the equity shares outstanding at the beginning and at the end of the year</t>
  </si>
  <si>
    <t>No's</t>
  </si>
  <si>
    <t>Amount</t>
  </si>
  <si>
    <t>Equity shares of ₹ 10/- each fully paid</t>
  </si>
  <si>
    <t>At the beginning of the year</t>
  </si>
  <si>
    <t>Outstanding at the end of the year</t>
  </si>
  <si>
    <t>(b) Terms/ rights attached to equity shares</t>
  </si>
  <si>
    <t>(c) Details of share holders holding more than 5% shares in the Company</t>
  </si>
  <si>
    <t>Name of the shareholder</t>
  </si>
  <si>
    <t>% holding</t>
  </si>
  <si>
    <t>As per records of the Company, including its register of shareholders/ members and other declarations received from shareholders regarding beneficial interest, the above shareholding represents both legal and beneficial ownerships of shares.</t>
  </si>
  <si>
    <t>(d) Disclosure of Shareholding of Promoters</t>
  </si>
  <si>
    <t>Name of the Promoter</t>
  </si>
  <si>
    <t>No. of shares</t>
  </si>
  <si>
    <t>3. Reserves and surplus</t>
  </si>
  <si>
    <t>Surplus in the statement of profit and loss</t>
  </si>
  <si>
    <t>Balance, at the beginning of the year</t>
  </si>
  <si>
    <t>Add: Profit for the Year</t>
  </si>
  <si>
    <t>Less: Appropriations</t>
  </si>
  <si>
    <t>Balance, at the end of the year</t>
  </si>
  <si>
    <t>Outstanding Liabilities for Expenses</t>
  </si>
  <si>
    <t>Statutory dues</t>
  </si>
  <si>
    <t>Provision for Taxation</t>
  </si>
  <si>
    <t>Gross Carrying Value</t>
  </si>
  <si>
    <t>Accumulated Depreciation</t>
  </si>
  <si>
    <t>Net Carrying Value</t>
  </si>
  <si>
    <t>Deletion</t>
  </si>
  <si>
    <t>For the year</t>
  </si>
  <si>
    <t>Furniture &amp; Fixtures</t>
  </si>
  <si>
    <t>Unsecured, considered good</t>
  </si>
  <si>
    <t>Cash and cash equivalents</t>
  </si>
  <si>
    <t>Balances with banks in current accounts</t>
  </si>
  <si>
    <t>Other Advances</t>
  </si>
  <si>
    <t>Other loans and advances</t>
  </si>
  <si>
    <t>Balances with statutory/government authorities</t>
  </si>
  <si>
    <t>Salaries, wages and bonus</t>
  </si>
  <si>
    <t>Staff welfare expenses</t>
  </si>
  <si>
    <t>Rent</t>
  </si>
  <si>
    <t>Professional &amp; Consultancy Fees</t>
  </si>
  <si>
    <t>Loss on Sale of Fixed Assets</t>
  </si>
  <si>
    <t>Payment to Auditors*</t>
  </si>
  <si>
    <t>Miscellaneous expenses</t>
  </si>
  <si>
    <t xml:space="preserve">     * Fees is net of GST which is taken as input tax credit.</t>
  </si>
  <si>
    <t>21. Loss on Sale of Assets &amp; Investments</t>
  </si>
  <si>
    <t>Short Term Loss on Sale of Investments (Non Derivative Loss)</t>
  </si>
  <si>
    <t>Long term loss on sale of investments</t>
  </si>
  <si>
    <t>- For Audit fee</t>
  </si>
  <si>
    <t xml:space="preserve">i) Profit after tax </t>
  </si>
  <si>
    <t>Basic &amp; Diluted</t>
  </si>
  <si>
    <t xml:space="preserve">ii) Weighted average number of equity shares of ₹ 10/- each </t>
  </si>
  <si>
    <t xml:space="preserve">    outstanding during the year</t>
  </si>
  <si>
    <t>As per Accounting Standard 18, the disclosures of related parties as defined in the Accounting Standard are given below</t>
  </si>
  <si>
    <t>Subsidiary Company:</t>
  </si>
  <si>
    <t>R.L.P Commodity &amp; Derivatives Private Limited</t>
  </si>
  <si>
    <t>Key Management Personnel:</t>
  </si>
  <si>
    <t>S No</t>
  </si>
  <si>
    <t xml:space="preserve">Name of the Official </t>
  </si>
  <si>
    <t>Designation</t>
  </si>
  <si>
    <t>ii</t>
  </si>
  <si>
    <t>Transactions with Related Parties:</t>
  </si>
  <si>
    <t>Remuneration</t>
  </si>
  <si>
    <t>Pursuant to the enactment of the Companies Act, 2013 (the Act), the company has adopted esimated useful life of fixed assets as stipulated by Schedule II to the Act, applicable for accounting period commencing on 01.04.2014.</t>
  </si>
  <si>
    <t>More than 3 Years</t>
  </si>
  <si>
    <t>Total</t>
  </si>
  <si>
    <t>(i) Current Ratio</t>
  </si>
  <si>
    <t>(ii) Debt-Equity Ratio</t>
  </si>
  <si>
    <t>(iii) Debt Service Coverage Ratio</t>
  </si>
  <si>
    <t>(iv) Return on Equity Ratio</t>
  </si>
  <si>
    <t>(v) Inventory Turnover Ratio</t>
  </si>
  <si>
    <t>(vi) Trade Receivables Turnover Ratio</t>
  </si>
  <si>
    <t>(vii) Trade Payables Turnover Ratio</t>
  </si>
  <si>
    <t>(viii) Net Capital Turnover Ratio</t>
  </si>
  <si>
    <t>(ix) Net Profit Ratio</t>
  </si>
  <si>
    <t>(x) Return on Capital Employed</t>
  </si>
  <si>
    <t>Debit</t>
  </si>
  <si>
    <t>Credit</t>
  </si>
  <si>
    <t>Tangible Assets</t>
  </si>
  <si>
    <t/>
  </si>
  <si>
    <t>Staff Welfare Expenses</t>
  </si>
  <si>
    <t>Closing Balance</t>
  </si>
  <si>
    <t>Retained Earnings</t>
  </si>
  <si>
    <t>Interest on TDS</t>
  </si>
  <si>
    <t>Retainership Fees</t>
  </si>
  <si>
    <t>Outstanding for following periods from due date of payment</t>
  </si>
  <si>
    <t>1 - 2 Years</t>
  </si>
  <si>
    <t>2 - 3 Years</t>
  </si>
  <si>
    <t>Undisputed dues</t>
  </si>
  <si>
    <t>- MSME</t>
  </si>
  <si>
    <t>- Others</t>
  </si>
  <si>
    <t>Disputed dues</t>
  </si>
  <si>
    <t>Sale of Services</t>
  </si>
  <si>
    <t>Rates &amp; Taxes</t>
  </si>
  <si>
    <t>Insurance</t>
  </si>
  <si>
    <t>Telephone &amp; Internet</t>
  </si>
  <si>
    <t>Membership &amp; Subscription Charges</t>
  </si>
  <si>
    <t>Computers &amp; Peripherals</t>
  </si>
  <si>
    <t>Depreciation &amp; amortisation</t>
  </si>
  <si>
    <t>Long Term Security Deposits</t>
  </si>
  <si>
    <t>Schedules for Notes to accounts</t>
  </si>
  <si>
    <t>FY 2022-23</t>
  </si>
  <si>
    <t>(i)</t>
  </si>
  <si>
    <t>Current ratio</t>
  </si>
  <si>
    <t>Ratio</t>
  </si>
  <si>
    <t>Return on Equity ratio</t>
  </si>
  <si>
    <t>Net profit after taxes</t>
  </si>
  <si>
    <t>Average Shareholder's equity</t>
  </si>
  <si>
    <t>(iv)</t>
  </si>
  <si>
    <t>Net capital turnover ratio</t>
  </si>
  <si>
    <t>Net sales</t>
  </si>
  <si>
    <t>Average working capital</t>
  </si>
  <si>
    <t>(Working capital = Current assets - Current liabilities)</t>
  </si>
  <si>
    <t>Net profit ratio</t>
  </si>
  <si>
    <t>(vii)</t>
  </si>
  <si>
    <t>Return on Capital employed</t>
  </si>
  <si>
    <t>Profit before interest &amp; tax</t>
  </si>
  <si>
    <t>Capital employed</t>
  </si>
  <si>
    <t>NA</t>
  </si>
  <si>
    <t>i) Revenue is reconized to the extend it is probable that the economic benefits will be flow into the company and the revenue can be reliably measured. Revenue is recognized as per the terms of the contract with customers when the related services provided.</t>
  </si>
  <si>
    <t>b) Interest income is recognised on a time proportion basis taking into account the amount outstanding and the interest rate applicable. Interest income is included under the head "Other income" in the statement of profit and loss.</t>
  </si>
  <si>
    <t>0 - 1 Year</t>
  </si>
  <si>
    <t>Director</t>
  </si>
  <si>
    <t>Cash flow from operating activities</t>
  </si>
  <si>
    <t>Profit before taxation</t>
  </si>
  <si>
    <t>Adjustment for :</t>
  </si>
  <si>
    <t>Add: Depreciation and Amortisation Expense</t>
  </si>
  <si>
    <t>Operating profit before working capital changes</t>
  </si>
  <si>
    <t>Movements in working capital:</t>
  </si>
  <si>
    <t>(Increase)/Decrease in Other Current Assets</t>
  </si>
  <si>
    <t>(Increase)/Decrease in Short Term Loans &amp; Advances</t>
  </si>
  <si>
    <t>(Increase)/Decrease in Long Term Loans &amp; Advances</t>
  </si>
  <si>
    <t>Increase/(Decrease) in Short Term Provisions</t>
  </si>
  <si>
    <t>Increase/(Decrease) in Trade Payables</t>
  </si>
  <si>
    <t>Increase/(Decrease) in Other Current Liabilities</t>
  </si>
  <si>
    <t>Cash used in operations</t>
  </si>
  <si>
    <t>Less: Direct taxes paid (net of refunds)</t>
  </si>
  <si>
    <t>Net cash flow used in operating activities</t>
  </si>
  <si>
    <t xml:space="preserve"> (A)</t>
  </si>
  <si>
    <t>Cash flows from investing activities</t>
  </si>
  <si>
    <t>Purchase of Assets</t>
  </si>
  <si>
    <t>Net cash flow used in investing activities</t>
  </si>
  <si>
    <t xml:space="preserve"> (B)</t>
  </si>
  <si>
    <t>Cash flows from financing activities</t>
  </si>
  <si>
    <t>Long Term Borrowings</t>
  </si>
  <si>
    <t>Net cash generated from financing activities</t>
  </si>
  <si>
    <t xml:space="preserve"> (C)</t>
  </si>
  <si>
    <t>Net increase in cash and cash equivalents</t>
  </si>
  <si>
    <t>(A+B+C)</t>
  </si>
  <si>
    <t>Cash and cash equivalents at the beginning of the year</t>
  </si>
  <si>
    <t>Cash and cash equivalents at the end of the year</t>
  </si>
  <si>
    <t>Components of cash and cash equivalents</t>
  </si>
  <si>
    <t>With banks in Current Accounts</t>
  </si>
  <si>
    <r>
      <t>Total cash and cash equivalents (</t>
    </r>
    <r>
      <rPr>
        <b/>
        <i/>
        <sz val="11"/>
        <color rgb="FF000000"/>
        <rFont val="Book Antiqua"/>
        <family val="1"/>
      </rPr>
      <t>Refer note 13</t>
    </r>
    <r>
      <rPr>
        <b/>
        <sz val="11"/>
        <color rgb="FF000000"/>
        <rFont val="Book Antiqua"/>
        <family val="1"/>
      </rPr>
      <t>)</t>
    </r>
  </si>
  <si>
    <t>Notes:</t>
  </si>
  <si>
    <t>1. The Cash Flow statement is prepared under 'indirect method' as set out in the Indian Accounting Standard - 7 on Cash Flow Statements. Cash and cash equivalents in the Cash Flow Statement comprise cash at bank and in hand and deposits with bank.</t>
  </si>
  <si>
    <t>2. Previous year's figures have been regrouped, wherever necessary.</t>
  </si>
  <si>
    <t>3. The accompanying notes form an integral part of the Financial Statements</t>
  </si>
  <si>
    <t>Chartered Accountants</t>
  </si>
  <si>
    <t>Proprietor</t>
  </si>
  <si>
    <t>Place : Hyderabad</t>
  </si>
  <si>
    <t>The Company has only one class of equity shares having par value of ₹ 10/- per share. Each holder of equity share is entitled to one vote per share. The Company declares and pays dividend in Indian Rupees. In the event of liquidation of the Company, the holders of equity shares will be entitled to receive remaining assets of the Company, after distribution of all preferential amounts. The distribution will be in proportion to the number of equity shares held by the shareholders.</t>
  </si>
  <si>
    <t>(viii)</t>
  </si>
  <si>
    <t>(ix)</t>
  </si>
  <si>
    <t>For M/s Siva Parvathi &amp; Associates</t>
  </si>
  <si>
    <t>S. Siva Parvathi</t>
  </si>
  <si>
    <t>Veripark Software Private Limited</t>
  </si>
  <si>
    <t>Fadhlurahman Parattuveettil Usman</t>
  </si>
  <si>
    <t>Mohammed Anwar</t>
  </si>
  <si>
    <t xml:space="preserve">Date : </t>
  </si>
  <si>
    <t>Account</t>
  </si>
  <si>
    <t xml:space="preserve"> APC Schneider (UPS 3KVA/2.4KW)</t>
  </si>
  <si>
    <t xml:space="preserve"> Apple Ipad</t>
  </si>
  <si>
    <t xml:space="preserve"> Apple Iphone 12 Max Pro</t>
  </si>
  <si>
    <t xml:space="preserve"> Apple Iphone 12 Max Pro - 2</t>
  </si>
  <si>
    <t xml:space="preserve"> Apple Iphone XS</t>
  </si>
  <si>
    <t xml:space="preserve"> Apple Macbook Pro - A1990</t>
  </si>
  <si>
    <t xml:space="preserve"> Apple Watch</t>
  </si>
  <si>
    <t xml:space="preserve"> Canon Printer cum Scanner - 1</t>
  </si>
  <si>
    <t xml:space="preserve"> Canon Printer cum Scanner - 2</t>
  </si>
  <si>
    <t xml:space="preserve"> CD Balance GHI &amp; GPA - Aditya Birla Health Insurance Co Ltd</t>
  </si>
  <si>
    <t xml:space="preserve"> Citi Bank (528828019)</t>
  </si>
  <si>
    <t xml:space="preserve"> Deferred Revenue Expenditure</t>
  </si>
  <si>
    <t xml:space="preserve"> Deferred Tax Asset</t>
  </si>
  <si>
    <t xml:space="preserve"> Dell LAPTOP_Batch-19</t>
  </si>
  <si>
    <t xml:space="preserve"> Dell LAPTOP_Batch-20</t>
  </si>
  <si>
    <t xml:space="preserve"> Dell LAPTOP_Batch-21</t>
  </si>
  <si>
    <t xml:space="preserve"> EPSON Projector</t>
  </si>
  <si>
    <t xml:space="preserve"> Fortigate Firewall (Server) - BLR</t>
  </si>
  <si>
    <t xml:space="preserve"> Fortigate Firewall (Server) - HYD</t>
  </si>
  <si>
    <t xml:space="preserve"> Godrej Safe</t>
  </si>
  <si>
    <t xml:space="preserve"> Godrej Wardrobe</t>
  </si>
  <si>
    <t xml:space="preserve"> HP  Printer cum Scanner - 1</t>
  </si>
  <si>
    <t xml:space="preserve"> Input Tax Credits</t>
  </si>
  <si>
    <t xml:space="preserve">           Input CGST</t>
  </si>
  <si>
    <t xml:space="preserve">           Input IGST</t>
  </si>
  <si>
    <t xml:space="preserve">           Input SGST</t>
  </si>
  <si>
    <t xml:space="preserve"> IT Server</t>
  </si>
  <si>
    <t xml:space="preserve"> Kotak Mahindra Bank (2012183177)</t>
  </si>
  <si>
    <t xml:space="preserve"> Kotak Mahindra Bank (2013992013)</t>
  </si>
  <si>
    <t xml:space="preserve"> Lenovo Desktop CPU</t>
  </si>
  <si>
    <t xml:space="preserve"> Lenovo Laptop - E580</t>
  </si>
  <si>
    <t xml:space="preserve"> Lenovo LAPTOP_Batch-1</t>
  </si>
  <si>
    <t xml:space="preserve"> Lenovo LAPTOP_Batch-10</t>
  </si>
  <si>
    <t xml:space="preserve"> Lenovo LAPTOP_Batch-11</t>
  </si>
  <si>
    <t xml:space="preserve"> Lenovo LAPTOP_Batch-12</t>
  </si>
  <si>
    <t xml:space="preserve"> Lenovo LAPTOP_Batch-13</t>
  </si>
  <si>
    <t xml:space="preserve"> Lenovo LAPTOP_Batch-14</t>
  </si>
  <si>
    <t xml:space="preserve"> Lenovo LAPTOP_Batch-15</t>
  </si>
  <si>
    <t xml:space="preserve"> Lenovo LAPTOP_Batch-16</t>
  </si>
  <si>
    <t xml:space="preserve"> Lenovo LAPTOP_Batch-17</t>
  </si>
  <si>
    <t xml:space="preserve"> Lenovo LAPTOP_Batch-18</t>
  </si>
  <si>
    <t xml:space="preserve"> Lenovo LAPTOP_Batch-2</t>
  </si>
  <si>
    <t xml:space="preserve"> Lenovo LAPTOP_Batch-3</t>
  </si>
  <si>
    <t xml:space="preserve"> Lenovo LAPTOP_Batch-4</t>
  </si>
  <si>
    <t xml:space="preserve"> Lenovo LAPTOP_Batch-5</t>
  </si>
  <si>
    <t xml:space="preserve"> Lenovo LAPTOP_Batch-6</t>
  </si>
  <si>
    <t xml:space="preserve"> Lenovo LAPTOP_Batch-7</t>
  </si>
  <si>
    <t xml:space="preserve"> Lenovo LAPTOP_Batch-8</t>
  </si>
  <si>
    <t xml:space="preserve"> Lenovo LAPTOP_Batch-9</t>
  </si>
  <si>
    <t xml:space="preserve"> LG Monitors 27"</t>
  </si>
  <si>
    <t xml:space="preserve"> LG Projector - Batch-1</t>
  </si>
  <si>
    <t xml:space="preserve"> LG Projector - Batch-2</t>
  </si>
  <si>
    <t xml:space="preserve"> Logitech Web Camera - 1</t>
  </si>
  <si>
    <t xml:space="preserve"> Petty Cash</t>
  </si>
  <si>
    <t xml:space="preserve"> Prepaid - Employees Group Life Insurance</t>
  </si>
  <si>
    <t xml:space="preserve"> Prepaid Assets Insurance</t>
  </si>
  <si>
    <t xml:space="preserve"> Prepaid Insurance - Employees Health &amp; Personal Accident</t>
  </si>
  <si>
    <t xml:space="preserve"> Samsung 24" LED Monitor - Batch-1</t>
  </si>
  <si>
    <t xml:space="preserve"> Samsung 24" LED Monitor - Batch-2</t>
  </si>
  <si>
    <t xml:space="preserve"> Samsung 24" LED Monitor - Batch-3</t>
  </si>
  <si>
    <t xml:space="preserve"> Samsung 24" LED Monitor - Batch-4</t>
  </si>
  <si>
    <t xml:space="preserve"> Samsung 24" LED Monitor - Batch-5</t>
  </si>
  <si>
    <t xml:space="preserve"> Samsung 32" Monitor - 1</t>
  </si>
  <si>
    <t xml:space="preserve"> Samsung Mobile Galaxy S9 SM-G960F</t>
  </si>
  <si>
    <t xml:space="preserve"> Samsung Refrigerator - 1</t>
  </si>
  <si>
    <t xml:space="preserve"> Seagate Hard Disc 2TB</t>
  </si>
  <si>
    <t xml:space="preserve"> Security Deposit - Hive Space</t>
  </si>
  <si>
    <t xml:space="preserve"> Security Deposit - Incuspaze Solutions Private Limited</t>
  </si>
  <si>
    <t xml:space="preserve"> Security Deposits - Awfis Space Solutions Private Limited</t>
  </si>
  <si>
    <t xml:space="preserve"> Security Deposits - Concept Classic Converge</t>
  </si>
  <si>
    <t xml:space="preserve"> Veripark Bangalore</t>
  </si>
  <si>
    <t>Liabilities</t>
  </si>
  <si>
    <t xml:space="preserve"> Accounts Payable</t>
  </si>
  <si>
    <t xml:space="preserve"> Payroll liabilities</t>
  </si>
  <si>
    <t xml:space="preserve"> Profession Tax Payable</t>
  </si>
  <si>
    <t xml:space="preserve"> Provident Fund Payables</t>
  </si>
  <si>
    <t xml:space="preserve"> Provision for Gratuity</t>
  </si>
  <si>
    <t xml:space="preserve"> Provision for Tax</t>
  </si>
  <si>
    <t xml:space="preserve"> TDS Payable</t>
  </si>
  <si>
    <t xml:space="preserve"> Veripark Gulf FZE (Related Party)</t>
  </si>
  <si>
    <t xml:space="preserve"> Veripark Hyderabad</t>
  </si>
  <si>
    <t>Equities</t>
  </si>
  <si>
    <t xml:space="preserve"> Retained Earnings</t>
  </si>
  <si>
    <t xml:space="preserve"> Shares Issued to Fadhlurahman</t>
  </si>
  <si>
    <t xml:space="preserve"> Shares Issued to Mohammed Anwar</t>
  </si>
  <si>
    <t xml:space="preserve"> Shares Issued to Veripark Yazilim Anonim Sirketi</t>
  </si>
  <si>
    <t xml:space="preserve"> Sales</t>
  </si>
  <si>
    <t>Expense</t>
  </si>
  <si>
    <t xml:space="preserve"> Annual Profession Tax</t>
  </si>
  <si>
    <t xml:space="preserve"> Asset Insurance</t>
  </si>
  <si>
    <t xml:space="preserve"> Bank Fees and Charges</t>
  </si>
  <si>
    <t xml:space="preserve"> Consultancy Charges</t>
  </si>
  <si>
    <t xml:space="preserve"> Depreciation And Amortisation</t>
  </si>
  <si>
    <t xml:space="preserve"> Dues &amp; Subscriptions</t>
  </si>
  <si>
    <t xml:space="preserve"> Employees Expenses Reimbursement</t>
  </si>
  <si>
    <t xml:space="preserve"> Employees Group Health Insurance</t>
  </si>
  <si>
    <t xml:space="preserve"> Employees Group Life Insurance</t>
  </si>
  <si>
    <t xml:space="preserve"> Employees Health &amp; Personal Accident Insurance</t>
  </si>
  <si>
    <t xml:space="preserve"> Employer Contribution to EPF</t>
  </si>
  <si>
    <t xml:space="preserve"> Gratuity Expense</t>
  </si>
  <si>
    <t xml:space="preserve"> Income Tax</t>
  </si>
  <si>
    <t xml:space="preserve"> Interest on TDS</t>
  </si>
  <si>
    <t xml:space="preserve"> IT and Internet Expenses</t>
  </si>
  <si>
    <t xml:space="preserve"> Laptop Accessories and Maintenance</t>
  </si>
  <si>
    <t xml:space="preserve"> Laptop Extended Warranty</t>
  </si>
  <si>
    <t xml:space="preserve"> Loss/Gain on Foreign Exchange</t>
  </si>
  <si>
    <t xml:space="preserve"> Office Maintenance</t>
  </si>
  <si>
    <t xml:space="preserve"> Office Rent</t>
  </si>
  <si>
    <t xml:space="preserve"> Other Expenses</t>
  </si>
  <si>
    <t xml:space="preserve"> Payroll Expenses</t>
  </si>
  <si>
    <t xml:space="preserve"> Per Diem Expenses</t>
  </si>
  <si>
    <t xml:space="preserve"> PF Administration &amp; EDLI Charges</t>
  </si>
  <si>
    <t xml:space="preserve"> Postage &amp; Courier Charges</t>
  </si>
  <si>
    <t xml:space="preserve"> Printing and Stationery</t>
  </si>
  <si>
    <t xml:space="preserve"> Professional Fee</t>
  </si>
  <si>
    <t xml:space="preserve"> Registrations &amp; Renewals</t>
  </si>
  <si>
    <t xml:space="preserve"> Retainership Fee</t>
  </si>
  <si>
    <t xml:space="preserve"> ROC Filing Fee</t>
  </si>
  <si>
    <t xml:space="preserve"> Round off</t>
  </si>
  <si>
    <t xml:space="preserve"> Staff Welfare Expenses</t>
  </si>
  <si>
    <t xml:space="preserve"> Telephone Expense</t>
  </si>
  <si>
    <t xml:space="preserve"> Training &amp; Development Expenses</t>
  </si>
  <si>
    <t xml:space="preserve"> Travel Insurance</t>
  </si>
  <si>
    <t xml:space="preserve"> Visa Expenses</t>
  </si>
  <si>
    <t>Veripark Software Private Limited
Trial Balance
Basis: Accrual
                As of 31/03/2023</t>
  </si>
  <si>
    <t>Veripark Software Private Limited.</t>
  </si>
  <si>
    <t>Working Trial Balance</t>
  </si>
  <si>
    <t>As of March 31, 2022</t>
  </si>
  <si>
    <t>Opening Balance</t>
  </si>
  <si>
    <t>Transactions during the period</t>
  </si>
  <si>
    <t>Kotak Mahindra Bank (2013992013)</t>
  </si>
  <si>
    <t>Petty Cash</t>
  </si>
  <si>
    <t>Accounts Receivable (Debtors)</t>
  </si>
  <si>
    <t>Prepaid Employees Group Medical Insurance</t>
  </si>
  <si>
    <t>Prepaid Expenses (Dues &amp; Subscription)</t>
  </si>
  <si>
    <t>Apple Ipad</t>
  </si>
  <si>
    <t>Fortigate Firewall (Server)</t>
  </si>
  <si>
    <t>HP  Printer cum Scanner - 1</t>
  </si>
  <si>
    <t>Lenovo Laptop - E580</t>
  </si>
  <si>
    <t>LG Monitors 27"</t>
  </si>
  <si>
    <t>Security Deposits - Concept Classic Converge</t>
  </si>
  <si>
    <t>Security Deposits - Smartworks Coworking Spaces</t>
  </si>
  <si>
    <t>Accounts Payable (Creditors)</t>
  </si>
  <si>
    <t>Input CGST</t>
  </si>
  <si>
    <t>Input CGST 9%</t>
  </si>
  <si>
    <t>Input IGST</t>
  </si>
  <si>
    <t>Input IGST 18%</t>
  </si>
  <si>
    <t>Input SGST</t>
  </si>
  <si>
    <t>Input SGST 9%</t>
  </si>
  <si>
    <t>Payroll liabilities</t>
  </si>
  <si>
    <t>Profession Tax Payable</t>
  </si>
  <si>
    <t>Provident Fund Payables</t>
  </si>
  <si>
    <t>TDS Payable</t>
  </si>
  <si>
    <t>TDS u/s 192B on Salaries</t>
  </si>
  <si>
    <t>TDS u/s 194C on Contractor Payments</t>
  </si>
  <si>
    <t>TDS u/s 194I on Rent Payment</t>
  </si>
  <si>
    <t>TDS u/s 194J on Professional Fee</t>
  </si>
  <si>
    <t>Veripark Hyderabad</t>
  </si>
  <si>
    <t>Services</t>
  </si>
  <si>
    <t>Bank charges</t>
  </si>
  <si>
    <t>Depreciation Expense</t>
  </si>
  <si>
    <t>Dues and Subscriptions</t>
  </si>
  <si>
    <t>Employees Group Health Insurance</t>
  </si>
  <si>
    <t>Internship</t>
  </si>
  <si>
    <t>Loss/Gain on Exchange Rate</t>
  </si>
  <si>
    <t>Office Rent</t>
  </si>
  <si>
    <t>Payroll Expenses</t>
  </si>
  <si>
    <t>Perdiem / Relocation &amp; Other Expenses</t>
  </si>
  <si>
    <t>Telephone Expense</t>
  </si>
  <si>
    <t>Roundoff Expense</t>
  </si>
  <si>
    <t>Tuesday, Aug 02, 2022 12:38:17 PM GMT+5:30 - Accrual Basis</t>
  </si>
  <si>
    <t>Kotak Mahindra Bank (2012183177)</t>
  </si>
  <si>
    <t>Aparna Dhamsani</t>
  </si>
  <si>
    <t>Deferred Revenue Expenditure</t>
  </si>
  <si>
    <t>Employees Parental Insurance</t>
  </si>
  <si>
    <t>Loans &amp; Advances</t>
  </si>
  <si>
    <t xml:space="preserve">   Veripark Bangalore ODC</t>
  </si>
  <si>
    <t>Total Loans &amp; Advances</t>
  </si>
  <si>
    <t>Prepaid Assets Insurance</t>
  </si>
  <si>
    <t>Prepaid Group Medical Insurance</t>
  </si>
  <si>
    <t>Prepaid Insurance - Employees Group Health Insurance</t>
  </si>
  <si>
    <t>Prepaid Insurance - Employees Group Personal Accident</t>
  </si>
  <si>
    <t>Rajesh Achanta</t>
  </si>
  <si>
    <t>Rajesh Keesara</t>
  </si>
  <si>
    <t>Salary Advances</t>
  </si>
  <si>
    <t>Travel Advances</t>
  </si>
  <si>
    <t>APC Schneider (UPS 3KVA/2.4KW)</t>
  </si>
  <si>
    <t>Apple Iphone 12 Max Pro</t>
  </si>
  <si>
    <t>Apple Iphone 12 Max Pro - 2</t>
  </si>
  <si>
    <t>Apple Iphone XS</t>
  </si>
  <si>
    <t>Apple Macbook Pro - A1990</t>
  </si>
  <si>
    <t>Apple Watch</t>
  </si>
  <si>
    <t>Canon Printer cum Scanner - 1</t>
  </si>
  <si>
    <t>Canon Printer cum Scanner - 2</t>
  </si>
  <si>
    <t>CC TV Cameras</t>
  </si>
  <si>
    <t>Dell LAPTOP_Batch-19</t>
  </si>
  <si>
    <t>Dell LAPTOP_Batch-20</t>
  </si>
  <si>
    <t>Dell LAPTOP_Batch-21</t>
  </si>
  <si>
    <t>EPSON Projector</t>
  </si>
  <si>
    <t>Godrej Safe</t>
  </si>
  <si>
    <t>Godrej Wardrobe</t>
  </si>
  <si>
    <t>IT Server</t>
  </si>
  <si>
    <t>Lenovo Desktop CPU</t>
  </si>
  <si>
    <t>Lenovo LAPTOP_Batch-1</t>
  </si>
  <si>
    <t>Lenovo LAPTOP_Batch-10</t>
  </si>
  <si>
    <t>Lenovo LAPTOP_Batch-11</t>
  </si>
  <si>
    <t>Lenovo LAPTOP_Batch-12</t>
  </si>
  <si>
    <t>Lenovo LAPTOP_Batch-13</t>
  </si>
  <si>
    <t>Lenovo LAPTOP_Batch-14</t>
  </si>
  <si>
    <t>Lenovo LAPTOP_Batch-15</t>
  </si>
  <si>
    <t>Lenovo LAPTOP_Batch-16</t>
  </si>
  <si>
    <t>Lenovo LAPTOP_Batch-17</t>
  </si>
  <si>
    <t>Lenovo LAPTOP_Batch-18</t>
  </si>
  <si>
    <t>Lenovo LAPTOP_Batch-2</t>
  </si>
  <si>
    <t>Lenovo LAPTOP_Batch-3</t>
  </si>
  <si>
    <t>Lenovo LAPTOP_Batch-4</t>
  </si>
  <si>
    <t>Lenovo LAPTOP_Batch-5</t>
  </si>
  <si>
    <t>Lenovo LAPTOP_Batch-6</t>
  </si>
  <si>
    <t>Lenovo LAPTOP_Batch-7</t>
  </si>
  <si>
    <t>Lenovo LAPTOP_Batch-8</t>
  </si>
  <si>
    <t>Lenovo LAPTOP_Batch-9</t>
  </si>
  <si>
    <t>LG Projector - Batch-1</t>
  </si>
  <si>
    <t>LG Projector - Batch-2</t>
  </si>
  <si>
    <t>Logitech Web Camera - 1</t>
  </si>
  <si>
    <t>Samsung 24" LED Monitor - Batch-1</t>
  </si>
  <si>
    <t>Samsung 24" LED Monitor - Batch-2</t>
  </si>
  <si>
    <t>Samsung 24" LED Monitor - Batch-3</t>
  </si>
  <si>
    <t>Samsung 24" LED Monitor - Batch-4</t>
  </si>
  <si>
    <t>Samsung 24" LED Monitor - Batch-5</t>
  </si>
  <si>
    <t>Samsung 32" Monitor - 1</t>
  </si>
  <si>
    <t>Samsung Micro Oven</t>
  </si>
  <si>
    <t>Samsung Mobile Galaxy S9 SM-G960F</t>
  </si>
  <si>
    <t>Samsung Refrigerator - 1</t>
  </si>
  <si>
    <t>Samsung Refrigerator - 2</t>
  </si>
  <si>
    <t>Seagate Hard Disc 2TB</t>
  </si>
  <si>
    <t>Voltas Water Purifier - 1</t>
  </si>
  <si>
    <t>Voltas Water Purifier - 2</t>
  </si>
  <si>
    <t>Bharti Airtel Ltd - ISD (Security Deposits)</t>
  </si>
  <si>
    <t>Deferred Tax Asset</t>
  </si>
  <si>
    <t>Hive Space</t>
  </si>
  <si>
    <t>R M Sindhura Reddy</t>
  </si>
  <si>
    <t>Tablespace Technologies Pvt Ltd</t>
  </si>
  <si>
    <t>Advance From Veripark Gulf (FZE)</t>
  </si>
  <si>
    <t>Electricity Expenses Payable</t>
  </si>
  <si>
    <t>Input CGST - 14%</t>
  </si>
  <si>
    <t>Input CGST - 6%</t>
  </si>
  <si>
    <t>Input CGST 2.5%</t>
  </si>
  <si>
    <t>Input CGST Tax RCM</t>
  </si>
  <si>
    <t>Input SGST - 14%</t>
  </si>
  <si>
    <t>Input SGST - 6%</t>
  </si>
  <si>
    <t>Input SGST 2.5%</t>
  </si>
  <si>
    <t>Input SGST Tax RCM</t>
  </si>
  <si>
    <t>Output CGST</t>
  </si>
  <si>
    <t>Output SGST</t>
  </si>
  <si>
    <t>Provision for Gratuity</t>
  </si>
  <si>
    <t>Provision for Professional Fee (Transfer Pricing)</t>
  </si>
  <si>
    <t>Provision for Statutory Audit Fee</t>
  </si>
  <si>
    <t>Provision for Tax</t>
  </si>
  <si>
    <t>Short Term Borrowings from Related Parties</t>
  </si>
  <si>
    <t>TDS u/s 194J on Professional Fee (Non Company)</t>
  </si>
  <si>
    <t>Veripark Gulf Head Office</t>
  </si>
  <si>
    <t>Shares Issued to Chetarjee Babu M</t>
  </si>
  <si>
    <t>Shares Issued to Fadhlurahman</t>
  </si>
  <si>
    <t>Shares Issued to Mohammed Anwar</t>
  </si>
  <si>
    <t>Shares Issued to Sashi Mundra</t>
  </si>
  <si>
    <t>Shares Issued to Veripark Gulf</t>
  </si>
  <si>
    <t>Shares Issued to Veripark Yazilim Anonim Sirketi</t>
  </si>
  <si>
    <t>Shares Issued to Vijay Krishnan</t>
  </si>
  <si>
    <t>Assets Insurance</t>
  </si>
  <si>
    <t>Computer and Internet Expense</t>
  </si>
  <si>
    <t>Consultancy &amp; Service Fee</t>
  </si>
  <si>
    <t>Employees Group Personal Accident Insurance</t>
  </si>
  <si>
    <t>Employer Contribution to PF</t>
  </si>
  <si>
    <t>Extended Warranty - Lenovo Laptops</t>
  </si>
  <si>
    <t>Gratuity</t>
  </si>
  <si>
    <t>GreytHR Portal Online Usage Charges</t>
  </si>
  <si>
    <t>Internet Charges</t>
  </si>
  <si>
    <t>Office Electricity Expenses</t>
  </si>
  <si>
    <t>Office Maintenance</t>
  </si>
  <si>
    <t>Online Content Services (Udemy License)</t>
  </si>
  <si>
    <t>Other Deductions</t>
  </si>
  <si>
    <t>PF Administration &amp; EDLI Charges</t>
  </si>
  <si>
    <t>Postage and Courier</t>
  </si>
  <si>
    <t>Printing and Stationery</t>
  </si>
  <si>
    <t>Prior Period Expenses</t>
  </si>
  <si>
    <t>Profession Tax</t>
  </si>
  <si>
    <t>Professional Fees</t>
  </si>
  <si>
    <t>Professional Fees(Statutory Audit)</t>
  </si>
  <si>
    <t>Professional Fees(Transfer Pricing)</t>
  </si>
  <si>
    <t>ROC Filing Fee</t>
  </si>
  <si>
    <t>TDS Filing Fee</t>
  </si>
  <si>
    <t>Visa Expenses</t>
  </si>
  <si>
    <t>Gain / Loss on Sales of Fixed Assets</t>
  </si>
  <si>
    <t>Deferred Tax Expense</t>
  </si>
  <si>
    <t>Income Tax</t>
  </si>
  <si>
    <t>Tuesday, Aug 02, 2022 11:35:51 AM GMT+5:30 - Accrual Basis</t>
  </si>
  <si>
    <t>Gain on sale of assets</t>
  </si>
  <si>
    <t>Contribution to PF, ESI &amp; Gratuity</t>
  </si>
  <si>
    <t>As per books</t>
  </si>
  <si>
    <t>Adjustments</t>
  </si>
  <si>
    <t>Closing balances</t>
  </si>
  <si>
    <t>Salaries &amp; wages</t>
  </si>
  <si>
    <t>Other Expenses</t>
  </si>
  <si>
    <t>Per diem &amp; relocation charges</t>
  </si>
  <si>
    <t>Foreign exchange loss</t>
  </si>
  <si>
    <t>Consultancy &amp; Professional charges</t>
  </si>
  <si>
    <t>Training &amp; development expenses</t>
  </si>
  <si>
    <t>Electricity charges</t>
  </si>
  <si>
    <t>Membership &amp; subscription charges</t>
  </si>
  <si>
    <t>Repairs &amp; maintenance - Computers</t>
  </si>
  <si>
    <t>Printing &amp; stationery</t>
  </si>
  <si>
    <t>Postage &amp; courier</t>
  </si>
  <si>
    <t>Rates &amp; taxes</t>
  </si>
  <si>
    <t>Asset Insurance</t>
  </si>
  <si>
    <t>Travel Insurance</t>
  </si>
  <si>
    <t>Annual Professional Tax</t>
  </si>
  <si>
    <t>Visa expenses</t>
  </si>
  <si>
    <t>Repairs &amp; Maintenance</t>
  </si>
  <si>
    <t>-Office</t>
  </si>
  <si>
    <t>-Computers</t>
  </si>
  <si>
    <t>Repairs &amp; maintenance - Office</t>
  </si>
  <si>
    <t>Power &amp; Fuel</t>
  </si>
  <si>
    <t>Postage &amp; Courier</t>
  </si>
  <si>
    <t>Audit Fees</t>
  </si>
  <si>
    <t>Audit Fees Payable</t>
  </si>
  <si>
    <t>Depreciation &amp; Amortisation</t>
  </si>
  <si>
    <t>Professional Fee</t>
  </si>
  <si>
    <t>Consultancy Charges</t>
  </si>
  <si>
    <t>Registrations &amp; Renewals</t>
  </si>
  <si>
    <t>Dues &amp; Subscriptions</t>
  </si>
  <si>
    <t>Round off</t>
  </si>
  <si>
    <t>Laptop Accessories and Maintenance</t>
  </si>
  <si>
    <t>Employees Group Life Insurance</t>
  </si>
  <si>
    <t>Employees Health &amp; Personal Accident Insurance</t>
  </si>
  <si>
    <t>IT and Internet Expenses</t>
  </si>
  <si>
    <t>10,000 (March 31, 2022 : 10,000) equity shares of ₹ 10/- each</t>
  </si>
  <si>
    <t>1,000 (March 31, 2022 : 1,000) equity shares of ₹ 10/- each</t>
  </si>
  <si>
    <t>Veripark Yazilim Anonim Sirketi</t>
  </si>
  <si>
    <t>Fadhlurahman</t>
  </si>
  <si>
    <t>Long term provisions</t>
  </si>
  <si>
    <t>4. Long term provisions</t>
  </si>
  <si>
    <t>Gratuity payable</t>
  </si>
  <si>
    <t>Dues to</t>
  </si>
  <si>
    <t>-Micro &amp; Small Enterprises</t>
  </si>
  <si>
    <t>-Others</t>
  </si>
  <si>
    <t>Trade Payables</t>
  </si>
  <si>
    <t>RM Sindhura Reddy</t>
  </si>
  <si>
    <t>Sky Horizon</t>
  </si>
  <si>
    <t>AGR Corporate Consultants LLP</t>
  </si>
  <si>
    <t>Concept Classic Converge Pvt Ltd</t>
  </si>
  <si>
    <t>Networkcity Innovations Pvt Ltd</t>
  </si>
  <si>
    <t>Outstanding liabilities for expenses</t>
  </si>
  <si>
    <t>Inter branch dues</t>
  </si>
  <si>
    <t>Salary payable</t>
  </si>
  <si>
    <t>Audit fees payable</t>
  </si>
  <si>
    <t>Office Equipments</t>
  </si>
  <si>
    <t>Bangalore Office Security Deposit</t>
  </si>
  <si>
    <t>Hive Space Security Deposit</t>
  </si>
  <si>
    <t>Bharati Airtel</t>
  </si>
  <si>
    <t>Deferred tax asset</t>
  </si>
  <si>
    <t>Prepaid Insurance</t>
  </si>
  <si>
    <t>Other advances</t>
  </si>
  <si>
    <t>Income Tax Refund Receivable (Provision for tax Dr balance)</t>
  </si>
  <si>
    <t>Aparna Dhamsani (Employee)</t>
  </si>
  <si>
    <t>- For Tax Audit &amp; others taxation related matters</t>
  </si>
  <si>
    <t>Holding Company</t>
  </si>
  <si>
    <t>Holding company</t>
  </si>
  <si>
    <t>Incomes</t>
  </si>
  <si>
    <t>Sale of services</t>
  </si>
  <si>
    <t>Balance outstanding as on 31st March</t>
  </si>
  <si>
    <t>Expenses payable</t>
  </si>
  <si>
    <t>Basic and diluted in Rupees</t>
  </si>
  <si>
    <t>Earning Per Share in Rupees</t>
  </si>
  <si>
    <t>5. Trade Payables</t>
  </si>
  <si>
    <t>6. Other Current Liabilities</t>
  </si>
  <si>
    <t>(Increase)/Decrease in Long Term Provisions</t>
  </si>
  <si>
    <t xml:space="preserve"> Prepaid Expense - Laptop Extended Warranty</t>
  </si>
  <si>
    <t>Prepaid Expenditure</t>
  </si>
  <si>
    <t>Total Income</t>
  </si>
  <si>
    <t>Expenditure</t>
  </si>
  <si>
    <t>PBT</t>
  </si>
  <si>
    <t>PAT</t>
  </si>
  <si>
    <t>Actual</t>
  </si>
  <si>
    <t>At 17% Profit</t>
  </si>
  <si>
    <t>* Expenditure need to be deferred for 17% profit</t>
  </si>
  <si>
    <t>Professional fees for Transfer pricing</t>
  </si>
  <si>
    <t>Other Payable (Professional fee for TP)</t>
  </si>
  <si>
    <t>Deferred Expenditure</t>
  </si>
  <si>
    <t>Advance Tax</t>
  </si>
  <si>
    <t>Provision for Income Tax</t>
  </si>
  <si>
    <t>31.03.2022</t>
  </si>
  <si>
    <t>S.No</t>
  </si>
  <si>
    <t xml:space="preserve">Preliminary Expenses </t>
  </si>
  <si>
    <t>1/5th in 5th Year</t>
  </si>
  <si>
    <t>Net of items resulting in D.T.L/(D.T.A)</t>
  </si>
  <si>
    <t>Deferred Tax Liability/(Asset) of Current Year</t>
  </si>
  <si>
    <t>31.03.2023</t>
  </si>
  <si>
    <t>Deferred Tax Expenses</t>
  </si>
  <si>
    <t>The Company has undertaken necessary steps to comply with the Transfer Pricing regulations. The Management is of the opinion that the international transactions are at arm's length and hence the aforesaid legislation will not have any impact on the financial statements, particularly on the amount of tax expense and that of provision for taxation.</t>
  </si>
  <si>
    <t>Inflow:</t>
  </si>
  <si>
    <t>Income from export of services</t>
  </si>
  <si>
    <t>Non-current</t>
  </si>
  <si>
    <t xml:space="preserve">Current </t>
  </si>
  <si>
    <t>Already Booked in Books</t>
  </si>
  <si>
    <t>Provision for Gratuity - current</t>
  </si>
  <si>
    <t>Provision need to be reversed</t>
  </si>
  <si>
    <t>Total Gratuity provision as per valuation</t>
  </si>
  <si>
    <t>In Rupees</t>
  </si>
  <si>
    <t>Status : Company</t>
  </si>
  <si>
    <t>Annexure No. :- 1</t>
  </si>
  <si>
    <t>DEPRECIATION SCHEDULE AS PER INCOME TAX ACT</t>
  </si>
  <si>
    <t>Sl. No</t>
  </si>
  <si>
    <t>Block Of Assets</t>
  </si>
  <si>
    <t>Description</t>
  </si>
  <si>
    <t>Rate</t>
  </si>
  <si>
    <t>Additions &gt;=180 days</t>
  </si>
  <si>
    <t>Additions &lt; 180 days</t>
  </si>
  <si>
    <t>Depreciation</t>
  </si>
  <si>
    <t>Transfer Expenses</t>
  </si>
  <si>
    <t>Short Term capital gain</t>
  </si>
  <si>
    <t>Normal</t>
  </si>
  <si>
    <t>Additional</t>
  </si>
  <si>
    <t>Block1-Furntiure and Fixtures</t>
  </si>
  <si>
    <t>Furniture, Electrical Fittings</t>
  </si>
  <si>
    <t>Block 1- Plant and machinery</t>
  </si>
  <si>
    <t>Disallow expenditure</t>
  </si>
  <si>
    <t>Vijay Krishnan ( Retired)</t>
  </si>
  <si>
    <t>Content</t>
  </si>
  <si>
    <t>Page</t>
  </si>
  <si>
    <t>Notes to Balance sheet</t>
  </si>
  <si>
    <t>04-10</t>
  </si>
  <si>
    <t>Notes to Profit and Loss a/c</t>
  </si>
  <si>
    <t>Other Notes and Disclosures</t>
  </si>
  <si>
    <t>12-13</t>
  </si>
  <si>
    <t>7. Short Term Provisions</t>
  </si>
  <si>
    <t>Note 8 : Fixed Assets</t>
  </si>
  <si>
    <t>9. Long Term Loans and advances</t>
  </si>
  <si>
    <t>10. Deferred Tax Asset</t>
  </si>
  <si>
    <t>11. Cash and bank balances</t>
  </si>
  <si>
    <t>12. Short Term Loans and Advances</t>
  </si>
  <si>
    <t>13. Other Current Assets</t>
  </si>
  <si>
    <t>14. Revenue from Operations</t>
  </si>
  <si>
    <t>15. Other income</t>
  </si>
  <si>
    <t>16. Employee benefit expense</t>
  </si>
  <si>
    <t>17. Other expenses</t>
  </si>
  <si>
    <t>18. Depreciation and amortisation expense</t>
  </si>
  <si>
    <t>19. Payment to auditor</t>
  </si>
  <si>
    <t>20. Earnings per Share</t>
  </si>
  <si>
    <t>21. Related Party Disclosures</t>
  </si>
  <si>
    <t>22. Depreciation</t>
  </si>
  <si>
    <t>23. Disclosure of Financial Ratios</t>
  </si>
  <si>
    <t>24.Transfer Pricing</t>
  </si>
  <si>
    <t xml:space="preserve">25.Earnings in foreign currency:  </t>
  </si>
  <si>
    <r>
      <rPr>
        <b/>
        <sz val="11"/>
        <color indexed="8"/>
        <rFont val="Book Antiqua"/>
        <family val="1"/>
      </rPr>
      <t>26.</t>
    </r>
    <r>
      <rPr>
        <sz val="11"/>
        <color indexed="8"/>
        <rFont val="Book Antiqua"/>
        <family val="1"/>
      </rPr>
      <t xml:space="preserve"> Previous year's figures have been regrouped whever necessary to confirm to Current year's classfications. </t>
    </r>
  </si>
  <si>
    <t>Statement of Cash flows for the year ended March 31, 2024</t>
  </si>
  <si>
    <t>DETAILS OF DEPRECIATION ON FIXED ASSETS UNDER COMPANIES ACT 2013.</t>
  </si>
  <si>
    <t>As per WDV Method</t>
  </si>
  <si>
    <t>dd/mmm/yy</t>
  </si>
  <si>
    <t>Asset</t>
  </si>
  <si>
    <t>Classification</t>
  </si>
  <si>
    <t>Date Of Purchase Of New / Exsisting Asset</t>
  </si>
  <si>
    <t>Original Cost</t>
  </si>
  <si>
    <t>Net block 31/03/2022</t>
  </si>
  <si>
    <t>Addition/ New Purchase</t>
  </si>
  <si>
    <t>Estimated useful life as per schedule II (in years)</t>
  </si>
  <si>
    <t>Balance days of Assets per Remaning life as on 31/03/2023</t>
  </si>
  <si>
    <t>Days used in year</t>
  </si>
  <si>
    <t xml:space="preserve">Rate of Dep. </t>
  </si>
  <si>
    <t>Dep. Amount</t>
  </si>
  <si>
    <t>Net block 31/03/2023</t>
  </si>
  <si>
    <t>Balance days of Assets per Remaning life as on 31/03/2024</t>
  </si>
  <si>
    <t>Net block 31/03/2024</t>
  </si>
  <si>
    <t>Logitech Headset-1</t>
  </si>
  <si>
    <t>Logitech Headset-2</t>
  </si>
  <si>
    <t>Samsung 24" LED Montor - Batch-2</t>
  </si>
  <si>
    <t>Samsung 24" LED Montor - Batch-3</t>
  </si>
  <si>
    <t>Apple iPhone XS</t>
  </si>
  <si>
    <t>Apple iWatch</t>
  </si>
  <si>
    <t>Lenovo Laptop - E580 - Batch -1</t>
  </si>
  <si>
    <t>LG Monitors 27" - Batch - 1</t>
  </si>
  <si>
    <t>APC - UPS</t>
  </si>
  <si>
    <t>E</t>
  </si>
  <si>
    <t>Apple Ipad (Tablet)</t>
  </si>
  <si>
    <t>Dell LAPTOP_Batch_19</t>
  </si>
  <si>
    <t>Dell LAPTOP_Batch_20</t>
  </si>
  <si>
    <t>Apple M2 Pro Laptop</t>
  </si>
  <si>
    <t>Apple M3 Pro Laptop</t>
  </si>
  <si>
    <t>31.03.2024</t>
  </si>
  <si>
    <t>Add : D.T.A as on 31.03.23</t>
  </si>
  <si>
    <t xml:space="preserve">          Advance Tax</t>
  </si>
  <si>
    <t xml:space="preserve">          Apple M2 Pro Laptop</t>
  </si>
  <si>
    <t xml:space="preserve">          Apple M3 Pro Laptop</t>
  </si>
  <si>
    <t>to be booked in current year</t>
  </si>
  <si>
    <t>previous year</t>
  </si>
  <si>
    <t>At 16.8% Profit</t>
  </si>
  <si>
    <t>March 31, 2024</t>
  </si>
  <si>
    <t>As at 31.03.2024</t>
  </si>
  <si>
    <t>Age wise analysis of Trade payables as on 31.03.2024</t>
  </si>
  <si>
    <t>CD Balance GHI &amp; GPA</t>
  </si>
  <si>
    <t>Veripark Software Private Limited
            Trial Balance
            Basis: Accrual
                        From 01/04/2023 To 31/03/2024</t>
  </si>
  <si>
    <t xml:space="preserve">Account </t>
  </si>
  <si>
    <t xml:space="preserve">Opening Balance </t>
  </si>
  <si>
    <t xml:space="preserve">Net Debit </t>
  </si>
  <si>
    <t xml:space="preserve">Net Credit </t>
  </si>
  <si>
    <t xml:space="preserve">Closing Balance </t>
  </si>
  <si>
    <t xml:space="preserve">          APC Schneider (UPS 3KVA/2.4KW)</t>
  </si>
  <si>
    <t xml:space="preserve">          Apple Ipad</t>
  </si>
  <si>
    <t xml:space="preserve">          Apple Iphone 12 Max Pro</t>
  </si>
  <si>
    <t xml:space="preserve">          Apple Iphone 12 Max Pro - 2</t>
  </si>
  <si>
    <t xml:space="preserve">          Apple Iphone XS</t>
  </si>
  <si>
    <t xml:space="preserve">          Apple Macbook Pro - A1990</t>
  </si>
  <si>
    <t xml:space="preserve">          Apple Watch</t>
  </si>
  <si>
    <t xml:space="preserve">          Canon Printer cum Scanner - 1</t>
  </si>
  <si>
    <t xml:space="preserve">          Canon Printer cum Scanner - 2</t>
  </si>
  <si>
    <t xml:space="preserve">          CD Balance GHI &amp; GPA - Aditya Birla Health Insurance Co Ltd</t>
  </si>
  <si>
    <t xml:space="preserve">          CD Balance GTLI - Tata AIA Life Insurance Company Limited</t>
  </si>
  <si>
    <t xml:space="preserve">          Citi Bank (528828019)</t>
  </si>
  <si>
    <t xml:space="preserve">          Deferred Revenue Expenditure</t>
  </si>
  <si>
    <t xml:space="preserve">          Deferred Tax Asset</t>
  </si>
  <si>
    <t xml:space="preserve">          Dell LAPTOP_Batch-19</t>
  </si>
  <si>
    <t xml:space="preserve">          Dell LAPTOP_Batch-20</t>
  </si>
  <si>
    <t xml:space="preserve">          Dell LAPTOP_Batch-21</t>
  </si>
  <si>
    <t xml:space="preserve">          EPSON Projector</t>
  </si>
  <si>
    <t xml:space="preserve">          Fortigate Firewall (Server) - BLR</t>
  </si>
  <si>
    <t xml:space="preserve">          Fortigate Firewall (Server) - HYD</t>
  </si>
  <si>
    <t xml:space="preserve">          Godrej Safe</t>
  </si>
  <si>
    <t xml:space="preserve">          Godrej Wardrobe</t>
  </si>
  <si>
    <t xml:space="preserve">          HP  Printer cum Scanner - 1</t>
  </si>
  <si>
    <t xml:space="preserve">          Input Tax Credits</t>
  </si>
  <si>
    <t xml:space="preserve">                    Input CGST</t>
  </si>
  <si>
    <t xml:space="preserve">                    Input IGST</t>
  </si>
  <si>
    <t xml:space="preserve">                    Input SGST</t>
  </si>
  <si>
    <t xml:space="preserve">          Total for Input Tax Credits</t>
  </si>
  <si>
    <t xml:space="preserve">          IT Server</t>
  </si>
  <si>
    <t xml:space="preserve">          Kotak Mahindra Bank (2012183177)</t>
  </si>
  <si>
    <t xml:space="preserve">          Kotak Mahindra Bank (2013992013)</t>
  </si>
  <si>
    <t xml:space="preserve">          Lenovo Desktop CPU</t>
  </si>
  <si>
    <t xml:space="preserve">          Lenovo Laptop - E580</t>
  </si>
  <si>
    <t xml:space="preserve">          Lenovo LAPTOP_Batch-1</t>
  </si>
  <si>
    <t xml:space="preserve">          Lenovo LAPTOP_Batch-10</t>
  </si>
  <si>
    <t xml:space="preserve">          Lenovo LAPTOP_Batch-11</t>
  </si>
  <si>
    <t xml:space="preserve">          Lenovo LAPTOP_Batch-12</t>
  </si>
  <si>
    <t xml:space="preserve">          Lenovo LAPTOP_Batch-13</t>
  </si>
  <si>
    <t xml:space="preserve">          Lenovo LAPTOP_Batch-14</t>
  </si>
  <si>
    <t xml:space="preserve">          Lenovo LAPTOP_Batch-15</t>
  </si>
  <si>
    <t xml:space="preserve">          Lenovo LAPTOP_Batch-16</t>
  </si>
  <si>
    <t xml:space="preserve">          Lenovo LAPTOP_Batch-17</t>
  </si>
  <si>
    <t xml:space="preserve">          Lenovo LAPTOP_Batch-18</t>
  </si>
  <si>
    <t xml:space="preserve">          Lenovo LAPTOP_Batch-2</t>
  </si>
  <si>
    <t xml:space="preserve">          Lenovo LAPTOP_Batch-3</t>
  </si>
  <si>
    <t xml:space="preserve">          Lenovo LAPTOP_Batch-4</t>
  </si>
  <si>
    <t xml:space="preserve">          Lenovo LAPTOP_Batch-5</t>
  </si>
  <si>
    <t xml:space="preserve">          Lenovo LAPTOP_Batch-6</t>
  </si>
  <si>
    <t xml:space="preserve">          Lenovo LAPTOP_Batch-7</t>
  </si>
  <si>
    <t xml:space="preserve">          Lenovo LAPTOP_Batch-8</t>
  </si>
  <si>
    <t xml:space="preserve">          Lenovo LAPTOP_Batch-9</t>
  </si>
  <si>
    <t xml:space="preserve">          LG Monitors 27"</t>
  </si>
  <si>
    <t xml:space="preserve">          LG Projector - Batch-1</t>
  </si>
  <si>
    <t xml:space="preserve">          LG Projector - Batch-2</t>
  </si>
  <si>
    <t xml:space="preserve">          Logitech Web Camera - 1</t>
  </si>
  <si>
    <t xml:space="preserve">          Petty Cash</t>
  </si>
  <si>
    <t xml:space="preserve">          Prepaid - Employees Group Life Insurance</t>
  </si>
  <si>
    <t xml:space="preserve">          Prepaid Assets Insurance</t>
  </si>
  <si>
    <t xml:space="preserve">          Prepaid Expenses - Laptop AMC</t>
  </si>
  <si>
    <t xml:space="preserve">          Prepaid Expenses - Laptop Extended Warranty</t>
  </si>
  <si>
    <t xml:space="preserve">          Prepaid Insurance - Employees Health &amp; Personal Accident</t>
  </si>
  <si>
    <t xml:space="preserve">          Samsung 24" LED Monitor - Batch-1</t>
  </si>
  <si>
    <t xml:space="preserve">          Samsung 24" LED Monitor - Batch-2</t>
  </si>
  <si>
    <t xml:space="preserve">          Samsung 24" LED Monitor - Batch-3</t>
  </si>
  <si>
    <t xml:space="preserve">          Samsung 24" LED Monitor - Batch-4</t>
  </si>
  <si>
    <t xml:space="preserve">          Samsung 24" LED Monitor - Batch-5</t>
  </si>
  <si>
    <t xml:space="preserve">          Samsung 32" Monitor - 1</t>
  </si>
  <si>
    <t xml:space="preserve">          Samsung Mobile Galaxy S9 SM-G960F</t>
  </si>
  <si>
    <t xml:space="preserve">          Samsung Refrigerator - 1</t>
  </si>
  <si>
    <t xml:space="preserve">          Seagate Hard Disc 2TB</t>
  </si>
  <si>
    <t xml:space="preserve">          Security Deposit - ESIC</t>
  </si>
  <si>
    <t xml:space="preserve">          Security Deposit - Hive Space</t>
  </si>
  <si>
    <t xml:space="preserve">          Security Deposit - Incuspaze Solutions Private Limited</t>
  </si>
  <si>
    <t xml:space="preserve">          Security Deposits - Awfis Space Solutions Private Limited</t>
  </si>
  <si>
    <t xml:space="preserve">          Security Deposits - Concept Classic Converge</t>
  </si>
  <si>
    <t xml:space="preserve">          Accounts Payable</t>
  </si>
  <si>
    <t xml:space="preserve">          Payroll liabilities</t>
  </si>
  <si>
    <t xml:space="preserve">          Profession Tax Payable</t>
  </si>
  <si>
    <t xml:space="preserve">          Provident Fund Payables</t>
  </si>
  <si>
    <t xml:space="preserve">          Provision for Gratuity</t>
  </si>
  <si>
    <t xml:space="preserve">          Provision for Professional Fee (Transfer Pricing)</t>
  </si>
  <si>
    <t xml:space="preserve">          Provision for Statutory Audit Fee</t>
  </si>
  <si>
    <t xml:space="preserve">          Provision for Tax</t>
  </si>
  <si>
    <t xml:space="preserve">          TDS Payable</t>
  </si>
  <si>
    <t xml:space="preserve">          Veripark Gulf FZE (Related Party)</t>
  </si>
  <si>
    <t xml:space="preserve">          Retained Earnings</t>
  </si>
  <si>
    <t xml:space="preserve">          Shares Issued to Fadhlurahman</t>
  </si>
  <si>
    <t xml:space="preserve">          Shares Issued to Mohammed Anwar</t>
  </si>
  <si>
    <t xml:space="preserve">          Shares Issued to Veripark Yazilim Anonim Sirketi</t>
  </si>
  <si>
    <t xml:space="preserve">          Sales</t>
  </si>
  <si>
    <t xml:space="preserve">          Annual Maintenance Charges - Laptop</t>
  </si>
  <si>
    <t xml:space="preserve">          Annual Profession Tax</t>
  </si>
  <si>
    <t xml:space="preserve">          Asset Insurance</t>
  </si>
  <si>
    <t xml:space="preserve">          Bank Fees and Charges</t>
  </si>
  <si>
    <t xml:space="preserve">          Consultancy &amp; Service Fee</t>
  </si>
  <si>
    <t xml:space="preserve">          Conveyance Allowances</t>
  </si>
  <si>
    <t xml:space="preserve">          Deferred Tax Expense</t>
  </si>
  <si>
    <t xml:space="preserve">          Depreciation And Amortisation</t>
  </si>
  <si>
    <t xml:space="preserve">          Dues &amp; Subscriptions</t>
  </si>
  <si>
    <t xml:space="preserve">          Employees Expenses Reimbursement</t>
  </si>
  <si>
    <t xml:space="preserve">          Employees Group Life Insurance</t>
  </si>
  <si>
    <t xml:space="preserve">          Employees Health &amp; Personal Accident Insurance</t>
  </si>
  <si>
    <t xml:space="preserve">          Employer Contribution to EPF</t>
  </si>
  <si>
    <t xml:space="preserve">          Gratuity Expense</t>
  </si>
  <si>
    <t xml:space="preserve">          Income Tax</t>
  </si>
  <si>
    <t xml:space="preserve">          Laptop Accessories and Maintenance</t>
  </si>
  <si>
    <t xml:space="preserve">          Laptop Extended Warranty</t>
  </si>
  <si>
    <t xml:space="preserve">          Loss/Gain on Exchange Rate</t>
  </si>
  <si>
    <t xml:space="preserve">          Loss/Gain on Foreign Exchange</t>
  </si>
  <si>
    <t xml:space="preserve">          Office Rent</t>
  </si>
  <si>
    <t xml:space="preserve">          Other Expenses</t>
  </si>
  <si>
    <t xml:space="preserve">          Payroll Expenses</t>
  </si>
  <si>
    <t xml:space="preserve">          Per Diem Expenses</t>
  </si>
  <si>
    <t xml:space="preserve">          PF Administration &amp; EDLI Charges</t>
  </si>
  <si>
    <t xml:space="preserve">          Postage &amp; Courier Charges</t>
  </si>
  <si>
    <t xml:space="preserve">          Printing and Stationery</t>
  </si>
  <si>
    <t xml:space="preserve">          Professional Fee</t>
  </si>
  <si>
    <t xml:space="preserve">          Professional Fee (Transfer Pricing)</t>
  </si>
  <si>
    <t xml:space="preserve">          Registrations &amp; Renewals</t>
  </si>
  <si>
    <t xml:space="preserve">          Retainership Fee</t>
  </si>
  <si>
    <t xml:space="preserve">          ROC Filing Fee</t>
  </si>
  <si>
    <t xml:space="preserve">          Round off</t>
  </si>
  <si>
    <t xml:space="preserve">          Staff Welfare Expenses</t>
  </si>
  <si>
    <t xml:space="preserve">          Statutory Audit Fee</t>
  </si>
  <si>
    <t xml:space="preserve">          Telephone Expense</t>
  </si>
  <si>
    <t xml:space="preserve">          Visa Expenses</t>
  </si>
  <si>
    <t>Total for Trial Balance</t>
  </si>
  <si>
    <t>FY 2023-24</t>
  </si>
  <si>
    <t xml:space="preserve"> Security Deposit - Concept Classic Converge</t>
  </si>
  <si>
    <t xml:space="preserve"> Security Deposit - ESIC</t>
  </si>
  <si>
    <t>Annual Maintenance Charges - Laptop</t>
  </si>
  <si>
    <t>Conveyance Allowances</t>
  </si>
  <si>
    <t xml:space="preserve">  Year ended 
  March 31, 2024</t>
  </si>
  <si>
    <t>Net Profit</t>
  </si>
  <si>
    <t>GST Written off</t>
  </si>
  <si>
    <t>Deferred revenue Exp</t>
  </si>
  <si>
    <t>Sl.no</t>
  </si>
  <si>
    <t>Reserves and supplies</t>
  </si>
  <si>
    <t>Balance as 31-03-2023</t>
  </si>
  <si>
    <t>Add: Current year</t>
  </si>
  <si>
    <t>Adjustment to be made</t>
  </si>
  <si>
    <t>Closing balance as on 31-03-2024</t>
  </si>
  <si>
    <t>Dep as per Companies Act</t>
  </si>
  <si>
    <t>Dep as per Income Tax Act</t>
  </si>
  <si>
    <t>Reserves and surplus (Appropriations)</t>
  </si>
  <si>
    <r>
      <rPr>
        <b/>
        <sz val="10"/>
        <color rgb="FF000000"/>
        <rFont val="Book Antiqua"/>
        <family val="1"/>
      </rPr>
      <t>Note:</t>
    </r>
    <r>
      <rPr>
        <b/>
        <sz val="10"/>
        <color indexed="8"/>
        <rFont val="Book Antiqua"/>
        <family val="1"/>
      </rPr>
      <t xml:space="preserve"> Regarding the Input Tax Credit available to </t>
    </r>
    <r>
      <rPr>
        <b/>
        <sz val="10"/>
        <color rgb="FF000000"/>
        <rFont val="Book Antiqua"/>
        <family val="1"/>
      </rPr>
      <t>the company, th</t>
    </r>
    <r>
      <rPr>
        <b/>
        <sz val="10"/>
        <color indexed="8"/>
        <rFont val="Book Antiqua"/>
        <family val="1"/>
      </rPr>
      <t>e total balance available on government portal is Rs. 32,48,646. However, according to our books, i</t>
    </r>
    <r>
      <rPr>
        <b/>
        <sz val="10"/>
        <color rgb="FF000000"/>
        <rFont val="Book Antiqua"/>
        <family val="1"/>
      </rPr>
      <t>t has been retained at</t>
    </r>
    <r>
      <rPr>
        <b/>
        <sz val="10"/>
        <color indexed="8"/>
        <rFont val="Book Antiqua"/>
        <family val="1"/>
      </rPr>
      <t xml:space="preserve"> Rs. 60,22,450. This variation is due to below listed reasons: 
A. Rs. 12,70,479 was sanctioned as a refund but has be credited to the bank account in the next financial year (2024-25), 
B. Rs. 2,52,994 refund for year 2022-23 has been sanctioned but not yet credited.  
C. Rs. 16,11,801 was previously partially rejected during the refund processing by the concerned officer. To reflect this amount in the portal, we have filed Form PMT-03 and are awaiting its reflection in the Electronic Credit Ledger. 
D. We have also reversed Rs. 3,61,470 since we claimed excess ITC to that extent while filing the returns duirngFY 2022-23.</t>
    </r>
  </si>
  <si>
    <t>GST refund Due</t>
  </si>
  <si>
    <t>Previous Year : 2023-2024</t>
  </si>
  <si>
    <t>Assesment Year :2024-2025</t>
  </si>
  <si>
    <t>Amount(Rs)</t>
  </si>
  <si>
    <t>Mat Credit</t>
  </si>
  <si>
    <t>I. Profits And gains From Business And Profession</t>
  </si>
  <si>
    <t>Net Profit as per P&amp;L A/c</t>
  </si>
  <si>
    <t xml:space="preserve">    Add: Provision for taxation</t>
  </si>
  <si>
    <t>Less:</t>
  </si>
  <si>
    <t xml:space="preserve">    Add: Interest on Income Tax</t>
  </si>
  <si>
    <t xml:space="preserve">    Add: Professional Tax</t>
  </si>
  <si>
    <t>Add:</t>
  </si>
  <si>
    <t>Income tax Including Interest</t>
  </si>
  <si>
    <t xml:space="preserve">    Add: Deferred Tax</t>
  </si>
  <si>
    <t xml:space="preserve">    Add: Depreciation as per Companies Act</t>
  </si>
  <si>
    <t>Deferred tax</t>
  </si>
  <si>
    <t>Net Business Profit</t>
  </si>
  <si>
    <t xml:space="preserve">   Less: Depreciation U/s 32(1)</t>
  </si>
  <si>
    <t>Gross Total Income</t>
  </si>
  <si>
    <t>MAT</t>
  </si>
  <si>
    <t>Less: Deductions U/C-VI A</t>
  </si>
  <si>
    <t>Cess</t>
  </si>
  <si>
    <t>Total Deductions U/C- VI A</t>
  </si>
  <si>
    <t>Net Total Income</t>
  </si>
  <si>
    <t>Less: brough froward losses</t>
  </si>
  <si>
    <t>Taxable Profits</t>
  </si>
  <si>
    <t>II. Computation of Tax</t>
  </si>
  <si>
    <t>Tax on Total Income</t>
  </si>
  <si>
    <t>Add: Education Cess @4%</t>
  </si>
  <si>
    <t>Total Tax Payable</t>
  </si>
  <si>
    <t>Minimum Alternative Tax as per 115JB</t>
  </si>
  <si>
    <t>Tax Payable</t>
  </si>
  <si>
    <t>Less: MAT Credit Available</t>
  </si>
  <si>
    <t>Less: TDS</t>
  </si>
  <si>
    <t>Less: Advance Tax</t>
  </si>
  <si>
    <t>Balance Tax Payable</t>
  </si>
  <si>
    <t>Add: Interest</t>
  </si>
  <si>
    <t xml:space="preserve">                 U/s 234A</t>
  </si>
  <si>
    <t xml:space="preserve">                 U/s 234B</t>
  </si>
  <si>
    <t xml:space="preserve">                 U/s 234C</t>
  </si>
  <si>
    <t>Total Interest Payable</t>
  </si>
  <si>
    <t>Total Interest &amp; Tax Payable</t>
  </si>
  <si>
    <t>Less: Self Assessment Tax Paid U/s140A</t>
  </si>
  <si>
    <t>Balance Tax Payable(Refundable)</t>
  </si>
  <si>
    <t>COMPUTATION OF INTEREST UNDER SECTION 234C</t>
  </si>
  <si>
    <t>234C</t>
  </si>
  <si>
    <t xml:space="preserve">Date </t>
  </si>
  <si>
    <t>Advance Tax Payable</t>
  </si>
  <si>
    <t>Minimum Advance tax Payable</t>
  </si>
  <si>
    <t>Actual Paid</t>
  </si>
  <si>
    <t>Accumulated Advance Tax Paid</t>
  </si>
  <si>
    <t>Short Fall</t>
  </si>
  <si>
    <t>Interest</t>
  </si>
  <si>
    <t>COMPUTATION OF INTEREST UNDER SECTION 234B</t>
  </si>
  <si>
    <t>PARTICULARS</t>
  </si>
  <si>
    <t>AMOUNT (in Rs)</t>
  </si>
  <si>
    <t>Tax on total income</t>
  </si>
  <si>
    <t xml:space="preserve">Less: TDS </t>
  </si>
  <si>
    <t>Balance tax payable</t>
  </si>
  <si>
    <t>90% of Payable</t>
  </si>
  <si>
    <t>Advance tax paid</t>
  </si>
  <si>
    <t>First installment (paid by June 15)</t>
  </si>
  <si>
    <t>Second installment (paid by Sep 15)</t>
  </si>
  <si>
    <t>Third installment (paid by Dec 15)</t>
  </si>
  <si>
    <t>Fourth installment (paid by Mar 15)</t>
  </si>
  <si>
    <t>Short of Advance tax paid as on 31st March, 2020</t>
  </si>
  <si>
    <t>Interest under Section 234 B</t>
  </si>
  <si>
    <t>Total Interest</t>
  </si>
  <si>
    <t>Total payable</t>
  </si>
  <si>
    <t>TDS Receivable as per 26As as at 22-06-2024</t>
  </si>
  <si>
    <t>Pan</t>
  </si>
  <si>
    <t>Sec</t>
  </si>
  <si>
    <t>Taxable Amount</t>
  </si>
  <si>
    <t>TDS Receivables</t>
  </si>
  <si>
    <t>ICICI PRUDENTIAL MUTUAL FUND</t>
  </si>
  <si>
    <t>MUMP16274G</t>
  </si>
  <si>
    <t>194K</t>
  </si>
  <si>
    <t>UNION BANK OF INDIA RO HYDERABAD</t>
  </si>
  <si>
    <t>HYDU02672F</t>
  </si>
  <si>
    <t>194A</t>
  </si>
  <si>
    <t>Total:</t>
  </si>
  <si>
    <t>Avg</t>
  </si>
  <si>
    <t>Add: Surcharge @10%</t>
  </si>
  <si>
    <t xml:space="preserve">  Year ended 
  March 31, 2025</t>
  </si>
  <si>
    <t>Balance Sheet as at March 31, 2025</t>
  </si>
  <si>
    <t>Financial statements FY 2024-25 Index</t>
  </si>
  <si>
    <t>Balance sheet as on 31-03-2025</t>
  </si>
  <si>
    <t>Statement of Profit and Loss a/c for the year ended 31-03-2025</t>
  </si>
  <si>
    <t>Statement of Cash flow for the year ended 31-03-2025</t>
  </si>
  <si>
    <t>Statement of Profit and Loss for the year ended March 31, 2025</t>
  </si>
  <si>
    <t>UDIN :</t>
  </si>
  <si>
    <t>Notes to financial statements for the year ended March 31, 2025</t>
  </si>
  <si>
    <t>Age wise analysis of Trade payables as on 31.03.2025</t>
  </si>
  <si>
    <t>As at 1st April 2024</t>
  </si>
  <si>
    <t>As at 31st March  2025</t>
  </si>
  <si>
    <t>March 31, 2025</t>
  </si>
  <si>
    <t>As at 31.03.2025</t>
  </si>
  <si>
    <t>FY 2024-25</t>
  </si>
  <si>
    <t>Financial Ratios</t>
  </si>
  <si>
    <t>31.03.2025</t>
  </si>
  <si>
    <t>Asst Year : 2025-2026</t>
  </si>
  <si>
    <t>(opg+cls)/2</t>
  </si>
  <si>
    <t>W.D.V.as on 01.04.2024</t>
  </si>
  <si>
    <t>W.D.V.as on 31.03.2025</t>
  </si>
  <si>
    <t xml:space="preserve">Calculation of Deferred Tax </t>
  </si>
  <si>
    <t>Amt in Rs.</t>
  </si>
  <si>
    <t xml:space="preserve">          Other Deductions</t>
  </si>
  <si>
    <t xml:space="preserve">          Laptop Annual Maintenance Charges</t>
  </si>
  <si>
    <t xml:space="preserve">          Interest on TDS</t>
  </si>
  <si>
    <t xml:space="preserve">          Interest and penalty</t>
  </si>
  <si>
    <t xml:space="preserve">          Gain / Loss on Sales of Fixed Assets</t>
  </si>
  <si>
    <t xml:space="preserve">          Total for GST Payable</t>
  </si>
  <si>
    <t xml:space="preserve">                    Output SGST</t>
  </si>
  <si>
    <t xml:space="preserve">                    Output CGST</t>
  </si>
  <si>
    <t xml:space="preserve">          GST Payable</t>
  </si>
  <si>
    <t xml:space="preserve">          Prepaid Expenses</t>
  </si>
  <si>
    <t xml:space="preserve">          Lenovo Laptop E14 G6_Batch-28</t>
  </si>
  <si>
    <t xml:space="preserve">          Lenovo Laptop E14 G6_Batch-27</t>
  </si>
  <si>
    <t xml:space="preserve">          Lenovo Laptop E14 G6_Batch-26</t>
  </si>
  <si>
    <t xml:space="preserve">          Lenovo Laptop E14 G6_Batch-25</t>
  </si>
  <si>
    <t xml:space="preserve">          Lenovo Laptop E14 G6_Batch-24</t>
  </si>
  <si>
    <t xml:space="preserve">          Lenovo Laptop E14 G5_Batch-23</t>
  </si>
  <si>
    <t xml:space="preserve">          Lenovo Laptop E14 G5_Batch-22</t>
  </si>
  <si>
    <t xml:space="preserve">          CD Balance GHI &amp; GPA - ICICI Lombard</t>
  </si>
  <si>
    <t xml:space="preserve">          Accounts Receivable</t>
  </si>
  <si>
    <t xml:space="preserve">Credit </t>
  </si>
  <si>
    <t xml:space="preserve">Debit </t>
  </si>
  <si>
    <t>Foreign exchange Gain</t>
  </si>
  <si>
    <t>What are these accessories</t>
  </si>
  <si>
    <t>Cash &amp; Bank balances</t>
  </si>
  <si>
    <t>Cash In hand</t>
  </si>
  <si>
    <t>Opening bal continuing</t>
  </si>
  <si>
    <t>Why opening bal continuing</t>
  </si>
  <si>
    <t>Which location</t>
  </si>
  <si>
    <t>CGST - Payable</t>
  </si>
  <si>
    <t>IGST -Payable</t>
  </si>
  <si>
    <t>SGST -Payable</t>
  </si>
  <si>
    <t>Gratuity Payable</t>
  </si>
  <si>
    <t>AGR ADVISORS LLP</t>
  </si>
  <si>
    <t>AGR Corporate Consultants LLP - BLR</t>
  </si>
  <si>
    <t>Awfis Space Solutions Private Limited</t>
  </si>
  <si>
    <t>Dep for the FY 24-25</t>
  </si>
  <si>
    <t>Provisional Dep for the FY 25-26</t>
  </si>
  <si>
    <t>Asset Closing Date</t>
  </si>
  <si>
    <t>Balance days of Assets per Remaning life as on 31/03/2025</t>
  </si>
  <si>
    <t>Net block 31/03/2025</t>
  </si>
  <si>
    <t>Balance days of Assets per Remaning life as on 31/03/2026</t>
  </si>
  <si>
    <t>Net block 31/03/2026</t>
  </si>
  <si>
    <t>Lenovo Laptop E14 G5_Batch-22</t>
  </si>
  <si>
    <t>Lenovo Laptop E14 G5_Batch-23</t>
  </si>
  <si>
    <t>Lenovo Laptop E14 G6_Batch-24</t>
  </si>
  <si>
    <t>Lenovo Laptop E14 G6_Batch-25</t>
  </si>
  <si>
    <t>Lenovo Laptop E14 G6_Batch-26</t>
  </si>
  <si>
    <t>Lenovo Laptop E14 G6_Batch-27</t>
  </si>
  <si>
    <t>Lenovo Laptop E14 G6_Batch-28</t>
  </si>
  <si>
    <t>4 Laps are sold out of 5 Laptops</t>
  </si>
  <si>
    <t>1 Laptop sold it's cost value</t>
  </si>
  <si>
    <t>Purchases</t>
  </si>
  <si>
    <t>Sale of assets</t>
  </si>
  <si>
    <t>Closing Value of Assets</t>
  </si>
  <si>
    <t>Sale of Assets -</t>
  </si>
  <si>
    <t>Why decreased is it cause of any reduction of the fees</t>
  </si>
  <si>
    <t>Monthly avg cash balances</t>
  </si>
  <si>
    <t xml:space="preserve">
            Trial Balance
            Basis: Accrual
                        From 01/04/2024 To 31/03/2025</t>
  </si>
  <si>
    <t xml:space="preserve">ICAI Firm registration number: </t>
  </si>
  <si>
    <t xml:space="preserve">Membership No.: </t>
  </si>
  <si>
    <t>Membership No.:</t>
  </si>
  <si>
    <t>ICAI Firm registration number:</t>
  </si>
  <si>
    <t>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</si>
</sst>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 &quot;₹&quot;\ * #,##0.00_ ;_ &quot;₹&quot;\ * \-#,##0.00_ ;_ &quot;₹&quot;\ * &quot;-&quot;??_ ;_ @_ "/>
    <numFmt numFmtId="43" formatCode="_ * #,##0.00_ ;_ * \-#,##0.00_ ;_ * &quot;-&quot;??_ ;_ @_ "/>
    <numFmt numFmtId="164" formatCode="_(* #,##0.00_);_(* \(#,##0.00\);_(* &quot;-&quot;??_);_(@_)"/>
    <numFmt numFmtId="165" formatCode="_(* #,##0_);_(* \(#,##0\);_(* &quot;-&quot;??_);_(@_)"/>
    <numFmt numFmtId="166" formatCode="_ * #,##0_ ;_ * \-#,##0_ ;_ * &quot;-&quot;??_ ;_ @_ "/>
    <numFmt numFmtId="167" formatCode="_(* #,##0_);_(* \(#,##0\);_(* &quot;-&quot;_);_(@_)"/>
    <numFmt numFmtId="168" formatCode="[$-409]mmmm\ d\,\ yyyy;@"/>
    <numFmt numFmtId="169" formatCode="#\.00,;\(#\.00,\);&quot;-&quot;"/>
    <numFmt numFmtId="170" formatCode="##\ \ ##\ \ ##\ \ ##\ \ ###"/>
    <numFmt numFmtId="171" formatCode="[$-409]d\-mmm\-yy;@"/>
    <numFmt numFmtId="172" formatCode="0.00000000000000"/>
    <numFmt numFmtId="173" formatCode="#,##0.00\ _€"/>
    <numFmt numFmtId="174" formatCode="&quot;₹&quot;* #,##0.00\ _€"/>
    <numFmt numFmtId="175" formatCode="#,##0.00000000"/>
    <numFmt numFmtId="176" formatCode="_(* #,##0.000_);_(* \(#,##0.000\);_(* &quot;-&quot;??_);_(@_)"/>
    <numFmt numFmtId="177" formatCode="0.00000"/>
    <numFmt numFmtId="178" formatCode="#.0\.00,;\(#.0\.00,\);&quot;-&quot;"/>
    <numFmt numFmtId="179" formatCode="_ * #,##0_ ;_ * \-#,##0_ ;_ * &quot;-&quot;???_ ;_ @_ "/>
    <numFmt numFmtId="180" formatCode="_-* #,##0.00_-;\-* #,##0.00_-;_-* &quot;-&quot;??_-;_-@_-"/>
    <numFmt numFmtId="181" formatCode="[$-409]d/mmm/yy;@"/>
    <numFmt numFmtId="182" formatCode="_(* #,##0.0_);_(* \(#,##0.0\);_(* &quot;-&quot;?_);_(@_)"/>
    <numFmt numFmtId="183" formatCode="0.000%"/>
    <numFmt numFmtId="184" formatCode="0.0%"/>
  </numFmts>
  <fonts count="85" x14ac:knownFonts="1">
    <font>
      <sz val="11"/>
      <color theme="1"/>
      <name val="Calibri"/>
      <family val="2"/>
      <scheme val="minor"/>
    </font>
    <font>
      <sz val="11"/>
      <color theme="1"/>
      <name val="Calibri"/>
      <family val="2"/>
      <scheme val="minor"/>
    </font>
    <font>
      <sz val="10"/>
      <name val="Arial"/>
      <family val="2"/>
    </font>
    <font>
      <b/>
      <sz val="11"/>
      <name val="Book Antiqua"/>
      <family val="1"/>
    </font>
    <font>
      <sz val="11"/>
      <name val="Book Antiqua"/>
      <family val="1"/>
    </font>
    <font>
      <b/>
      <sz val="12"/>
      <name val="Book Antiqua"/>
      <family val="1"/>
    </font>
    <font>
      <b/>
      <sz val="14"/>
      <color indexed="8"/>
      <name val="Book Antiqua"/>
      <family val="1"/>
    </font>
    <font>
      <sz val="10"/>
      <color indexed="8"/>
      <name val="Book Antiqua"/>
      <family val="1"/>
    </font>
    <font>
      <b/>
      <sz val="10"/>
      <color indexed="8"/>
      <name val="Book Antiqua"/>
      <family val="1"/>
    </font>
    <font>
      <b/>
      <sz val="10"/>
      <color rgb="FFFF0000"/>
      <name val="Book Antiqua"/>
      <family val="1"/>
    </font>
    <font>
      <b/>
      <sz val="10"/>
      <name val="Book Antiqua"/>
      <family val="1"/>
    </font>
    <font>
      <sz val="10"/>
      <color rgb="FFFF0000"/>
      <name val="Book Antiqua"/>
      <family val="1"/>
    </font>
    <font>
      <b/>
      <i/>
      <sz val="11"/>
      <color indexed="8"/>
      <name val="Book Antiqua"/>
      <family val="1"/>
    </font>
    <font>
      <sz val="10"/>
      <name val="Book Antiqua"/>
      <family val="1"/>
    </font>
    <font>
      <b/>
      <sz val="11"/>
      <color indexed="8"/>
      <name val="Book Antiqua"/>
      <family val="1"/>
    </font>
    <font>
      <sz val="11"/>
      <color indexed="8"/>
      <name val="Book Antiqua"/>
      <family val="1"/>
    </font>
    <font>
      <sz val="11"/>
      <color indexed="8"/>
      <name val="Calibri"/>
      <family val="2"/>
    </font>
    <font>
      <b/>
      <sz val="11"/>
      <color rgb="FF000000"/>
      <name val="Book Antiqua"/>
      <family val="1"/>
    </font>
    <font>
      <sz val="11"/>
      <color rgb="FF000000"/>
      <name val="Book Antiqua"/>
      <family val="1"/>
    </font>
    <font>
      <b/>
      <sz val="11"/>
      <color rgb="FFFF0000"/>
      <name val="Book Antiqua"/>
      <family val="1"/>
    </font>
    <font>
      <sz val="11"/>
      <color theme="1"/>
      <name val="Book Antiqua"/>
      <family val="1"/>
    </font>
    <font>
      <b/>
      <i/>
      <sz val="11"/>
      <name val="Book Antiqua"/>
      <family val="1"/>
    </font>
    <font>
      <b/>
      <sz val="14"/>
      <name val="Book Antiqua"/>
      <family val="1"/>
    </font>
    <font>
      <sz val="11"/>
      <name val="Bookman Old Style"/>
      <family val="1"/>
    </font>
    <font>
      <b/>
      <i/>
      <sz val="10"/>
      <color indexed="8"/>
      <name val="Book Antiqua"/>
      <family val="1"/>
    </font>
    <font>
      <b/>
      <sz val="11"/>
      <color theme="1"/>
      <name val="Book Antiqua"/>
      <family val="1"/>
    </font>
    <font>
      <i/>
      <sz val="10"/>
      <name val="Arial"/>
      <family val="2"/>
    </font>
    <font>
      <sz val="14"/>
      <name val="Book Antiqua"/>
      <family val="1"/>
    </font>
    <font>
      <i/>
      <sz val="11"/>
      <color indexed="8"/>
      <name val="Book Antiqua"/>
      <family val="1"/>
    </font>
    <font>
      <b/>
      <sz val="10"/>
      <color theme="1"/>
      <name val="Book Antiqua"/>
      <family val="1"/>
    </font>
    <font>
      <sz val="10"/>
      <color rgb="FF000000"/>
      <name val="Book Antiqua"/>
      <family val="1"/>
    </font>
    <font>
      <b/>
      <sz val="10"/>
      <color rgb="FF000000"/>
      <name val="Book Antiqua"/>
      <family val="1"/>
    </font>
    <font>
      <u/>
      <sz val="11"/>
      <color theme="1"/>
      <name val="Book Antiqua"/>
      <family val="1"/>
    </font>
    <font>
      <b/>
      <u/>
      <sz val="11"/>
      <color theme="1"/>
      <name val="Book Antiqua"/>
      <family val="1"/>
    </font>
    <font>
      <b/>
      <u val="singleAccounting"/>
      <sz val="11"/>
      <color theme="1"/>
      <name val="Book Antiqua"/>
      <family val="1"/>
    </font>
    <font>
      <b/>
      <sz val="13"/>
      <name val="Book Antiqua"/>
      <family val="1"/>
    </font>
    <font>
      <sz val="11"/>
      <name val="Calibri"/>
      <family val="2"/>
      <scheme val="minor"/>
    </font>
    <font>
      <b/>
      <u/>
      <sz val="11"/>
      <name val="Calibri"/>
      <family val="2"/>
      <scheme val="minor"/>
    </font>
    <font>
      <b/>
      <i/>
      <sz val="11"/>
      <color rgb="FF000000"/>
      <name val="Book Antiqua"/>
      <family val="1"/>
    </font>
    <font>
      <b/>
      <sz val="14"/>
      <color indexed="8"/>
      <name val="Arial"/>
      <family val="2"/>
    </font>
    <font>
      <b/>
      <sz val="10"/>
      <color indexed="8"/>
      <name val="Arial"/>
      <family val="2"/>
    </font>
    <font>
      <b/>
      <sz val="9"/>
      <color indexed="8"/>
      <name val="Arial"/>
      <family val="2"/>
    </font>
    <font>
      <b/>
      <sz val="8"/>
      <color indexed="8"/>
      <name val="Arial"/>
      <family val="2"/>
    </font>
    <font>
      <sz val="8"/>
      <color indexed="8"/>
      <name val="Arial"/>
      <family val="2"/>
    </font>
    <font>
      <b/>
      <sz val="12"/>
      <name val="Calibri"/>
      <family val="2"/>
      <scheme val="minor"/>
    </font>
    <font>
      <b/>
      <sz val="11"/>
      <name val="Calibri"/>
      <family val="2"/>
      <scheme val="minor"/>
    </font>
    <font>
      <u val="singleAccounting"/>
      <sz val="11"/>
      <color theme="1"/>
      <name val="Book Antiqua"/>
      <family val="1"/>
    </font>
    <font>
      <b/>
      <sz val="11"/>
      <name val="Times New Roman"/>
      <family val="1"/>
    </font>
    <font>
      <sz val="11"/>
      <name val="Times New Roman"/>
      <family val="1"/>
    </font>
    <font>
      <sz val="10"/>
      <name val="Arial"/>
      <family val="2"/>
    </font>
    <font>
      <sz val="9"/>
      <name val="Lucida Bright"/>
      <family val="1"/>
    </font>
    <font>
      <b/>
      <sz val="9"/>
      <name val="Lucida Bright"/>
      <family val="1"/>
    </font>
    <font>
      <sz val="12"/>
      <name val="Book Antiqua"/>
      <family val="1"/>
    </font>
    <font>
      <b/>
      <sz val="20"/>
      <name val="Book Antiqua"/>
      <family val="1"/>
    </font>
    <font>
      <b/>
      <sz val="11"/>
      <color rgb="FF3F3F3F"/>
      <name val="Calibri"/>
      <family val="2"/>
      <scheme val="minor"/>
    </font>
    <font>
      <b/>
      <sz val="11"/>
      <color theme="1"/>
      <name val="Calibri"/>
      <family val="2"/>
      <scheme val="minor"/>
    </font>
    <font>
      <sz val="11"/>
      <color theme="0"/>
      <name val="Calibri"/>
      <family val="2"/>
      <scheme val="minor"/>
    </font>
    <font>
      <sz val="12"/>
      <name val="Arial"/>
      <family val="2"/>
    </font>
    <font>
      <b/>
      <sz val="14"/>
      <name val="Calibri"/>
      <family val="2"/>
      <scheme val="minor"/>
    </font>
    <font>
      <sz val="12"/>
      <color theme="1"/>
      <name val="Calibri"/>
      <family val="2"/>
      <scheme val="minor"/>
    </font>
    <font>
      <sz val="12"/>
      <name val="Calibri"/>
      <family val="2"/>
      <scheme val="minor"/>
    </font>
    <font>
      <sz val="12"/>
      <color theme="1"/>
      <name val="Arial"/>
      <family val="2"/>
    </font>
    <font>
      <b/>
      <sz val="12"/>
      <name val="Arial"/>
      <family val="2"/>
    </font>
    <font>
      <b/>
      <sz val="12"/>
      <color indexed="62"/>
      <name val="Arial"/>
      <family val="2"/>
    </font>
    <font>
      <b/>
      <sz val="9"/>
      <color indexed="81"/>
      <name val="Tahoma"/>
      <family val="2"/>
    </font>
    <font>
      <sz val="9"/>
      <color indexed="81"/>
      <name val="Tahoma"/>
      <family val="2"/>
    </font>
    <font>
      <sz val="11"/>
      <color rgb="FF000000"/>
      <name val="Arial"/>
      <family val="2"/>
    </font>
    <font>
      <sz val="11"/>
      <color rgb="FFFFFFFF"/>
      <name val="Arial"/>
      <family val="2"/>
    </font>
    <font>
      <sz val="11"/>
      <color rgb="FF000000"/>
      <name val="Arial"/>
      <family val="2"/>
    </font>
    <font>
      <b/>
      <sz val="12"/>
      <color rgb="FF000000"/>
      <name val="Arial"/>
      <family val="2"/>
    </font>
    <font>
      <b/>
      <sz val="11"/>
      <color rgb="FF000000"/>
      <name val="arial"/>
      <family val="2"/>
    </font>
    <font>
      <sz val="11"/>
      <name val="Arial"/>
      <family val="2"/>
    </font>
    <font>
      <sz val="10"/>
      <color rgb="FF111111"/>
      <name val="Segoe UI"/>
      <family val="2"/>
    </font>
    <font>
      <b/>
      <sz val="12"/>
      <color theme="1"/>
      <name val="Times New Roman"/>
      <family val="1"/>
    </font>
    <font>
      <b/>
      <u/>
      <sz val="12"/>
      <color theme="1"/>
      <name val="Times New Roman"/>
      <family val="1"/>
    </font>
    <font>
      <sz val="12"/>
      <color theme="1"/>
      <name val="Times New Roman"/>
      <family val="1"/>
    </font>
    <font>
      <sz val="12"/>
      <name val="Times New Roman"/>
      <family val="1"/>
    </font>
    <font>
      <b/>
      <u/>
      <sz val="11"/>
      <name val="Times New Roman"/>
      <family val="1"/>
    </font>
    <font>
      <sz val="11"/>
      <color theme="1"/>
      <name val="Times New Roman"/>
      <family val="1"/>
    </font>
    <font>
      <b/>
      <sz val="11"/>
      <color theme="1"/>
      <name val="Times New Roman"/>
      <family val="1"/>
    </font>
    <font>
      <sz val="10"/>
      <name val="Times New Roman"/>
      <family val="1"/>
    </font>
    <font>
      <b/>
      <sz val="10"/>
      <name val="Times New Roman"/>
      <family val="1"/>
    </font>
    <font>
      <b/>
      <sz val="12"/>
      <color rgb="FF000000"/>
      <name val="Arial"/>
      <family val="2"/>
    </font>
    <font>
      <sz val="11"/>
      <color rgb="FF000000"/>
      <name val="Arial"/>
      <family val="2"/>
    </font>
    <font>
      <sz val="14"/>
      <color theme="1"/>
      <name val="Book Antiqua"/>
      <family val="1"/>
    </font>
  </fonts>
  <fills count="1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2F2F2"/>
      </patternFill>
    </fill>
    <fill>
      <patternFill patternType="solid">
        <fgColor theme="5"/>
      </patternFill>
    </fill>
    <fill>
      <patternFill patternType="solid">
        <fgColor theme="5" tint="0.39997558519241921"/>
        <bgColor indexed="65"/>
      </patternFill>
    </fill>
    <fill>
      <patternFill patternType="solid">
        <fgColor theme="8" tint="0.59999389629810485"/>
        <bgColor indexed="64"/>
      </patternFill>
    </fill>
    <fill>
      <patternFill patternType="solid">
        <fgColor rgb="FFFFFFFF"/>
      </patternFill>
    </fill>
    <fill>
      <patternFill patternType="solid">
        <fgColor rgb="FF3C3C47"/>
      </patternFill>
    </fill>
    <fill>
      <patternFill patternType="solid">
        <fgColor rgb="FFF5F5F5"/>
      </patternFill>
    </fill>
    <fill>
      <patternFill patternType="solid">
        <fgColor theme="9" tint="0.59999389629810485"/>
        <bgColor indexed="64"/>
      </patternFill>
    </fill>
    <fill>
      <patternFill patternType="solid">
        <fgColor theme="8" tint="0.79998168889431442"/>
        <bgColor indexed="64"/>
      </patternFill>
    </fill>
  </fills>
  <borders count="77">
    <border>
      <left/>
      <right/>
      <top/>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right/>
      <top style="medium">
        <color indexed="64"/>
      </top>
      <bottom style="thin">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rgb="FFD5D5D5"/>
      </left>
      <right style="thin">
        <color rgb="FFD5D5D5"/>
      </right>
      <top style="thin">
        <color rgb="FFD5D5D5"/>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0"/>
      </top>
      <bottom/>
      <diagonal/>
    </border>
    <border>
      <left/>
      <right/>
      <top style="thin">
        <color indexed="0"/>
      </top>
      <bottom style="thin">
        <color indexed="0"/>
      </bottom>
      <diagonal/>
    </border>
    <border diagonalUp="1" diagonalDown="1">
      <left style="thin">
        <color indexed="0"/>
      </left>
      <right style="thin">
        <color indexed="0"/>
      </right>
      <top style="thin">
        <color indexed="0"/>
      </top>
      <bottom style="thin">
        <color indexed="0"/>
      </bottom>
      <diagonal/>
    </border>
    <border diagonalUp="1" diagonalDown="1">
      <left/>
      <right style="thin">
        <color indexed="0"/>
      </right>
      <top style="thin">
        <color indexed="0"/>
      </top>
      <bottom style="thin">
        <color indexed="0"/>
      </bottom>
      <diagonal/>
    </border>
    <border diagonalUp="1" diagonalDown="1">
      <left style="thin">
        <color indexed="0"/>
      </left>
      <right style="thin">
        <color indexed="0"/>
      </right>
      <top/>
      <bottom style="thin">
        <color indexed="0"/>
      </bottom>
      <diagonal/>
    </border>
    <border diagonalUp="1" diagonalDown="1">
      <left/>
      <right style="thin">
        <color indexed="0"/>
      </right>
      <top/>
      <bottom style="thin">
        <color indexed="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bottom style="thin">
        <color indexed="64"/>
      </bottom>
      <diagonal/>
    </border>
    <border>
      <left style="medium">
        <color indexed="64"/>
      </left>
      <right/>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thin">
        <color rgb="FF3F3F3F"/>
      </left>
      <right style="thin">
        <color rgb="FF3F3F3F"/>
      </right>
      <top style="thin">
        <color rgb="FF3F3F3F"/>
      </top>
      <bottom style="thin">
        <color rgb="FF3F3F3F"/>
      </bottom>
      <diagonal/>
    </border>
    <border>
      <left style="thin">
        <color rgb="FFD5D5D5"/>
      </left>
      <right style="thin">
        <color rgb="FFD5D5D5"/>
      </right>
      <top style="thin">
        <color rgb="FFD5D5D5"/>
      </top>
      <bottom style="thin">
        <color rgb="FFD5D5D5"/>
      </bottom>
      <diagonal/>
    </border>
    <border>
      <left style="thin">
        <color rgb="FFD5D5D5"/>
      </left>
      <right style="thin">
        <color rgb="FFD5D5D5"/>
      </right>
      <top/>
      <bottom/>
      <diagonal/>
    </border>
    <border>
      <left/>
      <right style="thin">
        <color auto="1"/>
      </right>
      <top style="thin">
        <color auto="1"/>
      </top>
      <bottom style="double">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
      <left style="thin">
        <color rgb="FFD5D5D5"/>
      </left>
      <right/>
      <top style="thin">
        <color rgb="FFD5D5D5"/>
      </top>
      <bottom style="thin">
        <color rgb="FFD5D5D5"/>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5">
    <xf numFmtId="0" fontId="0"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1" fillId="0" borderId="0"/>
    <xf numFmtId="164" fontId="16" fillId="0" borderId="0" applyFont="0" applyFill="0" applyBorder="0" applyAlignment="0" applyProtection="0"/>
    <xf numFmtId="164" fontId="16" fillId="0" borderId="0" applyFont="0" applyFill="0" applyBorder="0" applyAlignment="0" applyProtection="0"/>
    <xf numFmtId="164" fontId="2"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 fillId="0" borderId="0"/>
    <xf numFmtId="0" fontId="1" fillId="0" borderId="0"/>
    <xf numFmtId="164" fontId="2" fillId="0" borderId="0" applyFont="0" applyFill="0" applyBorder="0" applyAlignment="0" applyProtection="0"/>
    <xf numFmtId="43" fontId="1" fillId="0" borderId="0" applyFont="0" applyFill="0" applyBorder="0" applyAlignment="0" applyProtection="0"/>
    <xf numFmtId="164" fontId="2" fillId="0" borderId="0" applyFont="0" applyFill="0" applyBorder="0" applyAlignment="0" applyProtection="0"/>
    <xf numFmtId="0" fontId="49" fillId="0" borderId="0"/>
    <xf numFmtId="0" fontId="49" fillId="0" borderId="0" applyFont="0" applyFill="0" applyBorder="0" applyAlignment="0" applyProtection="0"/>
    <xf numFmtId="0" fontId="54" fillId="6" borderId="53" applyNumberFormat="0" applyAlignment="0" applyProtection="0"/>
    <xf numFmtId="0" fontId="56" fillId="7" borderId="0" applyNumberFormat="0" applyBorder="0" applyAlignment="0" applyProtection="0"/>
    <xf numFmtId="0" fontId="1" fillId="8" borderId="0" applyNumberFormat="0" applyBorder="0" applyAlignment="0" applyProtection="0"/>
    <xf numFmtId="9" fontId="1" fillId="0" borderId="0" applyFont="0" applyFill="0" applyBorder="0" applyAlignment="0" applyProtection="0"/>
    <xf numFmtId="0" fontId="1" fillId="0" borderId="0"/>
    <xf numFmtId="0" fontId="2" fillId="0" borderId="0"/>
    <xf numFmtId="164" fontId="2" fillId="0" borderId="0" applyFont="0" applyFill="0" applyBorder="0" applyAlignment="0" applyProtection="0"/>
    <xf numFmtId="43" fontId="2" fillId="0" borderId="0" applyFont="0" applyFill="0" applyBorder="0" applyAlignment="0" applyProtection="0"/>
    <xf numFmtId="180" fontId="1" fillId="0" borderId="0" applyFont="0" applyFill="0" applyBorder="0" applyAlignment="0" applyProtection="0"/>
    <xf numFmtId="43" fontId="1" fillId="0" borderId="0" applyFont="0" applyFill="0" applyBorder="0" applyAlignment="0" applyProtection="0"/>
    <xf numFmtId="0" fontId="2" fillId="0" borderId="0"/>
    <xf numFmtId="0" fontId="76" fillId="0" borderId="0"/>
    <xf numFmtId="0" fontId="1" fillId="0" borderId="0"/>
    <xf numFmtId="164" fontId="1" fillId="0" borderId="0" applyFont="0" applyFill="0" applyBorder="0" applyAlignment="0" applyProtection="0"/>
    <xf numFmtId="182" fontId="76" fillId="0" borderId="0" applyFont="0" applyFill="0" applyBorder="0" applyAlignment="0" applyProtection="0"/>
    <xf numFmtId="0" fontId="56" fillId="8" borderId="0" applyNumberFormat="0" applyBorder="0" applyAlignment="0" applyProtection="0"/>
  </cellStyleXfs>
  <cellXfs count="1004">
    <xf numFmtId="0" fontId="0" fillId="0" borderId="0" xfId="0"/>
    <xf numFmtId="165" fontId="4" fillId="2" borderId="0" xfId="1" applyNumberFormat="1" applyFont="1" applyFill="1"/>
    <xf numFmtId="0" fontId="6" fillId="0" borderId="0" xfId="6" applyFont="1" applyAlignment="1">
      <alignment vertical="center"/>
    </xf>
    <xf numFmtId="0" fontId="7" fillId="0" borderId="0" xfId="6" applyFont="1" applyAlignment="1">
      <alignment vertical="center"/>
    </xf>
    <xf numFmtId="0" fontId="8" fillId="0" borderId="0" xfId="6" applyFont="1" applyAlignment="1">
      <alignment vertical="center"/>
    </xf>
    <xf numFmtId="167" fontId="7" fillId="0" borderId="0" xfId="6" applyNumberFormat="1" applyFont="1" applyAlignment="1">
      <alignment vertical="center"/>
    </xf>
    <xf numFmtId="165" fontId="7" fillId="0" borderId="0" xfId="6" applyNumberFormat="1" applyFont="1" applyAlignment="1">
      <alignment vertical="center"/>
    </xf>
    <xf numFmtId="0" fontId="12" fillId="0" borderId="0" xfId="6" applyFont="1" applyAlignment="1">
      <alignment horizontal="right" vertical="center"/>
    </xf>
    <xf numFmtId="0" fontId="8" fillId="0" borderId="0" xfId="6" applyFont="1" applyAlignment="1">
      <alignment horizontal="center" vertical="center"/>
    </xf>
    <xf numFmtId="0" fontId="14" fillId="0" borderId="0" xfId="6" applyFont="1" applyAlignment="1">
      <alignment vertical="center"/>
    </xf>
    <xf numFmtId="0" fontId="15" fillId="0" borderId="0" xfId="6" applyFont="1" applyAlignment="1">
      <alignment vertical="center"/>
    </xf>
    <xf numFmtId="169" fontId="14" fillId="2" borderId="0" xfId="7" applyNumberFormat="1" applyFont="1" applyFill="1" applyBorder="1" applyAlignment="1">
      <alignment vertical="center"/>
    </xf>
    <xf numFmtId="169" fontId="15" fillId="2" borderId="0" xfId="7" applyNumberFormat="1" applyFont="1" applyFill="1" applyBorder="1" applyAlignment="1">
      <alignment vertical="center"/>
    </xf>
    <xf numFmtId="49" fontId="18" fillId="0" borderId="18" xfId="6" applyNumberFormat="1" applyFont="1" applyBorder="1"/>
    <xf numFmtId="49" fontId="5" fillId="0" borderId="0" xfId="6" applyNumberFormat="1" applyFont="1"/>
    <xf numFmtId="0" fontId="7" fillId="0" borderId="3" xfId="6" applyFont="1" applyBorder="1" applyAlignment="1">
      <alignment horizontal="center" vertical="center" wrapText="1"/>
    </xf>
    <xf numFmtId="0" fontId="14" fillId="0" borderId="3" xfId="6" applyFont="1" applyBorder="1" applyAlignment="1">
      <alignment horizontal="center" vertical="center" wrapText="1"/>
    </xf>
    <xf numFmtId="49" fontId="17" fillId="0" borderId="3" xfId="6" applyNumberFormat="1" applyFont="1" applyBorder="1" applyAlignment="1">
      <alignment horizontal="center" vertical="center" wrapText="1"/>
    </xf>
    <xf numFmtId="0" fontId="7" fillId="0" borderId="0" xfId="6" applyFont="1" applyAlignment="1">
      <alignment horizontal="center" vertical="center" wrapText="1"/>
    </xf>
    <xf numFmtId="49" fontId="17" fillId="0" borderId="0" xfId="6" applyNumberFormat="1" applyFont="1"/>
    <xf numFmtId="167" fontId="8" fillId="0" borderId="0" xfId="6" applyNumberFormat="1" applyFont="1" applyAlignment="1">
      <alignment vertical="center"/>
    </xf>
    <xf numFmtId="49" fontId="18" fillId="0" borderId="0" xfId="6" applyNumberFormat="1" applyFont="1"/>
    <xf numFmtId="0" fontId="15" fillId="0" borderId="1" xfId="6" applyFont="1" applyBorder="1" applyAlignment="1">
      <alignment vertical="center" wrapText="1"/>
    </xf>
    <xf numFmtId="0" fontId="8" fillId="0" borderId="18" xfId="6" applyFont="1" applyBorder="1" applyAlignment="1">
      <alignment vertical="center"/>
    </xf>
    <xf numFmtId="0" fontId="7" fillId="0" borderId="18" xfId="6" applyFont="1" applyBorder="1" applyAlignment="1">
      <alignment vertical="center"/>
    </xf>
    <xf numFmtId="0" fontId="6" fillId="2" borderId="0" xfId="6" applyFont="1" applyFill="1" applyAlignment="1">
      <alignment vertical="center"/>
    </xf>
    <xf numFmtId="170" fontId="4" fillId="2" borderId="0" xfId="6" applyNumberFormat="1" applyFont="1" applyFill="1" applyAlignment="1">
      <alignment vertical="center"/>
    </xf>
    <xf numFmtId="165" fontId="13" fillId="2" borderId="0" xfId="7" applyNumberFormat="1" applyFont="1" applyFill="1" applyBorder="1" applyAlignment="1">
      <alignment vertical="center"/>
    </xf>
    <xf numFmtId="167" fontId="13" fillId="2" borderId="0" xfId="7" applyNumberFormat="1" applyFont="1" applyFill="1" applyBorder="1" applyAlignment="1">
      <alignment vertical="center"/>
    </xf>
    <xf numFmtId="0" fontId="7" fillId="2" borderId="0" xfId="6" applyFont="1" applyFill="1" applyAlignment="1">
      <alignment vertical="center"/>
    </xf>
    <xf numFmtId="165" fontId="4" fillId="2" borderId="0" xfId="7" applyNumberFormat="1" applyFont="1" applyFill="1" applyBorder="1" applyAlignment="1">
      <alignment vertical="center"/>
    </xf>
    <xf numFmtId="165" fontId="3" fillId="2" borderId="0" xfId="7" applyNumberFormat="1" applyFont="1" applyFill="1" applyBorder="1" applyAlignment="1">
      <alignment vertical="center"/>
    </xf>
    <xf numFmtId="165" fontId="3" fillId="2" borderId="0" xfId="7" applyNumberFormat="1" applyFont="1" applyFill="1" applyBorder="1" applyAlignment="1">
      <alignment horizontal="center" vertical="center"/>
    </xf>
    <xf numFmtId="165" fontId="13" fillId="2" borderId="0" xfId="7" applyNumberFormat="1" applyFont="1" applyFill="1" applyBorder="1" applyAlignment="1">
      <alignment horizontal="center" vertical="center"/>
    </xf>
    <xf numFmtId="167" fontId="13" fillId="2" borderId="0" xfId="7" applyNumberFormat="1" applyFont="1" applyFill="1" applyBorder="1" applyAlignment="1">
      <alignment horizontal="center" vertical="center"/>
    </xf>
    <xf numFmtId="165" fontId="3" fillId="2" borderId="0" xfId="8" applyNumberFormat="1" applyFont="1" applyFill="1" applyBorder="1" applyAlignment="1">
      <alignment vertical="center"/>
    </xf>
    <xf numFmtId="165" fontId="10" fillId="2" borderId="0" xfId="7" applyNumberFormat="1" applyFont="1" applyFill="1" applyBorder="1" applyAlignment="1">
      <alignment vertical="center"/>
    </xf>
    <xf numFmtId="167" fontId="10" fillId="2" borderId="0" xfId="7" applyNumberFormat="1" applyFont="1" applyFill="1" applyBorder="1" applyAlignment="1">
      <alignment vertical="center"/>
    </xf>
    <xf numFmtId="165" fontId="13" fillId="2" borderId="0" xfId="7" applyNumberFormat="1" applyFont="1" applyFill="1" applyAlignment="1">
      <alignment vertical="center"/>
    </xf>
    <xf numFmtId="167" fontId="13" fillId="2" borderId="0" xfId="7" applyNumberFormat="1" applyFont="1" applyFill="1" applyAlignment="1">
      <alignment vertical="center"/>
    </xf>
    <xf numFmtId="167" fontId="7" fillId="2" borderId="0" xfId="6" applyNumberFormat="1" applyFont="1" applyFill="1" applyAlignment="1">
      <alignment vertical="center"/>
    </xf>
    <xf numFmtId="0" fontId="15" fillId="2" borderId="0" xfId="6" applyFont="1" applyFill="1" applyAlignment="1">
      <alignment vertical="center"/>
    </xf>
    <xf numFmtId="170" fontId="13" fillId="2" borderId="0" xfId="6" applyNumberFormat="1" applyFont="1" applyFill="1" applyAlignment="1">
      <alignment vertical="center"/>
    </xf>
    <xf numFmtId="167" fontId="13" fillId="2" borderId="0" xfId="6" applyNumberFormat="1" applyFont="1" applyFill="1" applyAlignment="1">
      <alignment vertical="center"/>
    </xf>
    <xf numFmtId="0" fontId="20" fillId="2" borderId="0" xfId="6" applyFont="1" applyFill="1"/>
    <xf numFmtId="0" fontId="4" fillId="0" borderId="0" xfId="5" applyFont="1" applyAlignment="1">
      <alignment horizontal="left" vertical="top"/>
    </xf>
    <xf numFmtId="0" fontId="22" fillId="0" borderId="0" xfId="5" quotePrefix="1" applyFont="1" applyAlignment="1">
      <alignment horizontal="left" vertical="top"/>
    </xf>
    <xf numFmtId="0" fontId="4" fillId="0" borderId="0" xfId="5" quotePrefix="1" applyFont="1" applyAlignment="1">
      <alignment horizontal="left" vertical="top" wrapText="1"/>
    </xf>
    <xf numFmtId="0" fontId="4" fillId="0" borderId="0" xfId="5" applyFont="1" applyAlignment="1">
      <alignment vertical="top"/>
    </xf>
    <xf numFmtId="0" fontId="3" fillId="0" borderId="0" xfId="5" quotePrefix="1" applyFont="1" applyAlignment="1">
      <alignment horizontal="left" vertical="top"/>
    </xf>
    <xf numFmtId="0" fontId="4" fillId="0" borderId="0" xfId="5" applyFont="1" applyAlignment="1">
      <alignment horizontal="right" vertical="top"/>
    </xf>
    <xf numFmtId="0" fontId="3" fillId="0" borderId="0" xfId="5" applyFont="1" applyAlignment="1">
      <alignment horizontal="center" vertical="top"/>
    </xf>
    <xf numFmtId="0" fontId="3" fillId="0" borderId="0" xfId="5" quotePrefix="1" applyFont="1" applyAlignment="1">
      <alignment horizontal="left" vertical="top" wrapText="1"/>
    </xf>
    <xf numFmtId="0" fontId="3" fillId="0" borderId="0" xfId="5" quotePrefix="1" applyFont="1" applyAlignment="1">
      <alignment horizontal="center" vertical="top"/>
    </xf>
    <xf numFmtId="0" fontId="4" fillId="0" borderId="0" xfId="5" applyFont="1" applyAlignment="1">
      <alignment horizontal="center"/>
    </xf>
    <xf numFmtId="0" fontId="3" fillId="0" borderId="0" xfId="5" applyFont="1" applyAlignment="1">
      <alignment horizontal="left"/>
    </xf>
    <xf numFmtId="0" fontId="23" fillId="0" borderId="0" xfId="5" applyFont="1" applyAlignment="1">
      <alignment horizontal="left"/>
    </xf>
    <xf numFmtId="0" fontId="4" fillId="2" borderId="0" xfId="5" applyFont="1" applyFill="1" applyAlignment="1">
      <alignment horizontal="justify" vertical="top" wrapText="1"/>
    </xf>
    <xf numFmtId="0" fontId="4" fillId="0" borderId="0" xfId="5" applyFont="1" applyAlignment="1">
      <alignment horizontal="justify"/>
    </xf>
    <xf numFmtId="0" fontId="23" fillId="0" borderId="0" xfId="5" applyFont="1"/>
    <xf numFmtId="0" fontId="3" fillId="0" borderId="0" xfId="5" applyFont="1" applyAlignment="1">
      <alignment horizontal="justify"/>
    </xf>
    <xf numFmtId="0" fontId="4" fillId="0" borderId="0" xfId="5" applyFont="1" applyAlignment="1">
      <alignment horizontal="justify" vertical="top" wrapText="1"/>
    </xf>
    <xf numFmtId="0" fontId="3" fillId="2" borderId="0" xfId="5" applyFont="1" applyFill="1" applyAlignment="1">
      <alignment horizontal="justify"/>
    </xf>
    <xf numFmtId="0" fontId="4" fillId="0" borderId="0" xfId="5" applyFont="1" applyAlignment="1">
      <alignment horizontal="left" vertical="top" wrapText="1"/>
    </xf>
    <xf numFmtId="0" fontId="4" fillId="0" borderId="0" xfId="5" applyFont="1" applyAlignment="1">
      <alignment horizontal="center" vertical="top"/>
    </xf>
    <xf numFmtId="0" fontId="3" fillId="0" borderId="0" xfId="5" applyFont="1" applyAlignment="1">
      <alignment horizontal="justify" vertical="top" wrapText="1"/>
    </xf>
    <xf numFmtId="0" fontId="3" fillId="2" borderId="0" xfId="6" applyFont="1" applyFill="1"/>
    <xf numFmtId="49" fontId="13" fillId="2" borderId="0" xfId="6" applyNumberFormat="1" applyFont="1" applyFill="1"/>
    <xf numFmtId="0" fontId="24" fillId="2" borderId="0" xfId="6" applyFont="1" applyFill="1" applyAlignment="1">
      <alignment horizontal="right" vertical="center"/>
    </xf>
    <xf numFmtId="0" fontId="14" fillId="2" borderId="0" xfId="6" applyFont="1" applyFill="1" applyAlignment="1">
      <alignment vertical="center"/>
    </xf>
    <xf numFmtId="0" fontId="15" fillId="2" borderId="3" xfId="6" applyFont="1" applyFill="1" applyBorder="1" applyAlignment="1">
      <alignment vertical="center"/>
    </xf>
    <xf numFmtId="0" fontId="7" fillId="2" borderId="3" xfId="6" applyFont="1" applyFill="1" applyBorder="1" applyAlignment="1">
      <alignment vertical="center"/>
    </xf>
    <xf numFmtId="168" fontId="25" fillId="2" borderId="3" xfId="6" quotePrefix="1" applyNumberFormat="1" applyFont="1" applyFill="1" applyBorder="1" applyAlignment="1">
      <alignment horizontal="right"/>
    </xf>
    <xf numFmtId="0" fontId="14" fillId="2" borderId="0" xfId="6" applyFont="1" applyFill="1" applyAlignment="1">
      <alignment horizontal="left" vertical="center" indent="1"/>
    </xf>
    <xf numFmtId="0" fontId="4" fillId="2" borderId="0" xfId="6" applyFont="1" applyFill="1" applyAlignment="1">
      <alignment horizontal="left" vertical="center" indent="1"/>
    </xf>
    <xf numFmtId="0" fontId="15" fillId="2" borderId="0" xfId="6" applyFont="1" applyFill="1" applyAlignment="1">
      <alignment horizontal="left" vertical="center" indent="1"/>
    </xf>
    <xf numFmtId="169" fontId="15" fillId="2" borderId="0" xfId="6" applyNumberFormat="1" applyFont="1" applyFill="1" applyAlignment="1">
      <alignment vertical="center"/>
    </xf>
    <xf numFmtId="0" fontId="3" fillId="2" borderId="3" xfId="6" applyFont="1" applyFill="1" applyBorder="1" applyAlignment="1">
      <alignment horizontal="left" vertical="center" indent="1"/>
    </xf>
    <xf numFmtId="0" fontId="4" fillId="2" borderId="0" xfId="6" applyFont="1" applyFill="1" applyAlignment="1">
      <alignment vertical="center"/>
    </xf>
    <xf numFmtId="165" fontId="14" fillId="2" borderId="0" xfId="7" applyNumberFormat="1" applyFont="1" applyFill="1" applyBorder="1" applyAlignment="1">
      <alignment vertical="center"/>
    </xf>
    <xf numFmtId="165" fontId="15" fillId="2" borderId="0" xfId="7" applyNumberFormat="1" applyFont="1" applyFill="1" applyBorder="1" applyAlignment="1">
      <alignment vertical="center"/>
    </xf>
    <xf numFmtId="0" fontId="3" fillId="2" borderId="0" xfId="6" applyFont="1" applyFill="1" applyAlignment="1">
      <alignment horizontal="left" vertical="center"/>
    </xf>
    <xf numFmtId="165" fontId="14" fillId="2" borderId="17" xfId="7" applyNumberFormat="1" applyFont="1" applyFill="1" applyBorder="1" applyAlignment="1">
      <alignment vertical="center"/>
    </xf>
    <xf numFmtId="165" fontId="15" fillId="2" borderId="17" xfId="7" applyNumberFormat="1" applyFont="1" applyFill="1" applyBorder="1" applyAlignment="1">
      <alignment vertical="center"/>
    </xf>
    <xf numFmtId="0" fontId="15" fillId="2" borderId="17" xfId="6" applyFont="1" applyFill="1" applyBorder="1" applyAlignment="1">
      <alignment vertical="center"/>
    </xf>
    <xf numFmtId="0" fontId="3" fillId="2" borderId="3" xfId="6" applyFont="1" applyFill="1" applyBorder="1" applyAlignment="1">
      <alignment horizontal="right" vertical="top" wrapText="1"/>
    </xf>
    <xf numFmtId="0" fontId="3" fillId="2" borderId="15" xfId="6" applyFont="1" applyFill="1" applyBorder="1" applyAlignment="1">
      <alignment horizontal="left" indent="1"/>
    </xf>
    <xf numFmtId="0" fontId="3" fillId="2" borderId="0" xfId="6" applyFont="1" applyFill="1" applyAlignment="1">
      <alignment horizontal="right" vertical="top" wrapText="1"/>
    </xf>
    <xf numFmtId="0" fontId="4" fillId="2" borderId="0" xfId="6" applyFont="1" applyFill="1" applyAlignment="1">
      <alignment horizontal="left" vertical="top" wrapText="1" indent="1"/>
    </xf>
    <xf numFmtId="0" fontId="4" fillId="2" borderId="17" xfId="6" applyFont="1" applyFill="1" applyBorder="1" applyAlignment="1">
      <alignment horizontal="left" vertical="top" wrapText="1" indent="1"/>
    </xf>
    <xf numFmtId="0" fontId="3" fillId="2" borderId="0" xfId="6" applyFont="1" applyFill="1" applyAlignment="1">
      <alignment horizontal="left" vertical="top"/>
    </xf>
    <xf numFmtId="0" fontId="4" fillId="2" borderId="0" xfId="6" applyFont="1" applyFill="1" applyAlignment="1">
      <alignment horizontal="left" vertical="top" indent="1"/>
    </xf>
    <xf numFmtId="0" fontId="13" fillId="2" borderId="0" xfId="6" applyFont="1" applyFill="1" applyAlignment="1">
      <alignment horizontal="justify" vertical="top" wrapText="1"/>
    </xf>
    <xf numFmtId="165" fontId="3" fillId="2" borderId="17" xfId="9" applyNumberFormat="1" applyFont="1" applyFill="1" applyBorder="1" applyAlignment="1">
      <alignment horizontal="justify" vertical="top" wrapText="1"/>
    </xf>
    <xf numFmtId="165" fontId="4" fillId="2" borderId="17" xfId="9" applyNumberFormat="1" applyFont="1" applyFill="1" applyBorder="1" applyAlignment="1">
      <alignment horizontal="justify" vertical="top" wrapText="1"/>
    </xf>
    <xf numFmtId="165" fontId="3" fillId="2" borderId="3" xfId="9" applyNumberFormat="1" applyFont="1" applyFill="1" applyBorder="1" applyAlignment="1">
      <alignment horizontal="right" vertical="top" wrapText="1"/>
    </xf>
    <xf numFmtId="0" fontId="3" fillId="2" borderId="15" xfId="6" applyFont="1" applyFill="1" applyBorder="1" applyAlignment="1">
      <alignment horizontal="left" vertical="top" wrapText="1" indent="1"/>
    </xf>
    <xf numFmtId="165" fontId="3" fillId="2" borderId="0" xfId="9" applyNumberFormat="1" applyFont="1" applyFill="1" applyBorder="1" applyAlignment="1">
      <alignment horizontal="justify" vertical="top" wrapText="1"/>
    </xf>
    <xf numFmtId="0" fontId="4" fillId="2" borderId="0" xfId="6" applyFont="1" applyFill="1" applyAlignment="1">
      <alignment horizontal="left" vertical="center" indent="3"/>
    </xf>
    <xf numFmtId="0" fontId="13" fillId="2" borderId="17" xfId="6" applyFont="1" applyFill="1" applyBorder="1" applyAlignment="1">
      <alignment horizontal="justify" vertical="top" wrapText="1"/>
    </xf>
    <xf numFmtId="49" fontId="17" fillId="2" borderId="0" xfId="6" applyNumberFormat="1" applyFont="1" applyFill="1"/>
    <xf numFmtId="0" fontId="25" fillId="2" borderId="0" xfId="6" applyFont="1" applyFill="1"/>
    <xf numFmtId="167" fontId="25" fillId="2" borderId="0" xfId="6" applyNumberFormat="1" applyFont="1" applyFill="1"/>
    <xf numFmtId="0" fontId="25" fillId="2" borderId="3" xfId="6" applyFont="1" applyFill="1" applyBorder="1"/>
    <xf numFmtId="49" fontId="17" fillId="2" borderId="0" xfId="6" applyNumberFormat="1" applyFont="1" applyFill="1" applyAlignment="1">
      <alignment horizontal="left" indent="1"/>
    </xf>
    <xf numFmtId="49" fontId="18" fillId="2" borderId="0" xfId="6" applyNumberFormat="1" applyFont="1" applyFill="1" applyAlignment="1">
      <alignment horizontal="left" indent="1"/>
    </xf>
    <xf numFmtId="164" fontId="7" fillId="2" borderId="0" xfId="6" applyNumberFormat="1" applyFont="1" applyFill="1" applyAlignment="1">
      <alignment vertical="center"/>
    </xf>
    <xf numFmtId="43" fontId="7" fillId="2" borderId="0" xfId="6" applyNumberFormat="1" applyFont="1" applyFill="1" applyAlignment="1">
      <alignment vertical="center"/>
    </xf>
    <xf numFmtId="169" fontId="18" fillId="2" borderId="0" xfId="7" applyNumberFormat="1" applyFont="1" applyFill="1" applyBorder="1" applyAlignment="1"/>
    <xf numFmtId="49" fontId="18" fillId="2" borderId="3" xfId="6" applyNumberFormat="1" applyFont="1" applyFill="1" applyBorder="1" applyAlignment="1">
      <alignment horizontal="left" indent="1"/>
    </xf>
    <xf numFmtId="49" fontId="17" fillId="2" borderId="0" xfId="5" applyNumberFormat="1" applyFont="1" applyFill="1"/>
    <xf numFmtId="0" fontId="7" fillId="2" borderId="0" xfId="5" applyFont="1" applyFill="1" applyAlignment="1">
      <alignment vertical="center"/>
    </xf>
    <xf numFmtId="0" fontId="25" fillId="2" borderId="3" xfId="5" applyFont="1" applyFill="1" applyBorder="1"/>
    <xf numFmtId="167" fontId="7" fillId="2" borderId="0" xfId="5" applyNumberFormat="1" applyFont="1" applyFill="1" applyAlignment="1">
      <alignment vertical="center"/>
    </xf>
    <xf numFmtId="167" fontId="17" fillId="2" borderId="3" xfId="11" applyNumberFormat="1" applyFont="1" applyFill="1" applyBorder="1" applyAlignment="1"/>
    <xf numFmtId="168" fontId="25" fillId="2" borderId="3" xfId="5" quotePrefix="1" applyNumberFormat="1" applyFont="1" applyFill="1" applyBorder="1" applyAlignment="1">
      <alignment horizontal="right"/>
    </xf>
    <xf numFmtId="0" fontId="20" fillId="2" borderId="0" xfId="5" applyFont="1" applyFill="1" applyAlignment="1">
      <alignment horizontal="left" vertical="top" wrapText="1" indent="1"/>
    </xf>
    <xf numFmtId="167" fontId="25" fillId="2" borderId="0" xfId="5" quotePrefix="1" applyNumberFormat="1" applyFont="1" applyFill="1" applyAlignment="1">
      <alignment vertical="top"/>
    </xf>
    <xf numFmtId="167" fontId="15" fillId="2" borderId="0" xfId="7" applyNumberFormat="1" applyFont="1" applyFill="1" applyBorder="1" applyAlignment="1">
      <alignment vertical="center"/>
    </xf>
    <xf numFmtId="0" fontId="26" fillId="2" borderId="0" xfId="5" applyFont="1" applyFill="1" applyAlignment="1">
      <alignment horizontal="left" vertical="top" wrapText="1"/>
    </xf>
    <xf numFmtId="0" fontId="20" fillId="2" borderId="0" xfId="6" applyFont="1" applyFill="1" applyAlignment="1">
      <alignment horizontal="left" wrapText="1" indent="1"/>
    </xf>
    <xf numFmtId="169" fontId="18" fillId="2" borderId="0" xfId="7" applyNumberFormat="1" applyFont="1" applyFill="1"/>
    <xf numFmtId="167" fontId="18" fillId="2" borderId="0" xfId="7" applyNumberFormat="1" applyFont="1" applyFill="1"/>
    <xf numFmtId="0" fontId="20" fillId="2" borderId="3" xfId="6" applyFont="1" applyFill="1" applyBorder="1"/>
    <xf numFmtId="167" fontId="25" fillId="2" borderId="0" xfId="6" quotePrefix="1" applyNumberFormat="1" applyFont="1" applyFill="1" applyAlignment="1">
      <alignment horizontal="right"/>
    </xf>
    <xf numFmtId="15" fontId="7" fillId="2" borderId="0" xfId="6" applyNumberFormat="1" applyFont="1" applyFill="1" applyAlignment="1">
      <alignment vertical="center"/>
    </xf>
    <xf numFmtId="0" fontId="15" fillId="2" borderId="0" xfId="6" applyFont="1" applyFill="1" applyAlignment="1">
      <alignment horizontal="left" vertical="center"/>
    </xf>
    <xf numFmtId="0" fontId="14" fillId="2" borderId="3" xfId="6" applyFont="1" applyFill="1" applyBorder="1" applyAlignment="1">
      <alignment horizontal="left" vertical="center"/>
    </xf>
    <xf numFmtId="0" fontId="3" fillId="2" borderId="17" xfId="6" applyFont="1" applyFill="1" applyBorder="1" applyAlignment="1">
      <alignment vertical="top"/>
    </xf>
    <xf numFmtId="165" fontId="3" fillId="2" borderId="17" xfId="9" applyNumberFormat="1" applyFont="1" applyFill="1" applyBorder="1" applyAlignment="1">
      <alignment vertical="top"/>
    </xf>
    <xf numFmtId="0" fontId="4" fillId="2" borderId="17" xfId="6" applyFont="1" applyFill="1" applyBorder="1"/>
    <xf numFmtId="168" fontId="3" fillId="2" borderId="17" xfId="9" applyNumberFormat="1" applyFont="1" applyFill="1" applyBorder="1" applyAlignment="1">
      <alignment horizontal="right"/>
    </xf>
    <xf numFmtId="171" fontId="3" fillId="2" borderId="17" xfId="9" applyNumberFormat="1" applyFont="1" applyFill="1" applyBorder="1" applyAlignment="1">
      <alignment horizontal="right"/>
    </xf>
    <xf numFmtId="0" fontId="4" fillId="2" borderId="3" xfId="6" applyFont="1" applyFill="1" applyBorder="1" applyAlignment="1">
      <alignment vertical="top"/>
    </xf>
    <xf numFmtId="167" fontId="3" fillId="2" borderId="3" xfId="9" applyNumberFormat="1" applyFont="1" applyFill="1" applyBorder="1" applyAlignment="1">
      <alignment vertical="top"/>
    </xf>
    <xf numFmtId="0" fontId="22" fillId="2" borderId="0" xfId="6" applyFont="1" applyFill="1" applyAlignment="1">
      <alignment vertical="center"/>
    </xf>
    <xf numFmtId="0" fontId="13" fillId="2" borderId="0" xfId="5" applyFont="1" applyFill="1"/>
    <xf numFmtId="165" fontId="13" fillId="2" borderId="0" xfId="1" applyNumberFormat="1" applyFont="1" applyFill="1"/>
    <xf numFmtId="0" fontId="27" fillId="2" borderId="0" xfId="5" applyFont="1" applyFill="1" applyAlignment="1">
      <alignment horizontal="center"/>
    </xf>
    <xf numFmtId="0" fontId="21" fillId="2" borderId="0" xfId="5" applyFont="1" applyFill="1" applyAlignment="1">
      <alignment horizontal="right"/>
    </xf>
    <xf numFmtId="0" fontId="4" fillId="2" borderId="0" xfId="5" applyFont="1" applyFill="1"/>
    <xf numFmtId="165" fontId="4" fillId="2" borderId="0" xfId="5" applyNumberFormat="1" applyFont="1" applyFill="1"/>
    <xf numFmtId="0" fontId="4" fillId="2" borderId="12" xfId="5" applyFont="1" applyFill="1" applyBorder="1" applyAlignment="1">
      <alignment horizontal="center" vertical="center" wrapText="1"/>
    </xf>
    <xf numFmtId="0" fontId="3" fillId="2" borderId="10" xfId="5" applyFont="1" applyFill="1" applyBorder="1" applyAlignment="1">
      <alignment vertical="center"/>
    </xf>
    <xf numFmtId="0" fontId="4" fillId="2" borderId="14" xfId="5" applyFont="1" applyFill="1" applyBorder="1" applyAlignment="1">
      <alignment horizontal="center" vertical="center" wrapText="1"/>
    </xf>
    <xf numFmtId="0" fontId="4" fillId="2" borderId="6" xfId="5" applyFont="1" applyFill="1" applyBorder="1" applyAlignment="1">
      <alignment vertical="center"/>
    </xf>
    <xf numFmtId="43" fontId="4" fillId="2" borderId="0" xfId="5" applyNumberFormat="1" applyFont="1" applyFill="1"/>
    <xf numFmtId="0" fontId="3" fillId="2" borderId="21" xfId="5" applyFont="1" applyFill="1" applyBorder="1" applyAlignment="1">
      <alignment vertical="center" wrapText="1"/>
    </xf>
    <xf numFmtId="0" fontId="7" fillId="0" borderId="0" xfId="12" applyFont="1" applyAlignment="1">
      <alignment vertical="top"/>
    </xf>
    <xf numFmtId="0" fontId="3" fillId="0" borderId="0" xfId="12" applyFont="1" applyAlignment="1">
      <alignment vertical="top"/>
    </xf>
    <xf numFmtId="0" fontId="15" fillId="0" borderId="0" xfId="12" applyFont="1" applyAlignment="1">
      <alignment vertical="top"/>
    </xf>
    <xf numFmtId="49" fontId="4" fillId="0" borderId="0" xfId="12" applyNumberFormat="1" applyFont="1" applyAlignment="1">
      <alignment vertical="top"/>
    </xf>
    <xf numFmtId="0" fontId="12" fillId="0" borderId="0" xfId="12" applyFont="1" applyAlignment="1">
      <alignment horizontal="right" vertical="top"/>
    </xf>
    <xf numFmtId="49" fontId="17" fillId="0" borderId="0" xfId="12" applyNumberFormat="1" applyFont="1" applyAlignment="1">
      <alignment vertical="top"/>
    </xf>
    <xf numFmtId="0" fontId="15" fillId="2" borderId="0" xfId="12" applyFont="1" applyFill="1" applyAlignment="1">
      <alignment vertical="top"/>
    </xf>
    <xf numFmtId="0" fontId="25" fillId="0" borderId="3" xfId="12" applyFont="1" applyBorder="1" applyAlignment="1">
      <alignment vertical="top"/>
    </xf>
    <xf numFmtId="49" fontId="18" fillId="0" borderId="0" xfId="12" applyNumberFormat="1" applyFont="1" applyAlignment="1">
      <alignment vertical="top"/>
    </xf>
    <xf numFmtId="167" fontId="7" fillId="0" borderId="0" xfId="12" applyNumberFormat="1" applyFont="1" applyAlignment="1">
      <alignment vertical="top"/>
    </xf>
    <xf numFmtId="49" fontId="17" fillId="0" borderId="3" xfId="12" applyNumberFormat="1" applyFont="1" applyBorder="1" applyAlignment="1">
      <alignment vertical="top"/>
    </xf>
    <xf numFmtId="0" fontId="25" fillId="0" borderId="0" xfId="12" applyFont="1" applyAlignment="1">
      <alignment vertical="top"/>
    </xf>
    <xf numFmtId="0" fontId="25" fillId="0" borderId="0" xfId="12" applyFont="1" applyAlignment="1">
      <alignment horizontal="left" vertical="top"/>
    </xf>
    <xf numFmtId="49" fontId="18" fillId="0" borderId="0" xfId="12" applyNumberFormat="1" applyFont="1" applyAlignment="1">
      <alignment horizontal="left" vertical="top"/>
    </xf>
    <xf numFmtId="0" fontId="20" fillId="0" borderId="0" xfId="12" applyFont="1" applyAlignment="1">
      <alignment vertical="top"/>
    </xf>
    <xf numFmtId="0" fontId="7" fillId="0" borderId="0" xfId="12" applyFont="1" applyAlignment="1">
      <alignment vertical="center"/>
    </xf>
    <xf numFmtId="0" fontId="3" fillId="0" borderId="0" xfId="12" applyFont="1"/>
    <xf numFmtId="165" fontId="7" fillId="0" borderId="0" xfId="11" applyNumberFormat="1" applyFont="1" applyFill="1" applyAlignment="1">
      <alignment vertical="center"/>
    </xf>
    <xf numFmtId="49" fontId="13" fillId="0" borderId="0" xfId="12" applyNumberFormat="1" applyFont="1"/>
    <xf numFmtId="165" fontId="24" fillId="0" borderId="0" xfId="11" applyNumberFormat="1" applyFont="1" applyFill="1" applyAlignment="1">
      <alignment vertical="center"/>
    </xf>
    <xf numFmtId="49" fontId="17" fillId="0" borderId="0" xfId="12" applyNumberFormat="1" applyFont="1"/>
    <xf numFmtId="0" fontId="4" fillId="0" borderId="17" xfId="12" applyFont="1" applyBorder="1"/>
    <xf numFmtId="0" fontId="4" fillId="0" borderId="3" xfId="12" applyFont="1" applyBorder="1"/>
    <xf numFmtId="0" fontId="13" fillId="0" borderId="0" xfId="12" applyFont="1"/>
    <xf numFmtId="168" fontId="29" fillId="0" borderId="0" xfId="12" quotePrefix="1" applyNumberFormat="1" applyFont="1" applyAlignment="1">
      <alignment horizontal="right"/>
    </xf>
    <xf numFmtId="167" fontId="30" fillId="0" borderId="0" xfId="11" applyNumberFormat="1" applyFont="1" applyFill="1" applyAlignment="1"/>
    <xf numFmtId="49" fontId="18" fillId="0" borderId="3" xfId="12" applyNumberFormat="1" applyFont="1" applyBorder="1"/>
    <xf numFmtId="49" fontId="4" fillId="0" borderId="0" xfId="12" applyNumberFormat="1" applyFont="1"/>
    <xf numFmtId="165" fontId="15" fillId="0" borderId="0" xfId="11" applyNumberFormat="1" applyFont="1" applyFill="1" applyAlignment="1">
      <alignment vertical="center"/>
    </xf>
    <xf numFmtId="167" fontId="31" fillId="0" borderId="0" xfId="11" applyNumberFormat="1" applyFont="1" applyFill="1" applyBorder="1" applyAlignment="1"/>
    <xf numFmtId="0" fontId="14" fillId="0" borderId="0" xfId="12" applyFont="1" applyAlignment="1">
      <alignment vertical="center"/>
    </xf>
    <xf numFmtId="0" fontId="15" fillId="0" borderId="3" xfId="12" applyFont="1" applyBorder="1" applyAlignment="1">
      <alignment vertical="center"/>
    </xf>
    <xf numFmtId="0" fontId="4" fillId="0" borderId="0" xfId="12" applyFont="1" applyAlignment="1">
      <alignment vertical="center"/>
    </xf>
    <xf numFmtId="0" fontId="15" fillId="0" borderId="0" xfId="12" applyFont="1" applyAlignment="1">
      <alignment vertical="center"/>
    </xf>
    <xf numFmtId="165" fontId="7" fillId="0" borderId="0" xfId="11" applyNumberFormat="1" applyFont="1" applyFill="1" applyBorder="1" applyAlignment="1">
      <alignment vertical="center"/>
    </xf>
    <xf numFmtId="165" fontId="7" fillId="0" borderId="0" xfId="12" applyNumberFormat="1" applyFont="1" applyAlignment="1">
      <alignment vertical="center"/>
    </xf>
    <xf numFmtId="0" fontId="14" fillId="0" borderId="3" xfId="12" applyFont="1" applyBorder="1" applyAlignment="1">
      <alignment vertical="center"/>
    </xf>
    <xf numFmtId="165" fontId="8" fillId="0" borderId="0" xfId="11" applyNumberFormat="1" applyFont="1" applyFill="1" applyBorder="1" applyAlignment="1">
      <alignment vertical="center"/>
    </xf>
    <xf numFmtId="165" fontId="14" fillId="2" borderId="0" xfId="11" applyNumberFormat="1" applyFont="1" applyFill="1" applyAlignment="1">
      <alignment vertical="center"/>
    </xf>
    <xf numFmtId="0" fontId="28" fillId="0" borderId="0" xfId="12" applyFont="1" applyAlignment="1">
      <alignment vertical="center"/>
    </xf>
    <xf numFmtId="165" fontId="15" fillId="2" borderId="0" xfId="1" applyNumberFormat="1" applyFont="1" applyFill="1" applyBorder="1" applyAlignment="1">
      <alignment vertical="center"/>
    </xf>
    <xf numFmtId="165" fontId="15" fillId="0" borderId="0" xfId="1" applyNumberFormat="1" applyFont="1" applyFill="1" applyBorder="1" applyAlignment="1">
      <alignment vertical="center"/>
    </xf>
    <xf numFmtId="165" fontId="20" fillId="0" borderId="0" xfId="1" quotePrefix="1" applyNumberFormat="1" applyFont="1" applyFill="1" applyBorder="1" applyAlignment="1">
      <alignment horizontal="right"/>
    </xf>
    <xf numFmtId="0" fontId="15" fillId="0" borderId="0" xfId="5" applyFont="1" applyAlignment="1">
      <alignment vertical="center"/>
    </xf>
    <xf numFmtId="0" fontId="20" fillId="0" borderId="0" xfId="12" applyFont="1" applyAlignment="1">
      <alignment vertical="center"/>
    </xf>
    <xf numFmtId="0" fontId="14" fillId="0" borderId="0" xfId="5" applyFont="1" applyAlignment="1">
      <alignment vertical="center"/>
    </xf>
    <xf numFmtId="0" fontId="14" fillId="0" borderId="3" xfId="5" applyFont="1" applyBorder="1" applyAlignment="1">
      <alignment vertical="center"/>
    </xf>
    <xf numFmtId="49" fontId="18" fillId="0" borderId="0" xfId="5" quotePrefix="1" applyNumberFormat="1" applyFont="1" applyAlignment="1">
      <alignment horizontal="left" indent="1"/>
    </xf>
    <xf numFmtId="0" fontId="15" fillId="0" borderId="3" xfId="5" applyFont="1" applyBorder="1" applyAlignment="1">
      <alignment vertical="center"/>
    </xf>
    <xf numFmtId="0" fontId="2" fillId="0" borderId="0" xfId="5"/>
    <xf numFmtId="0" fontId="6" fillId="2" borderId="0" xfId="12" applyFont="1" applyFill="1" applyAlignment="1">
      <alignment vertical="center"/>
    </xf>
    <xf numFmtId="0" fontId="15" fillId="2" borderId="0" xfId="12" applyFont="1" applyFill="1" applyAlignment="1">
      <alignment vertical="center"/>
    </xf>
    <xf numFmtId="0" fontId="20" fillId="2" borderId="0" xfId="12" applyFont="1" applyFill="1"/>
    <xf numFmtId="0" fontId="3" fillId="2" borderId="0" xfId="12" applyFont="1" applyFill="1"/>
    <xf numFmtId="49" fontId="4" fillId="2" borderId="0" xfId="12" applyNumberFormat="1" applyFont="1" applyFill="1"/>
    <xf numFmtId="0" fontId="25" fillId="2" borderId="17" xfId="12" applyFont="1" applyFill="1" applyBorder="1"/>
    <xf numFmtId="0" fontId="20" fillId="2" borderId="17" xfId="12" applyFont="1" applyFill="1" applyBorder="1"/>
    <xf numFmtId="0" fontId="14" fillId="2" borderId="17" xfId="12" applyFont="1" applyFill="1" applyBorder="1" applyAlignment="1">
      <alignment vertical="center"/>
    </xf>
    <xf numFmtId="0" fontId="25" fillId="2" borderId="0" xfId="12" applyFont="1" applyFill="1"/>
    <xf numFmtId="0" fontId="20" fillId="2" borderId="0" xfId="12" applyFont="1" applyFill="1" applyAlignment="1">
      <alignment horizontal="left" indent="2"/>
    </xf>
    <xf numFmtId="164" fontId="20" fillId="2" borderId="0" xfId="11" applyFont="1" applyFill="1"/>
    <xf numFmtId="0" fontId="20" fillId="2" borderId="0" xfId="12" applyFont="1" applyFill="1" applyAlignment="1">
      <alignment horizontal="left" vertical="top" wrapText="1" indent="2"/>
    </xf>
    <xf numFmtId="0" fontId="25" fillId="2" borderId="0" xfId="12" applyFont="1" applyFill="1" applyAlignment="1">
      <alignment horizontal="center" vertical="top" wrapText="1"/>
    </xf>
    <xf numFmtId="0" fontId="25" fillId="2" borderId="0" xfId="12" applyFont="1" applyFill="1" applyAlignment="1">
      <alignment horizontal="left" vertical="top"/>
    </xf>
    <xf numFmtId="0" fontId="20" fillId="2" borderId="0" xfId="12" applyFont="1" applyFill="1" applyAlignment="1">
      <alignment horizontal="left" vertical="top" indent="2"/>
    </xf>
    <xf numFmtId="0" fontId="3" fillId="2" borderId="2" xfId="5" applyFont="1" applyFill="1" applyBorder="1" applyAlignment="1">
      <alignment horizontal="center" vertical="center"/>
    </xf>
    <xf numFmtId="0" fontId="3" fillId="2" borderId="5" xfId="5" applyFont="1" applyFill="1" applyBorder="1" applyAlignment="1">
      <alignment horizontal="left" vertical="center"/>
    </xf>
    <xf numFmtId="0" fontId="2" fillId="2" borderId="15" xfId="5" applyFill="1" applyBorder="1"/>
    <xf numFmtId="0" fontId="3" fillId="2" borderId="15" xfId="5" applyFont="1" applyFill="1" applyBorder="1" applyAlignment="1">
      <alignment horizontal="left" vertical="center" indent="2"/>
    </xf>
    <xf numFmtId="0" fontId="20" fillId="2" borderId="17" xfId="12" applyFont="1" applyFill="1" applyBorder="1" applyAlignment="1">
      <alignment horizontal="left" vertical="top" wrapText="1" indent="2"/>
    </xf>
    <xf numFmtId="0" fontId="14" fillId="2" borderId="3" xfId="12" applyFont="1" applyFill="1" applyBorder="1" applyAlignment="1">
      <alignment vertical="center"/>
    </xf>
    <xf numFmtId="0" fontId="14" fillId="2" borderId="0" xfId="12" applyFont="1" applyFill="1" applyAlignment="1">
      <alignment horizontal="left" vertical="center" indent="1"/>
    </xf>
    <xf numFmtId="0" fontId="14" fillId="2" borderId="0" xfId="12" applyFont="1" applyFill="1" applyAlignment="1">
      <alignment vertical="center"/>
    </xf>
    <xf numFmtId="0" fontId="20" fillId="2" borderId="0" xfId="12" applyFont="1" applyFill="1" applyAlignment="1">
      <alignment horizontal="center"/>
    </xf>
    <xf numFmtId="165" fontId="4" fillId="2" borderId="0" xfId="8" applyNumberFormat="1" applyFont="1" applyFill="1" applyBorder="1" applyAlignment="1">
      <alignment horizontal="left" vertical="center" indent="2"/>
    </xf>
    <xf numFmtId="0" fontId="3" fillId="2" borderId="7" xfId="5" applyFont="1" applyFill="1" applyBorder="1" applyAlignment="1">
      <alignment horizontal="center" vertical="center" wrapText="1"/>
    </xf>
    <xf numFmtId="164" fontId="0" fillId="0" borderId="0" xfId="1" applyFont="1"/>
    <xf numFmtId="0" fontId="3" fillId="2" borderId="17" xfId="6" applyFont="1" applyFill="1" applyBorder="1" applyAlignment="1">
      <alignment horizontal="left" vertical="top"/>
    </xf>
    <xf numFmtId="0" fontId="3" fillId="2" borderId="17" xfId="6" applyFont="1" applyFill="1" applyBorder="1" applyAlignment="1">
      <alignment horizontal="center" vertical="top" wrapText="1"/>
    </xf>
    <xf numFmtId="0" fontId="4" fillId="2" borderId="0" xfId="6" applyFont="1" applyFill="1" applyAlignment="1">
      <alignment horizontal="justify" vertical="top" wrapText="1"/>
    </xf>
    <xf numFmtId="0" fontId="4" fillId="2" borderId="0" xfId="6" applyFont="1" applyFill="1" applyAlignment="1">
      <alignment horizontal="left" vertical="top" wrapText="1" indent="3"/>
    </xf>
    <xf numFmtId="0" fontId="4" fillId="2" borderId="17" xfId="6" applyFont="1" applyFill="1" applyBorder="1" applyAlignment="1">
      <alignment horizontal="justify" vertical="top" wrapText="1"/>
    </xf>
    <xf numFmtId="0" fontId="25" fillId="0" borderId="0" xfId="0" applyFont="1" applyAlignment="1">
      <alignment horizontal="left" indent="1"/>
    </xf>
    <xf numFmtId="166" fontId="20" fillId="0" borderId="0" xfId="15" applyNumberFormat="1" applyFont="1" applyFill="1"/>
    <xf numFmtId="0" fontId="20" fillId="0" borderId="0" xfId="0" applyFont="1"/>
    <xf numFmtId="0" fontId="32" fillId="0" borderId="0" xfId="0" applyFont="1" applyAlignment="1">
      <alignment horizontal="left" indent="1"/>
    </xf>
    <xf numFmtId="0" fontId="20" fillId="0" borderId="0" xfId="0" quotePrefix="1" applyFont="1" applyAlignment="1">
      <alignment horizontal="left" indent="3"/>
    </xf>
    <xf numFmtId="0" fontId="25" fillId="0" borderId="16" xfId="0" applyFont="1" applyBorder="1" applyAlignment="1">
      <alignment horizontal="center"/>
    </xf>
    <xf numFmtId="166" fontId="25" fillId="0" borderId="16" xfId="15" applyNumberFormat="1" applyFont="1" applyFill="1" applyBorder="1" applyAlignment="1">
      <alignment horizontal="right"/>
    </xf>
    <xf numFmtId="0" fontId="25" fillId="0" borderId="1" xfId="0" applyFont="1" applyBorder="1" applyAlignment="1">
      <alignment horizontal="center" vertical="center" wrapText="1"/>
    </xf>
    <xf numFmtId="166" fontId="25" fillId="0" borderId="1" xfId="15" applyNumberFormat="1" applyFont="1" applyFill="1" applyBorder="1" applyAlignment="1">
      <alignment horizontal="center" vertical="center" wrapText="1"/>
    </xf>
    <xf numFmtId="164" fontId="7" fillId="0" borderId="0" xfId="1" applyFont="1" applyAlignment="1">
      <alignment vertical="top"/>
    </xf>
    <xf numFmtId="43" fontId="7" fillId="0" borderId="0" xfId="12" applyNumberFormat="1" applyFont="1" applyAlignment="1">
      <alignment vertical="top"/>
    </xf>
    <xf numFmtId="167" fontId="19" fillId="2" borderId="0" xfId="6" applyNumberFormat="1" applyFont="1" applyFill="1" applyAlignment="1">
      <alignment vertical="center"/>
    </xf>
    <xf numFmtId="164" fontId="8" fillId="0" borderId="0" xfId="1" applyFont="1" applyAlignment="1">
      <alignment vertical="center"/>
    </xf>
    <xf numFmtId="0" fontId="3" fillId="2" borderId="9" xfId="5" applyFont="1" applyFill="1" applyBorder="1" applyAlignment="1">
      <alignment horizontal="center" vertical="center" wrapText="1"/>
    </xf>
    <xf numFmtId="0" fontId="7" fillId="0" borderId="0" xfId="12" quotePrefix="1" applyFont="1" applyAlignment="1">
      <alignment vertical="center"/>
    </xf>
    <xf numFmtId="0" fontId="25" fillId="0" borderId="0" xfId="0" applyFont="1"/>
    <xf numFmtId="0" fontId="0" fillId="0" borderId="0" xfId="0" quotePrefix="1"/>
    <xf numFmtId="0" fontId="33" fillId="0" borderId="0" xfId="0" applyFont="1"/>
    <xf numFmtId="165" fontId="0" fillId="0" borderId="0" xfId="1" applyNumberFormat="1" applyFont="1"/>
    <xf numFmtId="165" fontId="10" fillId="2" borderId="0" xfId="6" applyNumberFormat="1" applyFont="1" applyFill="1" applyAlignment="1">
      <alignment vertical="center"/>
    </xf>
    <xf numFmtId="165" fontId="11" fillId="2" borderId="0" xfId="6" applyNumberFormat="1" applyFont="1" applyFill="1" applyAlignment="1">
      <alignment vertical="center"/>
    </xf>
    <xf numFmtId="165" fontId="13" fillId="2" borderId="0" xfId="6" applyNumberFormat="1" applyFont="1" applyFill="1" applyAlignment="1">
      <alignment vertical="center"/>
    </xf>
    <xf numFmtId="165" fontId="4" fillId="2" borderId="0" xfId="7" applyNumberFormat="1" applyFont="1" applyFill="1" applyAlignment="1">
      <alignment vertical="center"/>
    </xf>
    <xf numFmtId="170" fontId="4" fillId="2" borderId="0" xfId="6" applyNumberFormat="1" applyFont="1" applyFill="1" applyAlignment="1">
      <alignment horizontal="left" vertical="center" indent="3"/>
    </xf>
    <xf numFmtId="170" fontId="4" fillId="2" borderId="0" xfId="6" applyNumberFormat="1" applyFont="1" applyFill="1" applyAlignment="1">
      <alignment horizontal="left" vertical="center" indent="2"/>
    </xf>
    <xf numFmtId="0" fontId="13" fillId="2" borderId="0" xfId="6" applyFont="1" applyFill="1" applyAlignment="1">
      <alignment vertical="center"/>
    </xf>
    <xf numFmtId="0" fontId="10" fillId="2" borderId="0" xfId="6" applyFont="1" applyFill="1" applyAlignment="1">
      <alignment vertical="center"/>
    </xf>
    <xf numFmtId="0" fontId="5" fillId="2" borderId="0" xfId="6" applyFont="1" applyFill="1" applyAlignment="1">
      <alignment vertical="center"/>
    </xf>
    <xf numFmtId="167" fontId="10" fillId="2" borderId="0" xfId="6" applyNumberFormat="1" applyFont="1" applyFill="1" applyAlignment="1">
      <alignment vertical="center"/>
    </xf>
    <xf numFmtId="0" fontId="21" fillId="2" borderId="0" xfId="6" applyFont="1" applyFill="1" applyAlignment="1">
      <alignment horizontal="right" vertical="center"/>
    </xf>
    <xf numFmtId="0" fontId="13" fillId="2" borderId="3" xfId="6" applyFont="1" applyFill="1" applyBorder="1" applyAlignment="1">
      <alignment vertical="center"/>
    </xf>
    <xf numFmtId="0" fontId="3" fillId="2" borderId="3" xfId="6" applyFont="1" applyFill="1" applyBorder="1" applyAlignment="1">
      <alignment horizontal="center" vertical="center"/>
    </xf>
    <xf numFmtId="168" fontId="3" fillId="2" borderId="3" xfId="6" applyNumberFormat="1" applyFont="1" applyFill="1" applyBorder="1" applyAlignment="1">
      <alignment horizontal="right" vertical="center"/>
    </xf>
    <xf numFmtId="168" fontId="13" fillId="2" borderId="0" xfId="6" applyNumberFormat="1" applyFont="1" applyFill="1" applyAlignment="1">
      <alignment horizontal="centerContinuous" vertical="center"/>
    </xf>
    <xf numFmtId="167" fontId="13" fillId="2" borderId="0" xfId="6" applyNumberFormat="1" applyFont="1" applyFill="1" applyAlignment="1">
      <alignment horizontal="centerContinuous" vertical="center"/>
    </xf>
    <xf numFmtId="0" fontId="10" fillId="2" borderId="0" xfId="6" applyFont="1" applyFill="1" applyAlignment="1">
      <alignment horizontal="center" vertical="center"/>
    </xf>
    <xf numFmtId="168" fontId="10" fillId="2" borderId="0" xfId="6" applyNumberFormat="1" applyFont="1" applyFill="1" applyAlignment="1">
      <alignment horizontal="right" vertical="center"/>
    </xf>
    <xf numFmtId="0" fontId="35" fillId="2" borderId="0" xfId="6" applyFont="1" applyFill="1" applyAlignment="1">
      <alignment vertical="center"/>
    </xf>
    <xf numFmtId="0" fontId="3" fillId="2" borderId="0" xfId="6" applyFont="1" applyFill="1" applyAlignment="1">
      <alignment vertical="center"/>
    </xf>
    <xf numFmtId="0" fontId="3" fillId="2" borderId="0" xfId="6" applyFont="1" applyFill="1" applyAlignment="1">
      <alignment horizontal="center" vertical="center"/>
    </xf>
    <xf numFmtId="0" fontId="4" fillId="2" borderId="0" xfId="6" applyFont="1" applyFill="1" applyAlignment="1">
      <alignment horizontal="center" vertical="center"/>
    </xf>
    <xf numFmtId="0" fontId="10" fillId="2" borderId="16" xfId="6" applyFont="1" applyFill="1" applyBorder="1" applyAlignment="1">
      <alignment vertical="center"/>
    </xf>
    <xf numFmtId="0" fontId="13" fillId="2" borderId="16" xfId="6" applyFont="1" applyFill="1" applyBorder="1" applyAlignment="1">
      <alignment horizontal="center" vertical="center"/>
    </xf>
    <xf numFmtId="0" fontId="13" fillId="2" borderId="0" xfId="6" applyFont="1" applyFill="1" applyAlignment="1">
      <alignment horizontal="center" vertical="center"/>
    </xf>
    <xf numFmtId="167" fontId="3" fillId="2" borderId="0" xfId="7" applyNumberFormat="1" applyFont="1" applyFill="1" applyBorder="1" applyAlignment="1">
      <alignment vertical="center"/>
    </xf>
    <xf numFmtId="0" fontId="4" fillId="2" borderId="0" xfId="6" applyFont="1" applyFill="1" applyAlignment="1">
      <alignment horizontal="left" vertical="center"/>
    </xf>
    <xf numFmtId="0" fontId="4" fillId="2" borderId="0" xfId="6" applyFont="1" applyFill="1" applyAlignment="1">
      <alignment horizontal="left" vertical="center" indent="2"/>
    </xf>
    <xf numFmtId="49" fontId="3" fillId="2" borderId="16" xfId="6" applyNumberFormat="1" applyFont="1" applyFill="1" applyBorder="1"/>
    <xf numFmtId="0" fontId="4" fillId="2" borderId="16" xfId="6" applyFont="1" applyFill="1" applyBorder="1" applyAlignment="1">
      <alignment horizontal="center" vertical="center"/>
    </xf>
    <xf numFmtId="0" fontId="4" fillId="2" borderId="18" xfId="6" applyFont="1" applyFill="1" applyBorder="1" applyAlignment="1">
      <alignment vertical="center"/>
    </xf>
    <xf numFmtId="165" fontId="3" fillId="2" borderId="18" xfId="6" applyNumberFormat="1" applyFont="1" applyFill="1" applyBorder="1" applyAlignment="1">
      <alignment vertical="center"/>
    </xf>
    <xf numFmtId="165" fontId="3" fillId="2" borderId="18" xfId="7" applyNumberFormat="1" applyFont="1" applyFill="1" applyBorder="1" applyAlignment="1">
      <alignment vertical="center"/>
    </xf>
    <xf numFmtId="0" fontId="9" fillId="2" borderId="0" xfId="6" applyFont="1" applyFill="1" applyAlignment="1">
      <alignment vertical="center"/>
    </xf>
    <xf numFmtId="0" fontId="4" fillId="2" borderId="4" xfId="5" applyFont="1" applyFill="1" applyBorder="1" applyAlignment="1">
      <alignment horizontal="center" vertical="center" wrapText="1"/>
    </xf>
    <xf numFmtId="0" fontId="4" fillId="2" borderId="6" xfId="5" applyFont="1" applyFill="1" applyBorder="1" applyAlignment="1">
      <alignment horizontal="center" vertical="center" wrapText="1"/>
    </xf>
    <xf numFmtId="169" fontId="20" fillId="2" borderId="0" xfId="11" applyNumberFormat="1" applyFont="1" applyFill="1"/>
    <xf numFmtId="0" fontId="36" fillId="0" borderId="0" xfId="0" applyFont="1"/>
    <xf numFmtId="0" fontId="37" fillId="0" borderId="0" xfId="0" applyFont="1"/>
    <xf numFmtId="164" fontId="20" fillId="2" borderId="12" xfId="1" applyFont="1" applyFill="1" applyBorder="1" applyAlignment="1">
      <alignment horizontal="center" vertical="top" wrapText="1"/>
    </xf>
    <xf numFmtId="0" fontId="25" fillId="2" borderId="12" xfId="12" applyFont="1" applyFill="1" applyBorder="1" applyAlignment="1">
      <alignment horizontal="center" vertical="top" wrapText="1"/>
    </xf>
    <xf numFmtId="10" fontId="4" fillId="0" borderId="0" xfId="2" applyNumberFormat="1" applyFont="1" applyFill="1" applyBorder="1" applyAlignment="1">
      <alignment horizontal="center" vertical="top" wrapText="1"/>
    </xf>
    <xf numFmtId="0" fontId="4" fillId="2" borderId="17" xfId="6" applyFont="1" applyFill="1" applyBorder="1" applyAlignment="1">
      <alignment horizontal="center" vertical="top" wrapText="1"/>
    </xf>
    <xf numFmtId="166" fontId="20" fillId="0" borderId="0" xfId="15" applyNumberFormat="1" applyFont="1" applyFill="1" applyAlignment="1">
      <alignment horizontal="center"/>
    </xf>
    <xf numFmtId="169" fontId="13" fillId="2" borderId="0" xfId="6" applyNumberFormat="1" applyFont="1" applyFill="1" applyAlignment="1">
      <alignment vertical="center"/>
    </xf>
    <xf numFmtId="0" fontId="4" fillId="0" borderId="2" xfId="5" applyFont="1" applyBorder="1" applyAlignment="1">
      <alignment horizontal="center" vertical="center"/>
    </xf>
    <xf numFmtId="0" fontId="2" fillId="0" borderId="3" xfId="5" applyBorder="1"/>
    <xf numFmtId="0" fontId="4" fillId="0" borderId="3" xfId="5" applyFont="1" applyBorder="1" applyAlignment="1">
      <alignment horizontal="left" vertical="center" indent="2"/>
    </xf>
    <xf numFmtId="0" fontId="2" fillId="0" borderId="17" xfId="5" applyBorder="1"/>
    <xf numFmtId="0" fontId="4" fillId="0" borderId="17" xfId="5" applyFont="1" applyBorder="1" applyAlignment="1">
      <alignment horizontal="left" vertical="center" indent="2"/>
    </xf>
    <xf numFmtId="0" fontId="4" fillId="0" borderId="2" xfId="5" applyFont="1" applyBorder="1" applyAlignment="1">
      <alignment horizontal="left" vertical="center"/>
    </xf>
    <xf numFmtId="0" fontId="15" fillId="2" borderId="17" xfId="12" applyFont="1" applyFill="1" applyBorder="1" applyAlignment="1">
      <alignment horizontal="left" vertical="center" indent="3"/>
    </xf>
    <xf numFmtId="0" fontId="25" fillId="0" borderId="3" xfId="0" applyFont="1" applyBorder="1" applyAlignment="1">
      <alignment horizontal="center"/>
    </xf>
    <xf numFmtId="0" fontId="25" fillId="2" borderId="5" xfId="0" applyFont="1" applyFill="1" applyBorder="1"/>
    <xf numFmtId="0" fontId="25" fillId="2" borderId="15" xfId="0" applyFont="1" applyFill="1" applyBorder="1"/>
    <xf numFmtId="0" fontId="20" fillId="2" borderId="15" xfId="0" applyFont="1" applyFill="1" applyBorder="1"/>
    <xf numFmtId="166" fontId="20" fillId="2" borderId="15" xfId="15" applyNumberFormat="1" applyFont="1" applyFill="1" applyBorder="1"/>
    <xf numFmtId="0" fontId="20" fillId="2" borderId="0" xfId="0" applyFont="1" applyFill="1"/>
    <xf numFmtId="0" fontId="25" fillId="2" borderId="7" xfId="0" applyFont="1" applyFill="1" applyBorder="1"/>
    <xf numFmtId="0" fontId="25" fillId="2" borderId="0" xfId="0" applyFont="1" applyFill="1"/>
    <xf numFmtId="166" fontId="20" fillId="2" borderId="0" xfId="15" applyNumberFormat="1" applyFont="1" applyFill="1" applyBorder="1"/>
    <xf numFmtId="0" fontId="20" fillId="2" borderId="7" xfId="0" applyFont="1" applyFill="1" applyBorder="1"/>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xf numFmtId="0" fontId="14" fillId="2" borderId="4" xfId="0" applyFont="1" applyFill="1" applyBorder="1" applyAlignment="1">
      <alignment horizontal="center" vertical="top" wrapText="1"/>
    </xf>
    <xf numFmtId="0" fontId="15" fillId="2" borderId="12" xfId="0" applyFont="1" applyFill="1" applyBorder="1" applyAlignment="1">
      <alignment horizontal="center" vertical="top" wrapText="1"/>
    </xf>
    <xf numFmtId="166" fontId="14" fillId="2" borderId="12" xfId="15" quotePrefix="1" applyNumberFormat="1" applyFont="1" applyFill="1" applyBorder="1" applyAlignment="1">
      <alignment horizontal="right" vertical="center" wrapText="1"/>
    </xf>
    <xf numFmtId="0" fontId="14" fillId="2" borderId="7" xfId="0" applyFont="1" applyFill="1" applyBorder="1" applyAlignment="1">
      <alignment vertical="top"/>
    </xf>
    <xf numFmtId="0" fontId="14" fillId="2" borderId="0" xfId="0" applyFont="1" applyFill="1" applyAlignment="1">
      <alignment vertical="top"/>
    </xf>
    <xf numFmtId="0" fontId="14" fillId="2" borderId="6" xfId="0" applyFont="1" applyFill="1" applyBorder="1" applyAlignment="1">
      <alignment vertical="top"/>
    </xf>
    <xf numFmtId="0" fontId="14" fillId="2" borderId="14" xfId="0" applyFont="1" applyFill="1" applyBorder="1" applyAlignment="1">
      <alignment vertical="top"/>
    </xf>
    <xf numFmtId="166" fontId="15" fillId="2" borderId="14" xfId="15" applyNumberFormat="1" applyFont="1" applyFill="1" applyBorder="1" applyAlignment="1">
      <alignment vertical="top"/>
    </xf>
    <xf numFmtId="0" fontId="15" fillId="2" borderId="7" xfId="0" applyFont="1" applyFill="1" applyBorder="1" applyAlignment="1">
      <alignment vertical="top"/>
    </xf>
    <xf numFmtId="0" fontId="15" fillId="2" borderId="0" xfId="0" applyFont="1" applyFill="1" applyAlignment="1">
      <alignment vertical="top"/>
    </xf>
    <xf numFmtId="0" fontId="15" fillId="2" borderId="6" xfId="0" applyFont="1" applyFill="1" applyBorder="1" applyAlignment="1">
      <alignment vertical="top"/>
    </xf>
    <xf numFmtId="0" fontId="15" fillId="2" borderId="7" xfId="0" applyFont="1" applyFill="1" applyBorder="1" applyAlignment="1">
      <alignment horizontal="left" vertical="top" indent="2"/>
    </xf>
    <xf numFmtId="0" fontId="15" fillId="2" borderId="0" xfId="0" applyFont="1" applyFill="1" applyAlignment="1">
      <alignment horizontal="left" vertical="top" indent="2"/>
    </xf>
    <xf numFmtId="0" fontId="15" fillId="2" borderId="6" xfId="0" applyFont="1" applyFill="1" applyBorder="1" applyAlignment="1">
      <alignment horizontal="left" vertical="top" indent="2"/>
    </xf>
    <xf numFmtId="0" fontId="15" fillId="2" borderId="14" xfId="0" applyFont="1" applyFill="1" applyBorder="1" applyAlignment="1">
      <alignment vertical="top"/>
    </xf>
    <xf numFmtId="0" fontId="17" fillId="2" borderId="14" xfId="0" applyFont="1" applyFill="1" applyBorder="1" applyAlignment="1">
      <alignment horizontal="center" vertical="top" wrapText="1"/>
    </xf>
    <xf numFmtId="172" fontId="20" fillId="2" borderId="0" xfId="0" applyNumberFormat="1" applyFont="1" applyFill="1"/>
    <xf numFmtId="170" fontId="4" fillId="2" borderId="7" xfId="0" applyNumberFormat="1" applyFont="1" applyFill="1" applyBorder="1" applyAlignment="1">
      <alignment vertical="top"/>
    </xf>
    <xf numFmtId="170" fontId="4" fillId="2" borderId="0" xfId="0" applyNumberFormat="1" applyFont="1" applyFill="1" applyAlignment="1">
      <alignment vertical="top"/>
    </xf>
    <xf numFmtId="170" fontId="4" fillId="2" borderId="6" xfId="0" applyNumberFormat="1" applyFont="1" applyFill="1" applyBorder="1" applyAlignment="1">
      <alignment vertical="top"/>
    </xf>
    <xf numFmtId="170" fontId="4" fillId="2" borderId="14" xfId="0" applyNumberFormat="1" applyFont="1" applyFill="1" applyBorder="1" applyAlignment="1">
      <alignment vertical="top"/>
    </xf>
    <xf numFmtId="170" fontId="3" fillId="2" borderId="7" xfId="0" applyNumberFormat="1" applyFont="1" applyFill="1" applyBorder="1" applyAlignment="1">
      <alignment vertical="top"/>
    </xf>
    <xf numFmtId="170" fontId="3" fillId="2" borderId="0" xfId="0" applyNumberFormat="1" applyFont="1" applyFill="1" applyAlignment="1">
      <alignment vertical="top"/>
    </xf>
    <xf numFmtId="170" fontId="3" fillId="2" borderId="6" xfId="0" applyNumberFormat="1" applyFont="1" applyFill="1" applyBorder="1" applyAlignment="1">
      <alignment vertical="top"/>
    </xf>
    <xf numFmtId="170" fontId="3" fillId="2" borderId="14" xfId="0" applyNumberFormat="1" applyFont="1" applyFill="1" applyBorder="1" applyAlignment="1">
      <alignment vertical="top"/>
    </xf>
    <xf numFmtId="170" fontId="4" fillId="2" borderId="7" xfId="0" applyNumberFormat="1" applyFont="1" applyFill="1" applyBorder="1" applyAlignment="1">
      <alignment horizontal="left" vertical="top" indent="2"/>
    </xf>
    <xf numFmtId="170" fontId="4" fillId="2" borderId="0" xfId="0" applyNumberFormat="1" applyFont="1" applyFill="1" applyAlignment="1">
      <alignment horizontal="left" vertical="top" indent="2"/>
    </xf>
    <xf numFmtId="170" fontId="4" fillId="2" borderId="6" xfId="0" applyNumberFormat="1" applyFont="1" applyFill="1" applyBorder="1" applyAlignment="1">
      <alignment horizontal="left" vertical="top" indent="2"/>
    </xf>
    <xf numFmtId="0" fontId="17" fillId="2" borderId="8" xfId="0" applyFont="1" applyFill="1" applyBorder="1" applyAlignment="1">
      <alignment vertical="top"/>
    </xf>
    <xf numFmtId="0" fontId="17" fillId="2" borderId="17" xfId="0" applyFont="1" applyFill="1" applyBorder="1" applyAlignment="1">
      <alignment vertical="top"/>
    </xf>
    <xf numFmtId="0" fontId="17" fillId="2" borderId="13" xfId="0" applyFont="1" applyFill="1" applyBorder="1" applyAlignment="1">
      <alignment vertical="top"/>
    </xf>
    <xf numFmtId="0" fontId="17" fillId="2" borderId="11" xfId="0" applyFont="1" applyFill="1" applyBorder="1" applyAlignment="1">
      <alignment vertical="top" wrapText="1"/>
    </xf>
    <xf numFmtId="0" fontId="17" fillId="2" borderId="7" xfId="0" applyFont="1" applyFill="1" applyBorder="1" applyAlignment="1">
      <alignment vertical="top"/>
    </xf>
    <xf numFmtId="0" fontId="17" fillId="2" borderId="0" xfId="0" applyFont="1" applyFill="1" applyAlignment="1">
      <alignment vertical="top"/>
    </xf>
    <xf numFmtId="0" fontId="17" fillId="2" borderId="0" xfId="0" applyFont="1" applyFill="1" applyAlignment="1">
      <alignment vertical="top" wrapText="1"/>
    </xf>
    <xf numFmtId="166" fontId="17" fillId="2" borderId="0" xfId="15" applyNumberFormat="1" applyFont="1" applyFill="1" applyBorder="1" applyAlignment="1">
      <alignment vertical="top" wrapText="1"/>
    </xf>
    <xf numFmtId="0" fontId="17" fillId="2" borderId="5" xfId="0" applyFont="1" applyFill="1" applyBorder="1" applyAlignment="1">
      <alignment vertical="top"/>
    </xf>
    <xf numFmtId="0" fontId="17" fillId="2" borderId="15" xfId="0" applyFont="1" applyFill="1" applyBorder="1" applyAlignment="1">
      <alignment vertical="top"/>
    </xf>
    <xf numFmtId="166" fontId="17" fillId="2" borderId="15" xfId="15" applyNumberFormat="1" applyFont="1" applyFill="1" applyBorder="1" applyAlignment="1">
      <alignment vertical="top" wrapText="1"/>
    </xf>
    <xf numFmtId="49" fontId="18" fillId="2" borderId="7" xfId="0" applyNumberFormat="1" applyFont="1" applyFill="1" applyBorder="1"/>
    <xf numFmtId="166" fontId="3" fillId="2" borderId="0" xfId="15" applyNumberFormat="1" applyFont="1" applyFill="1" applyBorder="1" applyAlignment="1">
      <alignment horizontal="center" vertical="center"/>
    </xf>
    <xf numFmtId="170" fontId="3" fillId="2" borderId="7" xfId="0" applyNumberFormat="1" applyFont="1" applyFill="1" applyBorder="1" applyAlignment="1">
      <alignment vertical="center"/>
    </xf>
    <xf numFmtId="170" fontId="3" fillId="2" borderId="0" xfId="0" applyNumberFormat="1" applyFont="1" applyFill="1" applyAlignment="1">
      <alignment vertical="center"/>
    </xf>
    <xf numFmtId="166" fontId="4" fillId="2" borderId="0" xfId="15" applyNumberFormat="1" applyFont="1" applyFill="1" applyBorder="1" applyAlignment="1">
      <alignment vertical="center"/>
    </xf>
    <xf numFmtId="0" fontId="15" fillId="2" borderId="7" xfId="0" applyFont="1" applyFill="1" applyBorder="1" applyAlignment="1">
      <alignment vertical="center"/>
    </xf>
    <xf numFmtId="0" fontId="15" fillId="2" borderId="0" xfId="0" applyFont="1" applyFill="1" applyAlignment="1">
      <alignment vertical="center"/>
    </xf>
    <xf numFmtId="166" fontId="3" fillId="2" borderId="0" xfId="15" applyNumberFormat="1" applyFont="1" applyFill="1" applyBorder="1" applyAlignment="1">
      <alignment vertical="center"/>
    </xf>
    <xf numFmtId="170" fontId="4" fillId="2" borderId="7" xfId="0" applyNumberFormat="1" applyFont="1" applyFill="1" applyBorder="1" applyAlignment="1">
      <alignment vertical="center"/>
    </xf>
    <xf numFmtId="170" fontId="4" fillId="2" borderId="0" xfId="0" applyNumberFormat="1" applyFont="1" applyFill="1" applyAlignment="1">
      <alignment vertical="center"/>
    </xf>
    <xf numFmtId="170" fontId="4" fillId="2" borderId="7" xfId="0" applyNumberFormat="1" applyFont="1" applyFill="1" applyBorder="1" applyAlignment="1">
      <alignment horizontal="left" vertical="center"/>
    </xf>
    <xf numFmtId="170" fontId="4" fillId="2" borderId="0" xfId="0" applyNumberFormat="1" applyFont="1" applyFill="1" applyAlignment="1">
      <alignment horizontal="left" vertical="center"/>
    </xf>
    <xf numFmtId="0" fontId="20" fillId="2" borderId="8" xfId="0" applyFont="1" applyFill="1" applyBorder="1"/>
    <xf numFmtId="0" fontId="20" fillId="2" borderId="17" xfId="0" applyFont="1" applyFill="1" applyBorder="1"/>
    <xf numFmtId="166" fontId="20" fillId="2" borderId="0" xfId="15" applyNumberFormat="1" applyFont="1" applyFill="1"/>
    <xf numFmtId="170" fontId="3" fillId="2" borderId="0" xfId="6" applyNumberFormat="1" applyFont="1" applyFill="1" applyAlignment="1">
      <alignment vertical="center"/>
    </xf>
    <xf numFmtId="170" fontId="4" fillId="0" borderId="0" xfId="6" applyNumberFormat="1" applyFont="1" applyAlignment="1">
      <alignment vertical="center"/>
    </xf>
    <xf numFmtId="165" fontId="4" fillId="2" borderId="0" xfId="7" applyNumberFormat="1" applyFont="1" applyFill="1" applyBorder="1" applyAlignment="1">
      <alignment horizontal="center" vertical="center"/>
    </xf>
    <xf numFmtId="165" fontId="25" fillId="2" borderId="0" xfId="0" applyNumberFormat="1" applyFont="1" applyFill="1"/>
    <xf numFmtId="165" fontId="20" fillId="2" borderId="0" xfId="0" applyNumberFormat="1" applyFont="1" applyFill="1" applyAlignment="1">
      <alignment horizontal="left" indent="2"/>
    </xf>
    <xf numFmtId="165" fontId="20" fillId="2" borderId="0" xfId="0" applyNumberFormat="1" applyFont="1" applyFill="1" applyAlignment="1">
      <alignment horizontal="left" indent="3"/>
    </xf>
    <xf numFmtId="165" fontId="20" fillId="2" borderId="0" xfId="0" applyNumberFormat="1" applyFont="1" applyFill="1" applyAlignment="1">
      <alignment horizontal="left" indent="4"/>
    </xf>
    <xf numFmtId="0" fontId="20" fillId="2" borderId="0" xfId="0" applyFont="1" applyFill="1" applyAlignment="1">
      <alignment horizontal="left" indent="4"/>
    </xf>
    <xf numFmtId="170" fontId="4" fillId="2" borderId="0" xfId="0" applyNumberFormat="1" applyFont="1" applyFill="1" applyAlignment="1">
      <alignment horizontal="left" vertical="center" indent="5"/>
    </xf>
    <xf numFmtId="167" fontId="4" fillId="2" borderId="0" xfId="7" applyNumberFormat="1" applyFont="1" applyFill="1" applyBorder="1" applyAlignment="1">
      <alignment horizontal="center" vertical="center"/>
    </xf>
    <xf numFmtId="167" fontId="4" fillId="2" borderId="0" xfId="7" applyNumberFormat="1" applyFont="1" applyFill="1" applyAlignment="1">
      <alignment vertical="center"/>
    </xf>
    <xf numFmtId="167" fontId="4" fillId="2" borderId="0" xfId="6" applyNumberFormat="1" applyFont="1" applyFill="1" applyAlignment="1">
      <alignment vertical="center"/>
    </xf>
    <xf numFmtId="165" fontId="20" fillId="2" borderId="0" xfId="0" applyNumberFormat="1" applyFont="1" applyFill="1" applyAlignment="1">
      <alignment horizontal="left" indent="5"/>
    </xf>
    <xf numFmtId="166" fontId="25" fillId="0" borderId="3" xfId="15" applyNumberFormat="1" applyFont="1" applyFill="1" applyBorder="1" applyAlignment="1">
      <alignment horizontal="right"/>
    </xf>
    <xf numFmtId="0" fontId="10" fillId="0" borderId="0" xfId="6" applyFont="1"/>
    <xf numFmtId="0" fontId="0" fillId="0" borderId="0" xfId="0" applyAlignment="1">
      <alignment wrapText="1"/>
    </xf>
    <xf numFmtId="0" fontId="41" fillId="0" borderId="17" xfId="0" applyFont="1" applyBorder="1" applyAlignment="1">
      <alignment horizontal="center" wrapText="1"/>
    </xf>
    <xf numFmtId="0" fontId="42" fillId="4" borderId="0" xfId="0" applyFont="1" applyFill="1" applyAlignment="1">
      <alignment horizontal="left" wrapText="1"/>
    </xf>
    <xf numFmtId="173" fontId="43" fillId="0" borderId="0" xfId="0" applyNumberFormat="1" applyFont="1" applyAlignment="1">
      <alignment horizontal="right" wrapText="1"/>
    </xf>
    <xf numFmtId="173" fontId="43" fillId="0" borderId="0" xfId="0" applyNumberFormat="1" applyFont="1" applyAlignment="1">
      <alignment wrapText="1"/>
    </xf>
    <xf numFmtId="173" fontId="43" fillId="4" borderId="0" xfId="0" applyNumberFormat="1" applyFont="1" applyFill="1" applyAlignment="1">
      <alignment horizontal="right" wrapText="1"/>
    </xf>
    <xf numFmtId="0" fontId="42" fillId="0" borderId="0" xfId="0" applyFont="1" applyAlignment="1">
      <alignment horizontal="left" wrapText="1"/>
    </xf>
    <xf numFmtId="4" fontId="0" fillId="0" borderId="0" xfId="0" applyNumberFormat="1"/>
    <xf numFmtId="174" fontId="42" fillId="0" borderId="15" xfId="0" applyNumberFormat="1" applyFont="1" applyBorder="1" applyAlignment="1">
      <alignment horizontal="right" wrapText="1"/>
    </xf>
    <xf numFmtId="164" fontId="0" fillId="0" borderId="0" xfId="0" applyNumberFormat="1"/>
    <xf numFmtId="173" fontId="0" fillId="0" borderId="0" xfId="0" applyNumberFormat="1"/>
    <xf numFmtId="0" fontId="42" fillId="5" borderId="0" xfId="0" applyFont="1" applyFill="1" applyAlignment="1">
      <alignment horizontal="left" wrapText="1"/>
    </xf>
    <xf numFmtId="173" fontId="43" fillId="4" borderId="0" xfId="0" applyNumberFormat="1" applyFont="1" applyFill="1" applyAlignment="1">
      <alignment wrapText="1"/>
    </xf>
    <xf numFmtId="165" fontId="1" fillId="0" borderId="0" xfId="11" applyNumberFormat="1" applyFont="1"/>
    <xf numFmtId="175" fontId="0" fillId="0" borderId="0" xfId="0" applyNumberFormat="1"/>
    <xf numFmtId="4" fontId="42" fillId="0" borderId="15" xfId="0" applyNumberFormat="1" applyFont="1" applyBorder="1" applyAlignment="1">
      <alignment horizontal="right" wrapText="1"/>
    </xf>
    <xf numFmtId="44" fontId="0" fillId="0" borderId="0" xfId="0" applyNumberFormat="1"/>
    <xf numFmtId="165" fontId="0" fillId="0" borderId="0" xfId="0" applyNumberFormat="1"/>
    <xf numFmtId="49" fontId="18" fillId="0" borderId="0" xfId="12" applyNumberFormat="1" applyFont="1"/>
    <xf numFmtId="164" fontId="36" fillId="0" borderId="0" xfId="1" applyFont="1" applyFill="1"/>
    <xf numFmtId="0" fontId="45" fillId="0" borderId="0" xfId="0" applyFont="1"/>
    <xf numFmtId="0" fontId="45" fillId="0" borderId="0" xfId="0" applyFont="1" applyAlignment="1">
      <alignment horizontal="center"/>
    </xf>
    <xf numFmtId="164" fontId="36" fillId="0" borderId="27" xfId="1" applyFont="1" applyFill="1" applyBorder="1"/>
    <xf numFmtId="164" fontId="36" fillId="0" borderId="26" xfId="1" applyFont="1" applyFill="1" applyBorder="1" applyAlignment="1">
      <alignment horizontal="right"/>
    </xf>
    <xf numFmtId="164" fontId="36" fillId="0" borderId="27" xfId="1" applyFont="1" applyFill="1" applyBorder="1" applyAlignment="1">
      <alignment horizontal="right"/>
    </xf>
    <xf numFmtId="164" fontId="36" fillId="0" borderId="26" xfId="1" applyFont="1" applyFill="1" applyBorder="1"/>
    <xf numFmtId="0" fontId="36" fillId="0" borderId="31" xfId="0" applyFont="1" applyBorder="1" applyAlignment="1">
      <alignment horizontal="left"/>
    </xf>
    <xf numFmtId="0" fontId="36" fillId="0" borderId="31" xfId="0" applyFont="1" applyBorder="1"/>
    <xf numFmtId="0" fontId="44" fillId="0" borderId="32" xfId="0" applyFont="1" applyBorder="1" applyAlignment="1">
      <alignment horizontal="left"/>
    </xf>
    <xf numFmtId="0" fontId="36" fillId="0" borderId="33" xfId="0" applyFont="1" applyBorder="1" applyAlignment="1">
      <alignment horizontal="left"/>
    </xf>
    <xf numFmtId="164" fontId="36" fillId="0" borderId="34" xfId="1" applyFont="1" applyFill="1" applyBorder="1" applyAlignment="1">
      <alignment horizontal="left"/>
    </xf>
    <xf numFmtId="164" fontId="36" fillId="0" borderId="35" xfId="1" applyFont="1" applyFill="1" applyBorder="1"/>
    <xf numFmtId="164" fontId="45" fillId="0" borderId="28" xfId="1" applyFont="1" applyFill="1" applyBorder="1" applyAlignment="1">
      <alignment horizontal="center"/>
    </xf>
    <xf numFmtId="164" fontId="45" fillId="0" borderId="29" xfId="1" applyFont="1" applyFill="1" applyBorder="1" applyAlignment="1">
      <alignment horizontal="center"/>
    </xf>
    <xf numFmtId="164" fontId="45" fillId="0" borderId="28" xfId="1" applyFont="1" applyFill="1" applyBorder="1"/>
    <xf numFmtId="164" fontId="45" fillId="0" borderId="29" xfId="1" applyFont="1" applyFill="1" applyBorder="1"/>
    <xf numFmtId="164" fontId="36" fillId="0" borderId="34" xfId="1" applyFont="1" applyFill="1" applyBorder="1"/>
    <xf numFmtId="0" fontId="36" fillId="0" borderId="27" xfId="1" applyNumberFormat="1" applyFont="1" applyFill="1" applyBorder="1"/>
    <xf numFmtId="0" fontId="15" fillId="0" borderId="0" xfId="12" quotePrefix="1" applyFont="1" applyAlignment="1">
      <alignment horizontal="left" vertical="center" indent="2"/>
    </xf>
    <xf numFmtId="169" fontId="8" fillId="0" borderId="0" xfId="6" applyNumberFormat="1" applyFont="1" applyAlignment="1">
      <alignment vertical="center"/>
    </xf>
    <xf numFmtId="0" fontId="20" fillId="2" borderId="0" xfId="6" quotePrefix="1" applyFont="1" applyFill="1" applyAlignment="1">
      <alignment horizontal="left" wrapText="1" indent="3"/>
    </xf>
    <xf numFmtId="0" fontId="15" fillId="2" borderId="0" xfId="12" applyFont="1" applyFill="1" applyAlignment="1">
      <alignment horizontal="left" vertical="center" indent="3"/>
    </xf>
    <xf numFmtId="0" fontId="15" fillId="2" borderId="0" xfId="12" applyFont="1" applyFill="1" applyAlignment="1">
      <alignment horizontal="left" vertical="center"/>
    </xf>
    <xf numFmtId="0" fontId="20" fillId="2" borderId="17" xfId="12" applyFont="1" applyFill="1" applyBorder="1" applyAlignment="1">
      <alignment horizontal="left" indent="2"/>
    </xf>
    <xf numFmtId="170" fontId="4" fillId="2" borderId="0" xfId="0" applyNumberFormat="1" applyFont="1" applyFill="1" applyAlignment="1">
      <alignment horizontal="left" vertical="center" indent="7"/>
    </xf>
    <xf numFmtId="170" fontId="4" fillId="2" borderId="0" xfId="0" applyNumberFormat="1" applyFont="1" applyFill="1" applyAlignment="1">
      <alignment horizontal="left" vertical="center" indent="8"/>
    </xf>
    <xf numFmtId="170" fontId="4" fillId="2" borderId="0" xfId="0" applyNumberFormat="1" applyFont="1" applyFill="1" applyAlignment="1">
      <alignment horizontal="left" vertical="center" indent="10"/>
    </xf>
    <xf numFmtId="170" fontId="3" fillId="2" borderId="0" xfId="0" applyNumberFormat="1" applyFont="1" applyFill="1"/>
    <xf numFmtId="164" fontId="20" fillId="2" borderId="0" xfId="1" applyFont="1" applyFill="1"/>
    <xf numFmtId="0" fontId="4" fillId="0" borderId="0" xfId="5" applyFont="1" applyAlignment="1">
      <alignment horizontal="center" vertical="center"/>
    </xf>
    <xf numFmtId="0" fontId="4" fillId="0" borderId="15" xfId="5" applyFont="1" applyBorder="1" applyAlignment="1">
      <alignment horizontal="left" vertical="center"/>
    </xf>
    <xf numFmtId="0" fontId="4" fillId="0" borderId="0" xfId="5" applyFont="1" applyAlignment="1">
      <alignment horizontal="left" vertical="center" indent="2"/>
    </xf>
    <xf numFmtId="165" fontId="20" fillId="2" borderId="17" xfId="1" applyNumberFormat="1" applyFont="1" applyFill="1" applyBorder="1"/>
    <xf numFmtId="43" fontId="8" fillId="0" borderId="0" xfId="6" applyNumberFormat="1" applyFont="1" applyAlignment="1">
      <alignment vertical="center"/>
    </xf>
    <xf numFmtId="169" fontId="7" fillId="0" borderId="0" xfId="6" applyNumberFormat="1" applyFont="1" applyAlignment="1">
      <alignment vertical="center"/>
    </xf>
    <xf numFmtId="164" fontId="34" fillId="0" borderId="0" xfId="1" applyFont="1" applyFill="1"/>
    <xf numFmtId="164" fontId="13" fillId="2" borderId="0" xfId="1" applyFont="1" applyFill="1"/>
    <xf numFmtId="0" fontId="36" fillId="0" borderId="12" xfId="0" applyFont="1" applyBorder="1"/>
    <xf numFmtId="0" fontId="45" fillId="0" borderId="12" xfId="0" applyFont="1" applyBorder="1"/>
    <xf numFmtId="164" fontId="45" fillId="0" borderId="12" xfId="1" applyFont="1" applyFill="1" applyBorder="1" applyAlignment="1">
      <alignment horizontal="center"/>
    </xf>
    <xf numFmtId="164" fontId="36" fillId="0" borderId="12" xfId="1" applyFont="1" applyFill="1" applyBorder="1" applyAlignment="1">
      <alignment horizontal="center"/>
    </xf>
    <xf numFmtId="164" fontId="45" fillId="0" borderId="0" xfId="1" applyFont="1" applyFill="1"/>
    <xf numFmtId="164" fontId="45" fillId="0" borderId="12" xfId="1" applyFont="1" applyFill="1" applyBorder="1"/>
    <xf numFmtId="164" fontId="36" fillId="0" borderId="12" xfId="1" applyFont="1" applyFill="1" applyBorder="1"/>
    <xf numFmtId="164" fontId="34" fillId="0" borderId="0" xfId="1" applyFont="1" applyFill="1" applyBorder="1"/>
    <xf numFmtId="43" fontId="36" fillId="0" borderId="0" xfId="0" applyNumberFormat="1" applyFont="1"/>
    <xf numFmtId="168" fontId="25" fillId="2" borderId="0" xfId="6" quotePrefix="1" applyNumberFormat="1" applyFont="1" applyFill="1" applyAlignment="1">
      <alignment horizontal="right"/>
    </xf>
    <xf numFmtId="0" fontId="14" fillId="2" borderId="0" xfId="6" applyFont="1" applyFill="1" applyAlignment="1">
      <alignment horizontal="left" vertical="center"/>
    </xf>
    <xf numFmtId="0" fontId="20" fillId="3" borderId="0" xfId="0" applyFont="1" applyFill="1"/>
    <xf numFmtId="0" fontId="47" fillId="0" borderId="3" xfId="5" applyFont="1" applyBorder="1" applyAlignment="1">
      <alignment horizontal="center"/>
    </xf>
    <xf numFmtId="0" fontId="47" fillId="0" borderId="12" xfId="5" applyFont="1" applyBorder="1" applyAlignment="1">
      <alignment horizontal="center"/>
    </xf>
    <xf numFmtId="165" fontId="47" fillId="0" borderId="12" xfId="16" applyNumberFormat="1" applyFont="1" applyFill="1" applyBorder="1" applyAlignment="1">
      <alignment horizontal="center"/>
    </xf>
    <xf numFmtId="0" fontId="48" fillId="0" borderId="14" xfId="5" applyFont="1" applyBorder="1"/>
    <xf numFmtId="0" fontId="48" fillId="0" borderId="6" xfId="5" applyFont="1" applyBorder="1"/>
    <xf numFmtId="165" fontId="48" fillId="0" borderId="14" xfId="16" applyNumberFormat="1" applyFont="1" applyFill="1" applyBorder="1"/>
    <xf numFmtId="0" fontId="48" fillId="0" borderId="14" xfId="5" applyFont="1" applyBorder="1" applyAlignment="1">
      <alignment horizontal="center"/>
    </xf>
    <xf numFmtId="165" fontId="48" fillId="0" borderId="9" xfId="16" applyNumberFormat="1" applyFont="1" applyFill="1" applyBorder="1"/>
    <xf numFmtId="165" fontId="47" fillId="0" borderId="14" xfId="16" applyNumberFormat="1" applyFont="1" applyFill="1" applyBorder="1"/>
    <xf numFmtId="0" fontId="48" fillId="0" borderId="0" xfId="5" applyFont="1"/>
    <xf numFmtId="165" fontId="48" fillId="0" borderId="11" xfId="16" applyNumberFormat="1" applyFont="1" applyFill="1" applyBorder="1"/>
    <xf numFmtId="0" fontId="47" fillId="0" borderId="6" xfId="5" applyFont="1" applyBorder="1"/>
    <xf numFmtId="165" fontId="47" fillId="0" borderId="12" xfId="16" applyNumberFormat="1" applyFont="1" applyFill="1" applyBorder="1"/>
    <xf numFmtId="165" fontId="47" fillId="0" borderId="14" xfId="11" applyNumberFormat="1" applyFont="1" applyFill="1" applyBorder="1"/>
    <xf numFmtId="0" fontId="48" fillId="0" borderId="36" xfId="5" applyFont="1" applyBorder="1" applyAlignment="1">
      <alignment horizontal="center"/>
    </xf>
    <xf numFmtId="0" fontId="47" fillId="0" borderId="37" xfId="5" applyFont="1" applyBorder="1"/>
    <xf numFmtId="165" fontId="47" fillId="0" borderId="38" xfId="16" applyNumberFormat="1" applyFont="1" applyFill="1" applyBorder="1"/>
    <xf numFmtId="164" fontId="36" fillId="0" borderId="3" xfId="1" applyFont="1" applyFill="1" applyBorder="1"/>
    <xf numFmtId="0" fontId="10" fillId="0" borderId="0" xfId="0" applyFont="1" applyAlignment="1">
      <alignment vertical="top"/>
    </xf>
    <xf numFmtId="0" fontId="20" fillId="2" borderId="0" xfId="12" applyFont="1" applyFill="1" applyAlignment="1">
      <alignment horizontal="left" vertical="top" wrapText="1"/>
    </xf>
    <xf numFmtId="168" fontId="10" fillId="0" borderId="12" xfId="0" applyNumberFormat="1" applyFont="1" applyBorder="1" applyAlignment="1">
      <alignment horizontal="right"/>
    </xf>
    <xf numFmtId="0" fontId="20" fillId="2" borderId="11" xfId="12" applyFont="1" applyFill="1" applyBorder="1" applyAlignment="1">
      <alignment horizontal="left" vertical="top" wrapText="1"/>
    </xf>
    <xf numFmtId="0" fontId="20" fillId="2" borderId="10" xfId="12" applyFont="1" applyFill="1" applyBorder="1" applyAlignment="1">
      <alignment horizontal="left" vertical="top" wrapText="1"/>
    </xf>
    <xf numFmtId="0" fontId="20" fillId="2" borderId="9" xfId="12" applyFont="1" applyFill="1" applyBorder="1" applyAlignment="1">
      <alignment horizontal="left" vertical="top" wrapText="1"/>
    </xf>
    <xf numFmtId="0" fontId="25" fillId="2" borderId="5" xfId="12" applyFont="1" applyFill="1" applyBorder="1" applyAlignment="1">
      <alignment horizontal="left" vertical="top" wrapText="1"/>
    </xf>
    <xf numFmtId="0" fontId="20" fillId="2" borderId="15" xfId="12" applyFont="1" applyFill="1" applyBorder="1" applyAlignment="1">
      <alignment horizontal="left" vertical="top" wrapText="1"/>
    </xf>
    <xf numFmtId="0" fontId="20" fillId="2" borderId="7" xfId="12" applyFont="1" applyFill="1" applyBorder="1" applyAlignment="1">
      <alignment horizontal="left" vertical="top"/>
    </xf>
    <xf numFmtId="0" fontId="20" fillId="2" borderId="8" xfId="12" applyFont="1" applyFill="1" applyBorder="1" applyAlignment="1">
      <alignment horizontal="left" vertical="top" wrapText="1"/>
    </xf>
    <xf numFmtId="0" fontId="20" fillId="2" borderId="17" xfId="12" applyFont="1" applyFill="1" applyBorder="1" applyAlignment="1">
      <alignment horizontal="left" vertical="top" wrapText="1"/>
    </xf>
    <xf numFmtId="0" fontId="20" fillId="2" borderId="13" xfId="12" applyFont="1" applyFill="1" applyBorder="1" applyAlignment="1">
      <alignment horizontal="left" vertical="top" wrapText="1"/>
    </xf>
    <xf numFmtId="165" fontId="4" fillId="0" borderId="0" xfId="1" applyNumberFormat="1" applyFont="1" applyFill="1" applyBorder="1" applyAlignment="1">
      <alignment vertical="center"/>
    </xf>
    <xf numFmtId="165" fontId="3" fillId="0" borderId="15" xfId="1" applyNumberFormat="1" applyFont="1" applyFill="1" applyBorder="1" applyAlignment="1">
      <alignment vertical="center"/>
    </xf>
    <xf numFmtId="165" fontId="3" fillId="0" borderId="0" xfId="1" applyNumberFormat="1" applyFont="1" applyFill="1" applyBorder="1" applyAlignment="1">
      <alignment vertical="center"/>
    </xf>
    <xf numFmtId="165" fontId="3" fillId="0" borderId="3" xfId="1" applyNumberFormat="1" applyFont="1" applyFill="1" applyBorder="1" applyAlignment="1">
      <alignment vertical="center"/>
    </xf>
    <xf numFmtId="165" fontId="3" fillId="0" borderId="16" xfId="1" applyNumberFormat="1" applyFont="1" applyFill="1" applyBorder="1" applyAlignment="1">
      <alignment vertical="center"/>
    </xf>
    <xf numFmtId="165" fontId="3" fillId="0" borderId="15" xfId="1" applyNumberFormat="1" applyFont="1" applyFill="1" applyBorder="1" applyAlignment="1"/>
    <xf numFmtId="165" fontId="3" fillId="0" borderId="0" xfId="1" applyNumberFormat="1" applyFont="1" applyFill="1" applyBorder="1" applyAlignment="1"/>
    <xf numFmtId="165" fontId="4" fillId="0" borderId="17" xfId="1" applyNumberFormat="1" applyFont="1" applyFill="1" applyBorder="1" applyAlignment="1">
      <alignment vertical="center"/>
    </xf>
    <xf numFmtId="165" fontId="3" fillId="2" borderId="0" xfId="1" applyNumberFormat="1" applyFont="1" applyFill="1" applyBorder="1" applyAlignment="1">
      <alignment vertical="center"/>
    </xf>
    <xf numFmtId="165" fontId="3" fillId="2" borderId="16" xfId="1" applyNumberFormat="1" applyFont="1" applyFill="1" applyBorder="1" applyAlignment="1">
      <alignment vertical="center"/>
    </xf>
    <xf numFmtId="164" fontId="15" fillId="2" borderId="0" xfId="1" applyFont="1" applyFill="1" applyAlignment="1">
      <alignment vertical="center"/>
    </xf>
    <xf numFmtId="165" fontId="15" fillId="0" borderId="0" xfId="1" applyNumberFormat="1" applyFont="1" applyAlignment="1">
      <alignment horizontal="center" vertical="center"/>
    </xf>
    <xf numFmtId="165" fontId="4" fillId="2" borderId="0" xfId="1" applyNumberFormat="1" applyFont="1" applyFill="1" applyAlignment="1">
      <alignment horizontal="center" vertical="center"/>
    </xf>
    <xf numFmtId="165" fontId="14" fillId="0" borderId="0" xfId="1" applyNumberFormat="1" applyFont="1" applyAlignment="1">
      <alignment horizontal="center" vertical="center"/>
    </xf>
    <xf numFmtId="165" fontId="14" fillId="0" borderId="3" xfId="1" applyNumberFormat="1" applyFont="1" applyFill="1" applyBorder="1" applyAlignment="1">
      <alignment vertical="center"/>
    </xf>
    <xf numFmtId="165" fontId="14" fillId="0" borderId="0" xfId="1" applyNumberFormat="1" applyFont="1" applyFill="1" applyBorder="1" applyAlignment="1">
      <alignment vertical="center"/>
    </xf>
    <xf numFmtId="165" fontId="14" fillId="2" borderId="3" xfId="1" applyNumberFormat="1" applyFont="1" applyFill="1" applyBorder="1" applyAlignment="1">
      <alignment vertical="center"/>
    </xf>
    <xf numFmtId="165" fontId="14" fillId="2" borderId="16" xfId="1" applyNumberFormat="1" applyFont="1" applyFill="1" applyBorder="1" applyAlignment="1">
      <alignment vertical="center"/>
    </xf>
    <xf numFmtId="165" fontId="14" fillId="2" borderId="0" xfId="1" applyNumberFormat="1" applyFont="1" applyFill="1" applyBorder="1" applyAlignment="1">
      <alignment vertical="center"/>
    </xf>
    <xf numFmtId="165" fontId="15" fillId="2" borderId="17" xfId="1" applyNumberFormat="1" applyFont="1" applyFill="1" applyBorder="1" applyAlignment="1">
      <alignment vertical="center"/>
    </xf>
    <xf numFmtId="165" fontId="14" fillId="2" borderId="19" xfId="1" applyNumberFormat="1" applyFont="1" applyFill="1" applyBorder="1" applyAlignment="1">
      <alignment vertical="center"/>
    </xf>
    <xf numFmtId="165" fontId="15" fillId="2" borderId="0" xfId="1" applyNumberFormat="1" applyFont="1" applyFill="1" applyAlignment="1">
      <alignment vertical="center"/>
    </xf>
    <xf numFmtId="165" fontId="14" fillId="0" borderId="1" xfId="1" applyNumberFormat="1" applyFont="1" applyBorder="1" applyAlignment="1">
      <alignment horizontal="center" vertical="center"/>
    </xf>
    <xf numFmtId="165" fontId="15" fillId="2" borderId="1" xfId="1" applyNumberFormat="1" applyFont="1" applyFill="1" applyBorder="1" applyAlignment="1">
      <alignment vertical="top"/>
    </xf>
    <xf numFmtId="165" fontId="14" fillId="2" borderId="6" xfId="1" applyNumberFormat="1" applyFont="1" applyFill="1" applyBorder="1" applyAlignment="1">
      <alignment vertical="top"/>
    </xf>
    <xf numFmtId="165" fontId="15" fillId="2" borderId="14" xfId="1" applyNumberFormat="1" applyFont="1" applyFill="1" applyBorder="1" applyAlignment="1">
      <alignment vertical="top"/>
    </xf>
    <xf numFmtId="165" fontId="15" fillId="2" borderId="6" xfId="1" applyNumberFormat="1" applyFont="1" applyFill="1" applyBorder="1" applyAlignment="1">
      <alignment vertical="top"/>
    </xf>
    <xf numFmtId="165" fontId="15" fillId="2" borderId="11" xfId="1" applyNumberFormat="1" applyFont="1" applyFill="1" applyBorder="1" applyAlignment="1">
      <alignment vertical="top"/>
    </xf>
    <xf numFmtId="165" fontId="15" fillId="2" borderId="13" xfId="1" applyNumberFormat="1" applyFont="1" applyFill="1" applyBorder="1" applyAlignment="1">
      <alignment vertical="top"/>
    </xf>
    <xf numFmtId="165" fontId="14" fillId="2" borderId="14" xfId="1" applyNumberFormat="1" applyFont="1" applyFill="1" applyBorder="1" applyAlignment="1">
      <alignment vertical="top"/>
    </xf>
    <xf numFmtId="165" fontId="14" fillId="2" borderId="11" xfId="1" applyNumberFormat="1" applyFont="1" applyFill="1" applyBorder="1" applyAlignment="1">
      <alignment vertical="top"/>
    </xf>
    <xf numFmtId="165" fontId="14" fillId="2" borderId="12" xfId="1" applyNumberFormat="1" applyFont="1" applyFill="1" applyBorder="1" applyAlignment="1">
      <alignment vertical="top"/>
    </xf>
    <xf numFmtId="165" fontId="4" fillId="2" borderId="14" xfId="1" applyNumberFormat="1" applyFont="1" applyFill="1" applyBorder="1" applyAlignment="1">
      <alignment horizontal="center" vertical="top"/>
    </xf>
    <xf numFmtId="165" fontId="4" fillId="2" borderId="11" xfId="1" applyNumberFormat="1" applyFont="1" applyFill="1" applyBorder="1" applyAlignment="1">
      <alignment horizontal="right" vertical="top"/>
    </xf>
    <xf numFmtId="176" fontId="15" fillId="2" borderId="0" xfId="1" applyNumberFormat="1" applyFont="1" applyFill="1" applyBorder="1" applyAlignment="1">
      <alignment vertical="center"/>
    </xf>
    <xf numFmtId="164" fontId="15" fillId="2" borderId="17" xfId="1" applyFont="1" applyFill="1" applyBorder="1" applyAlignment="1">
      <alignment horizontal="center" vertical="center"/>
    </xf>
    <xf numFmtId="164" fontId="15" fillId="0" borderId="0" xfId="1" applyFont="1" applyFill="1" applyBorder="1" applyAlignment="1">
      <alignment horizontal="center" vertical="center"/>
    </xf>
    <xf numFmtId="164" fontId="15" fillId="0" borderId="17" xfId="1" applyFont="1" applyFill="1" applyBorder="1" applyAlignment="1">
      <alignment horizontal="center" vertical="center"/>
    </xf>
    <xf numFmtId="165" fontId="18" fillId="2" borderId="0" xfId="1" applyNumberFormat="1" applyFont="1" applyFill="1" applyBorder="1" applyAlignment="1"/>
    <xf numFmtId="165" fontId="17" fillId="2" borderId="3" xfId="1" applyNumberFormat="1" applyFont="1" applyFill="1" applyBorder="1" applyAlignment="1"/>
    <xf numFmtId="165" fontId="18" fillId="2" borderId="0" xfId="1" applyNumberFormat="1" applyFont="1" applyFill="1"/>
    <xf numFmtId="165" fontId="25" fillId="2" borderId="3" xfId="1" quotePrefix="1" applyNumberFormat="1" applyFont="1" applyFill="1" applyBorder="1" applyAlignment="1">
      <alignment horizontal="right"/>
    </xf>
    <xf numFmtId="165" fontId="18" fillId="2" borderId="0" xfId="1" applyNumberFormat="1" applyFont="1" applyFill="1" applyAlignment="1">
      <alignment horizontal="center"/>
    </xf>
    <xf numFmtId="165" fontId="20" fillId="0" borderId="0" xfId="1" applyNumberFormat="1" applyFont="1" applyFill="1" applyAlignment="1">
      <alignment horizontal="center"/>
    </xf>
    <xf numFmtId="165" fontId="20" fillId="0" borderId="0" xfId="1" applyNumberFormat="1" applyFont="1" applyFill="1"/>
    <xf numFmtId="165" fontId="25" fillId="2" borderId="3" xfId="1" quotePrefix="1" applyNumberFormat="1" applyFont="1" applyFill="1" applyBorder="1" applyAlignment="1">
      <alignment horizontal="center"/>
    </xf>
    <xf numFmtId="165" fontId="25" fillId="2" borderId="16" xfId="1" quotePrefix="1" applyNumberFormat="1" applyFont="1" applyFill="1" applyBorder="1" applyAlignment="1">
      <alignment horizontal="center"/>
    </xf>
    <xf numFmtId="165" fontId="4" fillId="2" borderId="17" xfId="1" applyNumberFormat="1" applyFont="1" applyFill="1" applyBorder="1" applyAlignment="1">
      <alignment vertical="top"/>
    </xf>
    <xf numFmtId="165" fontId="15" fillId="2" borderId="0" xfId="1" applyNumberFormat="1" applyFont="1" applyFill="1" applyBorder="1" applyAlignment="1">
      <alignment vertical="top"/>
    </xf>
    <xf numFmtId="165" fontId="3" fillId="2" borderId="3" xfId="1" applyNumberFormat="1" applyFont="1" applyFill="1" applyBorder="1" applyAlignment="1">
      <alignment vertical="top"/>
    </xf>
    <xf numFmtId="165" fontId="4" fillId="2" borderId="14" xfId="1" applyNumberFormat="1" applyFont="1" applyFill="1" applyBorder="1" applyAlignment="1">
      <alignment horizontal="center" vertical="center"/>
    </xf>
    <xf numFmtId="165" fontId="4" fillId="2" borderId="0" xfId="1" applyNumberFormat="1" applyFont="1" applyFill="1" applyBorder="1" applyAlignment="1">
      <alignment horizontal="center" vertical="center"/>
    </xf>
    <xf numFmtId="165" fontId="3" fillId="2" borderId="22" xfId="1" applyNumberFormat="1" applyFont="1" applyFill="1" applyBorder="1" applyAlignment="1">
      <alignment horizontal="center" vertical="center" wrapText="1"/>
    </xf>
    <xf numFmtId="165" fontId="4" fillId="2" borderId="22" xfId="1" applyNumberFormat="1" applyFont="1" applyFill="1" applyBorder="1" applyAlignment="1">
      <alignment horizontal="center" vertical="center"/>
    </xf>
    <xf numFmtId="165" fontId="25" fillId="2" borderId="0" xfId="1" quotePrefix="1" applyNumberFormat="1" applyFont="1" applyFill="1" applyAlignment="1">
      <alignment horizontal="right" vertical="top"/>
    </xf>
    <xf numFmtId="165" fontId="18" fillId="2" borderId="0" xfId="1" applyNumberFormat="1" applyFont="1" applyFill="1" applyBorder="1" applyAlignment="1">
      <alignment vertical="top"/>
    </xf>
    <xf numFmtId="165" fontId="18" fillId="0" borderId="0" xfId="1" applyNumberFormat="1" applyFont="1" applyFill="1" applyBorder="1" applyAlignment="1">
      <alignment vertical="top"/>
    </xf>
    <xf numFmtId="165" fontId="17" fillId="2" borderId="3" xfId="1" applyNumberFormat="1" applyFont="1" applyFill="1" applyBorder="1" applyAlignment="1">
      <alignment vertical="top"/>
    </xf>
    <xf numFmtId="165" fontId="17" fillId="0" borderId="3" xfId="1" applyNumberFormat="1" applyFont="1" applyFill="1" applyBorder="1" applyAlignment="1">
      <alignment vertical="top"/>
    </xf>
    <xf numFmtId="165" fontId="17" fillId="2" borderId="0" xfId="1" applyNumberFormat="1" applyFont="1" applyFill="1" applyBorder="1" applyAlignment="1">
      <alignment vertical="top"/>
    </xf>
    <xf numFmtId="165" fontId="17" fillId="0" borderId="0" xfId="1" applyNumberFormat="1" applyFont="1" applyFill="1" applyBorder="1" applyAlignment="1">
      <alignment vertical="top"/>
    </xf>
    <xf numFmtId="165" fontId="3" fillId="2" borderId="17" xfId="1" applyNumberFormat="1" applyFont="1" applyFill="1" applyBorder="1" applyAlignment="1">
      <alignment vertical="top"/>
    </xf>
    <xf numFmtId="165" fontId="7" fillId="2" borderId="0" xfId="1" applyNumberFormat="1" applyFont="1" applyFill="1" applyAlignment="1">
      <alignment vertical="center"/>
    </xf>
    <xf numFmtId="165" fontId="15" fillId="2" borderId="0" xfId="1" applyNumberFormat="1" applyFont="1" applyFill="1" applyAlignment="1">
      <alignment vertical="top"/>
    </xf>
    <xf numFmtId="165" fontId="15" fillId="0" borderId="0" xfId="1" applyNumberFormat="1" applyFont="1" applyAlignment="1">
      <alignment vertical="top"/>
    </xf>
    <xf numFmtId="165" fontId="20" fillId="2" borderId="0" xfId="1" applyNumberFormat="1" applyFont="1" applyFill="1" applyAlignment="1">
      <alignment vertical="top"/>
    </xf>
    <xf numFmtId="165" fontId="20" fillId="0" borderId="0" xfId="1" applyNumberFormat="1" applyFont="1" applyAlignment="1">
      <alignment vertical="top"/>
    </xf>
    <xf numFmtId="165" fontId="18" fillId="2" borderId="0" xfId="1" applyNumberFormat="1" applyFont="1" applyFill="1" applyAlignment="1">
      <alignment vertical="top"/>
    </xf>
    <xf numFmtId="165" fontId="18" fillId="0" borderId="0" xfId="1" applyNumberFormat="1" applyFont="1" applyFill="1" applyAlignment="1">
      <alignment vertical="top"/>
    </xf>
    <xf numFmtId="165" fontId="25" fillId="0" borderId="3" xfId="1" applyNumberFormat="1" applyFont="1" applyFill="1" applyBorder="1" applyAlignment="1">
      <alignment vertical="top"/>
    </xf>
    <xf numFmtId="165" fontId="25" fillId="2" borderId="0" xfId="1" applyNumberFormat="1" applyFont="1" applyFill="1" applyBorder="1" applyAlignment="1">
      <alignment vertical="top"/>
    </xf>
    <xf numFmtId="165" fontId="25" fillId="0" borderId="0" xfId="1" applyNumberFormat="1" applyFont="1" applyFill="1" applyBorder="1" applyAlignment="1">
      <alignment vertical="top"/>
    </xf>
    <xf numFmtId="165" fontId="17" fillId="2" borderId="0" xfId="1" applyNumberFormat="1" applyFont="1" applyFill="1" applyAlignment="1">
      <alignment vertical="top"/>
    </xf>
    <xf numFmtId="165" fontId="17" fillId="0" borderId="17" xfId="1" applyNumberFormat="1" applyFont="1" applyFill="1" applyBorder="1" applyAlignment="1">
      <alignment vertical="top"/>
    </xf>
    <xf numFmtId="165" fontId="18" fillId="0" borderId="0" xfId="1" applyNumberFormat="1" applyFont="1" applyAlignment="1">
      <alignment vertical="top"/>
    </xf>
    <xf numFmtId="165" fontId="15" fillId="0" borderId="0" xfId="1" applyNumberFormat="1" applyFont="1" applyFill="1" applyAlignment="1">
      <alignment vertical="center"/>
    </xf>
    <xf numFmtId="165" fontId="25" fillId="0" borderId="3" xfId="1" quotePrefix="1" applyNumberFormat="1" applyFont="1" applyBorder="1" applyAlignment="1">
      <alignment horizontal="right"/>
    </xf>
    <xf numFmtId="165" fontId="20" fillId="0" borderId="0" xfId="1" applyNumberFormat="1" applyFont="1" applyAlignment="1">
      <alignment vertical="center"/>
    </xf>
    <xf numFmtId="165" fontId="2" fillId="0" borderId="0" xfId="1" applyNumberFormat="1"/>
    <xf numFmtId="165" fontId="20" fillId="2" borderId="0" xfId="1" applyNumberFormat="1" applyFont="1" applyFill="1"/>
    <xf numFmtId="165" fontId="20" fillId="2" borderId="0" xfId="1" applyNumberFormat="1" applyFont="1" applyFill="1" applyAlignment="1">
      <alignment horizontal="center"/>
    </xf>
    <xf numFmtId="165" fontId="20" fillId="2" borderId="0" xfId="1" applyNumberFormat="1" applyFont="1" applyFill="1" applyBorder="1"/>
    <xf numFmtId="165" fontId="15" fillId="0" borderId="14" xfId="1" applyNumberFormat="1" applyFont="1" applyFill="1" applyBorder="1" applyAlignment="1">
      <alignment vertical="center"/>
    </xf>
    <xf numFmtId="165" fontId="7" fillId="0" borderId="0" xfId="12" applyNumberFormat="1" applyFont="1" applyAlignment="1">
      <alignment vertical="top"/>
    </xf>
    <xf numFmtId="0" fontId="50" fillId="0" borderId="39" xfId="17" applyFont="1" applyBorder="1"/>
    <xf numFmtId="0" fontId="50" fillId="0" borderId="0" xfId="17" applyFont="1"/>
    <xf numFmtId="0" fontId="50" fillId="0" borderId="40" xfId="17" applyFont="1" applyBorder="1"/>
    <xf numFmtId="0" fontId="51" fillId="0" borderId="0" xfId="17" applyFont="1"/>
    <xf numFmtId="0" fontId="51" fillId="0" borderId="0" xfId="17" applyFont="1" applyAlignment="1">
      <alignment horizontal="right" vertical="top"/>
    </xf>
    <xf numFmtId="0" fontId="51" fillId="0" borderId="44" xfId="17" applyFont="1" applyBorder="1" applyAlignment="1">
      <alignment vertical="center" wrapText="1"/>
    </xf>
    <xf numFmtId="0" fontId="50" fillId="0" borderId="43" xfId="17" applyFont="1" applyBorder="1" applyAlignment="1">
      <alignment vertical="center" wrapText="1"/>
    </xf>
    <xf numFmtId="0" fontId="50" fillId="0" borderId="44" xfId="17" applyFont="1" applyBorder="1" applyAlignment="1">
      <alignment vertical="center" wrapText="1"/>
    </xf>
    <xf numFmtId="9" fontId="50" fillId="0" borderId="44" xfId="18" applyNumberFormat="1" applyFont="1" applyBorder="1" applyAlignment="1">
      <alignment vertical="center" wrapText="1"/>
    </xf>
    <xf numFmtId="177" fontId="7" fillId="0" borderId="0" xfId="6" applyNumberFormat="1" applyFont="1" applyAlignment="1">
      <alignment vertical="center"/>
    </xf>
    <xf numFmtId="0" fontId="53" fillId="2" borderId="0" xfId="6" applyFont="1" applyFill="1" applyAlignment="1">
      <alignment vertical="center"/>
    </xf>
    <xf numFmtId="165" fontId="20" fillId="0" borderId="0" xfId="1" applyNumberFormat="1" applyFont="1" applyFill="1" applyBorder="1"/>
    <xf numFmtId="0" fontId="4" fillId="2" borderId="27" xfId="5" applyFont="1" applyFill="1" applyBorder="1" applyAlignment="1">
      <alignment horizontal="center" vertical="center" wrapText="1"/>
    </xf>
    <xf numFmtId="0" fontId="3" fillId="2" borderId="47" xfId="5" applyFont="1" applyFill="1" applyBorder="1" applyAlignment="1">
      <alignment vertical="center"/>
    </xf>
    <xf numFmtId="0" fontId="4" fillId="2" borderId="48" xfId="5" applyFont="1" applyFill="1" applyBorder="1" applyAlignment="1">
      <alignment horizontal="center" vertical="center" wrapText="1"/>
    </xf>
    <xf numFmtId="0" fontId="4" fillId="2" borderId="50" xfId="5" applyFont="1" applyFill="1" applyBorder="1" applyAlignment="1">
      <alignment horizontal="center" vertical="center"/>
    </xf>
    <xf numFmtId="165" fontId="4" fillId="2" borderId="51" xfId="1" applyNumberFormat="1" applyFont="1" applyFill="1" applyBorder="1" applyAlignment="1">
      <alignment horizontal="center" vertical="center"/>
    </xf>
    <xf numFmtId="0" fontId="3" fillId="2" borderId="52" xfId="5" applyFont="1" applyFill="1" applyBorder="1" applyAlignment="1">
      <alignment vertical="center" wrapText="1"/>
    </xf>
    <xf numFmtId="165" fontId="3" fillId="2" borderId="29" xfId="1" applyNumberFormat="1" applyFont="1" applyFill="1" applyBorder="1" applyAlignment="1">
      <alignment horizontal="center" vertical="center" wrapText="1"/>
    </xf>
    <xf numFmtId="0" fontId="5" fillId="2" borderId="12" xfId="6" applyFont="1" applyFill="1" applyBorder="1" applyAlignment="1">
      <alignment horizontal="center" vertical="center"/>
    </xf>
    <xf numFmtId="0" fontId="52" fillId="2" borderId="12" xfId="6" applyFont="1" applyFill="1" applyBorder="1" applyAlignment="1">
      <alignment horizontal="center" vertical="center"/>
    </xf>
    <xf numFmtId="0" fontId="52" fillId="2" borderId="12" xfId="6" applyFont="1" applyFill="1" applyBorder="1" applyAlignment="1">
      <alignment horizontal="left" vertical="center"/>
    </xf>
    <xf numFmtId="0" fontId="52" fillId="2" borderId="12" xfId="6" quotePrefix="1" applyFont="1" applyFill="1" applyBorder="1" applyAlignment="1">
      <alignment horizontal="center" vertical="center"/>
    </xf>
    <xf numFmtId="165" fontId="57" fillId="0" borderId="12" xfId="11" applyNumberFormat="1" applyFont="1" applyFill="1" applyBorder="1"/>
    <xf numFmtId="0" fontId="58" fillId="0" borderId="0" xfId="19" applyFont="1" applyFill="1" applyBorder="1" applyAlignment="1">
      <alignment horizontal="center"/>
    </xf>
    <xf numFmtId="0" fontId="45" fillId="0" borderId="12" xfId="21" applyFont="1" applyFill="1" applyBorder="1" applyAlignment="1">
      <alignment horizontal="center"/>
    </xf>
    <xf numFmtId="171" fontId="55" fillId="0" borderId="12" xfId="0" applyNumberFormat="1" applyFont="1" applyBorder="1" applyAlignment="1">
      <alignment horizontal="center"/>
    </xf>
    <xf numFmtId="0" fontId="44" fillId="0" borderId="12" xfId="20" applyFont="1" applyFill="1" applyBorder="1" applyAlignment="1">
      <alignment horizontal="center" vertical="center"/>
    </xf>
    <xf numFmtId="0" fontId="44" fillId="0" borderId="12" xfId="20" applyFont="1" applyFill="1" applyBorder="1" applyAlignment="1">
      <alignment horizontal="center" vertical="center" wrapText="1"/>
    </xf>
    <xf numFmtId="164" fontId="44" fillId="0" borderId="12" xfId="20" applyNumberFormat="1" applyFont="1" applyFill="1" applyBorder="1" applyAlignment="1">
      <alignment horizontal="center" vertical="center" wrapText="1"/>
    </xf>
    <xf numFmtId="9" fontId="44" fillId="0" borderId="12" xfId="20" applyNumberFormat="1" applyFont="1" applyFill="1" applyBorder="1" applyAlignment="1">
      <alignment horizontal="center" vertical="center" wrapText="1"/>
    </xf>
    <xf numFmtId="0" fontId="59" fillId="0" borderId="12" xfId="0" applyFont="1" applyBorder="1"/>
    <xf numFmtId="15" fontId="59" fillId="0" borderId="12" xfId="0" applyNumberFormat="1" applyFont="1" applyBorder="1" applyAlignment="1">
      <alignment horizontal="center"/>
    </xf>
    <xf numFmtId="43" fontId="59" fillId="0" borderId="12" xfId="15" applyFont="1" applyBorder="1"/>
    <xf numFmtId="0" fontId="57" fillId="0" borderId="12" xfId="5" applyFont="1" applyBorder="1"/>
    <xf numFmtId="1" fontId="57" fillId="0" borderId="12" xfId="5" applyNumberFormat="1" applyFont="1" applyBorder="1"/>
    <xf numFmtId="10" fontId="57" fillId="0" borderId="12" xfId="22" applyNumberFormat="1" applyFont="1" applyFill="1" applyBorder="1"/>
    <xf numFmtId="0" fontId="0" fillId="0" borderId="12" xfId="0" applyBorder="1"/>
    <xf numFmtId="3" fontId="59" fillId="0" borderId="12" xfId="0" applyNumberFormat="1" applyFont="1" applyBorder="1"/>
    <xf numFmtId="0" fontId="60" fillId="0" borderId="12" xfId="5" applyFont="1" applyBorder="1"/>
    <xf numFmtId="0" fontId="61" fillId="0" borderId="12" xfId="0" applyFont="1" applyBorder="1"/>
    <xf numFmtId="15" fontId="61" fillId="0" borderId="12" xfId="0" applyNumberFormat="1" applyFont="1" applyBorder="1" applyAlignment="1">
      <alignment horizontal="center"/>
    </xf>
    <xf numFmtId="43" fontId="61" fillId="0" borderId="12" xfId="15" applyFont="1" applyBorder="1"/>
    <xf numFmtId="164" fontId="57" fillId="0" borderId="12" xfId="11" applyFont="1" applyFill="1" applyBorder="1"/>
    <xf numFmtId="0" fontId="61" fillId="9" borderId="12" xfId="0" applyFont="1" applyFill="1" applyBorder="1"/>
    <xf numFmtId="165" fontId="57" fillId="3" borderId="12" xfId="11" applyNumberFormat="1" applyFont="1" applyFill="1" applyBorder="1"/>
    <xf numFmtId="1" fontId="61" fillId="0" borderId="12" xfId="0" applyNumberFormat="1" applyFont="1" applyBorder="1"/>
    <xf numFmtId="3" fontId="61" fillId="0" borderId="12" xfId="0" applyNumberFormat="1" applyFont="1" applyBorder="1"/>
    <xf numFmtId="0" fontId="62" fillId="0" borderId="12" xfId="0" applyFont="1" applyBorder="1"/>
    <xf numFmtId="171" fontId="63" fillId="0" borderId="12" xfId="0" applyNumberFormat="1" applyFont="1" applyBorder="1" applyAlignment="1">
      <alignment horizontal="center"/>
    </xf>
    <xf numFmtId="165" fontId="62" fillId="0" borderId="12" xfId="11" applyNumberFormat="1" applyFont="1" applyBorder="1"/>
    <xf numFmtId="14" fontId="0" fillId="0" borderId="0" xfId="0" applyNumberFormat="1"/>
    <xf numFmtId="2" fontId="0" fillId="0" borderId="0" xfId="0" applyNumberFormat="1"/>
    <xf numFmtId="0" fontId="0" fillId="0" borderId="0" xfId="0" applyAlignment="1">
      <alignment horizontal="center" vertical="center"/>
    </xf>
    <xf numFmtId="4" fontId="0" fillId="0" borderId="0" xfId="0" applyNumberFormat="1" applyAlignment="1">
      <alignment horizontal="center" vertical="center"/>
    </xf>
    <xf numFmtId="0" fontId="66" fillId="10" borderId="54" xfId="0" applyFont="1" applyFill="1" applyBorder="1" applyAlignment="1">
      <alignment horizontal="left"/>
    </xf>
    <xf numFmtId="0" fontId="68" fillId="12" borderId="54" xfId="0" applyFont="1" applyFill="1" applyBorder="1" applyAlignment="1">
      <alignment horizontal="left"/>
    </xf>
    <xf numFmtId="0" fontId="68" fillId="12" borderId="54" xfId="0" applyFont="1" applyFill="1" applyBorder="1" applyAlignment="1">
      <alignment horizontal="right"/>
    </xf>
    <xf numFmtId="0" fontId="68" fillId="10" borderId="54" xfId="0" applyFont="1" applyFill="1" applyBorder="1" applyAlignment="1">
      <alignment horizontal="left"/>
    </xf>
    <xf numFmtId="0" fontId="69" fillId="12" borderId="54" xfId="0" applyFont="1" applyFill="1" applyBorder="1" applyAlignment="1">
      <alignment horizontal="left"/>
    </xf>
    <xf numFmtId="0" fontId="68" fillId="0" borderId="54" xfId="0" applyFont="1" applyBorder="1" applyAlignment="1">
      <alignment horizontal="right"/>
    </xf>
    <xf numFmtId="0" fontId="69" fillId="0" borderId="54" xfId="0" applyFont="1" applyBorder="1" applyAlignment="1">
      <alignment horizontal="right"/>
    </xf>
    <xf numFmtId="165" fontId="15" fillId="0" borderId="0" xfId="1" applyNumberFormat="1" applyFont="1" applyFill="1" applyBorder="1" applyAlignment="1">
      <alignment vertical="top"/>
    </xf>
    <xf numFmtId="0" fontId="55" fillId="0" borderId="0" xfId="0" applyFont="1"/>
    <xf numFmtId="178" fontId="13" fillId="2" borderId="0" xfId="5" applyNumberFormat="1" applyFont="1" applyFill="1"/>
    <xf numFmtId="165" fontId="25" fillId="0" borderId="0" xfId="1" applyNumberFormat="1" applyFont="1" applyFill="1"/>
    <xf numFmtId="165" fontId="33" fillId="0" borderId="0" xfId="1" applyNumberFormat="1" applyFont="1" applyFill="1"/>
    <xf numFmtId="165" fontId="20" fillId="0" borderId="17" xfId="1" applyNumberFormat="1" applyFont="1" applyFill="1" applyBorder="1"/>
    <xf numFmtId="165" fontId="34" fillId="0" borderId="0" xfId="1" applyNumberFormat="1" applyFont="1" applyFill="1"/>
    <xf numFmtId="165" fontId="46" fillId="0" borderId="0" xfId="1" applyNumberFormat="1" applyFont="1" applyFill="1"/>
    <xf numFmtId="165" fontId="13" fillId="3" borderId="0" xfId="6" applyNumberFormat="1" applyFont="1" applyFill="1" applyAlignment="1">
      <alignment vertical="center"/>
    </xf>
    <xf numFmtId="179" fontId="8" fillId="0" borderId="0" xfId="6" applyNumberFormat="1" applyFont="1" applyAlignment="1">
      <alignment vertical="center"/>
    </xf>
    <xf numFmtId="165" fontId="13" fillId="2" borderId="0" xfId="1" applyNumberFormat="1" applyFont="1" applyFill="1" applyAlignment="1">
      <alignment vertical="center"/>
    </xf>
    <xf numFmtId="0" fontId="68" fillId="0" borderId="0" xfId="0" applyFont="1" applyAlignment="1">
      <alignment horizontal="right"/>
    </xf>
    <xf numFmtId="0" fontId="68" fillId="10" borderId="0" xfId="0" applyFont="1" applyFill="1" applyAlignment="1">
      <alignment horizontal="left"/>
    </xf>
    <xf numFmtId="165" fontId="25" fillId="0" borderId="0" xfId="1" applyNumberFormat="1" applyFont="1" applyFill="1" applyAlignment="1">
      <alignment horizontal="center" vertical="center"/>
    </xf>
    <xf numFmtId="164" fontId="69" fillId="0" borderId="54" xfId="1" applyFont="1" applyBorder="1" applyAlignment="1">
      <alignment horizontal="right"/>
    </xf>
    <xf numFmtId="0" fontId="68" fillId="12" borderId="12" xfId="0" applyFont="1" applyFill="1" applyBorder="1" applyAlignment="1">
      <alignment horizontal="right"/>
    </xf>
    <xf numFmtId="164" fontId="68" fillId="12" borderId="12" xfId="1" applyFont="1" applyFill="1" applyBorder="1" applyAlignment="1">
      <alignment horizontal="right"/>
    </xf>
    <xf numFmtId="0" fontId="0" fillId="0" borderId="12" xfId="0" applyBorder="1" applyAlignment="1">
      <alignment horizontal="center"/>
    </xf>
    <xf numFmtId="164" fontId="0" fillId="0" borderId="12" xfId="1" applyFont="1" applyBorder="1"/>
    <xf numFmtId="0" fontId="68" fillId="0" borderId="12" xfId="0" applyFont="1" applyBorder="1" applyAlignment="1">
      <alignment horizontal="center"/>
    </xf>
    <xf numFmtId="0" fontId="55" fillId="0" borderId="12" xfId="0" applyFont="1" applyBorder="1"/>
    <xf numFmtId="164" fontId="55" fillId="0" borderId="12" xfId="1" applyFont="1" applyBorder="1"/>
    <xf numFmtId="0" fontId="70" fillId="12" borderId="12" xfId="0" applyFont="1" applyFill="1" applyBorder="1" applyAlignment="1">
      <alignment horizontal="center"/>
    </xf>
    <xf numFmtId="164" fontId="70" fillId="12" borderId="12" xfId="1" applyFont="1" applyFill="1" applyBorder="1" applyAlignment="1">
      <alignment horizontal="center"/>
    </xf>
    <xf numFmtId="164" fontId="68" fillId="12" borderId="54" xfId="1" applyFont="1" applyFill="1" applyBorder="1" applyAlignment="1">
      <alignment horizontal="right"/>
    </xf>
    <xf numFmtId="164" fontId="68" fillId="0" borderId="54" xfId="1" applyFont="1" applyBorder="1" applyAlignment="1">
      <alignment horizontal="right"/>
    </xf>
    <xf numFmtId="43" fontId="7" fillId="0" borderId="0" xfId="6" applyNumberFormat="1" applyFont="1" applyAlignment="1">
      <alignment vertical="center"/>
    </xf>
    <xf numFmtId="165" fontId="15" fillId="2" borderId="7" xfId="1" applyNumberFormat="1" applyFont="1" applyFill="1" applyBorder="1" applyAlignment="1">
      <alignment vertical="top"/>
    </xf>
    <xf numFmtId="49" fontId="17" fillId="0" borderId="0" xfId="12" applyNumberFormat="1" applyFont="1" applyAlignment="1">
      <alignment horizontal="left" vertical="top" wrapText="1"/>
    </xf>
    <xf numFmtId="0" fontId="72" fillId="0" borderId="0" xfId="0" applyFont="1" applyAlignment="1">
      <alignment vertical="center" wrapText="1"/>
    </xf>
    <xf numFmtId="0" fontId="72" fillId="0" borderId="0" xfId="0" applyFont="1" applyAlignment="1">
      <alignment horizontal="left" vertical="center" wrapText="1" indent="1"/>
    </xf>
    <xf numFmtId="165" fontId="25" fillId="0" borderId="3" xfId="1" quotePrefix="1" applyNumberFormat="1" applyFont="1" applyFill="1" applyBorder="1" applyAlignment="1">
      <alignment horizontal="right"/>
    </xf>
    <xf numFmtId="165" fontId="14" fillId="0" borderId="0" xfId="1" applyNumberFormat="1" applyFont="1" applyFill="1" applyAlignment="1">
      <alignment vertical="center"/>
    </xf>
    <xf numFmtId="165" fontId="25" fillId="0" borderId="0" xfId="1" applyNumberFormat="1" applyFont="1" applyFill="1" applyAlignment="1">
      <alignment vertical="center"/>
    </xf>
    <xf numFmtId="165" fontId="2" fillId="0" borderId="0" xfId="1" applyNumberFormat="1" applyFill="1"/>
    <xf numFmtId="165" fontId="62" fillId="0" borderId="12" xfId="11" applyNumberFormat="1" applyFont="1" applyFill="1" applyBorder="1"/>
    <xf numFmtId="165" fontId="34" fillId="0" borderId="0" xfId="1" applyNumberFormat="1" applyFont="1" applyFill="1" applyBorder="1"/>
    <xf numFmtId="0" fontId="66" fillId="0" borderId="55" xfId="0" applyFont="1" applyBorder="1" applyAlignment="1">
      <alignment horizontal="right"/>
    </xf>
    <xf numFmtId="0" fontId="71" fillId="0" borderId="54" xfId="0" applyFont="1" applyBorder="1" applyAlignment="1">
      <alignment horizontal="right"/>
    </xf>
    <xf numFmtId="168" fontId="25" fillId="0" borderId="3" xfId="6" quotePrefix="1" applyNumberFormat="1" applyFont="1" applyBorder="1" applyAlignment="1">
      <alignment horizontal="right"/>
    </xf>
    <xf numFmtId="165" fontId="15" fillId="0" borderId="20" xfId="1" applyNumberFormat="1" applyFont="1" applyFill="1" applyBorder="1" applyAlignment="1">
      <alignment vertical="center"/>
    </xf>
    <xf numFmtId="164" fontId="15" fillId="0" borderId="0" xfId="1" applyFont="1" applyFill="1" applyAlignment="1">
      <alignment vertical="center"/>
    </xf>
    <xf numFmtId="0" fontId="15" fillId="0" borderId="17" xfId="6" applyFont="1" applyBorder="1" applyAlignment="1">
      <alignment vertical="center"/>
    </xf>
    <xf numFmtId="0" fontId="3" fillId="0" borderId="3" xfId="6" applyFont="1" applyBorder="1" applyAlignment="1">
      <alignment horizontal="right" vertical="top" wrapText="1"/>
    </xf>
    <xf numFmtId="0" fontId="3" fillId="0" borderId="0" xfId="6" applyFont="1" applyAlignment="1">
      <alignment horizontal="right" vertical="top" wrapText="1"/>
    </xf>
    <xf numFmtId="165" fontId="15" fillId="0" borderId="17" xfId="1" applyNumberFormat="1" applyFont="1" applyFill="1" applyBorder="1" applyAlignment="1">
      <alignment vertical="center"/>
    </xf>
    <xf numFmtId="0" fontId="4" fillId="0" borderId="0" xfId="6" applyFont="1" applyAlignment="1">
      <alignment horizontal="left" vertical="top" indent="1"/>
    </xf>
    <xf numFmtId="165" fontId="4" fillId="0" borderId="17" xfId="9" applyNumberFormat="1" applyFont="1" applyFill="1" applyBorder="1" applyAlignment="1">
      <alignment horizontal="justify" vertical="top" wrapText="1"/>
    </xf>
    <xf numFmtId="165" fontId="3" fillId="0" borderId="3" xfId="9" applyNumberFormat="1" applyFont="1" applyFill="1" applyBorder="1" applyAlignment="1">
      <alignment horizontal="right" vertical="top" wrapText="1"/>
    </xf>
    <xf numFmtId="165" fontId="3" fillId="0" borderId="0" xfId="9" applyNumberFormat="1" applyFont="1" applyFill="1" applyBorder="1" applyAlignment="1">
      <alignment horizontal="justify" vertical="top" wrapText="1"/>
    </xf>
    <xf numFmtId="176" fontId="15" fillId="0" borderId="0" xfId="1" applyNumberFormat="1" applyFont="1" applyFill="1" applyBorder="1" applyAlignment="1">
      <alignment vertical="center"/>
    </xf>
    <xf numFmtId="0" fontId="13" fillId="0" borderId="17" xfId="6" applyFont="1" applyBorder="1" applyAlignment="1">
      <alignment horizontal="justify" vertical="top" wrapText="1"/>
    </xf>
    <xf numFmtId="0" fontId="3" fillId="0" borderId="17" xfId="6" applyFont="1" applyBorder="1" applyAlignment="1">
      <alignment horizontal="center" vertical="top" wrapText="1"/>
    </xf>
    <xf numFmtId="0" fontId="4" fillId="0" borderId="0" xfId="6" applyFont="1" applyAlignment="1">
      <alignment horizontal="justify" vertical="top" wrapText="1"/>
    </xf>
    <xf numFmtId="0" fontId="13" fillId="0" borderId="0" xfId="6" applyFont="1" applyAlignment="1">
      <alignment horizontal="justify" vertical="top" wrapText="1"/>
    </xf>
    <xf numFmtId="169" fontId="14" fillId="0" borderId="0" xfId="6" applyNumberFormat="1" applyFont="1" applyAlignment="1">
      <alignment vertical="center"/>
    </xf>
    <xf numFmtId="165" fontId="18" fillId="0" borderId="17" xfId="1" applyNumberFormat="1" applyFont="1" applyFill="1" applyBorder="1" applyAlignment="1"/>
    <xf numFmtId="165" fontId="7" fillId="0" borderId="0" xfId="1" applyNumberFormat="1" applyFont="1" applyFill="1" applyBorder="1" applyAlignment="1">
      <alignment vertical="center"/>
    </xf>
    <xf numFmtId="165" fontId="17" fillId="0" borderId="3" xfId="1" applyNumberFormat="1" applyFont="1" applyFill="1" applyBorder="1" applyAlignment="1"/>
    <xf numFmtId="169" fontId="18" fillId="0" borderId="0" xfId="7" applyNumberFormat="1" applyFont="1" applyFill="1" applyBorder="1" applyAlignment="1"/>
    <xf numFmtId="0" fontId="26" fillId="0" borderId="0" xfId="5" applyFont="1" applyAlignment="1">
      <alignment horizontal="left" vertical="top" wrapText="1"/>
    </xf>
    <xf numFmtId="165" fontId="14" fillId="0" borderId="0" xfId="7" applyNumberFormat="1" applyFont="1" applyFill="1" applyBorder="1" applyAlignment="1">
      <alignment vertical="center"/>
    </xf>
    <xf numFmtId="169" fontId="18" fillId="0" borderId="0" xfId="7" applyNumberFormat="1" applyFont="1" applyFill="1"/>
    <xf numFmtId="165" fontId="18" fillId="0" borderId="0" xfId="1" applyNumberFormat="1" applyFont="1" applyFill="1"/>
    <xf numFmtId="167" fontId="25" fillId="0" borderId="0" xfId="6" quotePrefix="1" applyNumberFormat="1" applyFont="1" applyAlignment="1">
      <alignment horizontal="right"/>
    </xf>
    <xf numFmtId="165" fontId="18" fillId="0" borderId="0" xfId="1" applyNumberFormat="1" applyFont="1" applyFill="1" applyAlignment="1">
      <alignment horizontal="center"/>
    </xf>
    <xf numFmtId="165" fontId="25" fillId="0" borderId="3" xfId="1" quotePrefix="1" applyNumberFormat="1" applyFont="1" applyFill="1" applyBorder="1" applyAlignment="1">
      <alignment horizontal="center"/>
    </xf>
    <xf numFmtId="165" fontId="25" fillId="0" borderId="16" xfId="1" quotePrefix="1" applyNumberFormat="1" applyFont="1" applyFill="1" applyBorder="1" applyAlignment="1">
      <alignment horizontal="center"/>
    </xf>
    <xf numFmtId="167" fontId="14" fillId="0" borderId="0" xfId="7" applyNumberFormat="1" applyFont="1" applyFill="1" applyBorder="1" applyAlignment="1">
      <alignment vertical="center"/>
    </xf>
    <xf numFmtId="165" fontId="4" fillId="0" borderId="17" xfId="1" applyNumberFormat="1" applyFont="1" applyFill="1" applyBorder="1" applyAlignment="1">
      <alignment vertical="top"/>
    </xf>
    <xf numFmtId="165" fontId="18" fillId="0" borderId="0" xfId="1" applyNumberFormat="1" applyFont="1" applyFill="1" applyAlignment="1">
      <alignment horizontal="right"/>
    </xf>
    <xf numFmtId="168" fontId="25" fillId="0" borderId="0" xfId="6" quotePrefix="1" applyNumberFormat="1" applyFont="1" applyAlignment="1">
      <alignment horizontal="right"/>
    </xf>
    <xf numFmtId="169" fontId="15" fillId="0" borderId="0" xfId="7" applyNumberFormat="1" applyFont="1" applyFill="1" applyBorder="1" applyAlignment="1">
      <alignment vertical="center"/>
    </xf>
    <xf numFmtId="169" fontId="14" fillId="0" borderId="0" xfId="7" applyNumberFormat="1" applyFont="1" applyFill="1" applyBorder="1" applyAlignment="1">
      <alignment vertical="center"/>
    </xf>
    <xf numFmtId="2" fontId="68" fillId="0" borderId="54" xfId="0" applyNumberFormat="1" applyFont="1" applyBorder="1" applyAlignment="1">
      <alignment horizontal="right"/>
    </xf>
    <xf numFmtId="1" fontId="68" fillId="0" borderId="54" xfId="0" applyNumberFormat="1" applyFont="1" applyBorder="1" applyAlignment="1">
      <alignment horizontal="right"/>
    </xf>
    <xf numFmtId="43" fontId="68" fillId="0" borderId="54" xfId="0" applyNumberFormat="1" applyFont="1" applyBorder="1" applyAlignment="1">
      <alignment horizontal="right"/>
    </xf>
    <xf numFmtId="0" fontId="20" fillId="0" borderId="0" xfId="23" applyFont="1"/>
    <xf numFmtId="0" fontId="3" fillId="0" borderId="0" xfId="24" applyFont="1"/>
    <xf numFmtId="165" fontId="4" fillId="0" borderId="0" xfId="25" applyNumberFormat="1" applyFont="1"/>
    <xf numFmtId="165" fontId="4" fillId="0" borderId="0" xfId="24" applyNumberFormat="1" applyFont="1"/>
    <xf numFmtId="0" fontId="4" fillId="0" borderId="0" xfId="24" applyFont="1"/>
    <xf numFmtId="0" fontId="3" fillId="0" borderId="0" xfId="24" applyFont="1" applyAlignment="1">
      <alignment horizontal="right"/>
    </xf>
    <xf numFmtId="165" fontId="73" fillId="0" borderId="12" xfId="26" applyNumberFormat="1" applyFont="1" applyFill="1" applyBorder="1" applyAlignment="1">
      <alignment horizontal="center"/>
    </xf>
    <xf numFmtId="1" fontId="73" fillId="0" borderId="12" xfId="24" applyNumberFormat="1" applyFont="1" applyBorder="1" applyAlignment="1">
      <alignment horizontal="center"/>
    </xf>
    <xf numFmtId="0" fontId="33" fillId="0" borderId="0" xfId="23" applyFont="1"/>
    <xf numFmtId="165" fontId="74" fillId="0" borderId="7" xfId="26" applyNumberFormat="1" applyFont="1" applyFill="1" applyBorder="1"/>
    <xf numFmtId="1" fontId="75" fillId="0" borderId="5" xfId="26" applyNumberFormat="1" applyFont="1" applyFill="1" applyBorder="1"/>
    <xf numFmtId="1" fontId="75" fillId="0" borderId="9" xfId="26" applyNumberFormat="1" applyFont="1" applyFill="1" applyBorder="1"/>
    <xf numFmtId="165" fontId="75" fillId="0" borderId="7" xfId="26" applyNumberFormat="1" applyFont="1" applyFill="1" applyBorder="1"/>
    <xf numFmtId="167" fontId="75" fillId="0" borderId="7" xfId="27" applyNumberFormat="1" applyFont="1" applyFill="1" applyBorder="1"/>
    <xf numFmtId="167" fontId="75" fillId="0" borderId="14" xfId="27" applyNumberFormat="1" applyFont="1" applyFill="1" applyBorder="1"/>
    <xf numFmtId="166" fontId="20" fillId="0" borderId="0" xfId="26" applyNumberFormat="1" applyFont="1"/>
    <xf numFmtId="0" fontId="20" fillId="0" borderId="0" xfId="23" applyFont="1" applyAlignment="1">
      <alignment horizontal="right"/>
    </xf>
    <xf numFmtId="166" fontId="20" fillId="0" borderId="17" xfId="26" applyNumberFormat="1" applyFont="1" applyBorder="1"/>
    <xf numFmtId="167" fontId="75" fillId="0" borderId="6" xfId="27" applyNumberFormat="1" applyFont="1" applyFill="1" applyBorder="1"/>
    <xf numFmtId="165" fontId="20" fillId="0" borderId="0" xfId="23" applyNumberFormat="1" applyFont="1" applyAlignment="1">
      <alignment horizontal="right"/>
    </xf>
    <xf numFmtId="167" fontId="75" fillId="0" borderId="9" xfId="27" applyNumberFormat="1" applyFont="1" applyFill="1" applyBorder="1"/>
    <xf numFmtId="165" fontId="73" fillId="0" borderId="7" xfId="26" applyNumberFormat="1" applyFont="1" applyFill="1" applyBorder="1"/>
    <xf numFmtId="167" fontId="73" fillId="0" borderId="14" xfId="27" applyNumberFormat="1" applyFont="1" applyFill="1" applyBorder="1"/>
    <xf numFmtId="166" fontId="20" fillId="0" borderId="0" xfId="23" applyNumberFormat="1" applyFont="1"/>
    <xf numFmtId="167" fontId="73" fillId="0" borderId="12" xfId="27" applyNumberFormat="1" applyFont="1" applyFill="1" applyBorder="1"/>
    <xf numFmtId="43" fontId="20" fillId="0" borderId="0" xfId="23" applyNumberFormat="1" applyFont="1"/>
    <xf numFmtId="166" fontId="75" fillId="0" borderId="11" xfId="27" applyNumberFormat="1" applyFont="1" applyFill="1" applyBorder="1"/>
    <xf numFmtId="167" fontId="73" fillId="0" borderId="7" xfId="27" applyNumberFormat="1" applyFont="1" applyFill="1" applyBorder="1"/>
    <xf numFmtId="167" fontId="73" fillId="0" borderId="9" xfId="27" applyNumberFormat="1" applyFont="1" applyFill="1" applyBorder="1"/>
    <xf numFmtId="165" fontId="20" fillId="0" borderId="0" xfId="23" applyNumberFormat="1" applyFont="1"/>
    <xf numFmtId="167" fontId="75" fillId="0" borderId="11" xfId="27" applyNumberFormat="1" applyFont="1" applyFill="1" applyBorder="1"/>
    <xf numFmtId="166" fontId="25" fillId="0" borderId="0" xfId="28" applyNumberFormat="1" applyFont="1"/>
    <xf numFmtId="167" fontId="73" fillId="0" borderId="11" xfId="27" applyNumberFormat="1" applyFont="1" applyFill="1" applyBorder="1"/>
    <xf numFmtId="165" fontId="73" fillId="0" borderId="38" xfId="26" applyNumberFormat="1" applyFont="1" applyFill="1" applyBorder="1" applyAlignment="1">
      <alignment horizontal="left"/>
    </xf>
    <xf numFmtId="167" fontId="75" fillId="0" borderId="56" xfId="27" applyNumberFormat="1" applyFont="1" applyFill="1" applyBorder="1"/>
    <xf numFmtId="167" fontId="73" fillId="0" borderId="38" xfId="27" applyNumberFormat="1" applyFont="1" applyFill="1" applyBorder="1"/>
    <xf numFmtId="0" fontId="4" fillId="0" borderId="0" xfId="29" applyFont="1"/>
    <xf numFmtId="0" fontId="3" fillId="0" borderId="0" xfId="29" applyFont="1"/>
    <xf numFmtId="165" fontId="3" fillId="0" borderId="0" xfId="28" applyNumberFormat="1" applyFont="1"/>
    <xf numFmtId="0" fontId="77" fillId="0" borderId="0" xfId="30" applyFont="1"/>
    <xf numFmtId="165" fontId="25" fillId="0" borderId="0" xfId="28" applyNumberFormat="1" applyFont="1"/>
    <xf numFmtId="0" fontId="1" fillId="0" borderId="0" xfId="31"/>
    <xf numFmtId="9" fontId="78" fillId="0" borderId="0" xfId="22" applyFont="1" applyBorder="1"/>
    <xf numFmtId="181" fontId="78" fillId="0" borderId="0" xfId="31" applyNumberFormat="1" applyFont="1"/>
    <xf numFmtId="165" fontId="78" fillId="0" borderId="0" xfId="32" applyNumberFormat="1" applyFont="1" applyBorder="1"/>
    <xf numFmtId="9" fontId="79" fillId="9" borderId="57" xfId="22" applyFont="1" applyFill="1" applyBorder="1" applyAlignment="1">
      <alignment horizontal="center" vertical="center"/>
    </xf>
    <xf numFmtId="181" fontId="79" fillId="9" borderId="58" xfId="31" applyNumberFormat="1" applyFont="1" applyFill="1" applyBorder="1" applyAlignment="1">
      <alignment horizontal="center" vertical="center"/>
    </xf>
    <xf numFmtId="181" fontId="79" fillId="9" borderId="58" xfId="31" applyNumberFormat="1" applyFont="1" applyFill="1" applyBorder="1" applyAlignment="1">
      <alignment horizontal="center" vertical="center" wrapText="1"/>
    </xf>
    <xf numFmtId="165" fontId="79" fillId="9" borderId="58" xfId="32" applyNumberFormat="1" applyFont="1" applyFill="1" applyBorder="1" applyAlignment="1">
      <alignment horizontal="center" vertical="center" wrapText="1"/>
    </xf>
    <xf numFmtId="0" fontId="79" fillId="9" borderId="58" xfId="31" applyFont="1" applyFill="1" applyBorder="1" applyAlignment="1">
      <alignment horizontal="center" vertical="center" wrapText="1"/>
    </xf>
    <xf numFmtId="165" fontId="79" fillId="9" borderId="59" xfId="32" applyNumberFormat="1" applyFont="1" applyFill="1" applyBorder="1" applyAlignment="1">
      <alignment horizontal="center" vertical="center"/>
    </xf>
    <xf numFmtId="9" fontId="78" fillId="0" borderId="34" xfId="22" applyFont="1" applyFill="1" applyBorder="1" applyAlignment="1">
      <alignment horizontal="center" vertical="center"/>
    </xf>
    <xf numFmtId="181" fontId="78" fillId="0" borderId="11" xfId="31" applyNumberFormat="1" applyFont="1" applyBorder="1"/>
    <xf numFmtId="165" fontId="78" fillId="0" borderId="11" xfId="32" applyNumberFormat="1" applyFont="1" applyFill="1" applyBorder="1"/>
    <xf numFmtId="165" fontId="78" fillId="0" borderId="35" xfId="32" applyNumberFormat="1" applyFont="1" applyFill="1" applyBorder="1"/>
    <xf numFmtId="9" fontId="78" fillId="0" borderId="26" xfId="22" applyFont="1" applyFill="1" applyBorder="1" applyAlignment="1">
      <alignment horizontal="center" vertical="center"/>
    </xf>
    <xf numFmtId="181" fontId="78" fillId="0" borderId="12" xfId="31" applyNumberFormat="1" applyFont="1" applyBorder="1"/>
    <xf numFmtId="165" fontId="78" fillId="0" borderId="12" xfId="32" applyNumberFormat="1" applyFont="1" applyFill="1" applyBorder="1"/>
    <xf numFmtId="165" fontId="78" fillId="0" borderId="27" xfId="32" applyNumberFormat="1" applyFont="1" applyFill="1" applyBorder="1"/>
    <xf numFmtId="9" fontId="78" fillId="0" borderId="28" xfId="22" applyFont="1" applyFill="1" applyBorder="1"/>
    <xf numFmtId="181" fontId="78" fillId="0" borderId="22" xfId="31" applyNumberFormat="1" applyFont="1" applyBorder="1"/>
    <xf numFmtId="166" fontId="78" fillId="0" borderId="22" xfId="26" applyNumberFormat="1" applyFont="1" applyBorder="1"/>
    <xf numFmtId="165" fontId="78" fillId="0" borderId="22" xfId="32" applyNumberFormat="1" applyFont="1" applyFill="1" applyBorder="1"/>
    <xf numFmtId="165" fontId="79" fillId="0" borderId="29" xfId="32" applyNumberFormat="1" applyFont="1" applyFill="1" applyBorder="1"/>
    <xf numFmtId="165" fontId="78" fillId="0" borderId="0" xfId="32" applyNumberFormat="1" applyFont="1" applyFill="1" applyBorder="1"/>
    <xf numFmtId="0" fontId="48" fillId="0" borderId="0" xfId="30" applyFont="1"/>
    <xf numFmtId="165" fontId="48" fillId="0" borderId="0" xfId="33" applyNumberFormat="1" applyFont="1"/>
    <xf numFmtId="37" fontId="48" fillId="0" borderId="0" xfId="30" applyNumberFormat="1" applyFont="1"/>
    <xf numFmtId="0" fontId="47" fillId="9" borderId="60" xfId="30" applyFont="1" applyFill="1" applyBorder="1" applyAlignment="1">
      <alignment horizontal="center"/>
    </xf>
    <xf numFmtId="0" fontId="47" fillId="9" borderId="61" xfId="30" applyFont="1" applyFill="1" applyBorder="1" applyAlignment="1">
      <alignment horizontal="center"/>
    </xf>
    <xf numFmtId="0" fontId="47" fillId="9" borderId="62" xfId="30" applyFont="1" applyFill="1" applyBorder="1" applyAlignment="1">
      <alignment horizontal="center"/>
    </xf>
    <xf numFmtId="165" fontId="48" fillId="9" borderId="62" xfId="33" applyNumberFormat="1" applyFont="1" applyFill="1" applyBorder="1"/>
    <xf numFmtId="37" fontId="47" fillId="9" borderId="63" xfId="30" applyNumberFormat="1" applyFont="1" applyFill="1" applyBorder="1" applyAlignment="1">
      <alignment horizontal="center"/>
    </xf>
    <xf numFmtId="0" fontId="48" fillId="0" borderId="50" xfId="30" applyFont="1" applyBorder="1"/>
    <xf numFmtId="165" fontId="48" fillId="0" borderId="6" xfId="33" applyNumberFormat="1" applyFont="1" applyBorder="1"/>
    <xf numFmtId="37" fontId="48" fillId="0" borderId="64" xfId="30" applyNumberFormat="1" applyFont="1" applyBorder="1"/>
    <xf numFmtId="0" fontId="47" fillId="0" borderId="65" xfId="30" applyFont="1" applyBorder="1"/>
    <xf numFmtId="0" fontId="47" fillId="0" borderId="3" xfId="30" applyFont="1" applyBorder="1"/>
    <xf numFmtId="165" fontId="47" fillId="0" borderId="4" xfId="33" applyNumberFormat="1" applyFont="1" applyBorder="1"/>
    <xf numFmtId="37" fontId="47" fillId="0" borderId="27" xfId="30" applyNumberFormat="1" applyFont="1" applyBorder="1"/>
    <xf numFmtId="165" fontId="48" fillId="0" borderId="10" xfId="33" applyNumberFormat="1" applyFont="1" applyBorder="1"/>
    <xf numFmtId="165" fontId="48" fillId="0" borderId="0" xfId="33" applyNumberFormat="1" applyFont="1" applyBorder="1"/>
    <xf numFmtId="37" fontId="48" fillId="0" borderId="48" xfId="30" applyNumberFormat="1" applyFont="1" applyBorder="1"/>
    <xf numFmtId="0" fontId="77" fillId="0" borderId="50" xfId="30" applyFont="1" applyBorder="1"/>
    <xf numFmtId="0" fontId="48" fillId="0" borderId="49" xfId="30" applyFont="1" applyBorder="1"/>
    <xf numFmtId="0" fontId="48" fillId="0" borderId="17" xfId="30" applyFont="1" applyBorder="1"/>
    <xf numFmtId="165" fontId="48" fillId="0" borderId="13" xfId="33" applyNumberFormat="1" applyFont="1" applyBorder="1"/>
    <xf numFmtId="37" fontId="48" fillId="0" borderId="66" xfId="30" applyNumberFormat="1" applyFont="1" applyBorder="1"/>
    <xf numFmtId="0" fontId="48" fillId="0" borderId="67" xfId="30" applyFont="1" applyBorder="1"/>
    <xf numFmtId="0" fontId="47" fillId="0" borderId="19" xfId="30" applyFont="1" applyBorder="1"/>
    <xf numFmtId="165" fontId="47" fillId="0" borderId="56" xfId="33" applyNumberFormat="1" applyFont="1" applyBorder="1"/>
    <xf numFmtId="0" fontId="48" fillId="0" borderId="68" xfId="30" applyFont="1" applyBorder="1"/>
    <xf numFmtId="0" fontId="47" fillId="0" borderId="69" xfId="30" applyFont="1" applyBorder="1"/>
    <xf numFmtId="165" fontId="47" fillId="0" borderId="69" xfId="33" applyNumberFormat="1" applyFont="1" applyBorder="1"/>
    <xf numFmtId="37" fontId="47" fillId="0" borderId="70" xfId="30" applyNumberFormat="1" applyFont="1" applyBorder="1" applyAlignment="1">
      <alignment horizontal="right"/>
    </xf>
    <xf numFmtId="0" fontId="80" fillId="0" borderId="0" xfId="30" applyFont="1"/>
    <xf numFmtId="0" fontId="81" fillId="0" borderId="0" xfId="30" applyFont="1"/>
    <xf numFmtId="165" fontId="81" fillId="0" borderId="0" xfId="33" applyNumberFormat="1" applyFont="1" applyBorder="1"/>
    <xf numFmtId="37" fontId="81" fillId="0" borderId="0" xfId="30" applyNumberFormat="1" applyFont="1" applyAlignment="1">
      <alignment horizontal="right"/>
    </xf>
    <xf numFmtId="166" fontId="79" fillId="0" borderId="0" xfId="26" applyNumberFormat="1" applyFont="1" applyBorder="1"/>
    <xf numFmtId="165" fontId="20" fillId="0" borderId="0" xfId="28" applyNumberFormat="1" applyFont="1"/>
    <xf numFmtId="9" fontId="79" fillId="9" borderId="12" xfId="22" applyFont="1" applyFill="1" applyBorder="1" applyAlignment="1">
      <alignment horizontal="center" vertical="center"/>
    </xf>
    <xf numFmtId="1" fontId="79" fillId="0" borderId="12" xfId="22" applyNumberFormat="1" applyFont="1" applyFill="1" applyBorder="1" applyAlignment="1">
      <alignment horizontal="center" vertical="center"/>
    </xf>
    <xf numFmtId="0" fontId="48" fillId="0" borderId="12" xfId="30" applyFont="1" applyBorder="1"/>
    <xf numFmtId="166" fontId="48" fillId="0" borderId="12" xfId="26" applyNumberFormat="1" applyFont="1" applyBorder="1"/>
    <xf numFmtId="166" fontId="79" fillId="9" borderId="12" xfId="26" applyNumberFormat="1" applyFont="1" applyFill="1" applyBorder="1" applyAlignment="1">
      <alignment horizontal="center" vertical="center"/>
    </xf>
    <xf numFmtId="43" fontId="25" fillId="0" borderId="0" xfId="23" applyNumberFormat="1" applyFont="1"/>
    <xf numFmtId="166" fontId="25" fillId="0" borderId="0" xfId="23" applyNumberFormat="1" applyFont="1"/>
    <xf numFmtId="164" fontId="50" fillId="0" borderId="44" xfId="1" applyFont="1" applyBorder="1" applyAlignment="1">
      <alignment vertical="center" wrapText="1"/>
    </xf>
    <xf numFmtId="164" fontId="51" fillId="0" borderId="44" xfId="1" applyFont="1" applyBorder="1" applyAlignment="1">
      <alignment vertical="center" wrapText="1"/>
    </xf>
    <xf numFmtId="165" fontId="20" fillId="2" borderId="0" xfId="0" applyNumberFormat="1" applyFont="1" applyFill="1" applyAlignment="1">
      <alignment horizontal="center" wrapText="1"/>
    </xf>
    <xf numFmtId="165" fontId="20" fillId="2" borderId="0" xfId="0" applyNumberFormat="1" applyFont="1" applyFill="1" applyAlignment="1">
      <alignment horizontal="center"/>
    </xf>
    <xf numFmtId="165" fontId="25" fillId="2" borderId="0" xfId="0" applyNumberFormat="1" applyFont="1" applyFill="1" applyAlignment="1">
      <alignment horizontal="center" wrapText="1"/>
    </xf>
    <xf numFmtId="49" fontId="18" fillId="2" borderId="5" xfId="0" applyNumberFormat="1" applyFont="1" applyFill="1" applyBorder="1"/>
    <xf numFmtId="49" fontId="18" fillId="2" borderId="15" xfId="0" applyNumberFormat="1" applyFont="1" applyFill="1" applyBorder="1"/>
    <xf numFmtId="166" fontId="4" fillId="2" borderId="10" xfId="15" applyNumberFormat="1" applyFont="1" applyFill="1" applyBorder="1" applyAlignment="1">
      <alignment vertical="center"/>
    </xf>
    <xf numFmtId="166" fontId="3" fillId="2" borderId="15" xfId="15" applyNumberFormat="1" applyFont="1" applyFill="1" applyBorder="1" applyAlignment="1">
      <alignment horizontal="center" vertical="center"/>
    </xf>
    <xf numFmtId="49" fontId="18" fillId="2" borderId="0" xfId="0" applyNumberFormat="1" applyFont="1" applyFill="1"/>
    <xf numFmtId="170" fontId="4" fillId="2" borderId="0" xfId="0" applyNumberFormat="1" applyFont="1" applyFill="1" applyAlignment="1">
      <alignment horizontal="left" vertical="center" indent="6"/>
    </xf>
    <xf numFmtId="0" fontId="20" fillId="2" borderId="0" xfId="0" applyFont="1" applyFill="1" applyAlignment="1">
      <alignment horizontal="left" indent="2"/>
    </xf>
    <xf numFmtId="165" fontId="20" fillId="2" borderId="0" xfId="0" applyNumberFormat="1" applyFont="1" applyFill="1"/>
    <xf numFmtId="165" fontId="15" fillId="3" borderId="0" xfId="1" applyNumberFormat="1" applyFont="1" applyFill="1" applyBorder="1" applyAlignment="1">
      <alignment vertical="center"/>
    </xf>
    <xf numFmtId="165" fontId="15" fillId="3" borderId="17" xfId="1" applyNumberFormat="1" applyFont="1" applyFill="1" applyBorder="1" applyAlignment="1">
      <alignment vertical="center"/>
    </xf>
    <xf numFmtId="176" fontId="15" fillId="3" borderId="0" xfId="1" applyNumberFormat="1" applyFont="1" applyFill="1" applyBorder="1" applyAlignment="1">
      <alignment vertical="center"/>
    </xf>
    <xf numFmtId="164" fontId="15" fillId="3" borderId="0" xfId="1" applyFont="1" applyFill="1" applyBorder="1" applyAlignment="1">
      <alignment horizontal="center" vertical="center"/>
    </xf>
    <xf numFmtId="10" fontId="4" fillId="3" borderId="0" xfId="2" applyNumberFormat="1" applyFont="1" applyFill="1" applyBorder="1" applyAlignment="1">
      <alignment horizontal="center" vertical="top" wrapText="1"/>
    </xf>
    <xf numFmtId="164" fontId="15" fillId="3" borderId="17" xfId="1" applyFont="1" applyFill="1" applyBorder="1" applyAlignment="1">
      <alignment horizontal="center" vertical="center"/>
    </xf>
    <xf numFmtId="164" fontId="18" fillId="2" borderId="0" xfId="1" applyFont="1" applyFill="1" applyAlignment="1">
      <alignment horizontal="center"/>
    </xf>
    <xf numFmtId="164" fontId="18" fillId="0" borderId="0" xfId="1" applyFont="1" applyFill="1" applyAlignment="1">
      <alignment horizontal="center"/>
    </xf>
    <xf numFmtId="164" fontId="7" fillId="0" borderId="0" xfId="1" applyFont="1" applyAlignment="1">
      <alignment vertical="center"/>
    </xf>
    <xf numFmtId="164" fontId="18" fillId="0" borderId="0" xfId="1" applyFont="1" applyFill="1"/>
    <xf numFmtId="0" fontId="68" fillId="10" borderId="71" xfId="0" applyFont="1" applyFill="1" applyBorder="1" applyAlignment="1">
      <alignment horizontal="left"/>
    </xf>
    <xf numFmtId="164" fontId="25" fillId="0" borderId="0" xfId="1" applyFont="1" applyFill="1" applyBorder="1"/>
    <xf numFmtId="164" fontId="55" fillId="0" borderId="0" xfId="1" applyFont="1"/>
    <xf numFmtId="0" fontId="48" fillId="0" borderId="15" xfId="5" applyFont="1" applyBorder="1"/>
    <xf numFmtId="0" fontId="48" fillId="0" borderId="9" xfId="5" applyFont="1" applyBorder="1"/>
    <xf numFmtId="0" fontId="48" fillId="0" borderId="11" xfId="5" applyFont="1" applyBorder="1"/>
    <xf numFmtId="0" fontId="48" fillId="0" borderId="7" xfId="5" applyFont="1" applyBorder="1"/>
    <xf numFmtId="165" fontId="48" fillId="0" borderId="6" xfId="16" applyNumberFormat="1" applyFont="1" applyFill="1" applyBorder="1"/>
    <xf numFmtId="0" fontId="48" fillId="0" borderId="5" xfId="5" applyFont="1" applyBorder="1"/>
    <xf numFmtId="165" fontId="48" fillId="0" borderId="14" xfId="1" applyNumberFormat="1" applyFont="1" applyFill="1" applyBorder="1" applyAlignment="1">
      <alignment horizontal="center"/>
    </xf>
    <xf numFmtId="165" fontId="48" fillId="0" borderId="11" xfId="1" applyNumberFormat="1" applyFont="1" applyBorder="1"/>
    <xf numFmtId="165" fontId="48" fillId="0" borderId="6" xfId="5" applyNumberFormat="1" applyFont="1" applyBorder="1"/>
    <xf numFmtId="10" fontId="0" fillId="0" borderId="0" xfId="0" applyNumberFormat="1"/>
    <xf numFmtId="165" fontId="14" fillId="2" borderId="19" xfId="1" applyNumberFormat="1" applyFont="1" applyFill="1" applyBorder="1" applyAlignment="1">
      <alignment horizontal="left"/>
    </xf>
    <xf numFmtId="0" fontId="83" fillId="12" borderId="12" xfId="0" applyFont="1" applyFill="1" applyBorder="1" applyAlignment="1">
      <alignment horizontal="left"/>
    </xf>
    <xf numFmtId="0" fontId="83" fillId="12" borderId="12" xfId="0" applyFont="1" applyFill="1" applyBorder="1" applyAlignment="1">
      <alignment horizontal="right"/>
    </xf>
    <xf numFmtId="0" fontId="83" fillId="10" borderId="12" xfId="0" applyFont="1" applyFill="1" applyBorder="1" applyAlignment="1">
      <alignment horizontal="left"/>
    </xf>
    <xf numFmtId="0" fontId="82" fillId="12" borderId="12" xfId="0" applyFont="1" applyFill="1" applyBorder="1" applyAlignment="1">
      <alignment horizontal="left"/>
    </xf>
    <xf numFmtId="164" fontId="83" fillId="10" borderId="12" xfId="1" applyFont="1" applyFill="1" applyBorder="1" applyAlignment="1">
      <alignment horizontal="right"/>
    </xf>
    <xf numFmtId="164" fontId="82" fillId="12" borderId="12" xfId="1" applyFont="1" applyFill="1" applyBorder="1" applyAlignment="1">
      <alignment horizontal="right"/>
    </xf>
    <xf numFmtId="164" fontId="33" fillId="0" borderId="0" xfId="1" applyFont="1"/>
    <xf numFmtId="164" fontId="20" fillId="0" borderId="0" xfId="1" applyFont="1"/>
    <xf numFmtId="164" fontId="25" fillId="0" borderId="3" xfId="1" applyFont="1" applyFill="1" applyBorder="1"/>
    <xf numFmtId="164" fontId="32" fillId="0" borderId="0" xfId="1" applyFont="1"/>
    <xf numFmtId="164" fontId="20" fillId="3" borderId="0" xfId="1" applyFont="1" applyFill="1"/>
    <xf numFmtId="164" fontId="25" fillId="0" borderId="0" xfId="1" applyFont="1"/>
    <xf numFmtId="0" fontId="83" fillId="5" borderId="12" xfId="0" applyFont="1" applyFill="1" applyBorder="1" applyAlignment="1">
      <alignment horizontal="left"/>
    </xf>
    <xf numFmtId="164" fontId="83" fillId="5" borderId="12" xfId="1" applyFont="1" applyFill="1" applyBorder="1" applyAlignment="1">
      <alignment horizontal="right"/>
    </xf>
    <xf numFmtId="0" fontId="0" fillId="5" borderId="0" xfId="0" applyFill="1"/>
    <xf numFmtId="165" fontId="25" fillId="0" borderId="0" xfId="1" quotePrefix="1" applyNumberFormat="1" applyFont="1" applyFill="1" applyBorder="1" applyAlignment="1">
      <alignment horizontal="right"/>
    </xf>
    <xf numFmtId="165" fontId="25" fillId="2" borderId="0" xfId="1" quotePrefix="1" applyNumberFormat="1" applyFont="1" applyFill="1" applyBorder="1" applyAlignment="1">
      <alignment horizontal="right"/>
    </xf>
    <xf numFmtId="0" fontId="20" fillId="5" borderId="0" xfId="0" applyFont="1" applyFill="1"/>
    <xf numFmtId="164" fontId="20" fillId="5" borderId="0" xfId="1" applyFont="1" applyFill="1"/>
    <xf numFmtId="165" fontId="20" fillId="5" borderId="0" xfId="1" applyNumberFormat="1" applyFont="1" applyFill="1"/>
    <xf numFmtId="165" fontId="34" fillId="0" borderId="3" xfId="1" applyNumberFormat="1" applyFont="1" applyFill="1" applyBorder="1"/>
    <xf numFmtId="164" fontId="25" fillId="0" borderId="0" xfId="1" applyFont="1" applyBorder="1"/>
    <xf numFmtId="0" fontId="83" fillId="0" borderId="12" xfId="0" applyFont="1" applyBorder="1" applyAlignment="1">
      <alignment horizontal="left"/>
    </xf>
    <xf numFmtId="164" fontId="83" fillId="0" borderId="12" xfId="1" applyFont="1" applyFill="1" applyBorder="1" applyAlignment="1">
      <alignment horizontal="right"/>
    </xf>
    <xf numFmtId="43" fontId="0" fillId="5" borderId="0" xfId="0" applyNumberFormat="1" applyFill="1"/>
    <xf numFmtId="43" fontId="20" fillId="0" borderId="0" xfId="0" applyNumberFormat="1" applyFont="1"/>
    <xf numFmtId="10" fontId="8" fillId="0" borderId="0" xfId="2" applyNumberFormat="1" applyFont="1" applyAlignment="1">
      <alignment vertical="center"/>
    </xf>
    <xf numFmtId="164" fontId="83" fillId="10" borderId="0" xfId="1" applyFont="1" applyFill="1" applyBorder="1" applyAlignment="1">
      <alignment horizontal="right"/>
    </xf>
    <xf numFmtId="164" fontId="0" fillId="5" borderId="0" xfId="0" applyNumberFormat="1" applyFill="1"/>
    <xf numFmtId="164" fontId="0" fillId="5" borderId="0" xfId="1" applyFont="1" applyFill="1"/>
    <xf numFmtId="164" fontId="20" fillId="0" borderId="17" xfId="1" applyFont="1" applyBorder="1"/>
    <xf numFmtId="0" fontId="0" fillId="0" borderId="73" xfId="0" applyBorder="1"/>
    <xf numFmtId="164" fontId="0" fillId="0" borderId="74" xfId="1" applyFont="1" applyBorder="1"/>
    <xf numFmtId="0" fontId="0" fillId="0" borderId="50" xfId="0" applyBorder="1"/>
    <xf numFmtId="164" fontId="0" fillId="0" borderId="64" xfId="1" applyFont="1" applyBorder="1"/>
    <xf numFmtId="164" fontId="55" fillId="0" borderId="63" xfId="0" applyNumberFormat="1" applyFont="1" applyBorder="1"/>
    <xf numFmtId="0" fontId="55" fillId="0" borderId="72" xfId="0" applyFont="1" applyBorder="1"/>
    <xf numFmtId="0" fontId="45" fillId="0" borderId="12" xfId="34" applyFont="1" applyFill="1" applyBorder="1" applyAlignment="1">
      <alignment horizontal="center"/>
    </xf>
    <xf numFmtId="0" fontId="0" fillId="0" borderId="11" xfId="0" applyBorder="1" applyAlignment="1">
      <alignment horizontal="center"/>
    </xf>
    <xf numFmtId="171" fontId="55" fillId="0" borderId="11" xfId="0" applyNumberFormat="1" applyFont="1" applyBorder="1" applyAlignment="1">
      <alignment horizontal="center"/>
    </xf>
    <xf numFmtId="171" fontId="55" fillId="13" borderId="11" xfId="0" applyNumberFormat="1" applyFont="1" applyFill="1" applyBorder="1" applyAlignment="1">
      <alignment horizontal="center"/>
    </xf>
    <xf numFmtId="164" fontId="44" fillId="14" borderId="12" xfId="20" applyNumberFormat="1" applyFont="1" applyFill="1" applyBorder="1" applyAlignment="1">
      <alignment horizontal="center" vertical="center" wrapText="1"/>
    </xf>
    <xf numFmtId="1" fontId="59" fillId="0" borderId="12" xfId="0" applyNumberFormat="1" applyFont="1" applyBorder="1"/>
    <xf numFmtId="165" fontId="57" fillId="9" borderId="12" xfId="11" applyNumberFormat="1" applyFont="1" applyFill="1" applyBorder="1"/>
    <xf numFmtId="15" fontId="61" fillId="9" borderId="12" xfId="0" applyNumberFormat="1" applyFont="1" applyFill="1" applyBorder="1" applyAlignment="1">
      <alignment horizontal="center"/>
    </xf>
    <xf numFmtId="43" fontId="61" fillId="9" borderId="12" xfId="15" applyFont="1" applyFill="1" applyBorder="1"/>
    <xf numFmtId="43" fontId="61" fillId="0" borderId="12" xfId="15" applyFont="1" applyFill="1" applyBorder="1"/>
    <xf numFmtId="15" fontId="0" fillId="0" borderId="0" xfId="0" applyNumberFormat="1"/>
    <xf numFmtId="165" fontId="55" fillId="0" borderId="0" xfId="0" applyNumberFormat="1" applyFont="1"/>
    <xf numFmtId="43" fontId="0" fillId="0" borderId="0" xfId="0" applyNumberFormat="1"/>
    <xf numFmtId="0" fontId="55" fillId="0" borderId="75" xfId="0" applyFont="1" applyBorder="1" applyAlignment="1">
      <alignment horizontal="left"/>
    </xf>
    <xf numFmtId="43" fontId="55" fillId="0" borderId="76" xfId="0" applyNumberFormat="1" applyFont="1" applyBorder="1" applyAlignment="1">
      <alignment horizontal="left"/>
    </xf>
    <xf numFmtId="164" fontId="0" fillId="0" borderId="73" xfId="1" applyFont="1" applyBorder="1" applyAlignment="1">
      <alignment horizontal="left"/>
    </xf>
    <xf numFmtId="164" fontId="0" fillId="0" borderId="74" xfId="1" applyFont="1" applyBorder="1" applyAlignment="1">
      <alignment horizontal="left"/>
    </xf>
    <xf numFmtId="164" fontId="0" fillId="0" borderId="50" xfId="1" applyFont="1" applyBorder="1" applyAlignment="1">
      <alignment horizontal="left"/>
    </xf>
    <xf numFmtId="164" fontId="0" fillId="0" borderId="64" xfId="1" applyFont="1" applyBorder="1" applyAlignment="1">
      <alignment horizontal="left"/>
    </xf>
    <xf numFmtId="164" fontId="14" fillId="2" borderId="14" xfId="1" applyFont="1" applyFill="1" applyBorder="1" applyAlignment="1">
      <alignment vertical="top"/>
    </xf>
    <xf numFmtId="164" fontId="15" fillId="2" borderId="7" xfId="1" applyFont="1" applyFill="1" applyBorder="1" applyAlignment="1">
      <alignment vertical="top"/>
    </xf>
    <xf numFmtId="43" fontId="20" fillId="2" borderId="7" xfId="0" applyNumberFormat="1" applyFont="1" applyFill="1" applyBorder="1"/>
    <xf numFmtId="43" fontId="20" fillId="2" borderId="0" xfId="0" applyNumberFormat="1" applyFont="1" applyFill="1"/>
    <xf numFmtId="183" fontId="0" fillId="0" borderId="0" xfId="2" applyNumberFormat="1" applyFont="1"/>
    <xf numFmtId="10" fontId="7" fillId="0" borderId="0" xfId="2" applyNumberFormat="1" applyFont="1" applyAlignment="1">
      <alignment vertical="center"/>
    </xf>
    <xf numFmtId="184" fontId="8" fillId="0" borderId="0" xfId="2" applyNumberFormat="1" applyFont="1" applyAlignment="1">
      <alignment vertical="center"/>
    </xf>
    <xf numFmtId="9" fontId="79" fillId="9" borderId="12" xfId="22" applyFont="1" applyFill="1" applyBorder="1" applyAlignment="1">
      <alignment horizontal="center" vertical="center"/>
    </xf>
    <xf numFmtId="165" fontId="25" fillId="0" borderId="0" xfId="1" applyNumberFormat="1" applyFont="1" applyFill="1" applyAlignment="1">
      <alignment horizontal="center" vertical="center"/>
    </xf>
    <xf numFmtId="165" fontId="25" fillId="0" borderId="0" xfId="1" applyNumberFormat="1" applyFont="1" applyFill="1" applyBorder="1" applyAlignment="1">
      <alignment horizontal="center" vertical="center"/>
    </xf>
    <xf numFmtId="0" fontId="67" fillId="11" borderId="54" xfId="0" applyFont="1" applyFill="1" applyBorder="1" applyAlignment="1">
      <alignment horizontal="center" vertical="center"/>
    </xf>
    <xf numFmtId="0" fontId="0" fillId="0" borderId="0" xfId="0"/>
    <xf numFmtId="164" fontId="0" fillId="0" borderId="12" xfId="1" applyFont="1" applyBorder="1"/>
    <xf numFmtId="0" fontId="0" fillId="0" borderId="12" xfId="0" applyBorder="1"/>
    <xf numFmtId="165" fontId="4" fillId="2" borderId="15" xfId="7" applyNumberFormat="1" applyFont="1" applyFill="1" applyBorder="1" applyAlignment="1">
      <alignment horizontal="center" vertical="center"/>
    </xf>
    <xf numFmtId="166" fontId="3" fillId="2" borderId="6" xfId="15" applyNumberFormat="1" applyFont="1" applyFill="1" applyBorder="1" applyAlignment="1">
      <alignment horizontal="left" vertical="center" indent="6"/>
    </xf>
    <xf numFmtId="166" fontId="3" fillId="2" borderId="0" xfId="15" applyNumberFormat="1" applyFont="1" applyFill="1" applyBorder="1" applyAlignment="1">
      <alignment horizontal="left" vertical="center" indent="6"/>
    </xf>
    <xf numFmtId="170" fontId="3" fillId="2" borderId="0" xfId="0" applyNumberFormat="1" applyFont="1" applyFill="1" applyAlignment="1">
      <alignment horizontal="center" wrapText="1"/>
    </xf>
    <xf numFmtId="166" fontId="3" fillId="2" borderId="6" xfId="15" applyNumberFormat="1" applyFont="1" applyFill="1" applyBorder="1" applyAlignment="1">
      <alignment horizontal="center" vertical="center"/>
    </xf>
    <xf numFmtId="166" fontId="3" fillId="2" borderId="0" xfId="15" applyNumberFormat="1" applyFont="1" applyFill="1" applyBorder="1" applyAlignment="1">
      <alignment horizontal="center" vertical="center"/>
    </xf>
    <xf numFmtId="0" fontId="18" fillId="2" borderId="7" xfId="0" applyFont="1" applyFill="1" applyBorder="1" applyAlignment="1">
      <alignment horizontal="left" vertical="top" wrapText="1"/>
    </xf>
    <xf numFmtId="0" fontId="18" fillId="2" borderId="0" xfId="0" applyFont="1" applyFill="1" applyAlignment="1">
      <alignment horizontal="left" vertical="top" wrapText="1"/>
    </xf>
    <xf numFmtId="0" fontId="18" fillId="2" borderId="7" xfId="0" applyFont="1" applyFill="1" applyBorder="1" applyAlignment="1">
      <alignment horizontal="left" vertical="top"/>
    </xf>
    <xf numFmtId="0" fontId="18" fillId="2" borderId="0" xfId="0" applyFont="1" applyFill="1" applyAlignment="1">
      <alignment horizontal="left" vertical="top"/>
    </xf>
    <xf numFmtId="0" fontId="18" fillId="2" borderId="8" xfId="0" applyFont="1" applyFill="1" applyBorder="1" applyAlignment="1">
      <alignment horizontal="left" vertical="top"/>
    </xf>
    <xf numFmtId="0" fontId="18" fillId="2" borderId="17" xfId="0" applyFont="1" applyFill="1" applyBorder="1" applyAlignment="1">
      <alignment horizontal="left" vertical="top"/>
    </xf>
    <xf numFmtId="0" fontId="20" fillId="2" borderId="17" xfId="0" applyFont="1" applyFill="1" applyBorder="1" applyAlignment="1">
      <alignment horizontal="left" vertical="top"/>
    </xf>
    <xf numFmtId="166" fontId="3" fillId="2" borderId="0" xfId="15" applyNumberFormat="1" applyFont="1" applyFill="1" applyBorder="1" applyAlignment="1">
      <alignment horizontal="left" vertical="center" indent="5"/>
    </xf>
    <xf numFmtId="0" fontId="4" fillId="0" borderId="0" xfId="5" applyFont="1" applyAlignment="1">
      <alignment horizontal="left" vertical="top" wrapText="1"/>
    </xf>
    <xf numFmtId="0" fontId="4" fillId="0" borderId="0" xfId="5" applyFont="1" applyAlignment="1">
      <alignment horizontal="justify" vertical="top" wrapText="1"/>
    </xf>
    <xf numFmtId="0" fontId="25" fillId="0" borderId="15" xfId="0" applyFont="1" applyBorder="1" applyAlignment="1">
      <alignment horizontal="center" vertical="center"/>
    </xf>
    <xf numFmtId="0" fontId="25" fillId="0" borderId="1" xfId="0" applyFont="1" applyBorder="1" applyAlignment="1">
      <alignment horizontal="center" vertical="center"/>
    </xf>
    <xf numFmtId="0" fontId="25" fillId="0" borderId="3" xfId="0" applyFont="1" applyBorder="1" applyAlignment="1">
      <alignment horizontal="center"/>
    </xf>
    <xf numFmtId="0" fontId="25" fillId="0" borderId="15" xfId="0" applyFont="1" applyBorder="1" applyAlignment="1">
      <alignment horizontal="center" vertical="center" wrapText="1"/>
    </xf>
    <xf numFmtId="0" fontId="25" fillId="0" borderId="1" xfId="0" applyFont="1" applyBorder="1" applyAlignment="1">
      <alignment horizontal="center" vertical="center" wrapText="1"/>
    </xf>
    <xf numFmtId="49" fontId="17" fillId="2" borderId="17" xfId="5" applyNumberFormat="1" applyFont="1" applyFill="1" applyBorder="1" applyAlignment="1">
      <alignment horizontal="center"/>
    </xf>
    <xf numFmtId="0" fontId="13" fillId="2" borderId="15" xfId="6" applyFont="1" applyFill="1" applyBorder="1" applyAlignment="1">
      <alignment horizontal="justify" vertical="top" wrapText="1"/>
    </xf>
    <xf numFmtId="0" fontId="13" fillId="2" borderId="0" xfId="6" applyFont="1" applyFill="1" applyAlignment="1">
      <alignment horizontal="justify" vertical="top" wrapText="1"/>
    </xf>
    <xf numFmtId="0" fontId="3" fillId="2" borderId="0" xfId="6" applyFont="1" applyFill="1" applyAlignment="1">
      <alignment horizontal="center" vertical="center" wrapText="1"/>
    </xf>
    <xf numFmtId="0" fontId="3" fillId="2" borderId="17" xfId="6" applyFont="1" applyFill="1" applyBorder="1" applyAlignment="1">
      <alignment horizontal="center" vertical="center" wrapText="1"/>
    </xf>
    <xf numFmtId="15" fontId="3" fillId="2" borderId="17" xfId="6" applyNumberFormat="1" applyFont="1" applyFill="1" applyBorder="1" applyAlignment="1">
      <alignment horizontal="center" vertical="top" wrapText="1"/>
    </xf>
    <xf numFmtId="0" fontId="3" fillId="2" borderId="17" xfId="6" applyFont="1" applyFill="1" applyBorder="1" applyAlignment="1">
      <alignment horizontal="center" vertical="top" wrapText="1"/>
    </xf>
    <xf numFmtId="0" fontId="4" fillId="2" borderId="15" xfId="6" applyFont="1" applyFill="1" applyBorder="1" applyAlignment="1">
      <alignment horizontal="left" vertical="top" wrapText="1" indent="1"/>
    </xf>
    <xf numFmtId="0" fontId="4" fillId="2" borderId="17" xfId="6" applyFont="1" applyFill="1" applyBorder="1" applyAlignment="1">
      <alignment horizontal="left" indent="1"/>
    </xf>
    <xf numFmtId="15" fontId="3" fillId="2" borderId="3" xfId="6" quotePrefix="1" applyNumberFormat="1" applyFont="1" applyFill="1" applyBorder="1" applyAlignment="1">
      <alignment horizontal="center" vertical="top" wrapText="1"/>
    </xf>
    <xf numFmtId="0" fontId="1" fillId="2" borderId="3" xfId="6" applyFill="1" applyBorder="1" applyAlignment="1">
      <alignment horizontal="center"/>
    </xf>
    <xf numFmtId="0" fontId="3" fillId="2" borderId="15" xfId="6" applyFont="1" applyFill="1" applyBorder="1" applyAlignment="1">
      <alignment horizontal="center" vertical="center" wrapText="1"/>
    </xf>
    <xf numFmtId="0" fontId="27" fillId="2" borderId="0" xfId="5" applyFont="1" applyFill="1" applyAlignment="1">
      <alignment horizontal="left"/>
    </xf>
    <xf numFmtId="0" fontId="3" fillId="2" borderId="45" xfId="5" applyFont="1" applyFill="1" applyBorder="1" applyAlignment="1">
      <alignment horizontal="left"/>
    </xf>
    <xf numFmtId="0" fontId="3" fillId="2" borderId="18" xfId="5" applyFont="1" applyFill="1" applyBorder="1" applyAlignment="1">
      <alignment horizontal="left"/>
    </xf>
    <xf numFmtId="0" fontId="3" fillId="2" borderId="46" xfId="5" applyFont="1" applyFill="1" applyBorder="1" applyAlignment="1">
      <alignment horizontal="left"/>
    </xf>
    <xf numFmtId="0" fontId="3" fillId="2" borderId="47" xfId="5" applyFont="1" applyFill="1" applyBorder="1" applyAlignment="1">
      <alignment horizontal="center" vertical="center" wrapText="1"/>
    </xf>
    <xf numFmtId="0" fontId="3" fillId="2" borderId="10" xfId="5" applyFont="1" applyFill="1" applyBorder="1" applyAlignment="1">
      <alignment horizontal="center" vertical="center" wrapText="1"/>
    </xf>
    <xf numFmtId="0" fontId="3" fillId="2" borderId="49" xfId="5" applyFont="1" applyFill="1" applyBorder="1" applyAlignment="1">
      <alignment horizontal="center" vertical="center" wrapText="1"/>
    </xf>
    <xf numFmtId="0" fontId="3" fillId="2" borderId="13" xfId="5" applyFont="1" applyFill="1" applyBorder="1" applyAlignment="1">
      <alignment horizontal="center" vertical="center" wrapText="1"/>
    </xf>
    <xf numFmtId="0" fontId="3" fillId="2" borderId="9" xfId="5" applyFont="1" applyFill="1" applyBorder="1" applyAlignment="1">
      <alignment horizontal="center" vertical="center" wrapText="1"/>
    </xf>
    <xf numFmtId="0" fontId="3" fillId="2" borderId="48" xfId="5" applyFont="1" applyFill="1" applyBorder="1" applyAlignment="1">
      <alignment horizontal="center" vertical="center" wrapText="1"/>
    </xf>
    <xf numFmtId="0" fontId="58" fillId="0" borderId="8" xfId="19" applyFont="1" applyFill="1" applyBorder="1" applyAlignment="1">
      <alignment horizontal="center"/>
    </xf>
    <xf numFmtId="0" fontId="58" fillId="0" borderId="17" xfId="19" applyFont="1" applyFill="1" applyBorder="1" applyAlignment="1">
      <alignment horizontal="center"/>
    </xf>
    <xf numFmtId="0" fontId="55" fillId="0" borderId="12" xfId="0" applyFont="1" applyBorder="1" applyAlignment="1">
      <alignment horizontal="center"/>
    </xf>
    <xf numFmtId="0" fontId="8" fillId="3" borderId="0" xfId="12" applyFont="1" applyFill="1" applyAlignment="1">
      <alignment horizontal="left" vertical="top" wrapText="1"/>
    </xf>
    <xf numFmtId="0" fontId="20" fillId="2" borderId="2" xfId="12" applyFont="1" applyFill="1" applyBorder="1" applyAlignment="1">
      <alignment horizontal="left" vertical="top" wrapText="1" indent="1"/>
    </xf>
    <xf numFmtId="0" fontId="20" fillId="2" borderId="3" xfId="12" applyFont="1" applyFill="1" applyBorder="1" applyAlignment="1">
      <alignment horizontal="left" vertical="top" wrapText="1" indent="1"/>
    </xf>
    <xf numFmtId="0" fontId="20" fillId="2" borderId="4" xfId="12" applyFont="1" applyFill="1" applyBorder="1" applyAlignment="1">
      <alignment horizontal="left" vertical="top" wrapText="1" indent="1"/>
    </xf>
    <xf numFmtId="0" fontId="15" fillId="2" borderId="0" xfId="12" applyFont="1" applyFill="1" applyAlignment="1">
      <alignment horizontal="justify" vertical="top"/>
    </xf>
    <xf numFmtId="0" fontId="15" fillId="2" borderId="1" xfId="12" applyFont="1" applyFill="1" applyBorder="1" applyAlignment="1">
      <alignment horizontal="justify" vertical="top"/>
    </xf>
    <xf numFmtId="0" fontId="20" fillId="2" borderId="0" xfId="12" applyFont="1" applyFill="1" applyAlignment="1">
      <alignment horizontal="left" vertical="top" wrapText="1"/>
    </xf>
    <xf numFmtId="0" fontId="20" fillId="2" borderId="12" xfId="12" applyFont="1" applyFill="1" applyBorder="1" applyAlignment="1">
      <alignment horizontal="center" vertical="top" wrapText="1"/>
    </xf>
    <xf numFmtId="0" fontId="4" fillId="0" borderId="12" xfId="5" applyFont="1" applyBorder="1" applyAlignment="1">
      <alignment horizontal="center" vertical="center"/>
    </xf>
    <xf numFmtId="165" fontId="12" fillId="2" borderId="0" xfId="11" applyNumberFormat="1" applyFont="1" applyFill="1" applyAlignment="1">
      <alignment horizontal="right" vertical="center"/>
    </xf>
    <xf numFmtId="0" fontId="20" fillId="2" borderId="0" xfId="12" applyFont="1" applyFill="1" applyAlignment="1">
      <alignment horizontal="left" vertical="top" wrapText="1" indent="2"/>
    </xf>
    <xf numFmtId="0" fontId="3" fillId="2" borderId="12" xfId="5" applyFont="1" applyFill="1" applyBorder="1" applyAlignment="1">
      <alignment horizontal="center" vertical="center"/>
    </xf>
    <xf numFmtId="0" fontId="4" fillId="0" borderId="2" xfId="5" applyFont="1" applyBorder="1" applyAlignment="1">
      <alignment horizontal="center" vertical="center"/>
    </xf>
    <xf numFmtId="0" fontId="4" fillId="0" borderId="4" xfId="5" applyFont="1" applyBorder="1" applyAlignment="1">
      <alignment horizontal="center" vertical="center"/>
    </xf>
    <xf numFmtId="0" fontId="15" fillId="0" borderId="0" xfId="5" applyFont="1" applyAlignment="1">
      <alignment horizontal="left" vertical="top" wrapText="1" indent="2"/>
    </xf>
    <xf numFmtId="0" fontId="25" fillId="2" borderId="2" xfId="12" applyFont="1" applyFill="1" applyBorder="1" applyAlignment="1">
      <alignment horizontal="center" vertical="center" wrapText="1"/>
    </xf>
    <xf numFmtId="0" fontId="25" fillId="2" borderId="3" xfId="12" applyFont="1" applyFill="1" applyBorder="1" applyAlignment="1">
      <alignment horizontal="center" vertical="center" wrapText="1"/>
    </xf>
    <xf numFmtId="0" fontId="25" fillId="2" borderId="4" xfId="12" applyFont="1" applyFill="1" applyBorder="1" applyAlignment="1">
      <alignment horizontal="center" vertical="center" wrapText="1"/>
    </xf>
    <xf numFmtId="0" fontId="47" fillId="0" borderId="2" xfId="5" applyFont="1" applyBorder="1" applyAlignment="1">
      <alignment horizontal="center"/>
    </xf>
    <xf numFmtId="0" fontId="47" fillId="0" borderId="3" xfId="5" applyFont="1" applyBorder="1" applyAlignment="1">
      <alignment horizontal="center"/>
    </xf>
    <xf numFmtId="0" fontId="55" fillId="0" borderId="0" xfId="0" applyFont="1" applyAlignment="1">
      <alignment horizontal="left"/>
    </xf>
    <xf numFmtId="0" fontId="45" fillId="0" borderId="23" xfId="0" applyFont="1" applyBorder="1" applyAlignment="1">
      <alignment horizontal="center" vertical="center"/>
    </xf>
    <xf numFmtId="0" fontId="45" fillId="0" borderId="0" xfId="0" applyFont="1"/>
    <xf numFmtId="164" fontId="45" fillId="0" borderId="24" xfId="1" applyFont="1" applyFill="1" applyBorder="1" applyAlignment="1">
      <alignment horizontal="center"/>
    </xf>
    <xf numFmtId="164" fontId="45" fillId="0" borderId="25" xfId="1" applyFont="1" applyFill="1" applyBorder="1" applyAlignment="1">
      <alignment horizontal="center"/>
    </xf>
    <xf numFmtId="0" fontId="45" fillId="0" borderId="30" xfId="0" applyFont="1" applyBorder="1" applyAlignment="1">
      <alignment horizontal="center" vertical="center"/>
    </xf>
    <xf numFmtId="0" fontId="45" fillId="0" borderId="32" xfId="0" applyFont="1" applyBorder="1" applyAlignment="1">
      <alignment horizontal="center" vertical="center"/>
    </xf>
    <xf numFmtId="0" fontId="51" fillId="0" borderId="43" xfId="17" applyFont="1" applyBorder="1" applyAlignment="1">
      <alignment vertical="center" wrapText="1"/>
    </xf>
    <xf numFmtId="0" fontId="51" fillId="0" borderId="44" xfId="17" applyFont="1" applyBorder="1" applyAlignment="1">
      <alignment vertical="center" wrapText="1"/>
    </xf>
    <xf numFmtId="0" fontId="51" fillId="0" borderId="42" xfId="17" applyFont="1" applyBorder="1" applyAlignment="1">
      <alignment vertical="center" wrapText="1"/>
    </xf>
    <xf numFmtId="0" fontId="51" fillId="0" borderId="41" xfId="17" applyFont="1" applyBorder="1" applyAlignment="1">
      <alignment vertical="center" wrapText="1"/>
    </xf>
    <xf numFmtId="0" fontId="50" fillId="0" borderId="44" xfId="17" applyFont="1" applyBorder="1" applyAlignment="1">
      <alignment vertical="center" wrapText="1"/>
    </xf>
    <xf numFmtId="0" fontId="43" fillId="0" borderId="0" xfId="0" applyFont="1" applyAlignment="1">
      <alignment horizontal="center"/>
    </xf>
    <xf numFmtId="0" fontId="39" fillId="0" borderId="0" xfId="0" applyFont="1" applyAlignment="1">
      <alignment horizontal="center"/>
    </xf>
    <xf numFmtId="0" fontId="40" fillId="0" borderId="0" xfId="0" applyFont="1" applyAlignment="1">
      <alignment horizontal="center"/>
    </xf>
    <xf numFmtId="0" fontId="41" fillId="0" borderId="17" xfId="0" applyFont="1" applyBorder="1" applyAlignment="1">
      <alignment horizontal="center" wrapText="1"/>
    </xf>
    <xf numFmtId="0" fontId="0" fillId="0" borderId="0" xfId="0" applyAlignment="1">
      <alignment wrapText="1"/>
    </xf>
    <xf numFmtId="0" fontId="67" fillId="11" borderId="23" xfId="0" applyFont="1" applyFill="1" applyBorder="1" applyAlignment="1">
      <alignment horizontal="center" vertical="center" wrapText="1"/>
    </xf>
    <xf numFmtId="0" fontId="84" fillId="2" borderId="0" xfId="0" applyFont="1" applyFill="1"/>
  </cellXfs>
  <cellStyles count="35">
    <cellStyle name="60% - Accent2" xfId="21" builtinId="36"/>
    <cellStyle name="60% - Accent2 2" xfId="34" xr:uid="{E4A9E555-E306-4DD5-89D4-07B3048D4C2D}"/>
    <cellStyle name="Accent2" xfId="20" builtinId="33"/>
    <cellStyle name="Comma" xfId="1" builtinId="3"/>
    <cellStyle name="Comma [0] 5" xfId="27" xr:uid="{F19237BA-0F64-4C09-9426-A1991FDFD199}"/>
    <cellStyle name="Comma 10 11" xfId="25" xr:uid="{0850629F-3F92-4D93-858F-887353F6C194}"/>
    <cellStyle name="Comma 11 4 3" xfId="28" xr:uid="{67EDC2E6-3E9D-4839-BA38-0428720874BC}"/>
    <cellStyle name="Comma 12" xfId="14" xr:uid="{EE1F9BD7-37D8-4882-9137-E8AFB0ED9C70}"/>
    <cellStyle name="Comma 2" xfId="4" xr:uid="{E9FC2BA0-7DD0-4953-A4D8-0EE855C31A20}"/>
    <cellStyle name="Comma 2 2" xfId="11" xr:uid="{2381C80A-0161-4362-A13D-1706BDA0864F}"/>
    <cellStyle name="Comma 3" xfId="7" xr:uid="{0D9B1865-56A7-42E0-B605-DCEE3E54E25D}"/>
    <cellStyle name="Comma 3 2" xfId="9" xr:uid="{4C6EB255-FD04-4734-ADB6-5B03BA96DCA7}"/>
    <cellStyle name="Comma 37" xfId="32" xr:uid="{E0B8E00B-792D-485E-9C3E-3A26741B4DED}"/>
    <cellStyle name="Comma 4" xfId="16" xr:uid="{2ABC8BFC-FD0A-4278-A771-FEFD619A63DD}"/>
    <cellStyle name="Comma 4 12 2" xfId="33" xr:uid="{1F5E9086-5B76-4BCA-AB5E-57FF8D3AD9CA}"/>
    <cellStyle name="Comma 5" xfId="8" xr:uid="{4504D986-2816-4555-87BB-FD2EC46D3626}"/>
    <cellStyle name="Comma 6" xfId="26" xr:uid="{74771195-8FF9-4116-B117-6660E6BA015C}"/>
    <cellStyle name="Comma 89" xfId="15" xr:uid="{C726F1EE-987A-4131-9F97-7015BED66B01}"/>
    <cellStyle name="Normal" xfId="0" builtinId="0"/>
    <cellStyle name="Normal 11" xfId="12" xr:uid="{0EF1C4D1-F86B-49C9-A573-7F692D7D7E7F}"/>
    <cellStyle name="Normal 128 2" xfId="24" xr:uid="{A3A78FCB-40F1-499D-9A2D-FBC35A35D04D}"/>
    <cellStyle name="Normal 2" xfId="17" xr:uid="{887514B1-B2CD-484E-8393-3E4AE3A573B4}"/>
    <cellStyle name="Normal 2 2" xfId="6" xr:uid="{63F429F8-201D-404F-AC40-6FB720D68650}"/>
    <cellStyle name="Normal 2 3" xfId="5" xr:uid="{2B09AA0F-D788-4E22-96D2-3E6F4D9D9BCB}"/>
    <cellStyle name="Normal 4" xfId="3" xr:uid="{C01A6575-1E5A-4693-BC26-7B577BAAFAE5}"/>
    <cellStyle name="Normal 43" xfId="31" xr:uid="{D752FA8C-B02E-4BFB-A589-EEF03F6BD3B6}"/>
    <cellStyle name="Normal 45" xfId="23" xr:uid="{EBA3B4FC-6C99-4F66-AFAC-3C8491A2A06C}"/>
    <cellStyle name="Normal 7" xfId="13" xr:uid="{1FEE2B57-B55D-4CB7-9A1A-69D9A3543337}"/>
    <cellStyle name="Normal_Agilent-India-TaxProvision-2004-05" xfId="30" xr:uid="{B3B17F87-8689-4A56-B313-EDDE0CAED9B4}"/>
    <cellStyle name="Normal_AppTax Comp06-07" xfId="29" xr:uid="{639598E9-EF31-47A1-912A-8AB5F5354357}"/>
    <cellStyle name="Output" xfId="19" builtinId="21"/>
    <cellStyle name="Percent" xfId="2" builtinId="5"/>
    <cellStyle name="Percent 2" xfId="10" xr:uid="{148F2BB6-3200-41BB-8C14-B027CADC2BE5}"/>
    <cellStyle name="Percent 3" xfId="18" xr:uid="{018C6BB4-20BD-46C9-9E56-58BA37C71541}"/>
    <cellStyle name="Percent 6" xfId="22" xr:uid="{4C073676-B19E-4EDF-BDAA-51AAF47222A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externalLink" Target="externalLinks/externalLink12.xml"/><Relationship Id="rId42" Type="http://schemas.openxmlformats.org/officeDocument/2006/relationships/externalLink" Target="externalLinks/externalLink20.xml"/><Relationship Id="rId47" Type="http://schemas.openxmlformats.org/officeDocument/2006/relationships/externalLink" Target="externalLinks/externalLink25.xml"/><Relationship Id="rId50" Type="http://schemas.openxmlformats.org/officeDocument/2006/relationships/externalLink" Target="externalLinks/externalLink28.xml"/><Relationship Id="rId55" Type="http://schemas.openxmlformats.org/officeDocument/2006/relationships/externalLink" Target="externalLinks/externalLink33.xml"/><Relationship Id="rId63" Type="http://schemas.openxmlformats.org/officeDocument/2006/relationships/externalLink" Target="externalLinks/externalLink41.xml"/><Relationship Id="rId68" Type="http://schemas.openxmlformats.org/officeDocument/2006/relationships/externalLink" Target="externalLinks/externalLink46.xml"/><Relationship Id="rId76" Type="http://schemas.openxmlformats.org/officeDocument/2006/relationships/externalLink" Target="externalLinks/externalLink54.xml"/><Relationship Id="rId84" Type="http://schemas.openxmlformats.org/officeDocument/2006/relationships/externalLink" Target="externalLinks/externalLink62.xml"/><Relationship Id="rId89" Type="http://schemas.openxmlformats.org/officeDocument/2006/relationships/externalLink" Target="externalLinks/externalLink67.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7.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externalLink" Target="externalLinks/externalLink15.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53" Type="http://schemas.openxmlformats.org/officeDocument/2006/relationships/externalLink" Target="externalLinks/externalLink31.xml"/><Relationship Id="rId58" Type="http://schemas.openxmlformats.org/officeDocument/2006/relationships/externalLink" Target="externalLinks/externalLink36.xml"/><Relationship Id="rId66" Type="http://schemas.openxmlformats.org/officeDocument/2006/relationships/externalLink" Target="externalLinks/externalLink44.xml"/><Relationship Id="rId74" Type="http://schemas.openxmlformats.org/officeDocument/2006/relationships/externalLink" Target="externalLinks/externalLink52.xml"/><Relationship Id="rId79" Type="http://schemas.openxmlformats.org/officeDocument/2006/relationships/externalLink" Target="externalLinks/externalLink57.xml"/><Relationship Id="rId87" Type="http://schemas.openxmlformats.org/officeDocument/2006/relationships/externalLink" Target="externalLinks/externalLink65.xml"/><Relationship Id="rId5" Type="http://schemas.openxmlformats.org/officeDocument/2006/relationships/worksheet" Target="worksheets/sheet5.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90" Type="http://schemas.openxmlformats.org/officeDocument/2006/relationships/externalLink" Target="externalLinks/externalLink68.xml"/><Relationship Id="rId95"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43" Type="http://schemas.openxmlformats.org/officeDocument/2006/relationships/externalLink" Target="externalLinks/externalLink21.xml"/><Relationship Id="rId48" Type="http://schemas.openxmlformats.org/officeDocument/2006/relationships/externalLink" Target="externalLinks/externalLink26.xml"/><Relationship Id="rId56" Type="http://schemas.openxmlformats.org/officeDocument/2006/relationships/externalLink" Target="externalLinks/externalLink34.xml"/><Relationship Id="rId64" Type="http://schemas.openxmlformats.org/officeDocument/2006/relationships/externalLink" Target="externalLinks/externalLink42.xml"/><Relationship Id="rId69" Type="http://schemas.openxmlformats.org/officeDocument/2006/relationships/externalLink" Target="externalLinks/externalLink47.xml"/><Relationship Id="rId77" Type="http://schemas.openxmlformats.org/officeDocument/2006/relationships/externalLink" Target="externalLinks/externalLink55.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80" Type="http://schemas.openxmlformats.org/officeDocument/2006/relationships/externalLink" Target="externalLinks/externalLink58.xml"/><Relationship Id="rId85" Type="http://schemas.openxmlformats.org/officeDocument/2006/relationships/externalLink" Target="externalLinks/externalLink63.xml"/><Relationship Id="rId93" Type="http://schemas.openxmlformats.org/officeDocument/2006/relationships/externalLink" Target="externalLinks/externalLink71.xml"/><Relationship Id="rId98"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externalLink" Target="externalLinks/externalLink16.xml"/><Relationship Id="rId46" Type="http://schemas.openxmlformats.org/officeDocument/2006/relationships/externalLink" Target="externalLinks/externalLink24.xml"/><Relationship Id="rId59" Type="http://schemas.openxmlformats.org/officeDocument/2006/relationships/externalLink" Target="externalLinks/externalLink37.xml"/><Relationship Id="rId67" Type="http://schemas.openxmlformats.org/officeDocument/2006/relationships/externalLink" Target="externalLinks/externalLink45.xml"/><Relationship Id="rId20" Type="http://schemas.openxmlformats.org/officeDocument/2006/relationships/worksheet" Target="worksheets/sheet20.xml"/><Relationship Id="rId41" Type="http://schemas.openxmlformats.org/officeDocument/2006/relationships/externalLink" Target="externalLinks/externalLink19.xml"/><Relationship Id="rId54" Type="http://schemas.openxmlformats.org/officeDocument/2006/relationships/externalLink" Target="externalLinks/externalLink32.xml"/><Relationship Id="rId62" Type="http://schemas.openxmlformats.org/officeDocument/2006/relationships/externalLink" Target="externalLinks/externalLink40.xml"/><Relationship Id="rId70" Type="http://schemas.openxmlformats.org/officeDocument/2006/relationships/externalLink" Target="externalLinks/externalLink48.xml"/><Relationship Id="rId75" Type="http://schemas.openxmlformats.org/officeDocument/2006/relationships/externalLink" Target="externalLinks/externalLink53.xml"/><Relationship Id="rId83" Type="http://schemas.openxmlformats.org/officeDocument/2006/relationships/externalLink" Target="externalLinks/externalLink61.xml"/><Relationship Id="rId88" Type="http://schemas.openxmlformats.org/officeDocument/2006/relationships/externalLink" Target="externalLinks/externalLink66.xml"/><Relationship Id="rId91" Type="http://schemas.openxmlformats.org/officeDocument/2006/relationships/externalLink" Target="externalLinks/externalLink69.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49" Type="http://schemas.openxmlformats.org/officeDocument/2006/relationships/externalLink" Target="externalLinks/externalLink27.xml"/><Relationship Id="rId57" Type="http://schemas.openxmlformats.org/officeDocument/2006/relationships/externalLink" Target="externalLinks/externalLink35.xml"/><Relationship Id="rId10" Type="http://schemas.openxmlformats.org/officeDocument/2006/relationships/worksheet" Target="worksheets/sheet10.xml"/><Relationship Id="rId31" Type="http://schemas.openxmlformats.org/officeDocument/2006/relationships/externalLink" Target="externalLinks/externalLink9.xml"/><Relationship Id="rId44" Type="http://schemas.openxmlformats.org/officeDocument/2006/relationships/externalLink" Target="externalLinks/externalLink22.xml"/><Relationship Id="rId52" Type="http://schemas.openxmlformats.org/officeDocument/2006/relationships/externalLink" Target="externalLinks/externalLink30.xml"/><Relationship Id="rId60" Type="http://schemas.openxmlformats.org/officeDocument/2006/relationships/externalLink" Target="externalLinks/externalLink38.xml"/><Relationship Id="rId65" Type="http://schemas.openxmlformats.org/officeDocument/2006/relationships/externalLink" Target="externalLinks/externalLink43.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81" Type="http://schemas.openxmlformats.org/officeDocument/2006/relationships/externalLink" Target="externalLinks/externalLink59.xml"/><Relationship Id="rId86" Type="http://schemas.openxmlformats.org/officeDocument/2006/relationships/externalLink" Target="externalLinks/externalLink64.xml"/><Relationship Id="rId9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Documents%20and%20Settings\gopi\Local%20Settings\Temporary%20Internet%20Files\Content.Outlook\XCBHA1TT\TCMI%2031-3-09%20all%20work%20papers\Taiko\TCMI%20-%20oct%2008\TCMI%20-%20financials%20Dec%2008\Varianc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EXCEL\3YEAR98\3YEARC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d\YEAR%202003\Accounts-Monthly\FINANCIALS%20-%20DECEMBER%2003.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oadmapFY'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28FEDF3\ConsolSkol31122002-ECBD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eltasvr\shared\Policy%20Deployment\Policy%20Deployment%202001\Nov%202001%20Info\Jan%202001%20Info\CHANGEOVER%20CHAR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Y:\Documents%20and%20Settings\kkrishnan\Local%20Settings\Temporary%20Internet%20Files\OLK81\Accounts%20-10%20200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Tax\DT\CorpTax\chaitra.bharadwaj\QuEST%20MM\AY%202010-11\Tax%20Computation\Quest%20MM_AY%202010-11_v.06_Oct%2014%202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Documents%20and%20Settings\gopi\Local%20Settings\Temporary%20Internet%20Files\Content.Outlook\XCBHA1TT\WINDOWS\TEMP\Q04%20Loan%20from%20Finance%20compani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Y:\LOANS\NEW%20FILE\BANK%20LOAN%20FILE-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Y:\eyernest%20&amp;%20young\shedules%20for%20ey.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Y:\Documents%20and%20Settings\Praveen\Desktop\FINANCIALS%20-%20APR02-MAR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2\d\Clients%20Folder\MHealth%20Venture\FY%202012-13\RBI\Final%20BS%20&amp;%20P&amp;L%20In%20Lakh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M2\d\Documents%20and%20Settings\user\Local%20Settings\Temp\Temporary%20Directory%201%20for%20Jul%2004%20MIS%20-%20140804.zip\VI%20-%20Nov%20'01%20MIS%20-%2006%20Dec.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wc-madhavi\Relisys\sanjay\bambino\projectionFINALfor%20sen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nhydemeyfl01\data\DOCUME~1\DLSARI~1\LOCALS~1\Temp\499_116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My%20Documents\OPS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Y:\finance&amp;accts\idbi-ifci\finproposal.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in_2\My%20Documents\My%20Documents\Girdhar\Budget\Budget%20Binder_SV%20by%20Contract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K:\Shivani\excel\hanil\form%201%20-%202000%20revised-%20hanil%20lear.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COMMON\AUDIT\MCW\REPORTED.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Y:\DOCUME~1\ADMINI~1.RG-\LOCALS~1\Temp\cost%20to%20company%20for%20Budget%202003(28-10-200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NDOWS\TEMP\ASS_PP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Y:\vkm\Proff\PP_Master%20Templat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ocuments%20and%20Settings\sghazali\Desktop\New%20Briefcase\Samsiah\DOC\JUN\BUKKE0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2\d\Documents%20and%20Settings\user\Local%20Settings\Temp\Temporary%20Directory%201%20for%20Jul%2004%20MIS%20-%20140804.zip\Business%20Plan%202004-05%20vr%202.3%2030Mar0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Y:\TEMP\Balance%20Sheet%20Analysis%2003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owa.danahertool.com/My%20Documents/PD2001/2000PD-White-NOV0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www.mydanaher.com/My%20Documents/PD2001/2000PD-White-NOV0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rai\BCTEMP\DOCUME~1\ADMINI~1.RG-\LOCALS~1\Temp\FA%20-Register%20Sep%202002(bcgupt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840B75E3\ConsolSkol31122002-ECBDL.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Final%20Drafts\Debt%20schedule-JKI.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inesh\c\My%20Documents\RECO%20DEC99\dinesh-F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ukesh\tally3.12\DOCUME~1\ADMINI~1\LOCALS~1\Temp\Temporary%20Directory%203%20for%20SANY%203CD.zip\SANY%203CD\SANY%20Rev%20ITR.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nmurty\d\Check%20lis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olddata\d\S1%202002\S1%202002_Ver1.2\S12002\Templates\gcf_S1%202002\CountrywideSI02.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ATTNMSP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inda-1r1y21s\c$\1%20SABMiller%20Group\1%20SKOL\2007\3%20Tax%20audit\Deliverables\Documents%20and%20Settings\N.Srinivasu\Desktop\backup\Flash%202003-04\Balance%20Sheet(Original)\31.12.2002\ConsolSkol31122002-ECBD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pvr-value.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RAMESHCH\Documents\Balance%20sheets-%20Monthly\SOLVAYBS_2003-04%20Mar'%200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Y:\Gateway\Surat\Surat.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owa.danahertool.com/TEMP/Master%20PD%20Templat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Knv\e\MIS\04-05\09-MIS%20Preparation%20Dec'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Y:\Documents%20and%20Settings\MikeG\Local%20Settings\Temporary%20Internet%20Files\OLK19\TEMP\2000PD-White-NOV0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Y:\My%20Documents\Macro%20Collection\Consolidate_HRQBR_Macr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Y:\Documents%20and%20Settings\Dayakar%20P\Desktop\New%20Projects\GIC\Care_Hospitals_operating_model_v28_vsen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Private\Finance\Open%20PO\Open%20PO%20Accruals\2009\INDSG%200902%20Open%20PO%20Accrual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Y:\GE%20Working%20Folder\Gepsil\AY%2006-07\ROI\GEPSIL-%20Tax%20Computation%20-%20AY%2006-07.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lanning\SYSTEM%20(C)\WINDOWS\TEMP\FORM6&amp;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moghe\c\WINDOWS\TEMP\P&amp;l030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SI\DATA\FINANCE\PUNEET\DEC96\BSDF129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Y:\General%20Accounting\2003%20Audit\200312%20FX%20Reval%20Calc\213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Y:\Documents%20and%20Settings\administrator\Local%20Settings\Temporary%20Internet%20Files\Content.IE5\7C88GHDK\march2002-tax%20account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W:\home\accts\ACMB004\INCOMETA\npspl\A.Y.00-01\NUNHEMS-COMP-RET-00-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W:\Finance\Audit-PWC\Audit-Sep03\Schedules-Sep0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Y:\DOCUME~1\jalee\LOCALS~1\Temp\SA_Jan04_accrua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ipl4-contracts\d\Patilst\My%20Documents\patil\Projects\Project%20Status\As%20on%20March'%202006\Mar%20-06%2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Y:\Revenue%20Working%20File\South%20Asia\Year%202004\04-2004\Clearing%20account%20reconciliations\21000200_April_04.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Y:\Fin-docs\1997%20indbil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HNBK0161\aws\Assignments%20-%20IInd%20Round\Maytas\Road%20Projects\BETL\Revenue.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Y:\JM11233\Wks\Tyco\Other%20returns%20fy%2099-00\fy99-00-AS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Documents%20and%20Settings\mhnh\My%20Documents\2001\Asia%20Pacific\Plan\5Y_v2.14.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2\d\Documents%20and%20Settings\user\Local%20Settings\Temp\Temporary%20Directory%201%20for%20Jul%2004%20MIS%20-%20140804.zip\Budget%202003-04%20-%207%20Jul%2003%20fina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Y:\WINDOWS\TEMP\notesE1EF34\Financials%2031.03.05_27.09.05_latest.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HNBK0092\aws\Documents%20and%20Settings\sanjog.jain\Desktop\2006%20-%20Clients\Emaar%20-%202006\CCCPL\PBC\CCCPL%20B.S%2031.03.2006(050606).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ltvss02\opermgmt\temp\May-2007\Utilization%20Delivery\Monthly%20Resource%20Utilization%20SNVA-May07.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Z:\General%20Accounting\OpCos\South%20Asia\2148%20Comm%20India\BS\2005\03%20Mar%2005%20BS%20Rec-2148.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Y:\My%20document\MAR%2002%20IND%20AUDIT\F%20A%20summary%20-%2031%2003%2002-SBI%20copy.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Y:\2002-03%20AUDIT%20SCHE\FINANCIALS%20-%20APR02-MAR03INCL%20&amp;%20EX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Y:\PG148830\WKS\SAP\Ctax-FY(97-98)\sap_indonesia%20-%20retur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rofit &amp; Loss"/>
      <sheetName val="Debtors"/>
      <sheetName val="Creditors"/>
      <sheetName val="Sales"/>
      <sheetName val="Dep rationalisation"/>
      <sheetName val="Operating expenses"/>
      <sheetName val="Net profit"/>
      <sheetName val="Schedules_BS"/>
      <sheetName val="Schedules_PL"/>
      <sheetName val="Schedule 3_FA"/>
      <sheetName val="Sub-schedules"/>
      <sheetName val="Def tax"/>
      <sheetName val="Tax Computation"/>
      <sheetName val="Dep IT"/>
      <sheetName val="GT_Cust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LOTACION"/>
      <sheetName val="JUSTIFIC"/>
      <sheetName val="EXPLOT-PIN"/>
      <sheetName val="EXPLOTINGPIN"/>
      <sheetName val="EXPLBEER"/>
      <sheetName val="GRAL 1999"/>
      <sheetName val="GRAL 2000"/>
      <sheetName val="GRAL 2001"/>
      <sheetName val="RES HLS"/>
      <sheetName val="040"/>
      <sheetName val="050"/>
      <sheetName val="110"/>
      <sheetName val="110-OTRAS M.P."/>
      <sheetName val="120"/>
      <sheetName val="130-UNIDADES"/>
      <sheetName val="130-PTAS"/>
      <sheetName val="140"/>
      <sheetName val="150"/>
      <sheetName val="180"/>
      <sheetName val="220"/>
      <sheetName val="230"/>
      <sheetName val="AMORTIZACIÓN"/>
      <sheetName val="VARIOS"/>
      <sheetName val="precio"/>
      <sheetName val="dat-import"/>
      <sheetName val="Hoja6"/>
      <sheetName val="Hoja7"/>
      <sheetName val="Hoja8"/>
      <sheetName val="Hoja9"/>
      <sheetName val="Hoja10"/>
      <sheetName val="Hoja11"/>
      <sheetName val="Hoja12"/>
      <sheetName val="Hoja13"/>
      <sheetName val="Hoja14"/>
      <sheetName val="Hoja15"/>
      <sheetName val="Hoja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ated Parties"/>
      <sheetName val="P&amp;L"/>
      <sheetName val="BS"/>
      <sheetName val="Sch 1-4"/>
      <sheetName val="VARIANCE ANALYSIS "/>
      <sheetName val="Sch-5"/>
      <sheetName val="Sch-6-11"/>
      <sheetName val="Sch 12 &amp;13"/>
      <sheetName val="P&amp;L Sch 14-16"/>
      <sheetName val="P&amp;L Sch 17-19"/>
      <sheetName val="Trail balance"/>
      <sheetName val="TRIAL BALANCE"/>
      <sheetName val="TB Dump-Dec03"/>
      <sheetName val="TB Dump-Nov03"/>
      <sheetName val="TBdownload-2002"/>
      <sheetName val="CC Dump-Dec03"/>
      <sheetName val="CC Dump-Nov03"/>
      <sheetName val="SIFGROUPINGS"/>
      <sheetName val="SIF P&amp;L BS"/>
      <sheetName val="Data Entry"/>
      <sheetName val="SIF Wkgs-M'thly"/>
      <sheetName val="SIF Wkgs-Nov03"/>
      <sheetName val="SIF P&amp;L"/>
      <sheetName val="YTD Trend"/>
      <sheetName val="SIF Wkgs-Dec03"/>
      <sheetName val="SIF Results Back up"/>
      <sheetName val="PROVISIONS (2)"/>
      <sheetName val="PROVISIONS"/>
      <sheetName val="Nagar provisions"/>
      <sheetName val="CL PROVISION"/>
      <sheetName val="SIF R20&amp;R30 "/>
      <sheetName val="SIF-Sent to France"/>
      <sheetName val="sch-IV"/>
      <sheetName val="TBM ANALYSIS"/>
      <sheetName val="Sheet for data validation"/>
      <sheetName val="EBIT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work"/>
      <sheetName val="PCU Latex"/>
      <sheetName val="GloveWeight"/>
      <sheetName val="PCU"/>
      <sheetName val="Conform"/>
      <sheetName val="SystemMap"/>
      <sheetName val="DD"/>
      <sheetName val="ReworkLabour"/>
      <sheetName val="EXP. AGUA"/>
      <sheetName val="Sheet1"/>
      <sheetName val="SALES"/>
      <sheetName val="S.3.6_GL Dump"/>
      <sheetName val="S.4.3_SAP Dump"/>
      <sheetName val="CF"/>
      <sheetName val="Profit &amp; Loss "/>
      <sheetName val="Sch 10, 11,12"/>
      <sheetName val="TB"/>
      <sheetName val="130-UNIDADES"/>
      <sheetName val="Quarterly Scrap"/>
      <sheetName val="Raw Mtls."/>
      <sheetName val="WIP"/>
      <sheetName val="Finished Goods"/>
      <sheetName val="Raw Data"/>
      <sheetName val="OEE"/>
      <sheetName val="EXPENSES"/>
      <sheetName val="Overview"/>
      <sheetName val="BSHEET"/>
      <sheetName val="Lab &amp; OH Exp Rate &amp; Foil Usg22K"/>
      <sheetName val="PCU_Latex"/>
      <sheetName val="S_3_6_GL_Dump"/>
      <sheetName val="S_4_3_SAP_Dump"/>
      <sheetName val="Profit_&amp;_Loss_"/>
      <sheetName val="Sch_10,_11,12"/>
      <sheetName val="EXP__AGUA"/>
      <sheetName val="Quarterly_Scrap"/>
      <sheetName val="Raw_Mtls_"/>
      <sheetName val="Finished_Goods"/>
      <sheetName val="Raw_Data"/>
      <sheetName val="FitOutConfCentre"/>
      <sheetName val="Rates"/>
      <sheetName val="TRIAL BALANCE"/>
      <sheetName val="P&amp;L Summary Page"/>
      <sheetName val="BS JUL"/>
      <sheetName val="BS"/>
      <sheetName val="Basic"/>
      <sheetName val="TTDZ22"/>
      <sheetName val="B"/>
      <sheetName val="FINAL"/>
      <sheetName val="#REF"/>
      <sheetName val="concil"/>
      <sheetName val="Index"/>
      <sheetName val="Section"/>
      <sheetName val="IT Dep"/>
      <sheetName val="model"/>
      <sheetName val="Power &amp; Fuel(Pa)"/>
      <sheetName val="Power &amp; Fuel(Ply)"/>
      <sheetName val="ecc"/>
    </sheetNames>
    <sheetDataSet>
      <sheetData sheetId="0">
        <row r="7">
          <cell r="AB7" t="str">
            <v>J</v>
          </cell>
        </row>
      </sheetData>
      <sheetData sheetId="1">
        <row r="7">
          <cell r="AB7" t="str">
            <v>J</v>
          </cell>
        </row>
      </sheetData>
      <sheetData sheetId="2">
        <row r="7">
          <cell r="AB7" t="str">
            <v>J</v>
          </cell>
        </row>
      </sheetData>
      <sheetData sheetId="3">
        <row r="7">
          <cell r="AB7" t="str">
            <v>J</v>
          </cell>
        </row>
      </sheetData>
      <sheetData sheetId="4">
        <row r="7">
          <cell r="AB7" t="str">
            <v>J</v>
          </cell>
        </row>
      </sheetData>
      <sheetData sheetId="5">
        <row r="7">
          <cell r="AB7" t="str">
            <v>J</v>
          </cell>
        </row>
      </sheetData>
      <sheetData sheetId="6">
        <row r="7">
          <cell r="AB7" t="str">
            <v>J</v>
          </cell>
        </row>
      </sheetData>
      <sheetData sheetId="7" refreshError="1">
        <row r="7">
          <cell r="AB7" t="str">
            <v>J</v>
          </cell>
          <cell r="AC7">
            <v>2121</v>
          </cell>
        </row>
        <row r="8">
          <cell r="AB8" t="str">
            <v>A</v>
          </cell>
          <cell r="AC8">
            <v>2121</v>
          </cell>
        </row>
        <row r="9">
          <cell r="AB9" t="str">
            <v>S</v>
          </cell>
          <cell r="AC9">
            <v>2121</v>
          </cell>
        </row>
        <row r="10">
          <cell r="AB10" t="str">
            <v>O</v>
          </cell>
          <cell r="AC10">
            <v>2121</v>
          </cell>
        </row>
        <row r="11">
          <cell r="AB11" t="str">
            <v>N</v>
          </cell>
          <cell r="AC11">
            <v>2121</v>
          </cell>
        </row>
        <row r="12">
          <cell r="AB12" t="str">
            <v>D</v>
          </cell>
          <cell r="AC12">
            <v>2121</v>
          </cell>
        </row>
        <row r="13">
          <cell r="AB13" t="str">
            <v>J</v>
          </cell>
          <cell r="AC13">
            <v>2121</v>
          </cell>
        </row>
        <row r="14">
          <cell r="AB14" t="str">
            <v>F</v>
          </cell>
          <cell r="AC14">
            <v>2121</v>
          </cell>
        </row>
        <row r="15">
          <cell r="AB15" t="str">
            <v>M</v>
          </cell>
          <cell r="AC15">
            <v>2121</v>
          </cell>
        </row>
        <row r="16">
          <cell r="AB16" t="str">
            <v>A</v>
          </cell>
          <cell r="AC16">
            <v>2121</v>
          </cell>
        </row>
        <row r="17">
          <cell r="AB17" t="str">
            <v>M</v>
          </cell>
          <cell r="AC17">
            <v>2121</v>
          </cell>
          <cell r="AE17" t="str">
            <v>cust. adj.</v>
          </cell>
        </row>
        <row r="18">
          <cell r="AB18" t="str">
            <v>J</v>
          </cell>
          <cell r="AC18">
            <v>2121</v>
          </cell>
          <cell r="AE18">
            <v>67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 &amp; L"/>
      <sheetName val="SHARE CAPITAL"/>
      <sheetName val="R &amp; s"/>
      <sheetName val="Res &amp; surplus"/>
      <sheetName val="SEC LOAN "/>
      <sheetName val="UN-SEC.LOAN"/>
      <sheetName val="Fixed Assets"/>
      <sheetName val="INVESTMENT"/>
      <sheetName val="INVENTORY"/>
      <sheetName val="DEBTORS"/>
      <sheetName val="CASHBANK"/>
      <sheetName val="LOANS-ADV"/>
      <sheetName val="LIABILITIES"/>
      <sheetName val="PROVISION"/>
      <sheetName val="OTHER INC."/>
      <sheetName val="Cons"/>
      <sheetName val="FinishedTraded Goods"/>
      <sheetName val="EXPENSES"/>
      <sheetName val="Int &amp; Fin chgs"/>
      <sheetName val="Extord-schedule"/>
      <sheetName val="Interunit"/>
      <sheetName val="Purcha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2000"/>
      <sheetName val="vb 9&amp;10"/>
      <sheetName val="EXPENSES"/>
      <sheetName val="Cntmrs-Recruit"/>
    </sheetNames>
    <sheetDataSet>
      <sheetData sheetId="0" refreshError="1"/>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e"/>
      <sheetName val="BS  Final"/>
      <sheetName val="PL  Final"/>
      <sheetName val="PL Monthly-Conway"/>
      <sheetName val="TB"/>
      <sheetName val="table1"/>
      <sheetName val="table2"/>
      <sheetName val="BPR-PL"/>
      <sheetName val="Graphs"/>
      <sheetName val="BPR -BS"/>
      <sheetName val="BPR Details"/>
      <sheetName val="PL  Final Ratios"/>
      <sheetName val="BPR-PL Qtr"/>
      <sheetName val="PL "/>
      <sheetName val="BS "/>
      <sheetName val="Debtors (&lt;50k) (£)"/>
    </sheetNames>
    <sheetDataSet>
      <sheetData sheetId="0" refreshError="1"/>
      <sheetData sheetId="1" refreshError="1"/>
      <sheetData sheetId="2" refreshError="1"/>
      <sheetData sheetId="3" refreshError="1"/>
      <sheetData sheetId="4" refreshError="1"/>
      <sheetData sheetId="5" refreshError="1">
        <row r="28">
          <cell r="X28">
            <v>28101.715979999994</v>
          </cell>
          <cell r="Y28">
            <v>43381.210930000001</v>
          </cell>
        </row>
        <row r="29">
          <cell r="X29">
            <v>67856.689630000023</v>
          </cell>
          <cell r="Y29">
            <v>45857.681899999989</v>
          </cell>
        </row>
        <row r="30">
          <cell r="X30">
            <v>0</v>
          </cell>
          <cell r="Y30">
            <v>0</v>
          </cell>
        </row>
        <row r="31">
          <cell r="X31">
            <v>0</v>
          </cell>
          <cell r="Y31">
            <v>0</v>
          </cell>
        </row>
        <row r="32">
          <cell r="X32">
            <v>0</v>
          </cell>
          <cell r="Y32">
            <v>0</v>
          </cell>
        </row>
        <row r="33">
          <cell r="X33">
            <v>62134.401090024578</v>
          </cell>
          <cell r="Y33">
            <v>61106.7352299997</v>
          </cell>
        </row>
        <row r="34">
          <cell r="X34">
            <v>16095.797070000001</v>
          </cell>
          <cell r="Y34">
            <v>17486.828259999998</v>
          </cell>
        </row>
        <row r="35">
          <cell r="X35">
            <v>142426.16912999999</v>
          </cell>
          <cell r="Y35">
            <v>136150.03910999998</v>
          </cell>
        </row>
        <row r="36">
          <cell r="X36">
            <v>0</v>
          </cell>
          <cell r="Y36">
            <v>0</v>
          </cell>
        </row>
        <row r="37">
          <cell r="X37">
            <v>0</v>
          </cell>
          <cell r="Y37">
            <v>0</v>
          </cell>
        </row>
        <row r="38">
          <cell r="X38">
            <v>0</v>
          </cell>
          <cell r="Y38">
            <v>0</v>
          </cell>
        </row>
        <row r="39">
          <cell r="X39">
            <v>0</v>
          </cell>
          <cell r="Y39">
            <v>0</v>
          </cell>
        </row>
        <row r="40">
          <cell r="X40">
            <v>0</v>
          </cell>
          <cell r="Y40">
            <v>0</v>
          </cell>
        </row>
        <row r="41">
          <cell r="X41">
            <v>316614.77290002455</v>
          </cell>
          <cell r="Y41">
            <v>303982.49542999966</v>
          </cell>
        </row>
        <row r="42">
          <cell r="X42">
            <v>28469.260140000024</v>
          </cell>
          <cell r="Y42">
            <v>28850.038560000008</v>
          </cell>
        </row>
        <row r="43">
          <cell r="X43">
            <v>0</v>
          </cell>
          <cell r="Y43">
            <v>0</v>
          </cell>
        </row>
        <row r="44">
          <cell r="X44">
            <v>122000</v>
          </cell>
          <cell r="Y44">
            <v>112000</v>
          </cell>
        </row>
        <row r="45">
          <cell r="X45">
            <v>0</v>
          </cell>
          <cell r="Y45">
            <v>0</v>
          </cell>
        </row>
        <row r="46">
          <cell r="X46">
            <v>45182.325810000002</v>
          </cell>
          <cell r="Y46">
            <v>29306.777429999998</v>
          </cell>
        </row>
        <row r="47">
          <cell r="X47">
            <v>120963.18695046085</v>
          </cell>
          <cell r="Y47">
            <v>133825.67963340064</v>
          </cell>
        </row>
        <row r="50">
          <cell r="X50">
            <v>316614.77290046087</v>
          </cell>
          <cell r="Y50">
            <v>303982.49562340067</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Total Income"/>
      <sheetName val="B. MAT 115JB"/>
      <sheetName val="C. 10B"/>
      <sheetName val="D.Carry fwd and Set off of loss"/>
      <sheetName val="E. Brought forward losses"/>
      <sheetName val="BS as per IT Return sheet"/>
      <sheetName val="PL as per IT Return"/>
      <sheetName val="BS"/>
      <sheetName val="PL"/>
      <sheetName val="Sch. PL"/>
      <sheetName val="Check"/>
      <sheetName val="TB with EOU and Non EOU Split"/>
      <sheetName val="Chck"/>
      <sheetName val="Cntmrs-Recruit"/>
      <sheetName val="wdr bld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 Lead"/>
      <sheetName val="2 - Finance"/>
      <sheetName val="3 - Principal payments"/>
      <sheetName val="4 - Interest Calculation"/>
      <sheetName val="5 - CITICORP"/>
      <sheetName val="6 - ABN AMRO"/>
      <sheetName val="7 - Provision"/>
    </sheetNames>
    <sheetDataSet>
      <sheetData sheetId="0"/>
      <sheetData sheetId="1"/>
      <sheetData sheetId="2"/>
      <sheetData sheetId="3"/>
      <sheetData sheetId="4">
        <row r="8">
          <cell r="A8" t="str">
            <v>AL Taurus-1612</v>
          </cell>
        </row>
        <row r="50">
          <cell r="A50" t="str">
            <v>380 KVA Genset</v>
          </cell>
        </row>
        <row r="92">
          <cell r="A92" t="str">
            <v>Atlas Copco Compressor</v>
          </cell>
        </row>
        <row r="135">
          <cell r="A135" t="str">
            <v>IR Compactor</v>
          </cell>
        </row>
        <row r="178">
          <cell r="A178" t="str">
            <v>L&amp;T PC-200</v>
          </cell>
        </row>
        <row r="220">
          <cell r="A220" t="str">
            <v>Batching Plant</v>
          </cell>
        </row>
        <row r="277">
          <cell r="A277" t="str">
            <v>AL-2516/2</v>
          </cell>
        </row>
        <row r="320">
          <cell r="A320" t="str">
            <v>Tandum Roller</v>
          </cell>
        </row>
        <row r="363">
          <cell r="A363" t="str">
            <v>380 KVA GensetI</v>
          </cell>
        </row>
        <row r="406">
          <cell r="A406" t="str">
            <v>Escorts Loader-2</v>
          </cell>
        </row>
        <row r="458">
          <cell r="A458" t="str">
            <v>Escorts Loader-1</v>
          </cell>
        </row>
        <row r="512">
          <cell r="A512" t="str">
            <v>IDD-90</v>
          </cell>
        </row>
        <row r="555">
          <cell r="A555" t="str">
            <v>IR IDD 90 Compactor</v>
          </cell>
        </row>
        <row r="597">
          <cell r="A597" t="str">
            <v>NAME OF ASSET</v>
          </cell>
        </row>
        <row r="708">
          <cell r="A708" t="str">
            <v>Bitelli Paver</v>
          </cell>
        </row>
        <row r="763">
          <cell r="A763" t="str">
            <v>Kerber</v>
          </cell>
        </row>
        <row r="806">
          <cell r="A806" t="str">
            <v>TWL</v>
          </cell>
        </row>
        <row r="860">
          <cell r="A860" t="str">
            <v>EX-350 I</v>
          </cell>
        </row>
        <row r="915">
          <cell r="A915" t="str">
            <v>Escorts Crane</v>
          </cell>
        </row>
        <row r="958">
          <cell r="A958" t="str">
            <v>Puzzolona crusher</v>
          </cell>
        </row>
        <row r="1001">
          <cell r="A1001" t="str">
            <v>DG Set</v>
          </cell>
        </row>
      </sheetData>
      <sheetData sheetId="5"/>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3)"/>
      <sheetName val="CITICORP"/>
      <sheetName val="rough"/>
      <sheetName val="sundaram fin"/>
      <sheetName val="ABN AMRO"/>
      <sheetName val="CHOLAMANDALAM"/>
      <sheetName val="hdfcloan"/>
      <sheetName val="HDFC"/>
      <sheetName val="ICICI"/>
      <sheetName val="iciciloan"/>
      <sheetName val="Lakshmi GF"/>
      <sheetName val="KOTAK"/>
      <sheetName val="GECAPITAL"/>
      <sheetName val="Sheet1"/>
      <sheetName val="L&amp;T"/>
      <sheetName val="04-05"/>
      <sheetName val="SREI"/>
      <sheetName val="CENTURIAN"/>
      <sheetName val="FORD MAHENDRA"/>
      <sheetName val="Sheet3"/>
      <sheetName val="5 - CITICORP"/>
    </sheetNames>
    <sheetDataSet>
      <sheetData sheetId="0" refreshError="1"/>
      <sheetData sheetId="1"/>
      <sheetData sheetId="2"/>
      <sheetData sheetId="3" refreshError="1"/>
      <sheetData sheetId="4" refreshError="1"/>
      <sheetData sheetId="5"/>
      <sheetData sheetId="6" refreshError="1"/>
      <sheetData sheetId="7"/>
      <sheetData sheetId="8"/>
      <sheetData sheetId="9" refreshError="1"/>
      <sheetData sheetId="10"/>
      <sheetData sheetId="11"/>
      <sheetData sheetId="12"/>
      <sheetData sheetId="13" refreshError="1"/>
      <sheetData sheetId="14"/>
      <sheetData sheetId="15" refreshError="1"/>
      <sheetData sheetId="16" refreshError="1"/>
      <sheetData sheetId="17"/>
      <sheetData sheetId="18"/>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 DEB (2)"/>
      <sheetName val="2007 DEB"/>
      <sheetName val="INDUS "/>
      <sheetName val="YES6.66cr"/>
      <sheetName val="HDFC"/>
      <sheetName val="ICICI"/>
      <sheetName val="LKB"/>
      <sheetName val="uti"/>
      <sheetName val="SB PATIALA"/>
      <sheetName val="indus-oct loan"/>
      <sheetName val="SBH -IFB"/>
      <sheetName val="ABN AMRO BANK"/>
      <sheetName val="IDBI BANK"/>
      <sheetName val="INDUS BANK MAR 07"/>
      <sheetName val="YES"/>
      <sheetName val="TERM LOAN OF FCNR"/>
      <sheetName val="SBI-FCNR"/>
      <sheetName val="Lakshmi GF"/>
      <sheetName val="CITICORP"/>
      <sheetName val="KOT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ated Parties"/>
      <sheetName val="P&amp;L"/>
      <sheetName val="BS"/>
      <sheetName val="VARIANCE ANALYSIS "/>
      <sheetName val="Sch 1-4"/>
      <sheetName val="Sch-5"/>
      <sheetName val="Sch-6-11"/>
      <sheetName val="Sch 12 &amp;13"/>
      <sheetName val="P&amp;L Sch 14-16"/>
      <sheetName val="P&amp;L Sch 17-19"/>
      <sheetName val="Data Entry"/>
      <sheetName val="TRIAL BALANCE (2)"/>
      <sheetName val="TRIAL BALANCE"/>
      <sheetName val="TB Download"/>
      <sheetName val="TBdownload-2002"/>
      <sheetName val="CC wise Download"/>
      <sheetName val="SIF P&amp;L BS"/>
      <sheetName val="SIF P&amp;L"/>
      <sheetName val="SIF Workings"/>
      <sheetName val="SIF Results Back up"/>
      <sheetName val="PROVISIONS"/>
      <sheetName val="Pl-Incl"/>
      <sheetName val="pl-Excl"/>
      <sheetName val="sch-I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hare Capital"/>
      <sheetName val="Schedules"/>
      <sheetName val="SCH 13 FIXED ASSETS"/>
      <sheetName val="F A Note"/>
      <sheetName val="SCH 14"/>
      <sheetName val="Sche 16"/>
      <sheetName val="Exchang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y"/>
      <sheetName val="Key Actvts"/>
      <sheetName val="Prod Rev"/>
      <sheetName val="S Revenue"/>
      <sheetName val="Busi Model"/>
      <sheetName val="Appln Rev"/>
      <sheetName val="App Rev TS"/>
      <sheetName val="Reg Rev TS"/>
      <sheetName val="MCC Rev"/>
      <sheetName val="Term Rev TS"/>
      <sheetName val="Bk Parm Rev"/>
      <sheetName val="Parm Bk Rev"/>
      <sheetName val="HH Tem Rev TS"/>
      <sheetName val="Virt Rev TS"/>
      <sheetName val="ATM Rev"/>
      <sheetName val="Rev Driv FE"/>
      <sheetName val="Rev Driv BE"/>
      <sheetName val="Rev Driv IC"/>
      <sheetName val="Inc Stmt"/>
      <sheetName val="Inc Stmt TS"/>
      <sheetName val="Comp Inc"/>
      <sheetName val="Div Inc"/>
      <sheetName val="Rev Contn TS"/>
      <sheetName val="Contn TS FE"/>
      <sheetName val="Cont TS ATM"/>
      <sheetName val="Cont TS BE"/>
      <sheetName val="Cont TS IC"/>
      <sheetName val="Exps"/>
      <sheetName val="Exps TS"/>
      <sheetName val="EO Item RM"/>
      <sheetName val="CFlow"/>
      <sheetName val="Capex"/>
      <sheetName val="BSheet"/>
      <sheetName val="BS Detls"/>
      <sheetName val="BSheet TS"/>
      <sheetName val="Devices"/>
      <sheetName val="Trml city VI"/>
      <sheetName val="Trml city CO"/>
      <sheetName val="Mpower TS"/>
      <sheetName val="Contractors"/>
      <sheetName val="Vend Cont"/>
      <sheetName val="Orders"/>
      <sheetName val="Cust Conc TS"/>
      <sheetName val="Drs Ageing"/>
      <sheetName val="Cust Conct"/>
      <sheetName val="CC Vi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
          <cell r="A1" t="str">
            <v>1.14 Driver Analysis - Front End - Time Series</v>
          </cell>
        </row>
        <row r="2">
          <cell r="A2" t="str">
            <v>Particulars</v>
          </cell>
        </row>
        <row r="5">
          <cell r="A5" t="str">
            <v>Segment Group - Merchant Services</v>
          </cell>
        </row>
        <row r="7">
          <cell r="A7" t="str">
            <v>Merchant Services</v>
          </cell>
        </row>
        <row r="8">
          <cell r="A8" t="str">
            <v>Counter-top Terminals Outstanding Analysis</v>
          </cell>
        </row>
        <row r="16">
          <cell r="A16" t="str">
            <v>Merchant Loyalty Programme - ANMOL</v>
          </cell>
        </row>
        <row r="20">
          <cell r="A20" t="str">
            <v>Billers (ISPs/Telcos/Utilities/Insurance/Technonet)</v>
          </cell>
        </row>
        <row r="22">
          <cell r="A22" t="str">
            <v>Loyalty Operators</v>
          </cell>
        </row>
        <row r="24">
          <cell r="A24" t="str">
            <v>Franchise Model</v>
          </cell>
        </row>
        <row r="26">
          <cell r="A26" t="str">
            <v>Segment Group - Issuers and ATM</v>
          </cell>
        </row>
        <row r="28">
          <cell r="A28" t="str">
            <v>Banking</v>
          </cell>
        </row>
        <row r="30">
          <cell r="A30" t="str">
            <v>Petroleum</v>
          </cell>
        </row>
        <row r="32">
          <cell r="A32" t="str">
            <v>Truck Tracking (VI eTrans)</v>
          </cell>
        </row>
        <row r="34">
          <cell r="A34" t="str">
            <v>NBFCs</v>
          </cell>
        </row>
        <row r="36">
          <cell r="A36" t="str">
            <v>CUGs / Government</v>
          </cell>
        </row>
        <row r="38">
          <cell r="A38" t="str">
            <v>ATM</v>
          </cell>
        </row>
        <row r="39">
          <cell r="A39" t="str">
            <v>ATMs at the end of the month</v>
          </cell>
        </row>
        <row r="40">
          <cell r="A40" t="str">
            <v>Additions during the month</v>
          </cell>
        </row>
        <row r="41">
          <cell r="A41" t="str">
            <v>Average ATMs Installed</v>
          </cell>
        </row>
        <row r="42">
          <cell r="A42" t="str">
            <v>Revenue / ATM</v>
          </cell>
        </row>
        <row r="47">
          <cell r="A47" t="str">
            <v>Revenue / ATM</v>
          </cell>
        </row>
        <row r="49">
          <cell r="A49" t="str">
            <v>Total Revenue (Rs. lacs)</v>
          </cell>
        </row>
        <row r="53">
          <cell r="A53" t="str">
            <v>Total Revenue</v>
          </cell>
        </row>
        <row r="55">
          <cell r="A55" t="str">
            <v>Segment Group - Travel / Hospitality / Retail / Entertainment / Mnfg. / Distn.</v>
          </cell>
        </row>
        <row r="57">
          <cell r="A57" t="str">
            <v>Travel/Hospitality/Retail/Entertainment</v>
          </cell>
        </row>
        <row r="59">
          <cell r="A59" t="str">
            <v>Manufacturing and Distribution</v>
          </cell>
        </row>
        <row r="61">
          <cell r="A61" t="str">
            <v>Segment Group - Cable Operators / Micro Finance</v>
          </cell>
        </row>
        <row r="63">
          <cell r="A63" t="str">
            <v>Cable Operators</v>
          </cell>
        </row>
        <row r="65">
          <cell r="A65" t="str">
            <v>Micro Finance</v>
          </cell>
        </row>
        <row r="67">
          <cell r="A67" t="str">
            <v>Commerce / Terminal</v>
          </cell>
        </row>
        <row r="76">
          <cell r="A76" t="str">
            <v>Total Commerce</v>
          </cell>
        </row>
        <row r="78">
          <cell r="A78" t="str">
            <v>Implied Commission Rates (%)</v>
          </cell>
        </row>
        <row r="87">
          <cell r="A87" t="str">
            <v>Total Implied Transaction Commision</v>
          </cell>
        </row>
        <row r="89">
          <cell r="A89" t="str">
            <v>Total Front End Revenue Analysis</v>
          </cell>
        </row>
        <row r="96">
          <cell r="A96" t="str">
            <v>Total Front End Revenues (Rs. Lacs)</v>
          </cell>
        </row>
        <row r="99">
          <cell r="A99" t="str">
            <v>Note :  Commerce from Citibank and ANZ Terminals have not been included for computing Implied Commission Rate. To this extent, the Implied commission rate is higher.</v>
          </cell>
        </row>
        <row r="100">
          <cell r="A100" t="str">
            <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0000"/>
      <sheetName val="WORKINGS"/>
      <sheetName val="P&amp;L-B.SHEET-RATIOS"/>
      <sheetName val="depr"/>
      <sheetName val="Termloan"/>
      <sheetName val="taxcalwithoutint"/>
      <sheetName val="taxcal"/>
      <sheetName val="val"/>
      <sheetName val="consolidated Budget"/>
      <sheetName val="Input"/>
      <sheetName val="ABS Collat Feed"/>
      <sheetName val="Avail FC Coll Feed"/>
      <sheetName val="Inv Data Feed"/>
      <sheetName val="Pivot RM"/>
      <sheetName val="P&amp;L-B_SHEET-RATIOS"/>
      <sheetName val="consolidated_Budget"/>
      <sheetName val="Pivot_RM"/>
      <sheetName val="P&amp;L-B_SHEET-RATIOS1"/>
      <sheetName val="consolidated_Budget1"/>
      <sheetName val="Pivot_RM1"/>
      <sheetName val="P&amp;L-B_SHEET-RATIOS2"/>
      <sheetName val="consolidated_Budget2"/>
      <sheetName val="ABS_Collat_Feed"/>
      <sheetName val="Avail_FC_Coll_Feed"/>
      <sheetName val="Inv_Data_Feed"/>
      <sheetName val="Pivot_RM2"/>
      <sheetName val="P&amp;L-B_SHEET-RATIOS3"/>
      <sheetName val="consolidated_Budget3"/>
      <sheetName val="ABS_Collat_Feed1"/>
      <sheetName val="Avail_FC_Coll_Feed1"/>
      <sheetName val="Inv_Data_Feed1"/>
      <sheetName val="Pivot_RM3"/>
    </sheetNames>
    <sheetDataSet>
      <sheetData sheetId="0">
        <row r="2">
          <cell r="A2" t="str">
            <v>BAMBINO AGRO INDUSTRIES LIMITED</v>
          </cell>
        </row>
        <row r="4">
          <cell r="A4" t="str">
            <v>4E, 104 SURYA TOWERS, S.P.ROAD, SECUNDERABAD - 500 003</v>
          </cell>
        </row>
      </sheetData>
      <sheetData sheetId="1">
        <row r="2">
          <cell r="A2" t="str">
            <v>BAMBINO AGRO INDUSTRIES LIMITED</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03"/>
      <sheetName val="405"/>
      <sheetName val="427"/>
      <sheetName val="Control"/>
      <sheetName val="499_1165"/>
      <sheetName val="Projects"/>
      <sheetName val="Dep"/>
      <sheetName val="VSP PURCHASE CAPEX BLDG EXEMPTE"/>
      <sheetName val="VISION 2000"/>
      <sheetName val="1_OBJ98 "/>
      <sheetName val="1-OBJ98 "/>
      <sheetName val="Model"/>
      <sheetName val="Sheet1"/>
      <sheetName val="Inputs &amp; Summary Output"/>
      <sheetName val="Broad Refresher Model"/>
      <sheetName val="ANALYSIS"/>
      <sheetName val="CRITERIA1"/>
      <sheetName val="BHANDUP"/>
      <sheetName val="ICICI"/>
      <sheetName val="HDFC"/>
      <sheetName val="#REF"/>
      <sheetName val="Index"/>
      <sheetName val="Sheet3"/>
      <sheetName val="AS-Inventory"/>
      <sheetName val="WGE P&amp;E"/>
      <sheetName val="Actuals_by_Job"/>
      <sheetName val="Heads_Equiv_QI"/>
      <sheetName val="PT_Heads_SD"/>
      <sheetName val="Month"/>
      <sheetName val="Outlook"/>
      <sheetName val="MOE"/>
      <sheetName val="Scenarios"/>
      <sheetName val="Valuation"/>
      <sheetName val="Challan"/>
      <sheetName val="CONTRN BY DISTRICT"/>
      <sheetName val="TB"/>
      <sheetName val="Assumptions"/>
      <sheetName val="Setup"/>
      <sheetName val="FORM7"/>
      <sheetName val="Ref Table"/>
      <sheetName val="OCT 11-OB-PO's"/>
      <sheetName val="UK"/>
      <sheetName val="FINAL"/>
      <sheetName val="Lists"/>
      <sheetName val="SBI"/>
      <sheetName val="Cash Flow Statement"/>
      <sheetName val="Customize Your Purchase Order"/>
      <sheetName val="Excess Calc"/>
      <sheetName val="Cons-K"/>
      <sheetName val="Review_Aug06(sum)"/>
      <sheetName val="Fcst vs Budgets"/>
      <sheetName val="IFRS BS"/>
      <sheetName val="IFRS IS"/>
      <sheetName val="Schedules"/>
      <sheetName val="Reclass BS 2007"/>
      <sheetName val="Reclass BS 2008"/>
      <sheetName val="Reclass BS 2009"/>
      <sheetName val="Reclass IS 2007"/>
      <sheetName val="Reclass IS 2008"/>
      <sheetName val="Reclass IS 2009"/>
      <sheetName val="JE2007 (M)"/>
      <sheetName val="JE2007 (R)"/>
      <sheetName val="JE2008 (M)"/>
      <sheetName val="JE2008 (R)"/>
      <sheetName val="JE2009 (M)"/>
      <sheetName val="JE2009 (R)"/>
      <sheetName val="G4moma"/>
      <sheetName val="mktshares"/>
      <sheetName val="graphs"/>
      <sheetName val="Pricing Notes"/>
      <sheetName val="SolahartIndustries"/>
      <sheetName val="AcqBS"/>
      <sheetName val="22 UK"/>
      <sheetName val="MAT-09"/>
      <sheetName val="10A"/>
      <sheetName val="CFL"/>
      <sheetName val="CYLA BFLA"/>
      <sheetName val="CG_OS"/>
      <sheetName val="GENERAL"/>
      <sheetName val="DDT_TDS_TCS"/>
      <sheetName val="HOUSE_PROPERTY"/>
      <sheetName val="NATUREOFBUSINESS"/>
      <sheetName val="GENERAL2"/>
      <sheetName val="SUBSIDIARY DETAILS"/>
      <sheetName val="80G"/>
      <sheetName val="QUANTITATIVE_DETAILS"/>
      <sheetName val="SI"/>
      <sheetName val="IT_FBT_DDTP"/>
      <sheetName val="FRINGE_BENEFIT_INFO"/>
      <sheetName val="80_"/>
      <sheetName val="BP"/>
      <sheetName val="R S IV BS Notes"/>
      <sheetName val="Revised FA Co Act"/>
      <sheetName val="R S IV BS sch"/>
      <sheetName val="R S IV PL Notes"/>
      <sheetName val="R S IV PL Sch"/>
      <sheetName val="NSLPOWER  LTD "/>
      <sheetName val="INDUR TDS_08_09"/>
      <sheetName val="Financials"/>
      <sheetName val="BPO-INR"/>
      <sheetName val="Ref_Table"/>
      <sheetName val="VSP_PURCHASE_CAPEX_BLDG_EXEMPTE"/>
      <sheetName val="VISION_2000"/>
      <sheetName val="1_OBJ98_"/>
      <sheetName val="1-OBJ98_"/>
      <sheetName val="Inputs_&amp;_Summary_Output"/>
      <sheetName val="Broad_Refresher_Model"/>
      <sheetName val="PriceDataSheet"/>
      <sheetName val="Monthly Report"/>
      <sheetName val="CV Financials"/>
      <sheetName val="Car Financials"/>
      <sheetName val="Rate Analysis"/>
      <sheetName val="Data"/>
      <sheetName val="SALES"/>
      <sheetName val="Service Function"/>
      <sheetName val="19-PERF"/>
      <sheetName val="AMSAGH"/>
      <sheetName val="Cálculo"/>
      <sheetName val="Fatores"/>
      <sheetName val="KAITHAL"/>
      <sheetName val="WGE_P&amp;E"/>
      <sheetName val="Cash_Flow_Statement"/>
      <sheetName val="CONTRN_BY_DISTRICT"/>
      <sheetName val="Customize_Your_Purchase_Order"/>
      <sheetName val="Excess_Calc"/>
      <sheetName val="OCT_11-OB-PO's"/>
      <sheetName val="Fcst_vs_Budgets"/>
      <sheetName val="IFRS_BS"/>
      <sheetName val="IFRS_IS"/>
      <sheetName val="Reclass_BS_2007"/>
      <sheetName val="Reclass_BS_2008"/>
      <sheetName val="Reclass_BS_2009"/>
      <sheetName val="Reclass_IS_2007"/>
      <sheetName val="Reclass_IS_2008"/>
      <sheetName val="Reclass_IS_2009"/>
      <sheetName val="JE2007_(M)"/>
      <sheetName val="JE2007_(R)"/>
      <sheetName val="JE2008_(M)"/>
      <sheetName val="JE2008_(R)"/>
      <sheetName val="JE2009_(M)"/>
      <sheetName val="JE2009_(R)"/>
      <sheetName val="adp-budget"/>
      <sheetName val="synthèse"/>
      <sheetName val="détail 29-6"/>
      <sheetName val="ProC Files - ADD"/>
      <sheetName val="ProC Files - IN "/>
      <sheetName val="Sheet2"/>
      <sheetName val="Link"/>
      <sheetName val="Accounts"/>
      <sheetName val="Pivot RM"/>
      <sheetName val="profit &amp; loss"/>
      <sheetName val="final abstract"/>
      <sheetName val="VSP_PURCHASE_CAPEX_BLDG_EXEMPT1"/>
      <sheetName val="VISION_20001"/>
      <sheetName val="1_OBJ98_1"/>
      <sheetName val="1-OBJ98_1"/>
      <sheetName val="Inputs_&amp;_Summary_Output1"/>
      <sheetName val="Broad_Refresher_Model1"/>
      <sheetName val="Pricing_Notes"/>
      <sheetName val="Ref_Table1"/>
      <sheetName val="22_UK"/>
      <sheetName val="CYLA_BFLA"/>
      <sheetName val="SUBSIDIARY_DETAILS"/>
      <sheetName val="R_S_IV_BS_Notes"/>
      <sheetName val="Revised_FA_Co_Act"/>
      <sheetName val="R_S_IV_BS_sch"/>
      <sheetName val="R_S_IV_PL_Notes"/>
      <sheetName val="R_S_IV_PL_Sch"/>
      <sheetName val="NSLPOWER__LTD_"/>
      <sheetName val="INDUR_TDS_08_09"/>
      <sheetName val="Monthly_Report"/>
      <sheetName val="VSP_PURCHASE_CAPEX_BLDG_EXEMPT2"/>
      <sheetName val="VISION_20002"/>
      <sheetName val="1_OBJ98_2"/>
      <sheetName val="1-OBJ98_2"/>
      <sheetName val="Inputs_&amp;_Summary_Output2"/>
      <sheetName val="Broad_Refresher_Model2"/>
      <sheetName val="WGE_P&amp;E1"/>
      <sheetName val="CONTRN_BY_DISTRICT1"/>
      <sheetName val="Pricing_Notes1"/>
      <sheetName val="OCT_11-OB-PO's1"/>
      <sheetName val="Ref_Table2"/>
      <sheetName val="Cash_Flow_Statement1"/>
      <sheetName val="22_UK1"/>
      <sheetName val="Fcst_vs_Budgets1"/>
      <sheetName val="Excess_Calc1"/>
      <sheetName val="CYLA_BFLA1"/>
      <sheetName val="SUBSIDIARY_DETAILS1"/>
      <sheetName val="R_S_IV_BS_Notes1"/>
      <sheetName val="Revised_FA_Co_Act1"/>
      <sheetName val="R_S_IV_BS_sch1"/>
      <sheetName val="R_S_IV_PL_Notes1"/>
      <sheetName val="R_S_IV_PL_Sch1"/>
      <sheetName val="Customize_Your_Purchase_Order1"/>
      <sheetName val="NSLPOWER__LTD_1"/>
      <sheetName val="INDUR_TDS_08_091"/>
      <sheetName val="Monthly_Report1"/>
      <sheetName val="IFRS_BS1"/>
      <sheetName val="IFRS_IS1"/>
      <sheetName val="Reclass_BS_20071"/>
      <sheetName val="Reclass_BS_20081"/>
      <sheetName val="Reclass_BS_20091"/>
      <sheetName val="Reclass_IS_20071"/>
      <sheetName val="Reclass_IS_20081"/>
      <sheetName val="Reclass_IS_20091"/>
      <sheetName val="JE2007_(M)1"/>
      <sheetName val="JE2007_(R)1"/>
      <sheetName val="JE2008_(M)1"/>
      <sheetName val="JE2008_(R)1"/>
      <sheetName val="JE2009_(M)1"/>
      <sheetName val="JE2009_(R)1"/>
      <sheetName val="VSP_PURCHASE_CAPEX_BLDG_EXEMPT3"/>
      <sheetName val="VISION_20003"/>
      <sheetName val="1_OBJ98_3"/>
      <sheetName val="1-OBJ98_3"/>
      <sheetName val="Inputs_&amp;_Summary_Output3"/>
      <sheetName val="Broad_Refresher_Model3"/>
      <sheetName val="WGE_P&amp;E2"/>
      <sheetName val="CONTRN_BY_DISTRICT2"/>
      <sheetName val="Pricing_Notes2"/>
      <sheetName val="OCT_11-OB-PO's2"/>
      <sheetName val="Ref_Table3"/>
      <sheetName val="Cash_Flow_Statement2"/>
      <sheetName val="22_UK2"/>
      <sheetName val="Fcst_vs_Budgets2"/>
      <sheetName val="Excess_Calc2"/>
      <sheetName val="CYLA_BFLA2"/>
      <sheetName val="SUBSIDIARY_DETAILS2"/>
      <sheetName val="R_S_IV_BS_Notes2"/>
      <sheetName val="Revised_FA_Co_Act2"/>
      <sheetName val="R_S_IV_BS_sch2"/>
      <sheetName val="R_S_IV_PL_Notes2"/>
      <sheetName val="R_S_IV_PL_Sch2"/>
      <sheetName val="Customize_Your_Purchase_Order2"/>
      <sheetName val="NSLPOWER__LTD_2"/>
      <sheetName val="INDUR_TDS_08_092"/>
      <sheetName val="Monthly_Report2"/>
      <sheetName val="IFRS_BS2"/>
      <sheetName val="IFRS_IS2"/>
      <sheetName val="Reclass_BS_20072"/>
      <sheetName val="Reclass_BS_20082"/>
      <sheetName val="Reclass_BS_20092"/>
      <sheetName val="Reclass_IS_20072"/>
      <sheetName val="Reclass_IS_20082"/>
      <sheetName val="Reclass_IS_20092"/>
      <sheetName val="JE2007_(M)2"/>
      <sheetName val="JE2007_(R)2"/>
      <sheetName val="JE2008_(M)2"/>
      <sheetName val="JE2008_(R)2"/>
      <sheetName val="JE2009_(M)2"/>
      <sheetName val="JE2009_(R)2"/>
      <sheetName val="Input Sheet"/>
      <sheetName val="Summary Sheet"/>
      <sheetName val="Funds Phasing"/>
      <sheetName val="Non-Recurring Items Detail"/>
      <sheetName val="Gross Margin by Practice"/>
      <sheetName val="OpServicesDetail"/>
      <sheetName val="Koovs"/>
      <sheetName val="외화금융(97-03)"/>
      <sheetName val="IEPA"/>
      <sheetName val="S.1.1_Outside india debtors"/>
      <sheetName val="S.2_RP transactions"/>
      <sheetName val="S.2.2_total sale"/>
      <sheetName val="S.2.5_During the year purchase"/>
      <sheetName val="S.2.6_PY pur rev"/>
      <sheetName val="Input"/>
      <sheetName val="Debt"/>
      <sheetName val="Formats"/>
      <sheetName val="Capital"/>
      <sheetName val="Profile"/>
      <sheetName val="CapEx"/>
      <sheetName val="Tax"/>
      <sheetName val="QuanOP"/>
      <sheetName val="VarName"/>
      <sheetName val="COGM"/>
      <sheetName val="RM-LEDGER"/>
      <sheetName val="EXPENSES"/>
      <sheetName val="Fixed Assets"/>
      <sheetName val="Sch1 - Summary P&amp;L"/>
      <sheetName val="VSP_PURCHASE_CAPEX_BLDG_EXEMPT4"/>
      <sheetName val="VISION_20004"/>
      <sheetName val="1_OBJ98_4"/>
      <sheetName val="1-OBJ98_4"/>
      <sheetName val="Ref_Table4"/>
      <sheetName val="Inputs_&amp;_Summary_Output4"/>
      <sheetName val="Broad_Refresher_Model4"/>
      <sheetName val="OCT_11-OB-PO's3"/>
      <sheetName val="WGE_P&amp;E3"/>
      <sheetName val="CONTRN_BY_DISTRICT3"/>
      <sheetName val="Cash_Flow_Statement3"/>
      <sheetName val="22_UK3"/>
      <sheetName val="Pricing_Notes3"/>
      <sheetName val="Fcst_vs_Budgets3"/>
      <sheetName val="Excess_Calc3"/>
      <sheetName val="CYLA_BFLA3"/>
      <sheetName val="SUBSIDIARY_DETAILS3"/>
      <sheetName val="IFRS_BS3"/>
      <sheetName val="IFRS_IS3"/>
      <sheetName val="Reclass_BS_20073"/>
      <sheetName val="Reclass_BS_20083"/>
      <sheetName val="Reclass_BS_20093"/>
      <sheetName val="Reclass_IS_20073"/>
      <sheetName val="Reclass_IS_20083"/>
      <sheetName val="Reclass_IS_20093"/>
      <sheetName val="JE2007_(M)3"/>
      <sheetName val="JE2007_(R)3"/>
      <sheetName val="JE2008_(M)3"/>
      <sheetName val="JE2008_(R)3"/>
      <sheetName val="JE2009_(M)3"/>
      <sheetName val="JE2009_(R)3"/>
      <sheetName val="Customize_Your_Purchase_Order3"/>
      <sheetName val="R_S_IV_BS_Notes3"/>
      <sheetName val="Revised_FA_Co_Act3"/>
      <sheetName val="R_S_IV_BS_sch3"/>
      <sheetName val="R_S_IV_PL_Notes3"/>
      <sheetName val="R_S_IV_PL_Sch3"/>
      <sheetName val="Monthly_Report3"/>
      <sheetName val="NSLPOWER__LTD_3"/>
      <sheetName val="INDUR_TDS_08_093"/>
      <sheetName val="Service_Function"/>
      <sheetName val="Rate_Analysis"/>
      <sheetName val="Pivot_RM"/>
      <sheetName val="CV_Financials"/>
      <sheetName val="Car_Financials"/>
      <sheetName val="détail_29-6"/>
      <sheetName val="ProC_Files_-_ADD"/>
      <sheetName val="ProC_Files_-_IN_"/>
      <sheetName val="profit_&amp;_loss"/>
      <sheetName val="final_abstract"/>
      <sheetName val="Non-Recurring_Items_Detail"/>
      <sheetName val="Gross_Margin_by_Practice"/>
      <sheetName val="COMMRY"/>
      <sheetName val="Acctg Date"/>
      <sheetName val="NEW Dept"/>
      <sheetName val="JE cklst"/>
      <sheetName val="OLD Accts"/>
      <sheetName val="OLD Dept"/>
      <sheetName val="Summary Cash Flows"/>
      <sheetName val="Inventory Turnover Ratios"/>
      <sheetName val="masque"/>
      <sheetName val="Revenue"/>
      <sheetName val="Merger.Model"/>
      <sheetName val="P&amp;L.Master.EURO"/>
      <sheetName val="Base.DCF"/>
      <sheetName val="Bal_Gr"/>
      <sheetName val="form26"/>
      <sheetName val="2gii"/>
      <sheetName val="A-General"/>
      <sheetName val="BS-203"/>
      <sheetName val="CM"/>
      <sheetName val="Orders"/>
      <sheetName val="1 LeadSchedule"/>
      <sheetName val="P&amp;L Actual"/>
      <sheetName val="Lookups"/>
      <sheetName val="P&amp;L Budget"/>
      <sheetName val="CoA"/>
      <sheetName val="Content Instructions"/>
      <sheetName val="Adm97"/>
      <sheetName val="HEADCOUNT WORKSHEET"/>
      <sheetName val="ACLSHL96"/>
      <sheetName val="Mat'l Pareto"/>
      <sheetName val=" BC SUMMARY 2002"/>
      <sheetName val=""/>
      <sheetName val="VSP_PURCHASE_CAPEX_BLDG_EXEMPT5"/>
      <sheetName val="VISION_20005"/>
      <sheetName val="1_OBJ98_5"/>
      <sheetName val="1-OBJ98_5"/>
      <sheetName val="Ref_Table5"/>
      <sheetName val="Inputs_&amp;_Summary_Output5"/>
      <sheetName val="Broad_Refresher_Model5"/>
      <sheetName val="OCT_11-OB-PO's4"/>
      <sheetName val="WGE_P&amp;E4"/>
      <sheetName val="CONTRN_BY_DISTRICT4"/>
      <sheetName val="Cash_Flow_Statement4"/>
      <sheetName val="22_UK4"/>
      <sheetName val="Pricing_Notes4"/>
      <sheetName val="Fcst_vs_Budgets4"/>
      <sheetName val="Excess_Calc4"/>
      <sheetName val="CYLA_BFLA4"/>
      <sheetName val="SUBSIDIARY_DETAILS4"/>
      <sheetName val="IFRS_BS4"/>
      <sheetName val="IFRS_IS4"/>
      <sheetName val="Reclass_BS_20074"/>
      <sheetName val="Reclass_BS_20084"/>
      <sheetName val="Reclass_BS_20094"/>
      <sheetName val="Reclass_IS_20074"/>
      <sheetName val="Reclass_IS_20084"/>
      <sheetName val="Reclass_IS_20094"/>
      <sheetName val="JE2007_(M)4"/>
      <sheetName val="JE2007_(R)4"/>
      <sheetName val="JE2008_(M)4"/>
      <sheetName val="JE2008_(R)4"/>
      <sheetName val="JE2009_(M)4"/>
      <sheetName val="JE2009_(R)4"/>
      <sheetName val="Customize_Your_Purchase_Order4"/>
      <sheetName val="R_S_IV_BS_Notes4"/>
      <sheetName val="Revised_FA_Co_Act4"/>
      <sheetName val="R_S_IV_BS_sch4"/>
      <sheetName val="R_S_IV_PL_Notes4"/>
      <sheetName val="R_S_IV_PL_Sch4"/>
      <sheetName val="Monthly_Report4"/>
      <sheetName val="NSLPOWER__LTD_4"/>
      <sheetName val="INDUR_TDS_08_094"/>
      <sheetName val="Service_Function1"/>
      <sheetName val="Rate_Analysis1"/>
      <sheetName val="Pivot_RM1"/>
      <sheetName val="CV_Financials1"/>
      <sheetName val="Car_Financials1"/>
      <sheetName val="détail_29-61"/>
      <sheetName val="ProC_Files_-_ADD1"/>
      <sheetName val="ProC_Files_-_IN_1"/>
      <sheetName val="profit_&amp;_loss1"/>
      <sheetName val="final_abstract1"/>
      <sheetName val="Non-Recurring_Items_Detail1"/>
      <sheetName val="Gross_Margin_by_Practice1"/>
      <sheetName val="Fixed_Assets"/>
      <sheetName val="Sch1_-_Summary_P&amp;L"/>
      <sheetName val="Acctg_Date"/>
      <sheetName val="NEW_Dept"/>
      <sheetName val="JE_cklst"/>
      <sheetName val="OLD_Accts"/>
      <sheetName val="OLD_Dept"/>
      <sheetName val="Summary_Cash_Flows"/>
      <sheetName val="Inventory_Turnover_Ratios"/>
      <sheetName val="Merger_Model"/>
      <sheetName val="P&amp;L_Master_EURO"/>
      <sheetName val="Base_DCF"/>
      <sheetName val="Sheet4"/>
      <sheetName val="TB 13-14"/>
      <sheetName val="PL PBC"/>
      <sheetName val="Tables"/>
      <sheetName val="SAP jan"/>
      <sheetName val="Market Num50"/>
      <sheetName val="Market Num75"/>
      <sheetName val="Market Val50"/>
      <sheetName val="Market Val75"/>
      <sheetName val="ActualData"/>
      <sheetName val="APWk data"/>
      <sheetName val="S-Curve S.1"/>
      <sheetName val="合成単価作成・-BLDG"/>
      <sheetName val="VSP_PURCHASE_CAPEX_BLDG_EXEMPT6"/>
      <sheetName val="VISION_20006"/>
      <sheetName val="1_OBJ98_6"/>
      <sheetName val="1-OBJ98_6"/>
      <sheetName val="Ref_Table6"/>
      <sheetName val="Inputs_&amp;_Summary_Output6"/>
      <sheetName val="Broad_Refresher_Model6"/>
      <sheetName val="OCT_11-OB-PO's5"/>
      <sheetName val="WGE_P&amp;E5"/>
      <sheetName val="CONTRN_BY_DISTRICT5"/>
      <sheetName val="Cash_Flow_Statement5"/>
      <sheetName val="22_UK5"/>
      <sheetName val="Pricing_Notes5"/>
      <sheetName val="Fcst_vs_Budgets5"/>
      <sheetName val="Excess_Calc5"/>
      <sheetName val="CYLA_BFLA5"/>
      <sheetName val="SUBSIDIARY_DETAILS5"/>
      <sheetName val="IFRS_BS5"/>
      <sheetName val="IFRS_IS5"/>
      <sheetName val="Reclass_BS_20075"/>
      <sheetName val="Reclass_BS_20085"/>
      <sheetName val="Reclass_BS_20095"/>
      <sheetName val="Reclass_IS_20075"/>
      <sheetName val="Reclass_IS_20085"/>
      <sheetName val="Reclass_IS_20095"/>
      <sheetName val="JE2007_(M)5"/>
      <sheetName val="JE2007_(R)5"/>
      <sheetName val="JE2008_(M)5"/>
      <sheetName val="JE2008_(R)5"/>
      <sheetName val="JE2009_(M)5"/>
      <sheetName val="JE2009_(R)5"/>
      <sheetName val="Customize_Your_Purchase_Order5"/>
      <sheetName val="R_S_IV_BS_Notes5"/>
      <sheetName val="Revised_FA_Co_Act5"/>
      <sheetName val="R_S_IV_BS_sch5"/>
      <sheetName val="R_S_IV_PL_Notes5"/>
      <sheetName val="R_S_IV_PL_Sch5"/>
      <sheetName val="Monthly_Report5"/>
      <sheetName val="NSLPOWER__LTD_5"/>
      <sheetName val="INDUR_TDS_08_095"/>
      <sheetName val="Service_Function2"/>
      <sheetName val="Rate_Analysis2"/>
      <sheetName val="Pivot_RM2"/>
      <sheetName val="CV_Financials2"/>
      <sheetName val="Car_Financials2"/>
      <sheetName val="détail_29-62"/>
      <sheetName val="ProC_Files_-_ADD2"/>
      <sheetName val="ProC_Files_-_IN_2"/>
      <sheetName val="profit_&amp;_loss2"/>
      <sheetName val="final_abstract2"/>
      <sheetName val="Non-Recurring_Items_Detail2"/>
      <sheetName val="Gross_Margin_by_Practice2"/>
      <sheetName val="Fixed_Assets1"/>
      <sheetName val="Sch1_-_Summary_P&amp;L1"/>
      <sheetName val="Acctg_Date1"/>
      <sheetName val="NEW_Dept1"/>
      <sheetName val="JE_cklst1"/>
      <sheetName val="OLD_Accts1"/>
      <sheetName val="OLD_Dept1"/>
      <sheetName val="Summary_Cash_Flows1"/>
      <sheetName val="Inventory_Turnover_Ratios1"/>
      <sheetName val="Merger_Model1"/>
      <sheetName val="P&amp;L_Master_EURO1"/>
      <sheetName val="Base_DCF1"/>
      <sheetName val="VSP_PURCHASE_CAPEX_BLDG_EXEMPT7"/>
      <sheetName val="VISION_20007"/>
      <sheetName val="1_OBJ98_7"/>
      <sheetName val="1-OBJ98_7"/>
      <sheetName val="Ref_Table7"/>
      <sheetName val="Inputs_&amp;_Summary_Output7"/>
      <sheetName val="Broad_Refresher_Model7"/>
      <sheetName val="OCT_11-OB-PO's6"/>
      <sheetName val="WGE_P&amp;E6"/>
      <sheetName val="CONTRN_BY_DISTRICT6"/>
      <sheetName val="Cash_Flow_Statement6"/>
      <sheetName val="22_UK6"/>
      <sheetName val="Pricing_Notes6"/>
      <sheetName val="Fcst_vs_Budgets6"/>
      <sheetName val="Excess_Calc6"/>
      <sheetName val="CYLA_BFLA6"/>
      <sheetName val="SUBSIDIARY_DETAILS6"/>
      <sheetName val="IFRS_BS6"/>
      <sheetName val="IFRS_IS6"/>
      <sheetName val="Reclass_BS_20076"/>
      <sheetName val="Reclass_BS_20086"/>
      <sheetName val="Reclass_BS_20096"/>
      <sheetName val="Reclass_IS_20076"/>
      <sheetName val="Reclass_IS_20086"/>
      <sheetName val="Reclass_IS_20096"/>
      <sheetName val="JE2007_(M)6"/>
      <sheetName val="JE2007_(R)6"/>
      <sheetName val="JE2008_(M)6"/>
      <sheetName val="Table for Template"/>
      <sheetName val="JE2008_(R)6"/>
      <sheetName val="JE2009_(M)6"/>
      <sheetName val="JE2009_(R)6"/>
      <sheetName val="Customize_Your_Purchase_Order6"/>
      <sheetName val="R_S_IV_BS_Notes6"/>
      <sheetName val="Revised_FA_Co_Act6"/>
      <sheetName val="R_S_IV_BS_sch6"/>
      <sheetName val="R_S_IV_PL_Notes6"/>
      <sheetName val="R_S_IV_PL_Sch6"/>
      <sheetName val="Monthly_Report6"/>
      <sheetName val="NSLPOWER__LTD_6"/>
      <sheetName val="INDUR_TDS_08_096"/>
      <sheetName val="Service_Function3"/>
      <sheetName val="Rate_Analysis3"/>
      <sheetName val="Pivot_RM3"/>
      <sheetName val="CV_Financials3"/>
      <sheetName val="Car_Financials3"/>
      <sheetName val="détail_29-63"/>
      <sheetName val="ProC_Files_-_ADD3"/>
      <sheetName val="ProC_Files_-_IN_3"/>
      <sheetName val="profit_&amp;_loss3"/>
      <sheetName val="final_abstract3"/>
      <sheetName val="Non-Recurring_Items_Detail3"/>
      <sheetName val="Gross_Margin_by_Practice3"/>
      <sheetName val="Fixed_Assets2"/>
      <sheetName val="Sch1_-_Summary_P&amp;L2"/>
      <sheetName val="Acctg_Date2"/>
      <sheetName val="NEW_Dept2"/>
      <sheetName val="JE_cklst2"/>
      <sheetName val="OLD_Accts2"/>
      <sheetName val="OLD_Dept2"/>
      <sheetName val="Summary_Cash_Flows2"/>
      <sheetName val="Inventory_Turnover_Ratios2"/>
      <sheetName val="Merger_Model2"/>
      <sheetName val="P&amp;L_Master_EURO2"/>
      <sheetName val="Base_DCF2"/>
      <sheetName val="VSP_PURCHASE_CAPEX_BLDG_EXEMPT8"/>
      <sheetName val="VISION_20008"/>
      <sheetName val="1_OBJ98_8"/>
      <sheetName val="1-OBJ98_8"/>
      <sheetName val="Ref_Table8"/>
      <sheetName val="Inputs_&amp;_Summary_Output8"/>
      <sheetName val="Broad_Refresher_Model8"/>
      <sheetName val="OCT_11-OB-PO's7"/>
      <sheetName val="WGE_P&amp;E7"/>
      <sheetName val="CONTRN_BY_DISTRICT7"/>
      <sheetName val="Cash_Flow_Statement7"/>
      <sheetName val="22_UK7"/>
      <sheetName val="Pricing_Notes7"/>
      <sheetName val="Fcst_vs_Budgets7"/>
      <sheetName val="Excess_Calc7"/>
      <sheetName val="CYLA_BFLA7"/>
      <sheetName val="SUBSIDIARY_DETAILS7"/>
      <sheetName val="IFRS_BS7"/>
      <sheetName val="IFRS_IS7"/>
      <sheetName val="Reclass_BS_20077"/>
      <sheetName val="Reclass_BS_20087"/>
      <sheetName val="Reclass_BS_20097"/>
      <sheetName val="Reclass_IS_20077"/>
      <sheetName val="Reclass_IS_20087"/>
      <sheetName val="Reclass_IS_20097"/>
      <sheetName val="JE2007_(M)7"/>
      <sheetName val="JE2007_(R)7"/>
      <sheetName val="JE2008_(M)7"/>
      <sheetName val="JE2008_(R)7"/>
      <sheetName val="JE2009_(M)7"/>
      <sheetName val="JE2009_(R)7"/>
      <sheetName val="Customize_Your_Purchase_Order7"/>
      <sheetName val="R_S_IV_BS_Notes7"/>
      <sheetName val="Revised_FA_Co_Act7"/>
      <sheetName val="R_S_IV_BS_sch7"/>
      <sheetName val="R_S_IV_PL_Notes7"/>
      <sheetName val="R_S_IV_PL_Sch7"/>
      <sheetName val="Monthly_Report7"/>
      <sheetName val="NSLPOWER__LTD_7"/>
      <sheetName val="INDUR_TDS_08_097"/>
      <sheetName val="Service_Function4"/>
      <sheetName val="Rate_Analysis4"/>
      <sheetName val="Pivot_RM4"/>
      <sheetName val="CV_Financials4"/>
      <sheetName val="Car_Financials4"/>
      <sheetName val="détail_29-64"/>
      <sheetName val="ProC_Files_-_ADD4"/>
      <sheetName val="ProC_Files_-_IN_4"/>
      <sheetName val="profit_&amp;_loss4"/>
      <sheetName val="final_abstract4"/>
      <sheetName val="Non-Recurring_Items_Detail4"/>
      <sheetName val="Gross_Margin_by_Practice4"/>
      <sheetName val="Fixed_Assets3"/>
      <sheetName val="Sch1_-_Summary_P&amp;L3"/>
      <sheetName val="Acctg_Date3"/>
      <sheetName val="NEW_Dept3"/>
      <sheetName val="JE_cklst3"/>
      <sheetName val="OLD_Accts3"/>
      <sheetName val="OLD_Dept3"/>
      <sheetName val="Summary_Cash_Flows3"/>
      <sheetName val="Inventory_Turnover_Ratios3"/>
      <sheetName val="Merger_Model3"/>
      <sheetName val="P&amp;L_Master_EURO3"/>
      <sheetName val="Base_DCF3"/>
      <sheetName val="PL_PBC"/>
      <sheetName val="SAP_jan"/>
      <sheetName val="Market_Num50"/>
      <sheetName val="Market_Num75"/>
      <sheetName val="Market_Val50"/>
      <sheetName val="Market_Val75"/>
      <sheetName val="P&amp;L_Actual"/>
      <sheetName val="P&amp;L_Budget"/>
      <sheetName val="1_LeadSchedule"/>
      <sheetName val="TB11-12"/>
      <sheetName val="TB 12-13"/>
      <sheetName val="Page 2"/>
      <sheetName val="Variables"/>
      <sheetName val="Merchant Contact Sheet"/>
      <sheetName val="diffbetphy&amp;stock"/>
      <sheetName val="Cash Flow-WSL Base Fcst"/>
      <sheetName val="Balancesheet"/>
      <sheetName val="Volumes"/>
      <sheetName val="Account"/>
      <sheetName val="Citibank OD int"/>
      <sheetName val="CITIL Reval "/>
      <sheetName val="EXIM Interest"/>
      <sheetName val="fundflow"/>
      <sheetName val="Statistics {pbc}"/>
      <sheetName val="VSP_PURCHASE_CAPEX_BLDG_EXEMPT9"/>
      <sheetName val="VISION_20009"/>
      <sheetName val="1_OBJ98_9"/>
      <sheetName val="1-OBJ98_9"/>
      <sheetName val="Ref_Table9"/>
      <sheetName val="Inputs_&amp;_Summary_Output9"/>
      <sheetName val="Broad_Refresher_Model9"/>
      <sheetName val="OCT_11-OB-PO's8"/>
      <sheetName val="WGE_P&amp;E8"/>
      <sheetName val="CONTRN_BY_DISTRICT8"/>
      <sheetName val="Cash_Flow_Statement8"/>
      <sheetName val="22_UK8"/>
      <sheetName val="Pricing_Notes8"/>
      <sheetName val="Fcst_vs_Budgets8"/>
      <sheetName val="Excess_Calc8"/>
      <sheetName val="CYLA_BFLA8"/>
      <sheetName val="SUBSIDIARY_DETAILS8"/>
      <sheetName val="IFRS_BS8"/>
      <sheetName val="IFRS_IS8"/>
      <sheetName val="Reclass_BS_20078"/>
      <sheetName val="Reclass_BS_20088"/>
      <sheetName val="Reclass_BS_20098"/>
      <sheetName val="Reclass_IS_20078"/>
      <sheetName val="Reclass_IS_20088"/>
      <sheetName val="Reclass_IS_20098"/>
      <sheetName val="JE2007_(M)8"/>
      <sheetName val="JE2007_(R)8"/>
      <sheetName val="JE2008_(M)8"/>
      <sheetName val="JE2008_(R)8"/>
      <sheetName val="JE2009_(M)8"/>
      <sheetName val="JE2009_(R)8"/>
      <sheetName val="Customize_Your_Purchase_Order8"/>
      <sheetName val="R_S_IV_BS_Notes8"/>
      <sheetName val="Revised_FA_Co_Act8"/>
      <sheetName val="R_S_IV_BS_sch8"/>
      <sheetName val="R_S_IV_PL_Notes8"/>
      <sheetName val="R_S_IV_PL_Sch8"/>
      <sheetName val="Monthly_Report8"/>
      <sheetName val="NSLPOWER__LTD_8"/>
      <sheetName val="INDUR_TDS_08_098"/>
      <sheetName val="Service_Function5"/>
      <sheetName val="Rate_Analysis5"/>
      <sheetName val="Pivot_RM5"/>
      <sheetName val="CV_Financials5"/>
      <sheetName val="Car_Financials5"/>
      <sheetName val="détail_29-65"/>
      <sheetName val="ProC_Files_-_ADD5"/>
      <sheetName val="ProC_Files_-_IN_5"/>
      <sheetName val="profit_&amp;_loss5"/>
      <sheetName val="final_abstract5"/>
      <sheetName val="Non-Recurring_Items_Detail5"/>
      <sheetName val="Gross_Margin_by_Practice5"/>
      <sheetName val="Fixed_Assets4"/>
      <sheetName val="Sch1_-_Summary_P&amp;L4"/>
      <sheetName val="Acctg_Date4"/>
      <sheetName val="NEW_Dept4"/>
      <sheetName val="JE_cklst4"/>
      <sheetName val="OLD_Accts4"/>
      <sheetName val="OLD_Dept4"/>
      <sheetName val="Summary_Cash_Flows4"/>
      <sheetName val="Inventory_Turnover_Ratios4"/>
      <sheetName val="Merger_Model4"/>
      <sheetName val="P&amp;L_Master_EURO4"/>
      <sheetName val="Base_DCF4"/>
      <sheetName val="PL_PBC1"/>
      <sheetName val="SAP_jan1"/>
      <sheetName val="Market_Num501"/>
      <sheetName val="Market_Num751"/>
      <sheetName val="Market_Val501"/>
      <sheetName val="Market_Val751"/>
      <sheetName val="P&amp;L_Actual1"/>
      <sheetName val="P&amp;L_Budget1"/>
      <sheetName val="1_LeadSchedule1"/>
      <sheetName val="Input_Sheet"/>
      <sheetName val="Summary_Sheet"/>
      <sheetName val="Funds_Phasing"/>
      <sheetName val="S_1_1_Outside_india_debtors"/>
      <sheetName val="S_2_RP_transactions"/>
      <sheetName val="S_2_2_total_sale"/>
      <sheetName val="S_2_5_During_the_year_purchase"/>
      <sheetName val="S_2_6_PY_pur_rev"/>
      <sheetName val="Table_for_Template"/>
      <sheetName val="VSP_PURCHASE_CAPEX_BLDG_EXEMP11"/>
      <sheetName val="VISION_200011"/>
      <sheetName val="1_OBJ98_11"/>
      <sheetName val="1-OBJ98_11"/>
      <sheetName val="Ref_Table11"/>
      <sheetName val="Inputs_&amp;_Summary_Output11"/>
      <sheetName val="Broad_Refresher_Model11"/>
      <sheetName val="OCT_11-OB-PO's10"/>
      <sheetName val="WGE_P&amp;E10"/>
      <sheetName val="CONTRN_BY_DISTRICT10"/>
      <sheetName val="Cash_Flow_Statement10"/>
      <sheetName val="22_UK10"/>
      <sheetName val="Pricing_Notes10"/>
      <sheetName val="Fcst_vs_Budgets10"/>
      <sheetName val="Excess_Calc10"/>
      <sheetName val="CYLA_BFLA10"/>
      <sheetName val="SUBSIDIARY_DETAILS10"/>
      <sheetName val="IFRS_BS10"/>
      <sheetName val="IFRS_IS10"/>
      <sheetName val="Reclass_BS_200710"/>
      <sheetName val="Reclass_BS_200810"/>
      <sheetName val="Reclass_BS_200910"/>
      <sheetName val="Reclass_IS_200710"/>
      <sheetName val="Reclass_IS_200810"/>
      <sheetName val="Reclass_IS_200910"/>
      <sheetName val="JE2007_(M)10"/>
      <sheetName val="JE2007_(R)10"/>
      <sheetName val="JE2008_(M)10"/>
      <sheetName val="JE2008_(R)10"/>
      <sheetName val="JE2009_(M)10"/>
      <sheetName val="JE2009_(R)10"/>
      <sheetName val="Customize_Your_Purchase_Order10"/>
      <sheetName val="R_S_IV_BS_Notes10"/>
      <sheetName val="Revised_FA_Co_Act10"/>
      <sheetName val="R_S_IV_BS_sch10"/>
      <sheetName val="R_S_IV_PL_Notes10"/>
      <sheetName val="R_S_IV_PL_Sch10"/>
      <sheetName val="Monthly_Report10"/>
      <sheetName val="NSLPOWER__LTD_10"/>
      <sheetName val="INDUR_TDS_08_0910"/>
      <sheetName val="Service_Function7"/>
      <sheetName val="Rate_Analysis7"/>
      <sheetName val="Pivot_RM7"/>
      <sheetName val="CV_Financials7"/>
      <sheetName val="Car_Financials7"/>
      <sheetName val="détail_29-67"/>
      <sheetName val="ProC_Files_-_ADD7"/>
      <sheetName val="ProC_Files_-_IN_7"/>
      <sheetName val="profit_&amp;_loss7"/>
      <sheetName val="final_abstract7"/>
      <sheetName val="Non-Recurring_Items_Detail7"/>
      <sheetName val="Gross_Margin_by_Practice7"/>
      <sheetName val="Fixed_Assets6"/>
      <sheetName val="Sch1_-_Summary_P&amp;L6"/>
      <sheetName val="Acctg_Date6"/>
      <sheetName val="NEW_Dept6"/>
      <sheetName val="JE_cklst6"/>
      <sheetName val="OLD_Accts6"/>
      <sheetName val="OLD_Dept6"/>
      <sheetName val="Summary_Cash_Flows6"/>
      <sheetName val="Inventory_Turnover_Ratios6"/>
      <sheetName val="Merger_Model6"/>
      <sheetName val="P&amp;L_Master_EURO6"/>
      <sheetName val="Base_DCF6"/>
      <sheetName val="PL_PBC3"/>
      <sheetName val="SAP_jan3"/>
      <sheetName val="Market_Num503"/>
      <sheetName val="Market_Num753"/>
      <sheetName val="Market_Val503"/>
      <sheetName val="Market_Val753"/>
      <sheetName val="P&amp;L_Actual3"/>
      <sheetName val="P&amp;L_Budget3"/>
      <sheetName val="1_LeadSchedule3"/>
      <sheetName val="Input_Sheet2"/>
      <sheetName val="Summary_Sheet2"/>
      <sheetName val="Funds_Phasing2"/>
      <sheetName val="S_1_1_Outside_india_debtors2"/>
      <sheetName val="S_2_RP_transactions2"/>
      <sheetName val="S_2_2_total_sale2"/>
      <sheetName val="S_2_5_During_the_year_purchase2"/>
      <sheetName val="S_2_6_PY_pur_rev2"/>
      <sheetName val="Table_for_Template2"/>
      <sheetName val="Content_Instructions1"/>
      <sheetName val="_BC_SUMMARY_20021"/>
      <sheetName val="HEADCOUNT_WORKSHEET1"/>
      <sheetName val="Mat'l_Pareto1"/>
      <sheetName val="TB_13-141"/>
      <sheetName val="APWk_data1"/>
      <sheetName val="S-Curve_S_11"/>
      <sheetName val="VSP_PURCHASE_CAPEX_BLDG_EXEMP10"/>
      <sheetName val="VISION_200010"/>
      <sheetName val="1_OBJ98_10"/>
      <sheetName val="1-OBJ98_10"/>
      <sheetName val="Ref_Table10"/>
      <sheetName val="Inputs_&amp;_Summary_Output10"/>
      <sheetName val="Broad_Refresher_Model10"/>
      <sheetName val="OCT_11-OB-PO's9"/>
      <sheetName val="WGE_P&amp;E9"/>
      <sheetName val="CONTRN_BY_DISTRICT9"/>
      <sheetName val="Cash_Flow_Statement9"/>
      <sheetName val="22_UK9"/>
      <sheetName val="Pricing_Notes9"/>
      <sheetName val="Fcst_vs_Budgets9"/>
      <sheetName val="Excess_Calc9"/>
      <sheetName val="CYLA_BFLA9"/>
      <sheetName val="SUBSIDIARY_DETAILS9"/>
      <sheetName val="IFRS_BS9"/>
      <sheetName val="IFRS_IS9"/>
      <sheetName val="Reclass_BS_20079"/>
      <sheetName val="Reclass_BS_20089"/>
      <sheetName val="Reclass_BS_20099"/>
      <sheetName val="Reclass_IS_20079"/>
      <sheetName val="Reclass_IS_20089"/>
      <sheetName val="Reclass_IS_20099"/>
      <sheetName val="JE2007_(M)9"/>
      <sheetName val="JE2007_(R)9"/>
      <sheetName val="JE2008_(M)9"/>
      <sheetName val="JE2008_(R)9"/>
      <sheetName val="JE2009_(M)9"/>
      <sheetName val="JE2009_(R)9"/>
      <sheetName val="Customize_Your_Purchase_Order9"/>
      <sheetName val="R_S_IV_BS_Notes9"/>
      <sheetName val="Revised_FA_Co_Act9"/>
      <sheetName val="R_S_IV_BS_sch9"/>
      <sheetName val="R_S_IV_PL_Notes9"/>
      <sheetName val="R_S_IV_PL_Sch9"/>
      <sheetName val="Monthly_Report9"/>
      <sheetName val="NSLPOWER__LTD_9"/>
      <sheetName val="INDUR_TDS_08_099"/>
      <sheetName val="Service_Function6"/>
      <sheetName val="Rate_Analysis6"/>
      <sheetName val="Pivot_RM6"/>
      <sheetName val="CV_Financials6"/>
      <sheetName val="Car_Financials6"/>
      <sheetName val="détail_29-66"/>
      <sheetName val="ProC_Files_-_ADD6"/>
      <sheetName val="ProC_Files_-_IN_6"/>
      <sheetName val="profit_&amp;_loss6"/>
      <sheetName val="final_abstract6"/>
      <sheetName val="Non-Recurring_Items_Detail6"/>
      <sheetName val="Gross_Margin_by_Practice6"/>
      <sheetName val="Fixed_Assets5"/>
      <sheetName val="Sch1_-_Summary_P&amp;L5"/>
      <sheetName val="Acctg_Date5"/>
      <sheetName val="NEW_Dept5"/>
      <sheetName val="JE_cklst5"/>
      <sheetName val="OLD_Accts5"/>
      <sheetName val="OLD_Dept5"/>
      <sheetName val="Summary_Cash_Flows5"/>
      <sheetName val="Inventory_Turnover_Ratios5"/>
      <sheetName val="Merger_Model5"/>
      <sheetName val="P&amp;L_Master_EURO5"/>
      <sheetName val="Base_DCF5"/>
      <sheetName val="PL_PBC2"/>
      <sheetName val="SAP_jan2"/>
      <sheetName val="Market_Num502"/>
      <sheetName val="Market_Num752"/>
      <sheetName val="Market_Val502"/>
      <sheetName val="Market_Val752"/>
      <sheetName val="P&amp;L_Actual2"/>
      <sheetName val="P&amp;L_Budget2"/>
      <sheetName val="1_LeadSchedule2"/>
      <sheetName val="Input_Sheet1"/>
      <sheetName val="Summary_Sheet1"/>
      <sheetName val="Funds_Phasing1"/>
      <sheetName val="S_1_1_Outside_india_debtors1"/>
      <sheetName val="S_2_RP_transactions1"/>
      <sheetName val="S_2_2_total_sale1"/>
      <sheetName val="S_2_5_During_the_year_purchase1"/>
      <sheetName val="S_2_6_PY_pur_rev1"/>
      <sheetName val="Table_for_Template1"/>
      <sheetName val="Content_Instructions"/>
      <sheetName val="_BC_SUMMARY_2002"/>
      <sheetName val="HEADCOUNT_WORKSHEET"/>
      <sheetName val="Mat'l_Pareto"/>
      <sheetName val="TB_13-14"/>
      <sheetName val="APWk_data"/>
      <sheetName val="S-Curve_S_1"/>
      <sheetName val="VSP_PURCHASE_CAPEX_BLDG_EXEMP12"/>
      <sheetName val="VISION_200012"/>
      <sheetName val="1_OBJ98_12"/>
      <sheetName val="1-OBJ98_12"/>
      <sheetName val="Ref_Table12"/>
      <sheetName val="Inputs_&amp;_Summary_Output12"/>
      <sheetName val="Broad_Refresher_Model12"/>
      <sheetName val="OCT_11-OB-PO's11"/>
      <sheetName val="WGE_P&amp;E11"/>
      <sheetName val="CONTRN_BY_DISTRICT11"/>
      <sheetName val="Cash_Flow_Statement11"/>
      <sheetName val="22_UK11"/>
      <sheetName val="Pricing_Notes11"/>
      <sheetName val="Fcst_vs_Budgets11"/>
      <sheetName val="Excess_Calc11"/>
      <sheetName val="CYLA_BFLA11"/>
      <sheetName val="SUBSIDIARY_DETAILS11"/>
      <sheetName val="IFRS_BS11"/>
      <sheetName val="IFRS_IS11"/>
      <sheetName val="Reclass_BS_200711"/>
      <sheetName val="Reclass_BS_200811"/>
      <sheetName val="Reclass_BS_200911"/>
      <sheetName val="Reclass_IS_200711"/>
      <sheetName val="Reclass_IS_200811"/>
      <sheetName val="Reclass_IS_200911"/>
      <sheetName val="JE2007_(M)11"/>
      <sheetName val="JE2007_(R)11"/>
      <sheetName val="JE2008_(M)11"/>
      <sheetName val="JE2008_(R)11"/>
      <sheetName val="JE2009_(M)11"/>
      <sheetName val="JE2009_(R)11"/>
      <sheetName val="Customize_Your_Purchase_Order11"/>
      <sheetName val="R_S_IV_BS_Notes11"/>
      <sheetName val="Revised_FA_Co_Act11"/>
      <sheetName val="R_S_IV_BS_sch11"/>
      <sheetName val="R_S_IV_PL_Notes11"/>
      <sheetName val="R_S_IV_PL_Sch11"/>
      <sheetName val="Monthly_Report11"/>
      <sheetName val="NSLPOWER__LTD_11"/>
      <sheetName val="INDUR_TDS_08_0911"/>
      <sheetName val="Service_Function8"/>
      <sheetName val="Rate_Analysis8"/>
      <sheetName val="Pivot_RM8"/>
      <sheetName val="CV_Financials8"/>
      <sheetName val="Car_Financials8"/>
      <sheetName val="détail_29-68"/>
      <sheetName val="ProC_Files_-_ADD8"/>
      <sheetName val="ProC_Files_-_IN_8"/>
      <sheetName val="profit_&amp;_loss8"/>
      <sheetName val="final_abstract8"/>
      <sheetName val="Non-Recurring_Items_Detail8"/>
      <sheetName val="Gross_Margin_by_Practice8"/>
      <sheetName val="Fixed_Assets7"/>
      <sheetName val="Sch1_-_Summary_P&amp;L7"/>
      <sheetName val="Acctg_Date7"/>
      <sheetName val="NEW_Dept7"/>
      <sheetName val="JE_cklst7"/>
      <sheetName val="OLD_Accts7"/>
      <sheetName val="OLD_Dept7"/>
      <sheetName val="Summary_Cash_Flows7"/>
      <sheetName val="Inventory_Turnover_Ratios7"/>
      <sheetName val="Merger_Model7"/>
      <sheetName val="P&amp;L_Master_EURO7"/>
      <sheetName val="Base_DCF7"/>
      <sheetName val="PL_PBC4"/>
      <sheetName val="SAP_jan4"/>
      <sheetName val="Market_Num504"/>
      <sheetName val="Market_Num754"/>
      <sheetName val="Market_Val504"/>
      <sheetName val="Market_Val754"/>
      <sheetName val="P&amp;L_Actual4"/>
      <sheetName val="P&amp;L_Budget4"/>
      <sheetName val="1_LeadSchedule4"/>
      <sheetName val="Input_Sheet3"/>
      <sheetName val="Summary_Sheet3"/>
      <sheetName val="Funds_Phasing3"/>
      <sheetName val="S_1_1_Outside_india_debtors3"/>
      <sheetName val="S_2_RP_transactions3"/>
      <sheetName val="S_2_2_total_sale3"/>
      <sheetName val="S_2_5_During_the_year_purchase3"/>
      <sheetName val="S_2_6_PY_pur_rev3"/>
      <sheetName val="Table_for_Template3"/>
      <sheetName val="Content_Instructions2"/>
      <sheetName val="_BC_SUMMARY_20022"/>
      <sheetName val="HEADCOUNT_WORKSHEET2"/>
      <sheetName val="Mat'l_Pareto2"/>
      <sheetName val="TB_13-142"/>
      <sheetName val="APWk_data2"/>
      <sheetName val="S-Curve_S_12"/>
      <sheetName val="Telval"/>
      <sheetName val="A-II IT Dep"/>
      <sheetName val="Notes to FS"/>
      <sheetName val="pivot"/>
      <sheetName val="Fixed Assets Notes"/>
      <sheetName val="Balance sheet"/>
      <sheetName val="Sub Schedules"/>
      <sheetName val="DEF TAX"/>
      <sheetName val="Parametres"/>
      <sheetName val="1.Borrowings"/>
      <sheetName val="Cash and Bank - Schedule 7"/>
      <sheetName val="Other Liabilities"/>
      <sheetName val="BP-CT1"/>
      <sheetName val="BP-CT2"/>
      <sheetName val="Cover Page"/>
      <sheetName val="Cover"/>
      <sheetName val="Annx C"/>
      <sheetName val="499_1165.xls"/>
      <sheetName val="11 EIFFEL"/>
      <sheetName val="PIM"/>
      <sheetName val="BS"/>
      <sheetName val="OTHER(ACTUAL)"/>
      <sheetName val="SFS(BUDGET)"/>
      <sheetName val="OTHER(BUDGET)"/>
      <sheetName val="OTHER(LYR_ACTUAL)"/>
      <sheetName val="CONTENTS"/>
      <sheetName val="++++"/>
      <sheetName val="CSTBOX96"/>
      <sheetName val="P&amp;L"/>
      <sheetName val="Settlements"/>
      <sheetName val="FX"/>
      <sheetName val="Plant Nonpo Inventory"/>
      <sheetName val="computation"/>
      <sheetName val="workpaper"/>
      <sheetName val="Revenue Projections"/>
      <sheetName val="Opex Budget Estimates"/>
      <sheetName val="Opex Budget Est Breakup"/>
      <sheetName val="Note 2.8"/>
      <sheetName val="TB_12-13"/>
      <sheetName val="Page_2"/>
      <sheetName val="Merchant_Contact_Sheet"/>
      <sheetName val="Cash_Flow-WSL_Base_Fcst"/>
      <sheetName val="STAFFSCHED "/>
      <sheetName val="ZE_SAP_2006-06-20"/>
      <sheetName val="PM-G"/>
      <sheetName val="PV"/>
      <sheetName val="IO List"/>
      <sheetName val="VSP_PURCHASE_CAPEX_BLDG_EXEMP13"/>
      <sheetName val="VISION_200013"/>
      <sheetName val="1_OBJ98_13"/>
      <sheetName val="1-OBJ98_13"/>
      <sheetName val="Inputs_&amp;_Summary_Output13"/>
      <sheetName val="Broad_Refresher_Model13"/>
      <sheetName val="WGE_P&amp;E12"/>
      <sheetName val="CONTRN_BY_DISTRICT12"/>
      <sheetName val="Ref_Table13"/>
      <sheetName val="OCT_11-OB-PO's12"/>
      <sheetName val="22_UK12"/>
      <sheetName val="Cash_Flow_Statement12"/>
      <sheetName val="Pricing_Notes12"/>
      <sheetName val="Fcst_vs_Budgets12"/>
      <sheetName val="Excess_Calc12"/>
      <sheetName val="Customize_Your_Purchase_Order12"/>
      <sheetName val="CYLA_BFLA12"/>
      <sheetName val="SUBSIDIARY_DETAILS12"/>
      <sheetName val="R_S_IV_BS_Notes12"/>
      <sheetName val="Revised_FA_Co_Act12"/>
      <sheetName val="R_S_IV_BS_sch12"/>
      <sheetName val="R_S_IV_PL_Notes12"/>
      <sheetName val="R_S_IV_PL_Sch12"/>
      <sheetName val="Rate_Analysis9"/>
      <sheetName val="Monthly_Report12"/>
      <sheetName val="IFRS_BS12"/>
      <sheetName val="IFRS_IS12"/>
      <sheetName val="Reclass_BS_200712"/>
      <sheetName val="Reclass_BS_200812"/>
      <sheetName val="Reclass_BS_200912"/>
      <sheetName val="Reclass_IS_200712"/>
      <sheetName val="Reclass_IS_200812"/>
      <sheetName val="Reclass_IS_200912"/>
      <sheetName val="JE2007_(M)12"/>
      <sheetName val="JE2007_(R)12"/>
      <sheetName val="JE2008_(M)12"/>
      <sheetName val="JE2008_(R)12"/>
      <sheetName val="JE2009_(M)12"/>
      <sheetName val="JE2009_(R)12"/>
      <sheetName val="NSLPOWER__LTD_12"/>
      <sheetName val="INDUR_TDS_08_0912"/>
      <sheetName val="Service_Function9"/>
      <sheetName val="CV_Financials9"/>
      <sheetName val="Car_Financials9"/>
      <sheetName val="Pivot_RM9"/>
      <sheetName val="détail_29-69"/>
      <sheetName val="ProC_Files_-_ADD9"/>
      <sheetName val="ProC_Files_-_IN_9"/>
      <sheetName val="profit_&amp;_loss9"/>
      <sheetName val="final_abstract9"/>
      <sheetName val="Non-Recurring_Items_Detail9"/>
      <sheetName val="Gross_Margin_by_Practice9"/>
      <sheetName val="Fixed_Assets8"/>
      <sheetName val="Sch1_-_Summary_P&amp;L8"/>
      <sheetName val="Summary_Cash_Flows8"/>
      <sheetName val="Inventory_Turnover_Ratios8"/>
      <sheetName val="Acctg_Date8"/>
      <sheetName val="NEW_Dept8"/>
      <sheetName val="JE_cklst8"/>
      <sheetName val="OLD_Accts8"/>
      <sheetName val="OLD_Dept8"/>
      <sheetName val="Merger_Model8"/>
      <sheetName val="P&amp;L_Master_EURO8"/>
      <sheetName val="Base_DCF8"/>
      <sheetName val="1_LeadSchedule5"/>
      <sheetName val="P&amp;L_Actual5"/>
      <sheetName val="P&amp;L_Budget5"/>
      <sheetName val="Content_Instructions3"/>
      <sheetName val="_BC_SUMMARY_20023"/>
      <sheetName val="HEADCOUNT_WORKSHEET3"/>
      <sheetName val="Mat'l_Pareto3"/>
      <sheetName val="TB_13-143"/>
      <sheetName val="PL_PBC5"/>
      <sheetName val="SAP_jan5"/>
      <sheetName val="Market_Num505"/>
      <sheetName val="Market_Num755"/>
      <sheetName val="Market_Val505"/>
      <sheetName val="Market_Val755"/>
      <sheetName val="Input_Sheet4"/>
      <sheetName val="Summary_Sheet4"/>
      <sheetName val="Funds_Phasing4"/>
      <sheetName val="S_1_1_Outside_india_debtors4"/>
      <sheetName val="S_2_RP_transactions4"/>
      <sheetName val="S_2_2_total_sale4"/>
      <sheetName val="S_2_5_During_the_year_purchase4"/>
      <sheetName val="S_2_6_PY_pur_rev4"/>
      <sheetName val="APWk_data3"/>
      <sheetName val="S-Curve_S_13"/>
      <sheetName val="Table_for_Template4"/>
      <sheetName val="TB_12-131"/>
      <sheetName val="Page_21"/>
      <sheetName val="Merchant_Contact_Sheet1"/>
      <sheetName val="Cash_Flow-WSL_Base_Fcst1"/>
      <sheetName val="Citibank_OD_int"/>
      <sheetName val="CITIL_Reval_"/>
      <sheetName val="EXIM_Interest"/>
      <sheetName val="Statistics_{pbc}"/>
      <sheetName val="A-II_IT_Dep"/>
      <sheetName val="Notes_to_FS"/>
      <sheetName val="Fixed_Assets_Notes"/>
      <sheetName val="Balance_sheet"/>
      <sheetName val="Sub_Schedules"/>
      <sheetName val="DEF_TAX"/>
      <sheetName val="1_Borrowings"/>
      <sheetName val="Cash_and_Bank_-_Schedule_7"/>
      <sheetName val="Other_Liabilities"/>
      <sheetName val="Cover_Page"/>
      <sheetName val="Annx_C"/>
      <sheetName val="499_1165_xls"/>
      <sheetName val="11_EIFFEL"/>
      <sheetName val="Plant_Nonpo_Inventory"/>
      <sheetName val="Revenue_Projections"/>
      <sheetName val="Opex_Budget_Estimates"/>
      <sheetName val="Opex_Budget_Est_Breakup"/>
      <sheetName val="Note_2_8"/>
      <sheetName val="STAFFSCHED_"/>
      <sheetName val="VSP_PURCHASE_CAPEX_BLDG_EXEMP14"/>
      <sheetName val="VISION_200014"/>
      <sheetName val="1_OBJ98_14"/>
      <sheetName val="1-OBJ98_14"/>
      <sheetName val="Inputs_&amp;_Summary_Output14"/>
      <sheetName val="Broad_Refresher_Model14"/>
      <sheetName val="WGE_P&amp;E13"/>
      <sheetName val="CONTRN_BY_DISTRICT13"/>
      <sheetName val="Ref_Table14"/>
      <sheetName val="OCT_11-OB-PO's13"/>
      <sheetName val="22_UK13"/>
      <sheetName val="Cash_Flow_Statement13"/>
      <sheetName val="Pricing_Notes13"/>
      <sheetName val="Fcst_vs_Budgets13"/>
      <sheetName val="Excess_Calc13"/>
      <sheetName val="Customize_Your_Purchase_Order13"/>
      <sheetName val="CYLA_BFLA13"/>
      <sheetName val="SUBSIDIARY_DETAILS13"/>
      <sheetName val="R_S_IV_BS_Notes13"/>
      <sheetName val="Revised_FA_Co_Act13"/>
      <sheetName val="R_S_IV_BS_sch13"/>
      <sheetName val="R_S_IV_PL_Notes13"/>
      <sheetName val="R_S_IV_PL_Sch13"/>
      <sheetName val="Rate_Analysis10"/>
      <sheetName val="Monthly_Report13"/>
      <sheetName val="IFRS_BS13"/>
      <sheetName val="IFRS_IS13"/>
      <sheetName val="Reclass_BS_200713"/>
      <sheetName val="Reclass_BS_200813"/>
      <sheetName val="Reclass_BS_200913"/>
      <sheetName val="Reclass_IS_200713"/>
      <sheetName val="Reclass_IS_200813"/>
      <sheetName val="Reclass_IS_200913"/>
      <sheetName val="JE2007_(M)13"/>
      <sheetName val="JE2007_(R)13"/>
      <sheetName val="JE2008_(M)13"/>
      <sheetName val="JE2008_(R)13"/>
      <sheetName val="JE2009_(M)13"/>
      <sheetName val="JE2009_(R)13"/>
      <sheetName val="NSLPOWER__LTD_13"/>
      <sheetName val="INDUR_TDS_08_0913"/>
      <sheetName val="Service_Function10"/>
      <sheetName val="CV_Financials10"/>
      <sheetName val="Car_Financials10"/>
      <sheetName val="Pivot_RM10"/>
      <sheetName val="détail_29-610"/>
      <sheetName val="ProC_Files_-_ADD10"/>
      <sheetName val="ProC_Files_-_IN_10"/>
      <sheetName val="profit_&amp;_loss10"/>
      <sheetName val="final_abstract10"/>
      <sheetName val="Non-Recurring_Items_Detail10"/>
      <sheetName val="Gross_Margin_by_Practice10"/>
      <sheetName val="Fixed_Assets9"/>
      <sheetName val="Sch1_-_Summary_P&amp;L9"/>
      <sheetName val="Summary_Cash_Flows9"/>
      <sheetName val="Inventory_Turnover_Ratios9"/>
      <sheetName val="Acctg_Date9"/>
      <sheetName val="NEW_Dept9"/>
      <sheetName val="JE_cklst9"/>
      <sheetName val="OLD_Accts9"/>
      <sheetName val="OLD_Dept9"/>
      <sheetName val="Merger_Model9"/>
      <sheetName val="P&amp;L_Master_EURO9"/>
      <sheetName val="Base_DCF9"/>
      <sheetName val="1_LeadSchedule6"/>
      <sheetName val="P&amp;L_Actual6"/>
      <sheetName val="P&amp;L_Budget6"/>
      <sheetName val="Content_Instructions4"/>
      <sheetName val="_BC_SUMMARY_20024"/>
      <sheetName val="HEADCOUNT_WORKSHEET4"/>
      <sheetName val="Mat'l_Pareto4"/>
      <sheetName val="TB_13-144"/>
      <sheetName val="PL_PBC6"/>
      <sheetName val="SAP_jan6"/>
      <sheetName val="Market_Num506"/>
      <sheetName val="Market_Num756"/>
      <sheetName val="Market_Val506"/>
      <sheetName val="Market_Val756"/>
      <sheetName val="Input_Sheet5"/>
      <sheetName val="Summary_Sheet5"/>
      <sheetName val="Funds_Phasing5"/>
      <sheetName val="S_1_1_Outside_india_debtors5"/>
      <sheetName val="S_2_RP_transactions5"/>
      <sheetName val="S_2_2_total_sale5"/>
      <sheetName val="S_2_5_During_the_year_purchase5"/>
      <sheetName val="S_2_6_PY_pur_rev5"/>
      <sheetName val="APWk_data4"/>
      <sheetName val="S-Curve_S_14"/>
      <sheetName val="Table_for_Template5"/>
      <sheetName val="TB_12-132"/>
      <sheetName val="Page_22"/>
      <sheetName val="Merchant_Contact_Sheet2"/>
      <sheetName val="Cash_Flow-WSL_Base_Fcst2"/>
      <sheetName val="Citibank_OD_int1"/>
      <sheetName val="CITIL_Reval_1"/>
      <sheetName val="EXIM_Interest1"/>
      <sheetName val="Statistics_{pbc}1"/>
      <sheetName val="A-II_IT_Dep1"/>
      <sheetName val="Notes_to_FS1"/>
      <sheetName val="Fixed_Assets_Notes1"/>
      <sheetName val="Balance_sheet1"/>
      <sheetName val="Sub_Schedules1"/>
      <sheetName val="DEF_TAX1"/>
      <sheetName val="1_Borrowings1"/>
      <sheetName val="Cash_and_Bank_-_Schedule_71"/>
      <sheetName val="Other_Liabilities1"/>
      <sheetName val="Cover_Page1"/>
      <sheetName val="Annx_C1"/>
      <sheetName val="499_1165_xls1"/>
      <sheetName val="11_EIFFEL1"/>
      <sheetName val="Plant_Nonpo_Inventory1"/>
      <sheetName val="Revenue_Projections1"/>
      <sheetName val="Opex_Budget_Estimates1"/>
      <sheetName val="Opex_Budget_Est_Breakup1"/>
      <sheetName val="Note_2_81"/>
      <sheetName val="STAFFSCHED_1"/>
      <sheetName val="F4.2_Detail"/>
      <sheetName val="F5"/>
      <sheetName val="F4.2"/>
      <sheetName val="Summary"/>
      <sheetName val="SITE-RAMAGUNDAM"/>
      <sheetName val="MD'S RESI"/>
      <sheetName val="ANPARA-SITE "/>
      <sheetName val="KEY INPUTS"/>
      <sheetName val="Sub-Grouping"/>
      <sheetName val="AccMaster"/>
      <sheetName val="Grouping"/>
      <sheetName val="Adj.TB"/>
      <sheetName val="ParaMeter"/>
      <sheetName val="Balance sheet cons"/>
      <sheetName val="Schedule 8 to 14 cons"/>
      <sheetName val="Schedule 15 to 22 cons"/>
      <sheetName val="Schedule 1 to 5 cons"/>
      <sheetName val="Adj.Entry"/>
      <sheetName val="Grouping Details"/>
      <sheetName val="CWIP-FA"/>
      <sheetName val="CWIP-IA"/>
      <sheetName val="SPT vs PHI"/>
      <sheetName val="Checklist"/>
      <sheetName val="ORIGINAL"/>
      <sheetName val="Settings"/>
      <sheetName val="A91_97"/>
      <sheetName val="115JB"/>
      <sheetName val="Main"/>
      <sheetName val="SOLUT012"/>
      <sheetName val="SEC &amp; INVSUM"/>
      <sheetName val="SOLUT003"/>
      <sheetName val="MONTH 1"/>
      <sheetName val="Assmpns"/>
      <sheetName val="INDEPENDENT"/>
      <sheetName val="SOLUT010"/>
      <sheetName val="Contract"/>
      <sheetName val="Fx Rates"/>
      <sheetName val="SOLUT007"/>
    </sheetNames>
    <sheetDataSet>
      <sheetData sheetId="0" refreshError="1">
        <row r="2">
          <cell r="B2">
            <v>2001</v>
          </cell>
        </row>
        <row r="5">
          <cell r="H5">
            <v>-33687942</v>
          </cell>
        </row>
      </sheetData>
      <sheetData sheetId="1" refreshError="1">
        <row r="2">
          <cell r="B2">
            <v>2001</v>
          </cell>
        </row>
        <row r="8">
          <cell r="G8">
            <v>0</v>
          </cell>
        </row>
        <row r="9">
          <cell r="G9">
            <v>0</v>
          </cell>
        </row>
        <row r="10">
          <cell r="G10">
            <v>0</v>
          </cell>
        </row>
        <row r="11">
          <cell r="G11">
            <v>0</v>
          </cell>
        </row>
        <row r="12">
          <cell r="G12">
            <v>0</v>
          </cell>
        </row>
        <row r="13">
          <cell r="G13">
            <v>0</v>
          </cell>
        </row>
        <row r="14">
          <cell r="G14">
            <v>0</v>
          </cell>
        </row>
        <row r="15">
          <cell r="G15">
            <v>0</v>
          </cell>
        </row>
        <row r="16">
          <cell r="G16">
            <v>0</v>
          </cell>
        </row>
        <row r="17">
          <cell r="G17">
            <v>0</v>
          </cell>
        </row>
        <row r="18">
          <cell r="G18">
            <v>0</v>
          </cell>
        </row>
        <row r="19">
          <cell r="G19">
            <v>0</v>
          </cell>
        </row>
        <row r="20">
          <cell r="G20">
            <v>0</v>
          </cell>
        </row>
        <row r="21">
          <cell r="G21">
            <v>0</v>
          </cell>
        </row>
        <row r="22">
          <cell r="G22">
            <v>0</v>
          </cell>
        </row>
        <row r="23">
          <cell r="G23">
            <v>0</v>
          </cell>
        </row>
      </sheetData>
      <sheetData sheetId="2" refreshError="1">
        <row r="2">
          <cell r="B2">
            <v>2001</v>
          </cell>
        </row>
        <row r="7">
          <cell r="N7">
            <v>0</v>
          </cell>
        </row>
        <row r="8">
          <cell r="N8">
            <v>0</v>
          </cell>
        </row>
        <row r="11">
          <cell r="N11">
            <v>0</v>
          </cell>
        </row>
        <row r="12">
          <cell r="N12">
            <v>0</v>
          </cell>
        </row>
        <row r="13">
          <cell r="N13">
            <v>0</v>
          </cell>
        </row>
        <row r="16">
          <cell r="N16">
            <v>0</v>
          </cell>
        </row>
        <row r="17">
          <cell r="N17">
            <v>0</v>
          </cell>
        </row>
        <row r="18">
          <cell r="N18">
            <v>0</v>
          </cell>
        </row>
        <row r="21">
          <cell r="N21">
            <v>0</v>
          </cell>
        </row>
        <row r="22">
          <cell r="N22">
            <v>0</v>
          </cell>
        </row>
        <row r="23">
          <cell r="N23">
            <v>0</v>
          </cell>
        </row>
        <row r="26">
          <cell r="N26">
            <v>0</v>
          </cell>
        </row>
        <row r="27">
          <cell r="N27">
            <v>0</v>
          </cell>
        </row>
        <row r="28">
          <cell r="N28">
            <v>0</v>
          </cell>
        </row>
        <row r="31">
          <cell r="N31">
            <v>0</v>
          </cell>
        </row>
        <row r="32">
          <cell r="N32">
            <v>0</v>
          </cell>
        </row>
        <row r="35">
          <cell r="N35">
            <v>0</v>
          </cell>
        </row>
        <row r="36">
          <cell r="N36">
            <v>0</v>
          </cell>
        </row>
      </sheetData>
      <sheetData sheetId="3" refreshError="1">
        <row r="2">
          <cell r="B2">
            <v>2001</v>
          </cell>
        </row>
        <row r="4">
          <cell r="B4">
            <v>1165</v>
          </cell>
        </row>
        <row r="6">
          <cell r="B6" t="str">
            <v>499_1165.XLS</v>
          </cell>
        </row>
        <row r="7">
          <cell r="B7" t="str">
            <v>C:\DOCUME~1\DLSARI~1\LOCALS~1\Temp\</v>
          </cell>
        </row>
        <row r="9">
          <cell r="B9" t="str">
            <v>Ernst &amp; Young</v>
          </cell>
        </row>
        <row r="10">
          <cell r="B10" t="str">
            <v>Ernst</v>
          </cell>
        </row>
        <row r="12">
          <cell r="B12" t="b">
            <v>1</v>
          </cell>
        </row>
        <row r="13">
          <cell r="B13">
            <v>-4105</v>
          </cell>
        </row>
        <row r="14">
          <cell r="B14" t="b">
            <v>0</v>
          </cell>
        </row>
        <row r="18">
          <cell r="A18" t="str">
            <v>Visible?</v>
          </cell>
          <cell r="B18" t="str">
            <v>Worksheet Name</v>
          </cell>
        </row>
        <row r="19">
          <cell r="A19" t="b">
            <v>1</v>
          </cell>
        </row>
        <row r="21">
          <cell r="B21" t="str">
            <v>Worksheet Name</v>
          </cell>
          <cell r="D21" t="str">
            <v>Selected?</v>
          </cell>
        </row>
        <row r="22">
          <cell r="B22">
            <v>401</v>
          </cell>
          <cell r="E22">
            <v>401</v>
          </cell>
        </row>
        <row r="23">
          <cell r="B23">
            <v>402</v>
          </cell>
          <cell r="E23">
            <v>402</v>
          </cell>
        </row>
        <row r="24">
          <cell r="B24">
            <v>403</v>
          </cell>
          <cell r="E24">
            <v>403</v>
          </cell>
        </row>
        <row r="25">
          <cell r="B25">
            <v>405</v>
          </cell>
          <cell r="E25">
            <v>405</v>
          </cell>
        </row>
        <row r="26">
          <cell r="B26">
            <v>406</v>
          </cell>
          <cell r="E26">
            <v>406</v>
          </cell>
        </row>
        <row r="27">
          <cell r="B27">
            <v>410</v>
          </cell>
          <cell r="E27">
            <v>410</v>
          </cell>
        </row>
        <row r="28">
          <cell r="B28">
            <v>411</v>
          </cell>
          <cell r="E28">
            <v>411</v>
          </cell>
        </row>
        <row r="29">
          <cell r="B29">
            <v>413</v>
          </cell>
          <cell r="E29">
            <v>413</v>
          </cell>
        </row>
        <row r="30">
          <cell r="B30">
            <v>414</v>
          </cell>
          <cell r="E30">
            <v>414</v>
          </cell>
        </row>
        <row r="31">
          <cell r="B31">
            <v>415</v>
          </cell>
          <cell r="E31">
            <v>415</v>
          </cell>
        </row>
        <row r="32">
          <cell r="B32">
            <v>420</v>
          </cell>
          <cell r="E32">
            <v>420</v>
          </cell>
        </row>
        <row r="33">
          <cell r="B33">
            <v>421</v>
          </cell>
          <cell r="E33">
            <v>421</v>
          </cell>
        </row>
        <row r="34">
          <cell r="B34">
            <v>422</v>
          </cell>
          <cell r="E34">
            <v>422</v>
          </cell>
        </row>
        <row r="35">
          <cell r="B35">
            <v>424</v>
          </cell>
          <cell r="E35">
            <v>424</v>
          </cell>
        </row>
        <row r="36">
          <cell r="B36">
            <v>425</v>
          </cell>
          <cell r="E36">
            <v>425</v>
          </cell>
        </row>
        <row r="37">
          <cell r="B37">
            <v>427</v>
          </cell>
          <cell r="E37">
            <v>427</v>
          </cell>
        </row>
        <row r="38">
          <cell r="B38">
            <v>428</v>
          </cell>
          <cell r="E38">
            <v>428</v>
          </cell>
        </row>
        <row r="39">
          <cell r="B39">
            <v>430</v>
          </cell>
          <cell r="E39">
            <v>430</v>
          </cell>
        </row>
        <row r="40">
          <cell r="B40">
            <v>431</v>
          </cell>
          <cell r="E40">
            <v>431</v>
          </cell>
        </row>
        <row r="41">
          <cell r="B41">
            <v>433</v>
          </cell>
          <cell r="E41">
            <v>433</v>
          </cell>
        </row>
        <row r="42">
          <cell r="B42">
            <v>438</v>
          </cell>
          <cell r="E42">
            <v>438</v>
          </cell>
        </row>
        <row r="43">
          <cell r="B43">
            <v>441</v>
          </cell>
          <cell r="E43">
            <v>441</v>
          </cell>
        </row>
        <row r="44">
          <cell r="B44">
            <v>444</v>
          </cell>
          <cell r="E44">
            <v>444</v>
          </cell>
        </row>
        <row r="45">
          <cell r="B45">
            <v>447</v>
          </cell>
          <cell r="E45">
            <v>447</v>
          </cell>
        </row>
        <row r="46">
          <cell r="B46">
            <v>448</v>
          </cell>
          <cell r="E46">
            <v>448</v>
          </cell>
        </row>
        <row r="47">
          <cell r="B47">
            <v>450</v>
          </cell>
          <cell r="E47">
            <v>450</v>
          </cell>
        </row>
        <row r="48">
          <cell r="B48">
            <v>451</v>
          </cell>
          <cell r="E48">
            <v>451</v>
          </cell>
        </row>
        <row r="49">
          <cell r="B49">
            <v>452</v>
          </cell>
          <cell r="E49">
            <v>452</v>
          </cell>
        </row>
        <row r="50">
          <cell r="B50">
            <v>453</v>
          </cell>
          <cell r="E50">
            <v>453</v>
          </cell>
        </row>
        <row r="51">
          <cell r="B51">
            <v>457</v>
          </cell>
          <cell r="E51">
            <v>457</v>
          </cell>
        </row>
        <row r="52">
          <cell r="B52">
            <v>461</v>
          </cell>
          <cell r="E52">
            <v>461</v>
          </cell>
        </row>
        <row r="53">
          <cell r="B53">
            <v>465</v>
          </cell>
          <cell r="E53">
            <v>465</v>
          </cell>
        </row>
        <row r="54">
          <cell r="B54">
            <v>466</v>
          </cell>
          <cell r="E54">
            <v>466</v>
          </cell>
        </row>
        <row r="55">
          <cell r="B55">
            <v>467</v>
          </cell>
          <cell r="E55">
            <v>467</v>
          </cell>
        </row>
        <row r="56">
          <cell r="B56">
            <v>468</v>
          </cell>
          <cell r="E56">
            <v>468</v>
          </cell>
        </row>
        <row r="57">
          <cell r="B57">
            <v>470</v>
          </cell>
          <cell r="E57">
            <v>470</v>
          </cell>
        </row>
        <row r="58">
          <cell r="B58">
            <v>475</v>
          </cell>
          <cell r="E58">
            <v>475</v>
          </cell>
        </row>
        <row r="59">
          <cell r="B59">
            <v>477</v>
          </cell>
          <cell r="E59">
            <v>477</v>
          </cell>
        </row>
        <row r="60">
          <cell r="B60">
            <v>482</v>
          </cell>
          <cell r="E60">
            <v>482</v>
          </cell>
        </row>
        <row r="61">
          <cell r="B61">
            <v>499</v>
          </cell>
          <cell r="E61">
            <v>499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efreshError="1"/>
      <sheetData sheetId="643" refreshError="1"/>
      <sheetData sheetId="644"/>
      <sheetData sheetId="645"/>
      <sheetData sheetId="646"/>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sheetData sheetId="1040"/>
      <sheetData sheetId="1041"/>
      <sheetData sheetId="1042"/>
      <sheetData sheetId="1043"/>
      <sheetData sheetId="1044"/>
      <sheetData sheetId="1045"/>
      <sheetData sheetId="1046"/>
      <sheetData sheetId="1047"/>
      <sheetData sheetId="1048" refreshError="1"/>
      <sheetData sheetId="1049" refreshError="1"/>
      <sheetData sheetId="1050" refreshError="1"/>
      <sheetData sheetId="1051" refreshError="1"/>
      <sheetData sheetId="1052" refreshError="1"/>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y"/>
      <sheetName val="Sheet1"/>
      <sheetName val="sch"/>
      <sheetName val="bank"/>
      <sheetName val="bnc"/>
      <sheetName val="Legal"/>
      <sheetName val="CURING DEATAILS "/>
      <sheetName val="CURING AMR CR. TO PARTY AC"/>
      <sheetName val="other credits"/>
      <sheetName val="bnc-OTHER"/>
      <sheetName val="Missing PDC"/>
      <sheetName val="DEUCH BANK -coll"/>
      <sheetName val="DB-BNC"/>
      <sheetName val="Missign PDC- details to WGE"/>
      <sheetName val="Details for WGE"/>
      <sheetName val="DAT DETAILS"/>
      <sheetName val="Other BNC"/>
      <sheetName val="DEUCH BANK "/>
    </sheetNames>
    <sheetDataSet>
      <sheetData sheetId="0" refreshError="1">
        <row r="2">
          <cell r="B2" t="str">
            <v>W00001</v>
          </cell>
          <cell r="C2" t="str">
            <v>NA</v>
          </cell>
          <cell r="D2" t="str">
            <v>NA</v>
          </cell>
          <cell r="E2" t="str">
            <v>Bahuleyan Charitable Foundation Ltd.</v>
          </cell>
        </row>
        <row r="3">
          <cell r="B3" t="str">
            <v>W00002</v>
          </cell>
          <cell r="C3" t="str">
            <v>R3</v>
          </cell>
          <cell r="D3" t="str">
            <v>R</v>
          </cell>
          <cell r="E3" t="str">
            <v>Devi Scans Pvt Ltd.</v>
          </cell>
        </row>
        <row r="4">
          <cell r="B4" t="str">
            <v>W00003</v>
          </cell>
          <cell r="C4" t="str">
            <v>NA</v>
          </cell>
          <cell r="D4" t="str">
            <v>NA</v>
          </cell>
          <cell r="E4" t="str">
            <v>Apollo Diagnostic Centre</v>
          </cell>
        </row>
        <row r="5">
          <cell r="B5" t="str">
            <v>W00004</v>
          </cell>
          <cell r="C5" t="str">
            <v>R1</v>
          </cell>
          <cell r="D5" t="str">
            <v>R</v>
          </cell>
          <cell r="E5" t="str">
            <v>CDR Medical Industries Ltd.-2</v>
          </cell>
        </row>
        <row r="6">
          <cell r="B6" t="str">
            <v>W00005</v>
          </cell>
          <cell r="C6" t="str">
            <v>R1</v>
          </cell>
          <cell r="D6" t="str">
            <v>R</v>
          </cell>
          <cell r="E6" t="str">
            <v>Amrit Heart Scan &amp; Research Centre Pvt Ltd.-1</v>
          </cell>
        </row>
        <row r="7">
          <cell r="B7" t="str">
            <v>W00006</v>
          </cell>
          <cell r="C7" t="str">
            <v>NA</v>
          </cell>
          <cell r="D7" t="str">
            <v>NA</v>
          </cell>
          <cell r="E7" t="str">
            <v>Cacoon Marketing Pvt Ltd.</v>
          </cell>
        </row>
        <row r="8">
          <cell r="B8" t="str">
            <v>W00007</v>
          </cell>
          <cell r="C8" t="str">
            <v>NA</v>
          </cell>
          <cell r="D8" t="str">
            <v>NA</v>
          </cell>
          <cell r="E8" t="str">
            <v>Cacoon Marketing Pvt Ltd.</v>
          </cell>
        </row>
        <row r="9">
          <cell r="B9" t="str">
            <v>W00008</v>
          </cell>
          <cell r="C9" t="str">
            <v>NA</v>
          </cell>
          <cell r="D9" t="str">
            <v>NA</v>
          </cell>
          <cell r="E9" t="str">
            <v>Cacoon Marketing Pvt Ltd.</v>
          </cell>
        </row>
        <row r="10">
          <cell r="B10" t="str">
            <v>W00009</v>
          </cell>
          <cell r="C10" t="str">
            <v>NA</v>
          </cell>
          <cell r="D10" t="str">
            <v>NA</v>
          </cell>
          <cell r="E10" t="str">
            <v>Cacoon Marketing Pvt Ltd.</v>
          </cell>
        </row>
        <row r="11">
          <cell r="B11" t="str">
            <v>W00010</v>
          </cell>
          <cell r="C11" t="str">
            <v>R3</v>
          </cell>
          <cell r="D11" t="str">
            <v>R</v>
          </cell>
          <cell r="E11" t="str">
            <v>Bhilai Scans &amp; Research Pvt Ltd.-1</v>
          </cell>
        </row>
        <row r="12">
          <cell r="B12" t="str">
            <v>W00011</v>
          </cell>
          <cell r="C12" t="str">
            <v>R1</v>
          </cell>
          <cell r="D12" t="str">
            <v>R</v>
          </cell>
          <cell r="E12" t="str">
            <v>Ratanda X-Ray Clinic &amp; Laboratory</v>
          </cell>
        </row>
        <row r="13">
          <cell r="B13" t="str">
            <v>W00012</v>
          </cell>
          <cell r="C13" t="str">
            <v>NA</v>
          </cell>
          <cell r="D13" t="str">
            <v>NA</v>
          </cell>
          <cell r="E13" t="str">
            <v>Computed Radiodiagnostics-2</v>
          </cell>
        </row>
        <row r="14">
          <cell r="B14" t="str">
            <v>W00012-R</v>
          </cell>
          <cell r="C14" t="str">
            <v>R1</v>
          </cell>
          <cell r="D14" t="str">
            <v>R</v>
          </cell>
          <cell r="E14" t="str">
            <v>Computed Radiodiagnostics-2 ( Reschdued )</v>
          </cell>
        </row>
        <row r="15">
          <cell r="B15" t="str">
            <v>W00013</v>
          </cell>
          <cell r="C15" t="str">
            <v>R3</v>
          </cell>
          <cell r="D15" t="str">
            <v>R</v>
          </cell>
          <cell r="E15" t="str">
            <v>Mangal Anand Hospital</v>
          </cell>
        </row>
        <row r="16">
          <cell r="B16" t="str">
            <v>W00014</v>
          </cell>
          <cell r="C16" t="str">
            <v>R3</v>
          </cell>
          <cell r="D16" t="str">
            <v>R</v>
          </cell>
          <cell r="E16" t="str">
            <v>K Pandian</v>
          </cell>
        </row>
        <row r="17">
          <cell r="B17" t="str">
            <v>W00015</v>
          </cell>
          <cell r="C17" t="str">
            <v>R3</v>
          </cell>
          <cell r="D17" t="str">
            <v>R</v>
          </cell>
          <cell r="E17" t="str">
            <v>City Cardiac Research Centre Ltd.</v>
          </cell>
        </row>
        <row r="18">
          <cell r="B18" t="str">
            <v>W00016</v>
          </cell>
          <cell r="C18" t="str">
            <v>R3</v>
          </cell>
          <cell r="D18" t="str">
            <v>R</v>
          </cell>
          <cell r="E18" t="str">
            <v>CDR Medical Industries Ltd.-1</v>
          </cell>
        </row>
        <row r="19">
          <cell r="B19" t="str">
            <v>W00017</v>
          </cell>
          <cell r="C19" t="str">
            <v>R3</v>
          </cell>
          <cell r="D19" t="str">
            <v>R</v>
          </cell>
          <cell r="E19" t="str">
            <v>Vidya Shikshan Prasarak Manadal's NKP Salve inst. Of Medical Science</v>
          </cell>
        </row>
        <row r="20">
          <cell r="B20" t="str">
            <v>W00018</v>
          </cell>
          <cell r="C20" t="str">
            <v>R3</v>
          </cell>
          <cell r="D20" t="str">
            <v>R</v>
          </cell>
          <cell r="E20" t="str">
            <v>Dhanvantri Diagnostic Research Centre Pvt Ltd.-1</v>
          </cell>
        </row>
        <row r="21">
          <cell r="B21" t="str">
            <v>W00019</v>
          </cell>
          <cell r="C21" t="str">
            <v>R3</v>
          </cell>
          <cell r="D21" t="str">
            <v>R</v>
          </cell>
          <cell r="E21" t="str">
            <v>Hospito India Medical Foundation Ltd.-1</v>
          </cell>
        </row>
        <row r="22">
          <cell r="B22" t="str">
            <v>W00020</v>
          </cell>
          <cell r="C22" t="str">
            <v>R1</v>
          </cell>
          <cell r="D22" t="str">
            <v>NA</v>
          </cell>
          <cell r="E22" t="str">
            <v>R K Diagnostic Services (P) Ltd.</v>
          </cell>
        </row>
        <row r="23">
          <cell r="B23" t="str">
            <v>W00021</v>
          </cell>
          <cell r="C23" t="str">
            <v>R3</v>
          </cell>
          <cell r="D23" t="str">
            <v>R</v>
          </cell>
          <cell r="E23" t="str">
            <v>Geetanjali X-Rays</v>
          </cell>
        </row>
        <row r="24">
          <cell r="B24" t="str">
            <v>W00022</v>
          </cell>
          <cell r="C24" t="str">
            <v>R3</v>
          </cell>
          <cell r="D24" t="str">
            <v>R</v>
          </cell>
          <cell r="E24" t="str">
            <v>Sundaram Arulraj Healthcare Pvt Ltd.</v>
          </cell>
        </row>
        <row r="25">
          <cell r="B25" t="str">
            <v>W00023</v>
          </cell>
          <cell r="C25" t="str">
            <v>R3</v>
          </cell>
          <cell r="D25" t="str">
            <v>R</v>
          </cell>
          <cell r="E25" t="str">
            <v>Modern Medical Institute</v>
          </cell>
        </row>
        <row r="26">
          <cell r="B26" t="str">
            <v>W00024</v>
          </cell>
          <cell r="C26" t="str">
            <v>R3</v>
          </cell>
          <cell r="D26" t="str">
            <v>R</v>
          </cell>
          <cell r="E26" t="str">
            <v>Amar Jawalkar</v>
          </cell>
        </row>
        <row r="27">
          <cell r="B27" t="str">
            <v>W00025</v>
          </cell>
          <cell r="C27" t="str">
            <v>R3</v>
          </cell>
          <cell r="D27" t="str">
            <v>R</v>
          </cell>
          <cell r="E27" t="str">
            <v>Sajida Begum</v>
          </cell>
        </row>
        <row r="28">
          <cell r="B28" t="str">
            <v>W00026</v>
          </cell>
          <cell r="C28" t="str">
            <v>R3</v>
          </cell>
          <cell r="D28" t="str">
            <v>R</v>
          </cell>
          <cell r="E28" t="str">
            <v>Sudhir M Neral</v>
          </cell>
        </row>
        <row r="29">
          <cell r="B29" t="str">
            <v>W00027</v>
          </cell>
          <cell r="C29" t="str">
            <v>NA</v>
          </cell>
          <cell r="D29" t="str">
            <v>NA</v>
          </cell>
          <cell r="E29" t="str">
            <v>Welcome X-Ray &amp; Diagnostic Centre</v>
          </cell>
        </row>
        <row r="30">
          <cell r="B30" t="str">
            <v>W00028</v>
          </cell>
          <cell r="C30" t="str">
            <v>R3</v>
          </cell>
          <cell r="D30" t="str">
            <v>R</v>
          </cell>
          <cell r="E30" t="str">
            <v>Sethi Sonoscan</v>
          </cell>
        </row>
        <row r="31">
          <cell r="B31" t="str">
            <v>W00029</v>
          </cell>
          <cell r="C31" t="str">
            <v>R3</v>
          </cell>
          <cell r="D31" t="str">
            <v>R</v>
          </cell>
          <cell r="E31" t="str">
            <v>Meenakshi Das-1</v>
          </cell>
        </row>
        <row r="32">
          <cell r="B32" t="str">
            <v>W00030</v>
          </cell>
          <cell r="C32" t="str">
            <v>R3</v>
          </cell>
          <cell r="D32" t="str">
            <v>R</v>
          </cell>
          <cell r="E32" t="str">
            <v>Y Mohan Reddy</v>
          </cell>
        </row>
        <row r="33">
          <cell r="B33" t="str">
            <v>W00031</v>
          </cell>
          <cell r="C33" t="str">
            <v>R3</v>
          </cell>
          <cell r="D33" t="str">
            <v>R</v>
          </cell>
          <cell r="E33" t="str">
            <v>M Rama Rao</v>
          </cell>
        </row>
        <row r="34">
          <cell r="B34" t="str">
            <v>W00032</v>
          </cell>
          <cell r="C34" t="str">
            <v>R3</v>
          </cell>
          <cell r="D34" t="str">
            <v>R</v>
          </cell>
          <cell r="E34" t="str">
            <v>St James Hospital</v>
          </cell>
        </row>
        <row r="35">
          <cell r="B35" t="str">
            <v>W00033</v>
          </cell>
          <cell r="C35" t="str">
            <v>NA</v>
          </cell>
          <cell r="D35" t="str">
            <v>NA</v>
          </cell>
          <cell r="E35" t="str">
            <v>Moidu's Medicare Pvt Ltd.</v>
          </cell>
        </row>
        <row r="36">
          <cell r="B36" t="str">
            <v>W00034</v>
          </cell>
          <cell r="C36" t="str">
            <v>R1</v>
          </cell>
          <cell r="D36" t="str">
            <v>R</v>
          </cell>
          <cell r="E36" t="str">
            <v>Amrit Heart Scan &amp; Research Centre Pvt Ltd.-2</v>
          </cell>
        </row>
        <row r="37">
          <cell r="B37" t="str">
            <v>W00036</v>
          </cell>
          <cell r="C37" t="str">
            <v>R3</v>
          </cell>
          <cell r="D37" t="str">
            <v>R</v>
          </cell>
          <cell r="E37" t="str">
            <v>Babua Diagnostic Centre</v>
          </cell>
        </row>
        <row r="38">
          <cell r="B38" t="str">
            <v>W00037</v>
          </cell>
          <cell r="C38" t="str">
            <v>R3</v>
          </cell>
          <cell r="D38" t="str">
            <v>R</v>
          </cell>
          <cell r="E38" t="str">
            <v>Tara Hospital-1</v>
          </cell>
        </row>
        <row r="39">
          <cell r="B39" t="str">
            <v>W00038</v>
          </cell>
          <cell r="C39" t="str">
            <v>R3</v>
          </cell>
          <cell r="D39" t="str">
            <v>R</v>
          </cell>
          <cell r="E39" t="str">
            <v>Baby Memorial Hospital-1</v>
          </cell>
        </row>
        <row r="40">
          <cell r="B40" t="str">
            <v>W00039</v>
          </cell>
          <cell r="C40" t="str">
            <v>R1</v>
          </cell>
          <cell r="D40" t="str">
            <v>R</v>
          </cell>
          <cell r="E40" t="str">
            <v>Sai Mahima Shukla Nursing Home</v>
          </cell>
        </row>
        <row r="41">
          <cell r="B41" t="str">
            <v>W00040</v>
          </cell>
          <cell r="C41" t="str">
            <v>R6</v>
          </cell>
          <cell r="D41" t="str">
            <v>R</v>
          </cell>
          <cell r="E41" t="str">
            <v>Soni Medical Resources Pvt Ltd.-1</v>
          </cell>
        </row>
        <row r="42">
          <cell r="B42" t="str">
            <v>W00041</v>
          </cell>
          <cell r="C42" t="str">
            <v>R3</v>
          </cell>
          <cell r="D42" t="str">
            <v>R</v>
          </cell>
          <cell r="E42" t="str">
            <v>Medinova Diagnostic Services Ltd.-2</v>
          </cell>
        </row>
        <row r="43">
          <cell r="B43" t="str">
            <v>W00042</v>
          </cell>
          <cell r="C43" t="str">
            <v>R3</v>
          </cell>
          <cell r="D43" t="str">
            <v>R</v>
          </cell>
          <cell r="E43" t="str">
            <v>Nivedita Maternity &amp; Nursing Home</v>
          </cell>
        </row>
        <row r="44">
          <cell r="B44" t="str">
            <v>W00043</v>
          </cell>
          <cell r="C44" t="str">
            <v>R3</v>
          </cell>
          <cell r="D44" t="str">
            <v>R</v>
          </cell>
          <cell r="E44" t="str">
            <v>Eko Diagnostic Pvt Ltd.-1</v>
          </cell>
        </row>
        <row r="45">
          <cell r="B45" t="str">
            <v>W00044</v>
          </cell>
          <cell r="C45" t="str">
            <v>R3</v>
          </cell>
          <cell r="D45" t="str">
            <v>R</v>
          </cell>
          <cell r="E45" t="str">
            <v>Paliwal Hospital Pvt Ltd-1</v>
          </cell>
        </row>
        <row r="46">
          <cell r="B46" t="str">
            <v>W00045</v>
          </cell>
          <cell r="C46" t="str">
            <v>R3</v>
          </cell>
          <cell r="D46" t="str">
            <v>R</v>
          </cell>
          <cell r="E46" t="str">
            <v>Central Polyclinic Materity &amp; Nursing Home</v>
          </cell>
        </row>
        <row r="47">
          <cell r="B47" t="str">
            <v>W00046</v>
          </cell>
          <cell r="C47" t="str">
            <v>R3</v>
          </cell>
          <cell r="D47" t="str">
            <v>R</v>
          </cell>
          <cell r="E47" t="str">
            <v>Barthakur Clinic Pvt Ltd.</v>
          </cell>
        </row>
        <row r="48">
          <cell r="B48" t="str">
            <v>W00047</v>
          </cell>
          <cell r="C48" t="str">
            <v>R1</v>
          </cell>
          <cell r="D48" t="str">
            <v>R</v>
          </cell>
          <cell r="E48" t="str">
            <v>Bellary Healthcare Service Pvt Ltd.</v>
          </cell>
        </row>
        <row r="49">
          <cell r="B49" t="str">
            <v>W00048</v>
          </cell>
          <cell r="C49" t="str">
            <v>NA</v>
          </cell>
          <cell r="D49" t="str">
            <v>NA</v>
          </cell>
          <cell r="E49" t="str">
            <v>Madho Hospital</v>
          </cell>
        </row>
        <row r="50">
          <cell r="B50" t="str">
            <v>W00049</v>
          </cell>
          <cell r="C50" t="str">
            <v>RB</v>
          </cell>
          <cell r="D50" t="str">
            <v>RB</v>
          </cell>
          <cell r="E50" t="str">
            <v>Virdi Hospital &amp; Diagnostic Centre</v>
          </cell>
        </row>
        <row r="51">
          <cell r="B51" t="str">
            <v>W00050</v>
          </cell>
          <cell r="C51" t="str">
            <v>R3</v>
          </cell>
          <cell r="D51" t="str">
            <v>R</v>
          </cell>
          <cell r="E51" t="str">
            <v>Hospito India Medical Foundation Ltd.-2</v>
          </cell>
        </row>
        <row r="52">
          <cell r="B52" t="str">
            <v>W00051</v>
          </cell>
          <cell r="C52" t="str">
            <v>R3</v>
          </cell>
          <cell r="D52" t="str">
            <v>R</v>
          </cell>
          <cell r="E52" t="str">
            <v>Alva's Health Centre</v>
          </cell>
        </row>
        <row r="53">
          <cell r="B53" t="str">
            <v>W00052</v>
          </cell>
          <cell r="C53" t="str">
            <v>NA</v>
          </cell>
          <cell r="D53" t="str">
            <v>NA</v>
          </cell>
          <cell r="E53" t="str">
            <v>Ajit Baruah</v>
          </cell>
        </row>
        <row r="54">
          <cell r="B54" t="str">
            <v>W00053</v>
          </cell>
          <cell r="C54" t="str">
            <v>R3</v>
          </cell>
          <cell r="D54" t="str">
            <v>R</v>
          </cell>
          <cell r="E54" t="str">
            <v>Masih X-Ray Centre-1</v>
          </cell>
        </row>
        <row r="55">
          <cell r="B55" t="str">
            <v>W00054</v>
          </cell>
          <cell r="C55" t="str">
            <v>R1</v>
          </cell>
          <cell r="D55" t="str">
            <v>R</v>
          </cell>
          <cell r="E55" t="str">
            <v>Sri Ganganagar CAT-Scan &amp; Heart Centre (P) Ltd.</v>
          </cell>
        </row>
        <row r="56">
          <cell r="B56" t="str">
            <v>W00055</v>
          </cell>
          <cell r="C56" t="str">
            <v>NA</v>
          </cell>
          <cell r="D56" t="str">
            <v>NA</v>
          </cell>
          <cell r="E56" t="str">
            <v>Manipal Academy of Higher Education</v>
          </cell>
        </row>
        <row r="57">
          <cell r="B57" t="str">
            <v>W00056</v>
          </cell>
          <cell r="C57" t="str">
            <v>NA</v>
          </cell>
          <cell r="D57" t="str">
            <v>NA</v>
          </cell>
          <cell r="E57" t="str">
            <v>CT Scan Centre</v>
          </cell>
        </row>
        <row r="58">
          <cell r="B58" t="str">
            <v>W00057</v>
          </cell>
          <cell r="C58" t="str">
            <v>R3</v>
          </cell>
          <cell r="D58" t="str">
            <v>R</v>
          </cell>
          <cell r="E58" t="str">
            <v>Baby Memorial Hospital-3</v>
          </cell>
        </row>
        <row r="59">
          <cell r="B59" t="str">
            <v>W00058</v>
          </cell>
          <cell r="C59" t="str">
            <v>RB</v>
          </cell>
          <cell r="D59" t="str">
            <v>RB</v>
          </cell>
          <cell r="E59" t="str">
            <v>Trichy Premier CT Scans Limited</v>
          </cell>
        </row>
        <row r="60">
          <cell r="B60" t="str">
            <v>W00059</v>
          </cell>
          <cell r="C60" t="str">
            <v>R3</v>
          </cell>
          <cell r="D60" t="str">
            <v>R</v>
          </cell>
          <cell r="E60" t="str">
            <v>R Kanagasabapathy</v>
          </cell>
        </row>
        <row r="61">
          <cell r="B61" t="str">
            <v>W00060</v>
          </cell>
          <cell r="C61" t="str">
            <v>R3</v>
          </cell>
          <cell r="D61" t="str">
            <v>R</v>
          </cell>
          <cell r="E61" t="str">
            <v>AVMM Associates Pvt Ltd.</v>
          </cell>
        </row>
        <row r="62">
          <cell r="B62" t="str">
            <v>W00061</v>
          </cell>
          <cell r="C62" t="str">
            <v>R3</v>
          </cell>
          <cell r="D62" t="str">
            <v>R</v>
          </cell>
          <cell r="E62" t="str">
            <v>Polylab</v>
          </cell>
        </row>
        <row r="63">
          <cell r="B63" t="str">
            <v>W00062</v>
          </cell>
          <cell r="C63" t="str">
            <v>R3</v>
          </cell>
          <cell r="D63" t="str">
            <v>R</v>
          </cell>
          <cell r="E63" t="str">
            <v>Sangeetha Sumanth</v>
          </cell>
        </row>
        <row r="64">
          <cell r="B64" t="str">
            <v>W00063</v>
          </cell>
          <cell r="C64" t="str">
            <v>R3</v>
          </cell>
          <cell r="D64" t="str">
            <v>R</v>
          </cell>
          <cell r="E64" t="str">
            <v>Rukmini Scanning &amp; Diagnostic Centre</v>
          </cell>
        </row>
        <row r="65">
          <cell r="B65" t="str">
            <v>W00064</v>
          </cell>
          <cell r="C65" t="str">
            <v>R3</v>
          </cell>
          <cell r="D65" t="str">
            <v>R</v>
          </cell>
          <cell r="E65" t="str">
            <v>Sai Blood Bank &amp; Clinical Lab &amp; X Rays</v>
          </cell>
        </row>
        <row r="66">
          <cell r="B66" t="str">
            <v>W00065</v>
          </cell>
          <cell r="C66" t="str">
            <v>NA</v>
          </cell>
          <cell r="D66" t="str">
            <v>NA</v>
          </cell>
          <cell r="E66" t="str">
            <v>Body Vision</v>
          </cell>
        </row>
        <row r="67">
          <cell r="B67" t="str">
            <v>W00066</v>
          </cell>
          <cell r="C67" t="str">
            <v>R1</v>
          </cell>
          <cell r="D67" t="str">
            <v>R</v>
          </cell>
          <cell r="E67" t="str">
            <v>Srinivasa Nursing Home</v>
          </cell>
        </row>
        <row r="68">
          <cell r="B68" t="str">
            <v>W00067</v>
          </cell>
          <cell r="C68" t="str">
            <v>R3</v>
          </cell>
          <cell r="D68" t="str">
            <v>R</v>
          </cell>
          <cell r="E68" t="str">
            <v>Sewa Nursing Home</v>
          </cell>
        </row>
        <row r="69">
          <cell r="B69" t="str">
            <v>W00068</v>
          </cell>
          <cell r="C69" t="str">
            <v>NA</v>
          </cell>
          <cell r="D69" t="str">
            <v>NA</v>
          </cell>
          <cell r="E69" t="str">
            <v>Dhandhe Diagnostic Research Inst Pvt Ltd.</v>
          </cell>
        </row>
        <row r="70">
          <cell r="B70" t="str">
            <v>W00069</v>
          </cell>
          <cell r="C70" t="str">
            <v>NA</v>
          </cell>
          <cell r="D70" t="str">
            <v>NA</v>
          </cell>
          <cell r="E70" t="str">
            <v>Erode CT Scan centre &amp; Research Institute</v>
          </cell>
        </row>
        <row r="71">
          <cell r="B71" t="str">
            <v>W00070</v>
          </cell>
          <cell r="C71" t="str">
            <v>R3</v>
          </cell>
          <cell r="D71" t="str">
            <v>R</v>
          </cell>
          <cell r="E71" t="str">
            <v>The Kamala Medico</v>
          </cell>
        </row>
        <row r="72">
          <cell r="B72" t="str">
            <v>W00071</v>
          </cell>
          <cell r="C72" t="str">
            <v>R3</v>
          </cell>
          <cell r="D72" t="str">
            <v>R</v>
          </cell>
          <cell r="E72" t="str">
            <v>Sree Sathya Sai Baba Hospital</v>
          </cell>
        </row>
        <row r="73">
          <cell r="B73" t="str">
            <v>W00072</v>
          </cell>
          <cell r="C73" t="str">
            <v>R3</v>
          </cell>
          <cell r="D73" t="str">
            <v>R</v>
          </cell>
          <cell r="E73" t="str">
            <v>Baby Memorial Hospital-2</v>
          </cell>
        </row>
        <row r="74">
          <cell r="B74" t="str">
            <v>W00073</v>
          </cell>
          <cell r="C74" t="str">
            <v>R3</v>
          </cell>
          <cell r="D74" t="str">
            <v>R</v>
          </cell>
          <cell r="E74" t="str">
            <v>Jeya Sekharan Medical Trust</v>
          </cell>
        </row>
        <row r="75">
          <cell r="B75" t="str">
            <v>W00074</v>
          </cell>
          <cell r="C75" t="str">
            <v>R3</v>
          </cell>
          <cell r="D75" t="str">
            <v>R</v>
          </cell>
          <cell r="E75" t="str">
            <v>Vijaya Medical Centre-2</v>
          </cell>
        </row>
        <row r="76">
          <cell r="B76" t="str">
            <v>W00075</v>
          </cell>
          <cell r="C76" t="str">
            <v>R3</v>
          </cell>
          <cell r="D76" t="str">
            <v>R</v>
          </cell>
          <cell r="E76" t="str">
            <v>R K Chakrabarti</v>
          </cell>
        </row>
        <row r="77">
          <cell r="B77" t="str">
            <v>W00076</v>
          </cell>
          <cell r="C77" t="str">
            <v>NA</v>
          </cell>
          <cell r="D77" t="str">
            <v>NA</v>
          </cell>
          <cell r="E77" t="str">
            <v>Apollo Medical Investigations</v>
          </cell>
        </row>
        <row r="78">
          <cell r="B78" t="str">
            <v>W00077</v>
          </cell>
          <cell r="C78" t="str">
            <v>R3</v>
          </cell>
          <cell r="D78" t="str">
            <v>R</v>
          </cell>
          <cell r="E78" t="str">
            <v>Madhu Scan Centre</v>
          </cell>
        </row>
        <row r="79">
          <cell r="B79" t="str">
            <v>W00078</v>
          </cell>
          <cell r="C79" t="str">
            <v>R3</v>
          </cell>
          <cell r="D79" t="str">
            <v>R</v>
          </cell>
          <cell r="E79" t="str">
            <v>G G Medical Health Care Ltd.</v>
          </cell>
        </row>
        <row r="80">
          <cell r="B80" t="str">
            <v>W00079</v>
          </cell>
          <cell r="C80" t="str">
            <v>R3</v>
          </cell>
          <cell r="D80" t="str">
            <v>R</v>
          </cell>
          <cell r="E80" t="str">
            <v>R B Seth Jessa Ram &amp; Bros Charitable Hospital Trust-1</v>
          </cell>
        </row>
        <row r="81">
          <cell r="B81" t="str">
            <v>W00080</v>
          </cell>
          <cell r="C81" t="str">
            <v>R1</v>
          </cell>
          <cell r="D81" t="str">
            <v>R</v>
          </cell>
          <cell r="E81" t="str">
            <v>Cardio Vascular Specialists Pvt Ltd.</v>
          </cell>
        </row>
        <row r="82">
          <cell r="B82" t="str">
            <v>W00081</v>
          </cell>
          <cell r="C82" t="str">
            <v>R3</v>
          </cell>
          <cell r="D82" t="str">
            <v>R</v>
          </cell>
          <cell r="E82" t="str">
            <v>Dhanvantri Diagnostic Research Centre Pvt Ltd.-2</v>
          </cell>
        </row>
        <row r="83">
          <cell r="B83" t="str">
            <v>W00082</v>
          </cell>
          <cell r="C83" t="str">
            <v>R3</v>
          </cell>
          <cell r="D83" t="str">
            <v>R</v>
          </cell>
          <cell r="E83" t="str">
            <v>Diagnostic Laboratory &amp; X-Ray Clinic</v>
          </cell>
        </row>
        <row r="84">
          <cell r="B84" t="str">
            <v>W00083</v>
          </cell>
          <cell r="C84" t="str">
            <v>R3</v>
          </cell>
          <cell r="D84" t="str">
            <v>R</v>
          </cell>
          <cell r="E84" t="str">
            <v>S R V Thangamani</v>
          </cell>
        </row>
        <row r="85">
          <cell r="B85" t="str">
            <v>W00084</v>
          </cell>
          <cell r="C85" t="str">
            <v>R1</v>
          </cell>
          <cell r="D85" t="str">
            <v>R</v>
          </cell>
          <cell r="E85" t="str">
            <v>Ambala CT Scan &amp; Research Lab Pvt Ltd.</v>
          </cell>
        </row>
        <row r="86">
          <cell r="B86" t="str">
            <v>W00085</v>
          </cell>
          <cell r="C86" t="str">
            <v>R3</v>
          </cell>
          <cell r="D86" t="str">
            <v>R</v>
          </cell>
          <cell r="E86" t="str">
            <v>Kishore Diagnostics Pvt Ltd-1</v>
          </cell>
        </row>
        <row r="87">
          <cell r="B87" t="str">
            <v>W00086</v>
          </cell>
          <cell r="C87" t="str">
            <v>R3</v>
          </cell>
          <cell r="D87" t="str">
            <v>R</v>
          </cell>
          <cell r="E87" t="str">
            <v>S Srinivasa Rao</v>
          </cell>
        </row>
        <row r="88">
          <cell r="B88" t="str">
            <v>W00087</v>
          </cell>
          <cell r="C88" t="str">
            <v>R3</v>
          </cell>
          <cell r="D88" t="str">
            <v>R</v>
          </cell>
          <cell r="E88" t="str">
            <v>G Neuromed Diagnostic Centre Pvt Ltd.-1</v>
          </cell>
        </row>
        <row r="89">
          <cell r="B89" t="str">
            <v>W00088</v>
          </cell>
          <cell r="C89" t="str">
            <v>R1</v>
          </cell>
          <cell r="D89" t="str">
            <v>R</v>
          </cell>
          <cell r="E89" t="str">
            <v>Arputhamary</v>
          </cell>
        </row>
        <row r="90">
          <cell r="B90" t="str">
            <v>W00089</v>
          </cell>
          <cell r="C90" t="str">
            <v>NA</v>
          </cell>
          <cell r="D90" t="str">
            <v>NA</v>
          </cell>
          <cell r="E90" t="str">
            <v>B Bharathi</v>
          </cell>
        </row>
        <row r="91">
          <cell r="B91" t="str">
            <v>W00090</v>
          </cell>
          <cell r="C91" t="str">
            <v>NA</v>
          </cell>
          <cell r="D91" t="str">
            <v>NA</v>
          </cell>
          <cell r="E91" t="str">
            <v>K Venkateshwara Rao</v>
          </cell>
        </row>
        <row r="92">
          <cell r="B92" t="str">
            <v>W00091</v>
          </cell>
          <cell r="C92" t="str">
            <v>R1</v>
          </cell>
          <cell r="D92" t="str">
            <v>R</v>
          </cell>
          <cell r="E92" t="str">
            <v>Balaji Nursing Home</v>
          </cell>
        </row>
        <row r="93">
          <cell r="B93" t="str">
            <v>W00092</v>
          </cell>
          <cell r="C93" t="str">
            <v>R3</v>
          </cell>
          <cell r="D93" t="str">
            <v>R</v>
          </cell>
          <cell r="E93" t="str">
            <v>Jayesh B Solanki</v>
          </cell>
        </row>
        <row r="94">
          <cell r="B94" t="str">
            <v>W00093</v>
          </cell>
          <cell r="C94" t="str">
            <v>NA</v>
          </cell>
          <cell r="D94" t="str">
            <v>NA</v>
          </cell>
          <cell r="E94" t="str">
            <v>Salem Neuro Scan &amp; MRI Centre (P) Ltd</v>
          </cell>
        </row>
        <row r="95">
          <cell r="B95" t="str">
            <v>W00094</v>
          </cell>
          <cell r="C95" t="str">
            <v>NA</v>
          </cell>
          <cell r="D95" t="str">
            <v>NA</v>
          </cell>
          <cell r="E95" t="str">
            <v>Sunil K Agarwal</v>
          </cell>
        </row>
        <row r="96">
          <cell r="B96" t="str">
            <v>W00095</v>
          </cell>
          <cell r="C96" t="str">
            <v>R3</v>
          </cell>
          <cell r="D96" t="str">
            <v>R</v>
          </cell>
          <cell r="E96" t="str">
            <v>Ultralab Diagnostic Centre</v>
          </cell>
        </row>
        <row r="97">
          <cell r="B97" t="str">
            <v>W00096</v>
          </cell>
          <cell r="C97" t="str">
            <v>R1</v>
          </cell>
          <cell r="D97" t="str">
            <v>R</v>
          </cell>
          <cell r="E97" t="str">
            <v>Apollo Medical Investigations</v>
          </cell>
        </row>
        <row r="98">
          <cell r="B98" t="str">
            <v>W00097</v>
          </cell>
          <cell r="C98" t="str">
            <v>R1</v>
          </cell>
          <cell r="D98" t="str">
            <v>R</v>
          </cell>
          <cell r="E98" t="str">
            <v>Ganga Scan &amp; Research Centre</v>
          </cell>
        </row>
        <row r="99">
          <cell r="B99" t="str">
            <v>W00098</v>
          </cell>
          <cell r="C99" t="str">
            <v>R1</v>
          </cell>
          <cell r="D99" t="str">
            <v>R</v>
          </cell>
          <cell r="E99" t="str">
            <v>R Sankar</v>
          </cell>
        </row>
        <row r="100">
          <cell r="B100" t="str">
            <v>W00099</v>
          </cell>
          <cell r="C100" t="str">
            <v>NA</v>
          </cell>
          <cell r="D100" t="str">
            <v>NA</v>
          </cell>
          <cell r="E100" t="str">
            <v>Modern X-Ray Clinic</v>
          </cell>
        </row>
        <row r="101">
          <cell r="B101" t="str">
            <v>W00100</v>
          </cell>
          <cell r="C101" t="str">
            <v>R1</v>
          </cell>
          <cell r="D101" t="str">
            <v>R</v>
          </cell>
          <cell r="E101" t="str">
            <v>Medicave Diagnostic Centre (P) Ltd.-2</v>
          </cell>
        </row>
        <row r="102">
          <cell r="B102" t="str">
            <v>W00101</v>
          </cell>
          <cell r="C102" t="str">
            <v>R3</v>
          </cell>
          <cell r="D102" t="str">
            <v>R</v>
          </cell>
          <cell r="E102" t="str">
            <v>Tara Hospital-2</v>
          </cell>
        </row>
        <row r="103">
          <cell r="B103" t="str">
            <v>W00102</v>
          </cell>
          <cell r="C103" t="str">
            <v>NA</v>
          </cell>
          <cell r="D103" t="str">
            <v>NA</v>
          </cell>
          <cell r="E103" t="str">
            <v>Tanveer Ahmed Khan</v>
          </cell>
        </row>
        <row r="104">
          <cell r="B104" t="str">
            <v>W00103</v>
          </cell>
          <cell r="C104" t="str">
            <v>NA</v>
          </cell>
          <cell r="D104" t="str">
            <v>NA</v>
          </cell>
          <cell r="E104" t="str">
            <v>J N Shori Hospital</v>
          </cell>
        </row>
        <row r="105">
          <cell r="B105" t="str">
            <v>W00104</v>
          </cell>
          <cell r="C105" t="str">
            <v>NA</v>
          </cell>
          <cell r="D105" t="str">
            <v>NA</v>
          </cell>
          <cell r="E105" t="str">
            <v>Shrenik J Patil</v>
          </cell>
        </row>
        <row r="106">
          <cell r="B106" t="str">
            <v>W00105</v>
          </cell>
          <cell r="C106" t="str">
            <v>R3</v>
          </cell>
          <cell r="D106" t="str">
            <v>R</v>
          </cell>
          <cell r="E106" t="str">
            <v>L S Virdi</v>
          </cell>
        </row>
        <row r="107">
          <cell r="B107" t="str">
            <v>W00106</v>
          </cell>
          <cell r="C107" t="str">
            <v>R3</v>
          </cell>
          <cell r="D107" t="str">
            <v>R</v>
          </cell>
          <cell r="E107" t="str">
            <v>Meenakshi Das-3</v>
          </cell>
        </row>
        <row r="108">
          <cell r="B108" t="str">
            <v>W00107</v>
          </cell>
          <cell r="C108" t="str">
            <v>R3</v>
          </cell>
          <cell r="D108" t="str">
            <v>R</v>
          </cell>
          <cell r="E108" t="str">
            <v>North Bengal Nursing Home</v>
          </cell>
        </row>
        <row r="109">
          <cell r="B109" t="str">
            <v>W00108</v>
          </cell>
          <cell r="C109" t="str">
            <v>NA</v>
          </cell>
          <cell r="D109" t="str">
            <v>NA</v>
          </cell>
          <cell r="E109" t="str">
            <v>K Pathmanabhan</v>
          </cell>
        </row>
        <row r="110">
          <cell r="B110" t="str">
            <v>W00109</v>
          </cell>
          <cell r="C110" t="str">
            <v>R3</v>
          </cell>
          <cell r="D110" t="str">
            <v>R</v>
          </cell>
          <cell r="E110" t="str">
            <v>Vijaya Medical Centre-1</v>
          </cell>
        </row>
        <row r="111">
          <cell r="B111" t="str">
            <v>W00110</v>
          </cell>
          <cell r="C111" t="str">
            <v>R3</v>
          </cell>
          <cell r="D111" t="str">
            <v>R</v>
          </cell>
          <cell r="E111" t="str">
            <v>Chawla Scanning Centre</v>
          </cell>
        </row>
        <row r="112">
          <cell r="B112" t="str">
            <v>W00111</v>
          </cell>
          <cell r="C112" t="str">
            <v>R3</v>
          </cell>
          <cell r="D112" t="str">
            <v>R</v>
          </cell>
          <cell r="E112" t="str">
            <v>Medinova Diagnostic Services Ltd.-1</v>
          </cell>
        </row>
        <row r="113">
          <cell r="B113" t="str">
            <v>W00112</v>
          </cell>
          <cell r="C113" t="str">
            <v>NA</v>
          </cell>
          <cell r="D113" t="str">
            <v>NA</v>
          </cell>
          <cell r="E113" t="str">
            <v>Prime MRI Centre</v>
          </cell>
        </row>
        <row r="114">
          <cell r="B114" t="str">
            <v>W00113</v>
          </cell>
          <cell r="C114" t="str">
            <v>NA</v>
          </cell>
          <cell r="D114" t="str">
            <v>NA</v>
          </cell>
          <cell r="E114" t="str">
            <v>Kishore P Kedar</v>
          </cell>
        </row>
        <row r="115">
          <cell r="B115" t="str">
            <v>W00114</v>
          </cell>
          <cell r="C115" t="str">
            <v>NA</v>
          </cell>
          <cell r="D115" t="str">
            <v>NA</v>
          </cell>
          <cell r="E115" t="str">
            <v>S V K Reddy</v>
          </cell>
        </row>
        <row r="116">
          <cell r="B116" t="str">
            <v>W00115</v>
          </cell>
          <cell r="C116" t="str">
            <v>R3</v>
          </cell>
          <cell r="D116" t="str">
            <v>R</v>
          </cell>
          <cell r="E116" t="str">
            <v>Mookambigai Clinical Lab</v>
          </cell>
        </row>
        <row r="117">
          <cell r="B117" t="str">
            <v>W00116</v>
          </cell>
          <cell r="C117" t="str">
            <v>R3</v>
          </cell>
          <cell r="D117" t="str">
            <v>R</v>
          </cell>
          <cell r="E117" t="str">
            <v>Paulraj</v>
          </cell>
        </row>
        <row r="118">
          <cell r="B118" t="str">
            <v>W00117</v>
          </cell>
          <cell r="C118" t="str">
            <v>NA</v>
          </cell>
          <cell r="D118" t="str">
            <v>NA</v>
          </cell>
          <cell r="E118" t="str">
            <v>Solapur Imaging Pvt Ltd.</v>
          </cell>
        </row>
        <row r="119">
          <cell r="B119" t="str">
            <v>W00118</v>
          </cell>
          <cell r="C119" t="str">
            <v>R1</v>
          </cell>
          <cell r="D119" t="str">
            <v>R</v>
          </cell>
          <cell r="E119" t="str">
            <v>Radical X-Rays</v>
          </cell>
        </row>
        <row r="120">
          <cell r="B120" t="str">
            <v>W00119</v>
          </cell>
          <cell r="C120" t="str">
            <v>R3</v>
          </cell>
          <cell r="D120" t="str">
            <v>R</v>
          </cell>
          <cell r="E120" t="str">
            <v>Quest Diagnostic Services Pvt Ltd.</v>
          </cell>
        </row>
        <row r="121">
          <cell r="B121" t="str">
            <v>W00120</v>
          </cell>
          <cell r="C121" t="str">
            <v>R3</v>
          </cell>
          <cell r="D121" t="str">
            <v>R</v>
          </cell>
          <cell r="E121" t="str">
            <v>N Vijayan Nair</v>
          </cell>
        </row>
        <row r="122">
          <cell r="B122" t="str">
            <v>W00121</v>
          </cell>
          <cell r="C122" t="str">
            <v>R3</v>
          </cell>
          <cell r="D122" t="str">
            <v>R</v>
          </cell>
          <cell r="E122" t="str">
            <v>A Saritha</v>
          </cell>
        </row>
        <row r="123">
          <cell r="B123" t="str">
            <v>W00122</v>
          </cell>
          <cell r="C123" t="str">
            <v>R1</v>
          </cell>
          <cell r="D123" t="str">
            <v>R</v>
          </cell>
          <cell r="E123" t="str">
            <v>Mulla Shafi Basha</v>
          </cell>
        </row>
        <row r="124">
          <cell r="B124" t="str">
            <v>W00123</v>
          </cell>
          <cell r="C124" t="str">
            <v>R3</v>
          </cell>
          <cell r="D124" t="str">
            <v>R</v>
          </cell>
          <cell r="E124" t="str">
            <v>Doctor's X-Ray &amp; Medical Diagnostic Centre</v>
          </cell>
        </row>
        <row r="125">
          <cell r="B125" t="str">
            <v>W00124</v>
          </cell>
          <cell r="C125" t="str">
            <v>R3</v>
          </cell>
          <cell r="D125" t="str">
            <v>R</v>
          </cell>
          <cell r="E125" t="str">
            <v>K M Thomas</v>
          </cell>
        </row>
        <row r="126">
          <cell r="B126" t="str">
            <v>W00125</v>
          </cell>
          <cell r="C126" t="str">
            <v>R1</v>
          </cell>
          <cell r="D126" t="str">
            <v>R</v>
          </cell>
          <cell r="E126" t="str">
            <v>L H Kasture</v>
          </cell>
        </row>
        <row r="127">
          <cell r="B127" t="str">
            <v>W00126</v>
          </cell>
          <cell r="C127" t="str">
            <v>NA</v>
          </cell>
          <cell r="D127" t="str">
            <v>NA</v>
          </cell>
          <cell r="E127" t="str">
            <v>Ultrasound Centre</v>
          </cell>
        </row>
        <row r="128">
          <cell r="B128" t="str">
            <v>W00127</v>
          </cell>
          <cell r="C128" t="str">
            <v>R3</v>
          </cell>
          <cell r="D128" t="str">
            <v>R</v>
          </cell>
          <cell r="E128" t="str">
            <v>Pushp Diagnostic Centre-1</v>
          </cell>
        </row>
        <row r="129">
          <cell r="B129" t="str">
            <v>W00128</v>
          </cell>
          <cell r="C129" t="str">
            <v>R3</v>
          </cell>
          <cell r="D129" t="str">
            <v>R</v>
          </cell>
          <cell r="E129" t="str">
            <v>Pushp Diagnostic Centre-2</v>
          </cell>
        </row>
        <row r="130">
          <cell r="B130" t="str">
            <v>W00129</v>
          </cell>
          <cell r="C130" t="str">
            <v>R1</v>
          </cell>
          <cell r="D130" t="str">
            <v>R</v>
          </cell>
          <cell r="E130" t="str">
            <v>D D Ghodke</v>
          </cell>
        </row>
        <row r="131">
          <cell r="B131" t="str">
            <v>W00130</v>
          </cell>
          <cell r="C131" t="str">
            <v>R3</v>
          </cell>
          <cell r="D131" t="str">
            <v>R</v>
          </cell>
          <cell r="E131" t="str">
            <v>Advanced Medicare &amp; Research Institute Ltd.-1</v>
          </cell>
        </row>
        <row r="132">
          <cell r="B132" t="str">
            <v>W00131</v>
          </cell>
          <cell r="C132" t="str">
            <v>R3</v>
          </cell>
          <cell r="D132" t="str">
            <v>R</v>
          </cell>
          <cell r="E132" t="str">
            <v>Eko Diagnostic Pvt Ltd.-2</v>
          </cell>
        </row>
        <row r="133">
          <cell r="B133" t="str">
            <v>W00132</v>
          </cell>
          <cell r="C133" t="str">
            <v>NA</v>
          </cell>
          <cell r="D133" t="str">
            <v>NA</v>
          </cell>
          <cell r="E133" t="str">
            <v>Sandhya Sarmah</v>
          </cell>
        </row>
        <row r="134">
          <cell r="B134" t="str">
            <v>W00133</v>
          </cell>
          <cell r="C134" t="str">
            <v>R6</v>
          </cell>
          <cell r="D134" t="str">
            <v>R</v>
          </cell>
          <cell r="E134" t="str">
            <v>Soni Medical Resources Pvt Ltd.-2</v>
          </cell>
        </row>
        <row r="135">
          <cell r="B135" t="str">
            <v>W00134</v>
          </cell>
          <cell r="C135" t="str">
            <v>R3</v>
          </cell>
          <cell r="D135" t="str">
            <v>R</v>
          </cell>
          <cell r="E135" t="str">
            <v>M V Diabetes Specialities Centre Pvt Ltd</v>
          </cell>
        </row>
        <row r="136">
          <cell r="B136" t="str">
            <v>W00135</v>
          </cell>
          <cell r="C136" t="str">
            <v>NA</v>
          </cell>
          <cell r="D136" t="str">
            <v>NA</v>
          </cell>
          <cell r="E136" t="str">
            <v>Mangal Diagnostic Centre</v>
          </cell>
        </row>
        <row r="137">
          <cell r="B137" t="str">
            <v>W00136</v>
          </cell>
          <cell r="C137" t="str">
            <v>NA</v>
          </cell>
          <cell r="D137" t="str">
            <v>NA</v>
          </cell>
          <cell r="E137" t="str">
            <v>Doctors X-Ray &amp; Pathology Instt Pvt Ltd.</v>
          </cell>
        </row>
        <row r="138">
          <cell r="B138" t="str">
            <v>W00137</v>
          </cell>
          <cell r="C138" t="str">
            <v>R3</v>
          </cell>
          <cell r="D138" t="str">
            <v>R</v>
          </cell>
          <cell r="E138" t="str">
            <v>P V N Murthy</v>
          </cell>
        </row>
        <row r="139">
          <cell r="B139" t="str">
            <v>W00138</v>
          </cell>
          <cell r="C139" t="str">
            <v>R3</v>
          </cell>
          <cell r="D139" t="str">
            <v>R</v>
          </cell>
          <cell r="E139" t="str">
            <v>Nirog MR Diagnostic Centre Pvt Ltd.</v>
          </cell>
        </row>
        <row r="140">
          <cell r="B140" t="str">
            <v>W00139</v>
          </cell>
          <cell r="C140" t="str">
            <v>NA</v>
          </cell>
          <cell r="D140" t="str">
            <v>NA</v>
          </cell>
          <cell r="E140" t="str">
            <v>Search Diagnostic Centre</v>
          </cell>
        </row>
        <row r="141">
          <cell r="B141" t="str">
            <v>W00140</v>
          </cell>
          <cell r="C141" t="str">
            <v>R3</v>
          </cell>
          <cell r="D141" t="str">
            <v>R</v>
          </cell>
          <cell r="E141" t="str">
            <v>Avudaiappan</v>
          </cell>
        </row>
        <row r="142">
          <cell r="B142" t="str">
            <v>W00141</v>
          </cell>
          <cell r="C142" t="str">
            <v>R1</v>
          </cell>
          <cell r="D142" t="str">
            <v>R</v>
          </cell>
          <cell r="E142" t="str">
            <v>Medinova Diagnostic Services Ltd.</v>
          </cell>
        </row>
        <row r="143">
          <cell r="B143" t="str">
            <v>W00142</v>
          </cell>
          <cell r="C143" t="str">
            <v>R1</v>
          </cell>
          <cell r="D143" t="str">
            <v>R</v>
          </cell>
          <cell r="E143" t="str">
            <v>Medinova Diagnostic Services Ltd.</v>
          </cell>
        </row>
        <row r="144">
          <cell r="B144" t="str">
            <v>W00143</v>
          </cell>
          <cell r="C144" t="str">
            <v>R3</v>
          </cell>
          <cell r="D144" t="str">
            <v>R</v>
          </cell>
          <cell r="E144" t="str">
            <v>N Sethuraman-1</v>
          </cell>
        </row>
        <row r="145">
          <cell r="B145" t="str">
            <v>W00144</v>
          </cell>
          <cell r="C145" t="str">
            <v>R6</v>
          </cell>
          <cell r="D145" t="str">
            <v>R</v>
          </cell>
          <cell r="E145" t="str">
            <v>Soni Medical Resources Pvt Ltd.-4</v>
          </cell>
        </row>
        <row r="146">
          <cell r="B146" t="str">
            <v>W00145</v>
          </cell>
          <cell r="C146" t="str">
            <v>R6</v>
          </cell>
          <cell r="D146" t="str">
            <v>R</v>
          </cell>
          <cell r="E146" t="str">
            <v>Soni Medical Resources Pvt Ltd.-3</v>
          </cell>
        </row>
        <row r="147">
          <cell r="B147" t="str">
            <v>W00146</v>
          </cell>
          <cell r="C147" t="str">
            <v>R3</v>
          </cell>
          <cell r="D147" t="str">
            <v>R</v>
          </cell>
          <cell r="E147" t="str">
            <v>Guwahati Diagnostic centre</v>
          </cell>
        </row>
        <row r="148">
          <cell r="B148" t="str">
            <v>W00147</v>
          </cell>
          <cell r="C148" t="str">
            <v>R3</v>
          </cell>
          <cell r="D148" t="str">
            <v>R</v>
          </cell>
          <cell r="E148" t="str">
            <v>P K Gupta</v>
          </cell>
        </row>
        <row r="149">
          <cell r="B149" t="str">
            <v>W00148</v>
          </cell>
          <cell r="C149" t="str">
            <v>R3</v>
          </cell>
          <cell r="D149" t="str">
            <v>R</v>
          </cell>
          <cell r="E149" t="str">
            <v>Medico Research Imaging (I) Pvt Ltd.</v>
          </cell>
        </row>
        <row r="150">
          <cell r="B150" t="str">
            <v>W00149</v>
          </cell>
          <cell r="C150" t="str">
            <v>R3</v>
          </cell>
          <cell r="D150" t="str">
            <v>R</v>
          </cell>
          <cell r="E150" t="str">
            <v>Bhilai Scans &amp; Research Pvt Ltd.-2</v>
          </cell>
        </row>
        <row r="151">
          <cell r="B151" t="str">
            <v>W00150</v>
          </cell>
          <cell r="C151" t="str">
            <v>R3</v>
          </cell>
          <cell r="D151" t="str">
            <v>R</v>
          </cell>
          <cell r="E151" t="str">
            <v>S I Chelladurai</v>
          </cell>
        </row>
        <row r="152">
          <cell r="B152" t="str">
            <v>W00151</v>
          </cell>
          <cell r="C152" t="str">
            <v>NA</v>
          </cell>
          <cell r="D152" t="str">
            <v>NA</v>
          </cell>
          <cell r="E152" t="str">
            <v>Apollo Diagnostic Centre</v>
          </cell>
        </row>
        <row r="153">
          <cell r="B153" t="str">
            <v>W00152</v>
          </cell>
          <cell r="C153" t="str">
            <v>R3</v>
          </cell>
          <cell r="D153" t="str">
            <v>R</v>
          </cell>
          <cell r="E153" t="str">
            <v>Parul Dewan</v>
          </cell>
        </row>
        <row r="154">
          <cell r="B154" t="str">
            <v>W00153</v>
          </cell>
          <cell r="C154" t="str">
            <v>R3</v>
          </cell>
          <cell r="D154" t="str">
            <v>R</v>
          </cell>
          <cell r="E154" t="str">
            <v>Subarban Sono Clinic</v>
          </cell>
        </row>
        <row r="155">
          <cell r="B155" t="str">
            <v>W00154</v>
          </cell>
          <cell r="C155" t="str">
            <v>R1</v>
          </cell>
          <cell r="D155" t="str">
            <v>R</v>
          </cell>
          <cell r="E155" t="str">
            <v>Moidu's Medicare Pvt Ltd.-3</v>
          </cell>
        </row>
        <row r="156">
          <cell r="B156" t="str">
            <v>W00155</v>
          </cell>
          <cell r="C156" t="str">
            <v>R3</v>
          </cell>
          <cell r="D156" t="str">
            <v>R</v>
          </cell>
          <cell r="E156" t="str">
            <v>Neet Hospital Pvt Ltd.</v>
          </cell>
        </row>
        <row r="157">
          <cell r="B157" t="str">
            <v>W00156</v>
          </cell>
          <cell r="C157" t="str">
            <v>NA</v>
          </cell>
          <cell r="D157" t="str">
            <v>NA</v>
          </cell>
          <cell r="E157" t="str">
            <v>Fernandez Maternity Hospital Pvt Ltd.</v>
          </cell>
        </row>
        <row r="158">
          <cell r="B158" t="str">
            <v>W00157</v>
          </cell>
          <cell r="C158" t="str">
            <v>R3</v>
          </cell>
          <cell r="D158" t="str">
            <v>R</v>
          </cell>
          <cell r="E158" t="str">
            <v>R B Seth Jessa Ram &amp; Bros Charitable Hospital-2</v>
          </cell>
        </row>
        <row r="159">
          <cell r="B159" t="str">
            <v>W00158</v>
          </cell>
          <cell r="C159" t="str">
            <v>RB</v>
          </cell>
          <cell r="D159" t="str">
            <v>RB</v>
          </cell>
          <cell r="E159" t="str">
            <v>Vijaya Medical &amp; Educational Trust</v>
          </cell>
        </row>
        <row r="160">
          <cell r="B160" t="str">
            <v>W00159</v>
          </cell>
          <cell r="C160" t="str">
            <v>R1</v>
          </cell>
          <cell r="D160" t="str">
            <v>R</v>
          </cell>
          <cell r="E160" t="str">
            <v>S Kalavathy</v>
          </cell>
        </row>
        <row r="161">
          <cell r="B161" t="str">
            <v>W00160</v>
          </cell>
          <cell r="C161" t="str">
            <v>R3</v>
          </cell>
          <cell r="D161" t="str">
            <v>R</v>
          </cell>
          <cell r="E161" t="str">
            <v>Bombay Magnetic Resonance Imaging Pvt Ltd</v>
          </cell>
        </row>
        <row r="162">
          <cell r="B162" t="str">
            <v>W00161</v>
          </cell>
          <cell r="C162" t="str">
            <v>R3</v>
          </cell>
          <cell r="D162" t="str">
            <v>R</v>
          </cell>
          <cell r="E162" t="str">
            <v>H R Nandini Devi</v>
          </cell>
        </row>
        <row r="163">
          <cell r="B163" t="str">
            <v>W00162</v>
          </cell>
          <cell r="C163" t="str">
            <v>NA</v>
          </cell>
          <cell r="D163" t="str">
            <v>NA</v>
          </cell>
          <cell r="E163" t="str">
            <v>Shirish Valsangkar</v>
          </cell>
        </row>
        <row r="164">
          <cell r="B164" t="str">
            <v>W00163</v>
          </cell>
          <cell r="C164" t="str">
            <v>R1</v>
          </cell>
          <cell r="D164" t="str">
            <v>R</v>
          </cell>
          <cell r="E164" t="str">
            <v>Anand's Ultrasound &amp; CT Scan Neurological Research Centre</v>
          </cell>
        </row>
        <row r="165">
          <cell r="B165" t="str">
            <v>W00164</v>
          </cell>
          <cell r="C165" t="str">
            <v>R3</v>
          </cell>
          <cell r="D165" t="str">
            <v>R</v>
          </cell>
          <cell r="E165" t="str">
            <v>Maya Shenoy</v>
          </cell>
        </row>
        <row r="166">
          <cell r="B166" t="str">
            <v>W00165</v>
          </cell>
          <cell r="C166" t="str">
            <v>R1</v>
          </cell>
          <cell r="D166" t="str">
            <v>R</v>
          </cell>
          <cell r="E166" t="str">
            <v>Shankar Medical Store</v>
          </cell>
        </row>
        <row r="167">
          <cell r="B167" t="str">
            <v>W00166</v>
          </cell>
          <cell r="C167" t="str">
            <v>R3</v>
          </cell>
          <cell r="D167" t="str">
            <v>R</v>
          </cell>
          <cell r="E167" t="str">
            <v>Apex Hospital</v>
          </cell>
        </row>
        <row r="168">
          <cell r="B168" t="str">
            <v>W00167</v>
          </cell>
          <cell r="C168" t="str">
            <v>NA</v>
          </cell>
          <cell r="D168" t="str">
            <v>NA</v>
          </cell>
          <cell r="E168" t="str">
            <v>The Mary Calvert Holdsworth Memorial Hospital</v>
          </cell>
        </row>
        <row r="169">
          <cell r="B169" t="str">
            <v>W00168</v>
          </cell>
          <cell r="C169" t="str">
            <v>R3</v>
          </cell>
          <cell r="D169" t="str">
            <v>R</v>
          </cell>
          <cell r="E169" t="str">
            <v>Tuticorin Medical Imaging System (P) Ltd-1</v>
          </cell>
        </row>
        <row r="170">
          <cell r="B170" t="str">
            <v>W00169</v>
          </cell>
          <cell r="C170" t="str">
            <v>R3</v>
          </cell>
          <cell r="D170" t="str">
            <v>R</v>
          </cell>
          <cell r="E170" t="str">
            <v>S Suja</v>
          </cell>
        </row>
        <row r="171">
          <cell r="B171" t="str">
            <v>W00170</v>
          </cell>
          <cell r="C171" t="str">
            <v>R3</v>
          </cell>
          <cell r="D171" t="str">
            <v>R</v>
          </cell>
          <cell r="E171" t="str">
            <v>A Chella Sagayaraj</v>
          </cell>
        </row>
        <row r="172">
          <cell r="B172" t="str">
            <v>W00172</v>
          </cell>
          <cell r="C172" t="str">
            <v>R3</v>
          </cell>
          <cell r="D172" t="str">
            <v>R</v>
          </cell>
          <cell r="E172" t="str">
            <v>Sharad Jain</v>
          </cell>
        </row>
        <row r="173">
          <cell r="B173" t="str">
            <v>W00173</v>
          </cell>
          <cell r="C173" t="str">
            <v>R3</v>
          </cell>
          <cell r="D173" t="str">
            <v>R</v>
          </cell>
          <cell r="E173" t="str">
            <v>J R C Godfrey</v>
          </cell>
        </row>
        <row r="174">
          <cell r="B174" t="str">
            <v>W00174</v>
          </cell>
          <cell r="C174" t="str">
            <v>H</v>
          </cell>
          <cell r="D174" t="str">
            <v>H</v>
          </cell>
          <cell r="E174" t="str">
            <v>Sankshema Sushruta Cancer Hospital</v>
          </cell>
        </row>
        <row r="175">
          <cell r="B175" t="str">
            <v>W00177</v>
          </cell>
          <cell r="C175" t="str">
            <v>NA</v>
          </cell>
          <cell r="D175" t="str">
            <v>NA</v>
          </cell>
          <cell r="E175" t="str">
            <v>A G Neuro Hospital (P) Ltd.</v>
          </cell>
        </row>
        <row r="176">
          <cell r="B176" t="str">
            <v>W00178</v>
          </cell>
          <cell r="C176" t="str">
            <v>NA</v>
          </cell>
          <cell r="D176" t="str">
            <v>NA</v>
          </cell>
          <cell r="E176" t="str">
            <v>Woodlands CT Scan Centre</v>
          </cell>
        </row>
        <row r="177">
          <cell r="B177" t="str">
            <v>W00179</v>
          </cell>
          <cell r="C177" t="str">
            <v>R3</v>
          </cell>
          <cell r="D177" t="str">
            <v>R</v>
          </cell>
          <cell r="E177" t="str">
            <v>Joshi Nursing Home</v>
          </cell>
        </row>
        <row r="178">
          <cell r="B178" t="str">
            <v>W00180</v>
          </cell>
          <cell r="C178" t="str">
            <v>R3</v>
          </cell>
          <cell r="D178" t="str">
            <v>R</v>
          </cell>
          <cell r="E178" t="str">
            <v>Basant Kumar Pattanaik</v>
          </cell>
        </row>
        <row r="179">
          <cell r="B179" t="str">
            <v>W00181</v>
          </cell>
          <cell r="C179" t="str">
            <v>R1</v>
          </cell>
          <cell r="D179" t="str">
            <v>R</v>
          </cell>
          <cell r="E179" t="str">
            <v>Medinova Diagnostic Services Ltd.-4</v>
          </cell>
        </row>
        <row r="180">
          <cell r="B180" t="str">
            <v>W00182</v>
          </cell>
          <cell r="C180" t="str">
            <v>R3</v>
          </cell>
          <cell r="D180" t="str">
            <v>R</v>
          </cell>
          <cell r="E180" t="str">
            <v>Haryana Ultrasound Centre</v>
          </cell>
        </row>
        <row r="181">
          <cell r="B181" t="str">
            <v>W00183</v>
          </cell>
          <cell r="C181" t="str">
            <v>R3</v>
          </cell>
          <cell r="D181" t="str">
            <v>R</v>
          </cell>
          <cell r="E181" t="str">
            <v>Okay Diagnostics Research Centre Pvt Ltd.</v>
          </cell>
        </row>
        <row r="182">
          <cell r="B182" t="str">
            <v>W00184</v>
          </cell>
          <cell r="C182" t="str">
            <v>R3</v>
          </cell>
          <cell r="D182" t="str">
            <v>R</v>
          </cell>
          <cell r="E182" t="str">
            <v>Sangeetha Hospital</v>
          </cell>
        </row>
        <row r="183">
          <cell r="B183" t="str">
            <v>W00185</v>
          </cell>
          <cell r="C183" t="str">
            <v>R3</v>
          </cell>
          <cell r="D183" t="str">
            <v>R</v>
          </cell>
          <cell r="E183" t="str">
            <v>X Labs Hospital &amp; Diagnosis Centre Pvt Ltd.</v>
          </cell>
        </row>
        <row r="184">
          <cell r="B184" t="str">
            <v>W00186</v>
          </cell>
          <cell r="C184" t="str">
            <v>R3</v>
          </cell>
          <cell r="D184" t="str">
            <v>R</v>
          </cell>
          <cell r="E184" t="str">
            <v>Gulab Nursing Home</v>
          </cell>
        </row>
        <row r="185">
          <cell r="B185" t="str">
            <v>W00187</v>
          </cell>
          <cell r="C185" t="str">
            <v>NA</v>
          </cell>
          <cell r="D185" t="str">
            <v>NA</v>
          </cell>
          <cell r="E185" t="str">
            <v>R N Panda</v>
          </cell>
        </row>
        <row r="186">
          <cell r="B186" t="str">
            <v>W00189</v>
          </cell>
          <cell r="C186" t="str">
            <v>R1</v>
          </cell>
          <cell r="D186" t="str">
            <v>R</v>
          </cell>
          <cell r="E186" t="str">
            <v>Kovai Scan Centre</v>
          </cell>
        </row>
        <row r="187">
          <cell r="B187" t="str">
            <v>W00190</v>
          </cell>
          <cell r="C187" t="str">
            <v>R1</v>
          </cell>
          <cell r="D187" t="str">
            <v>R</v>
          </cell>
          <cell r="E187" t="str">
            <v>Medicave Diagnostic Centre (P) Ltd.-1</v>
          </cell>
        </row>
        <row r="188">
          <cell r="B188" t="str">
            <v>W00191</v>
          </cell>
          <cell r="C188" t="str">
            <v>R1</v>
          </cell>
          <cell r="D188" t="str">
            <v>R</v>
          </cell>
          <cell r="E188" t="str">
            <v>Canray</v>
          </cell>
        </row>
        <row r="189">
          <cell r="B189" t="str">
            <v>W00192</v>
          </cell>
          <cell r="C189" t="str">
            <v>R3</v>
          </cell>
          <cell r="D189" t="str">
            <v>R</v>
          </cell>
          <cell r="E189" t="str">
            <v>Medinova Diagnostic Services Ltd.-3</v>
          </cell>
        </row>
        <row r="190">
          <cell r="B190" t="str">
            <v>W00193</v>
          </cell>
          <cell r="C190" t="str">
            <v>R1</v>
          </cell>
          <cell r="D190" t="str">
            <v>R</v>
          </cell>
          <cell r="E190" t="str">
            <v>Travancore Scans Pvt Ltd.-1</v>
          </cell>
        </row>
        <row r="191">
          <cell r="B191" t="str">
            <v>W00194</v>
          </cell>
          <cell r="C191" t="str">
            <v>NA</v>
          </cell>
          <cell r="D191" t="str">
            <v>NA</v>
          </cell>
          <cell r="E191" t="str">
            <v>Medwin Diagnostic</v>
          </cell>
        </row>
        <row r="192">
          <cell r="B192" t="str">
            <v>W00195</v>
          </cell>
          <cell r="C192" t="str">
            <v>R3</v>
          </cell>
          <cell r="D192" t="str">
            <v>R</v>
          </cell>
          <cell r="E192" t="str">
            <v>Eko Diagnostic Pvt Ltd.-3</v>
          </cell>
        </row>
        <row r="193">
          <cell r="B193" t="str">
            <v>W00196</v>
          </cell>
          <cell r="C193" t="str">
            <v>R3</v>
          </cell>
          <cell r="D193" t="str">
            <v>R</v>
          </cell>
          <cell r="E193" t="str">
            <v>Masih X-Ray &amp; Sonography, Ujjain-2</v>
          </cell>
        </row>
        <row r="194">
          <cell r="B194" t="str">
            <v>W00197</v>
          </cell>
          <cell r="C194" t="str">
            <v>R3</v>
          </cell>
          <cell r="D194" t="str">
            <v>R</v>
          </cell>
          <cell r="E194" t="str">
            <v>Amba Diagnostic Centre</v>
          </cell>
        </row>
        <row r="195">
          <cell r="B195" t="str">
            <v>W00198</v>
          </cell>
          <cell r="C195" t="str">
            <v>NA</v>
          </cell>
          <cell r="D195" t="str">
            <v>NA</v>
          </cell>
          <cell r="E195" t="str">
            <v>Life Medical Centre</v>
          </cell>
        </row>
        <row r="196">
          <cell r="B196" t="str">
            <v>W00199</v>
          </cell>
          <cell r="C196" t="str">
            <v>H</v>
          </cell>
          <cell r="D196" t="str">
            <v>H</v>
          </cell>
          <cell r="E196" t="str">
            <v>Pravara Medical Trust</v>
          </cell>
        </row>
        <row r="197">
          <cell r="B197" t="str">
            <v>W00200</v>
          </cell>
          <cell r="C197" t="str">
            <v>R3</v>
          </cell>
          <cell r="D197" t="str">
            <v>R</v>
          </cell>
          <cell r="E197" t="str">
            <v>New Nightingale Nursing Home</v>
          </cell>
        </row>
        <row r="198">
          <cell r="B198" t="str">
            <v>W00201</v>
          </cell>
          <cell r="C198" t="str">
            <v>R3</v>
          </cell>
          <cell r="D198" t="str">
            <v>R</v>
          </cell>
          <cell r="E198" t="str">
            <v>K G Healthcare Ltd.</v>
          </cell>
        </row>
        <row r="199">
          <cell r="B199" t="str">
            <v>W00202</v>
          </cell>
          <cell r="C199" t="str">
            <v>C</v>
          </cell>
          <cell r="D199" t="str">
            <v>R</v>
          </cell>
          <cell r="E199" t="str">
            <v>Infertility Clinic &amp; Research Centre</v>
          </cell>
        </row>
        <row r="200">
          <cell r="B200" t="str">
            <v>W00203</v>
          </cell>
          <cell r="C200" t="str">
            <v>NA</v>
          </cell>
          <cell r="D200" t="str">
            <v>NA</v>
          </cell>
          <cell r="E200" t="str">
            <v>Moidu's Medicare Pvt Ltd.</v>
          </cell>
        </row>
        <row r="201">
          <cell r="B201" t="str">
            <v>W00204</v>
          </cell>
          <cell r="C201" t="str">
            <v>H</v>
          </cell>
          <cell r="D201" t="str">
            <v>H</v>
          </cell>
          <cell r="E201" t="str">
            <v>Vidarbha 3D Scan Centre</v>
          </cell>
        </row>
        <row r="202">
          <cell r="B202" t="str">
            <v>W00205</v>
          </cell>
          <cell r="C202" t="str">
            <v>C</v>
          </cell>
          <cell r="D202" t="str">
            <v>R</v>
          </cell>
          <cell r="E202" t="str">
            <v>Kalpana Nursing Home</v>
          </cell>
        </row>
        <row r="203">
          <cell r="B203" t="str">
            <v>W00206</v>
          </cell>
          <cell r="C203" t="str">
            <v>NA</v>
          </cell>
          <cell r="D203" t="str">
            <v>NA</v>
          </cell>
          <cell r="E203" t="str">
            <v>Berean Medical Centre</v>
          </cell>
        </row>
        <row r="204">
          <cell r="B204" t="str">
            <v>W00207</v>
          </cell>
          <cell r="C204" t="str">
            <v>R3</v>
          </cell>
          <cell r="D204" t="str">
            <v>R</v>
          </cell>
          <cell r="E204" t="str">
            <v>Meenakshi Das-2</v>
          </cell>
        </row>
        <row r="205">
          <cell r="B205" t="str">
            <v>W00208</v>
          </cell>
          <cell r="C205" t="str">
            <v>R3</v>
          </cell>
          <cell r="D205" t="str">
            <v>R</v>
          </cell>
          <cell r="E205" t="str">
            <v>Vijay Kulshreshtra</v>
          </cell>
        </row>
        <row r="206">
          <cell r="B206" t="str">
            <v>W00209</v>
          </cell>
          <cell r="C206" t="str">
            <v>NA</v>
          </cell>
          <cell r="D206" t="str">
            <v>NA</v>
          </cell>
          <cell r="E206" t="str">
            <v>Jay Pee Ultrasound &amp; X-Ray Centre</v>
          </cell>
        </row>
        <row r="207">
          <cell r="B207" t="str">
            <v>W00210</v>
          </cell>
          <cell r="C207" t="str">
            <v>R3</v>
          </cell>
          <cell r="D207" t="str">
            <v>R</v>
          </cell>
          <cell r="E207" t="str">
            <v>Sewa Polyclinic &amp; Diagnostic Centre</v>
          </cell>
        </row>
        <row r="208">
          <cell r="B208" t="str">
            <v>W00211</v>
          </cell>
          <cell r="C208" t="str">
            <v>R1</v>
          </cell>
          <cell r="D208" t="str">
            <v>R</v>
          </cell>
          <cell r="E208" t="str">
            <v>K Jayaram Naidu</v>
          </cell>
        </row>
        <row r="209">
          <cell r="B209" t="str">
            <v>W00212</v>
          </cell>
          <cell r="C209" t="str">
            <v>R3</v>
          </cell>
          <cell r="D209" t="str">
            <v>R</v>
          </cell>
          <cell r="E209" t="str">
            <v>Karthik Scans &amp; Diagnostic Centre</v>
          </cell>
        </row>
        <row r="210">
          <cell r="B210" t="str">
            <v>W00213</v>
          </cell>
          <cell r="C210" t="str">
            <v>R3</v>
          </cell>
          <cell r="D210" t="str">
            <v>R</v>
          </cell>
          <cell r="E210" t="str">
            <v>Popular X-Ray Centre</v>
          </cell>
        </row>
        <row r="211">
          <cell r="B211" t="str">
            <v>W00214</v>
          </cell>
          <cell r="C211" t="str">
            <v>R3</v>
          </cell>
          <cell r="D211" t="str">
            <v>R</v>
          </cell>
          <cell r="E211" t="str">
            <v>Moulana Hospital &amp; Scanning Centre</v>
          </cell>
        </row>
        <row r="212">
          <cell r="B212" t="str">
            <v>W00215</v>
          </cell>
          <cell r="C212" t="str">
            <v>R1</v>
          </cell>
          <cell r="D212" t="str">
            <v>R</v>
          </cell>
          <cell r="E212" t="str">
            <v>Prayag Scanning Pvt Ltd.</v>
          </cell>
        </row>
        <row r="213">
          <cell r="B213" t="str">
            <v>W00216</v>
          </cell>
          <cell r="C213" t="str">
            <v>NA</v>
          </cell>
          <cell r="D213" t="str">
            <v>NA</v>
          </cell>
          <cell r="E213" t="str">
            <v>Ashwini Childrens Hospital</v>
          </cell>
        </row>
        <row r="214">
          <cell r="B214" t="str">
            <v>W00217</v>
          </cell>
          <cell r="C214" t="str">
            <v>R3</v>
          </cell>
          <cell r="D214" t="str">
            <v>R</v>
          </cell>
          <cell r="E214" t="str">
            <v>Sandeep Healthcare Services</v>
          </cell>
        </row>
        <row r="215">
          <cell r="B215" t="str">
            <v>W00218</v>
          </cell>
          <cell r="C215" t="str">
            <v>NA</v>
          </cell>
          <cell r="D215" t="str">
            <v>NA</v>
          </cell>
          <cell r="E215" t="str">
            <v>Ultrasonix-1</v>
          </cell>
        </row>
        <row r="216">
          <cell r="B216" t="str">
            <v>W00220</v>
          </cell>
          <cell r="C216" t="str">
            <v>NA</v>
          </cell>
          <cell r="D216" t="str">
            <v>NA</v>
          </cell>
          <cell r="E216" t="str">
            <v>Fort Scan Limited</v>
          </cell>
        </row>
        <row r="217">
          <cell r="B217" t="str">
            <v>W00221</v>
          </cell>
          <cell r="C217" t="str">
            <v>R1</v>
          </cell>
          <cell r="D217" t="str">
            <v>R</v>
          </cell>
          <cell r="E217" t="str">
            <v>Medinova Diagnostic Services Ltd.-5</v>
          </cell>
        </row>
        <row r="218">
          <cell r="B218" t="str">
            <v>W00222</v>
          </cell>
          <cell r="C218" t="str">
            <v>R1</v>
          </cell>
          <cell r="D218" t="str">
            <v>R</v>
          </cell>
          <cell r="E218" t="str">
            <v>Marathwada Cancer Hospital &amp; Research Centre (P) Ltd.</v>
          </cell>
        </row>
        <row r="219">
          <cell r="B219" t="str">
            <v>W00223</v>
          </cell>
          <cell r="C219" t="str">
            <v>R3</v>
          </cell>
          <cell r="D219" t="str">
            <v>R</v>
          </cell>
          <cell r="E219" t="str">
            <v>Priya Scans</v>
          </cell>
        </row>
        <row r="220">
          <cell r="B220" t="str">
            <v>W00224</v>
          </cell>
          <cell r="C220" t="str">
            <v>R3</v>
          </cell>
          <cell r="D220" t="str">
            <v>R</v>
          </cell>
          <cell r="E220" t="str">
            <v>D K Subramanya Reddy</v>
          </cell>
        </row>
        <row r="221">
          <cell r="B221" t="str">
            <v>W00225</v>
          </cell>
          <cell r="C221" t="str">
            <v>R3</v>
          </cell>
          <cell r="D221" t="str">
            <v>R</v>
          </cell>
          <cell r="E221" t="str">
            <v>G Neuromed Diagnostic Centre Pvt Ltd.-2</v>
          </cell>
        </row>
        <row r="222">
          <cell r="B222" t="str">
            <v>W00226</v>
          </cell>
          <cell r="C222" t="str">
            <v>R1</v>
          </cell>
          <cell r="D222" t="str">
            <v>R</v>
          </cell>
          <cell r="E222" t="str">
            <v>N Sethuraman-2</v>
          </cell>
        </row>
        <row r="223">
          <cell r="B223" t="str">
            <v>W00227</v>
          </cell>
          <cell r="C223" t="str">
            <v>R1</v>
          </cell>
          <cell r="D223" t="str">
            <v>R</v>
          </cell>
          <cell r="E223" t="str">
            <v>N Sethuraman-3</v>
          </cell>
        </row>
        <row r="224">
          <cell r="B224" t="str">
            <v>W00228</v>
          </cell>
          <cell r="C224" t="str">
            <v>NA</v>
          </cell>
          <cell r="D224" t="str">
            <v>NA</v>
          </cell>
          <cell r="E224" t="str">
            <v>Usmanpura CT Scan Centre</v>
          </cell>
        </row>
        <row r="225">
          <cell r="B225" t="str">
            <v>W00229</v>
          </cell>
          <cell r="C225" t="str">
            <v>R1</v>
          </cell>
          <cell r="D225" t="str">
            <v>R</v>
          </cell>
          <cell r="E225" t="str">
            <v>Care Home &amp; Diagnostic Centre</v>
          </cell>
        </row>
        <row r="226">
          <cell r="B226" t="str">
            <v>W00230</v>
          </cell>
          <cell r="C226" t="str">
            <v>R1</v>
          </cell>
          <cell r="D226" t="str">
            <v>R</v>
          </cell>
          <cell r="E226" t="str">
            <v>Siddayya Kundlamath</v>
          </cell>
        </row>
        <row r="227">
          <cell r="B227" t="str">
            <v>W00231</v>
          </cell>
          <cell r="C227" t="str">
            <v>R1</v>
          </cell>
          <cell r="D227" t="str">
            <v>R</v>
          </cell>
          <cell r="E227" t="str">
            <v>Murari Prasad Mishra</v>
          </cell>
        </row>
        <row r="228">
          <cell r="B228" t="str">
            <v>W00232</v>
          </cell>
          <cell r="C228" t="str">
            <v>R3</v>
          </cell>
          <cell r="D228" t="str">
            <v>R</v>
          </cell>
          <cell r="E228" t="str">
            <v>O S Rajendran</v>
          </cell>
        </row>
        <row r="229">
          <cell r="B229" t="str">
            <v>W00233</v>
          </cell>
          <cell r="C229" t="str">
            <v>R1</v>
          </cell>
          <cell r="D229" t="str">
            <v>R</v>
          </cell>
          <cell r="E229" t="str">
            <v>Kalpana Jakhu (Mrs)</v>
          </cell>
        </row>
        <row r="230">
          <cell r="B230" t="str">
            <v>W00234</v>
          </cell>
          <cell r="C230" t="str">
            <v>NA</v>
          </cell>
          <cell r="D230" t="str">
            <v>NA</v>
          </cell>
          <cell r="E230" t="str">
            <v>Medimark Health Services Pvt Ltd.</v>
          </cell>
        </row>
        <row r="231">
          <cell r="B231" t="str">
            <v>W00235</v>
          </cell>
          <cell r="C231" t="str">
            <v>R1</v>
          </cell>
          <cell r="D231" t="str">
            <v>R</v>
          </cell>
          <cell r="E231" t="str">
            <v>CDR Medical Industries Ltd.</v>
          </cell>
        </row>
        <row r="232">
          <cell r="B232" t="str">
            <v>W00236</v>
          </cell>
          <cell r="C232" t="str">
            <v>R3</v>
          </cell>
          <cell r="D232" t="str">
            <v>R</v>
          </cell>
          <cell r="E232" t="str">
            <v>B I Jaffery</v>
          </cell>
        </row>
        <row r="233">
          <cell r="B233" t="str">
            <v>W00237</v>
          </cell>
          <cell r="C233" t="str">
            <v>R3</v>
          </cell>
          <cell r="D233" t="str">
            <v>R</v>
          </cell>
          <cell r="E233" t="str">
            <v>Verdict Diagnostic Ltd.-1</v>
          </cell>
        </row>
        <row r="234">
          <cell r="B234" t="str">
            <v>W00239</v>
          </cell>
          <cell r="C234" t="str">
            <v>NA</v>
          </cell>
          <cell r="D234" t="str">
            <v>NA</v>
          </cell>
          <cell r="E234" t="str">
            <v>Mangal Anand Healthcare Ltd.</v>
          </cell>
        </row>
        <row r="235">
          <cell r="B235" t="str">
            <v>W00240</v>
          </cell>
          <cell r="C235" t="str">
            <v>R1</v>
          </cell>
          <cell r="D235" t="str">
            <v>R</v>
          </cell>
          <cell r="E235" t="str">
            <v>Kamal Narain</v>
          </cell>
        </row>
        <row r="236">
          <cell r="B236" t="str">
            <v>W00241</v>
          </cell>
          <cell r="C236" t="str">
            <v>R1</v>
          </cell>
          <cell r="D236" t="str">
            <v>R</v>
          </cell>
          <cell r="E236" t="str">
            <v>Dilip Chana Parija</v>
          </cell>
        </row>
        <row r="237">
          <cell r="B237" t="str">
            <v>W00242</v>
          </cell>
          <cell r="C237" t="str">
            <v>R1</v>
          </cell>
          <cell r="D237" t="str">
            <v>R</v>
          </cell>
          <cell r="E237" t="str">
            <v>Bharat Scans Pvt Ltd.-1</v>
          </cell>
        </row>
        <row r="238">
          <cell r="B238" t="str">
            <v>W00243</v>
          </cell>
          <cell r="C238" t="str">
            <v>R1</v>
          </cell>
          <cell r="D238" t="str">
            <v>R</v>
          </cell>
          <cell r="E238" t="str">
            <v>Zia-Ul-Hasan Rizvi</v>
          </cell>
        </row>
        <row r="239">
          <cell r="B239" t="str">
            <v>W00244</v>
          </cell>
          <cell r="C239" t="str">
            <v>R1</v>
          </cell>
          <cell r="D239" t="str">
            <v>R</v>
          </cell>
          <cell r="E239" t="str">
            <v>Rekha Mishra</v>
          </cell>
        </row>
        <row r="240">
          <cell r="B240" t="str">
            <v>W00245</v>
          </cell>
          <cell r="C240" t="str">
            <v>R1</v>
          </cell>
          <cell r="D240" t="str">
            <v>R</v>
          </cell>
          <cell r="E240" t="str">
            <v>G Bakthavathsalam</v>
          </cell>
        </row>
        <row r="241">
          <cell r="B241" t="str">
            <v>W00246</v>
          </cell>
          <cell r="C241" t="str">
            <v>R1</v>
          </cell>
          <cell r="D241" t="str">
            <v>R</v>
          </cell>
          <cell r="E241" t="str">
            <v>Vijaya Medical Centre-3</v>
          </cell>
        </row>
        <row r="242">
          <cell r="B242" t="str">
            <v>W00247</v>
          </cell>
          <cell r="C242" t="str">
            <v>R1</v>
          </cell>
          <cell r="D242" t="str">
            <v>R</v>
          </cell>
          <cell r="E242" t="str">
            <v>Sri Venkateswara Diagnostics Pvt Ltd.</v>
          </cell>
        </row>
        <row r="243">
          <cell r="B243" t="str">
            <v>W00248</v>
          </cell>
          <cell r="C243" t="str">
            <v>NA</v>
          </cell>
          <cell r="D243" t="str">
            <v>NA</v>
          </cell>
          <cell r="E243" t="str">
            <v>Tellicherry Co-Operative Hospital</v>
          </cell>
        </row>
        <row r="244">
          <cell r="B244" t="str">
            <v>W00249</v>
          </cell>
          <cell r="C244" t="str">
            <v>NA</v>
          </cell>
          <cell r="D244" t="str">
            <v>NA</v>
          </cell>
          <cell r="E244" t="str">
            <v>Cochin Cooperative Hospital Society Ltd.</v>
          </cell>
        </row>
        <row r="245">
          <cell r="B245" t="str">
            <v>W00250</v>
          </cell>
          <cell r="C245" t="str">
            <v>R1</v>
          </cell>
          <cell r="D245" t="str">
            <v>R</v>
          </cell>
          <cell r="E245" t="str">
            <v>Assam Hospitals Ltd.</v>
          </cell>
        </row>
        <row r="246">
          <cell r="B246" t="str">
            <v>W00251</v>
          </cell>
          <cell r="C246" t="str">
            <v>R1</v>
          </cell>
          <cell r="D246" t="str">
            <v>R</v>
          </cell>
          <cell r="E246" t="str">
            <v>Assam Hospitals Ltd.</v>
          </cell>
        </row>
        <row r="247">
          <cell r="B247" t="str">
            <v>W00252</v>
          </cell>
          <cell r="C247" t="str">
            <v>R1</v>
          </cell>
          <cell r="D247" t="str">
            <v>R</v>
          </cell>
          <cell r="E247" t="str">
            <v>Assam Hospitals Ltd.</v>
          </cell>
        </row>
        <row r="248">
          <cell r="B248" t="str">
            <v>W00253</v>
          </cell>
          <cell r="C248" t="str">
            <v>R1</v>
          </cell>
          <cell r="D248" t="str">
            <v>R</v>
          </cell>
          <cell r="E248" t="str">
            <v>Ajit Kumar Tyagi</v>
          </cell>
        </row>
        <row r="249">
          <cell r="B249" t="str">
            <v>W00254</v>
          </cell>
          <cell r="C249" t="str">
            <v>H</v>
          </cell>
          <cell r="D249" t="str">
            <v>H</v>
          </cell>
          <cell r="E249" t="str">
            <v>Spandan Diagnostic &amp; Research Centre (P) Ltd-1</v>
          </cell>
        </row>
        <row r="250">
          <cell r="B250" t="str">
            <v>W00255</v>
          </cell>
          <cell r="C250" t="str">
            <v>R1</v>
          </cell>
          <cell r="D250" t="str">
            <v>R</v>
          </cell>
          <cell r="E250" t="str">
            <v>Kamala Shanmugam</v>
          </cell>
        </row>
        <row r="251">
          <cell r="B251" t="str">
            <v>W00256</v>
          </cell>
          <cell r="C251" t="str">
            <v>R1</v>
          </cell>
          <cell r="D251" t="str">
            <v>R</v>
          </cell>
          <cell r="E251" t="str">
            <v>United Scan Centre</v>
          </cell>
        </row>
        <row r="252">
          <cell r="B252" t="str">
            <v>W00257</v>
          </cell>
          <cell r="C252" t="str">
            <v>R1</v>
          </cell>
          <cell r="D252" t="str">
            <v>R</v>
          </cell>
          <cell r="E252" t="str">
            <v>Shri Mukandi Lal Memorial Foundation for Heart &amp; Medical Care</v>
          </cell>
        </row>
        <row r="253">
          <cell r="B253" t="str">
            <v>W00258</v>
          </cell>
          <cell r="C253" t="str">
            <v>R1</v>
          </cell>
          <cell r="D253" t="str">
            <v>R</v>
          </cell>
          <cell r="E253" t="str">
            <v>Agnes M P Rayal</v>
          </cell>
        </row>
        <row r="254">
          <cell r="B254" t="str">
            <v>W00259</v>
          </cell>
          <cell r="C254" t="str">
            <v>R1</v>
          </cell>
          <cell r="D254" t="str">
            <v>R</v>
          </cell>
          <cell r="E254" t="str">
            <v>Hemant Thakkar</v>
          </cell>
        </row>
        <row r="255">
          <cell r="B255" t="str">
            <v>W00260</v>
          </cell>
          <cell r="C255" t="str">
            <v>NA</v>
          </cell>
          <cell r="D255" t="str">
            <v>NA</v>
          </cell>
          <cell r="E255" t="str">
            <v>S N Kuchhal</v>
          </cell>
        </row>
        <row r="256">
          <cell r="B256" t="str">
            <v>W00261</v>
          </cell>
          <cell r="C256" t="str">
            <v>R1</v>
          </cell>
          <cell r="D256" t="str">
            <v>R</v>
          </cell>
          <cell r="E256" t="str">
            <v>Infertility Institute &amp; Research Centre Pvt Limited</v>
          </cell>
        </row>
        <row r="257">
          <cell r="B257" t="str">
            <v>W00262</v>
          </cell>
          <cell r="C257" t="str">
            <v>R1</v>
          </cell>
          <cell r="D257" t="str">
            <v>R</v>
          </cell>
          <cell r="E257" t="str">
            <v>Anil Patil</v>
          </cell>
        </row>
        <row r="258">
          <cell r="B258" t="str">
            <v>W00263</v>
          </cell>
          <cell r="C258" t="str">
            <v>R1</v>
          </cell>
          <cell r="D258" t="str">
            <v>R</v>
          </cell>
          <cell r="E258" t="str">
            <v>B C Choubey</v>
          </cell>
        </row>
        <row r="259">
          <cell r="B259" t="str">
            <v>W00264</v>
          </cell>
          <cell r="C259" t="str">
            <v>R1</v>
          </cell>
          <cell r="D259" t="str">
            <v>R</v>
          </cell>
          <cell r="E259" t="str">
            <v>Rai Memorial Medical Centre</v>
          </cell>
        </row>
        <row r="260">
          <cell r="B260" t="str">
            <v>W00265</v>
          </cell>
          <cell r="C260" t="str">
            <v>R3</v>
          </cell>
          <cell r="D260" t="str">
            <v>R</v>
          </cell>
          <cell r="E260" t="str">
            <v>Little Flower Religious &amp; Charitable Society</v>
          </cell>
        </row>
        <row r="261">
          <cell r="B261" t="str">
            <v>W00266</v>
          </cell>
          <cell r="C261" t="str">
            <v>R1</v>
          </cell>
          <cell r="D261" t="str">
            <v>R</v>
          </cell>
          <cell r="E261" t="str">
            <v>Gurmail Singh</v>
          </cell>
        </row>
        <row r="262">
          <cell r="B262" t="str">
            <v>W00268</v>
          </cell>
          <cell r="C262" t="str">
            <v>R1</v>
          </cell>
          <cell r="D262" t="str">
            <v>R</v>
          </cell>
          <cell r="E262" t="str">
            <v>Ganesh Scan Centre</v>
          </cell>
        </row>
        <row r="263">
          <cell r="B263" t="str">
            <v>W00269</v>
          </cell>
          <cell r="C263" t="str">
            <v>R1</v>
          </cell>
          <cell r="D263" t="str">
            <v>R</v>
          </cell>
          <cell r="E263" t="str">
            <v>Sunil Bhatia</v>
          </cell>
        </row>
        <row r="264">
          <cell r="B264" t="str">
            <v>W00270</v>
          </cell>
          <cell r="C264" t="str">
            <v>R1</v>
          </cell>
          <cell r="D264" t="str">
            <v>R</v>
          </cell>
          <cell r="E264" t="str">
            <v>M K Saraogi</v>
          </cell>
        </row>
        <row r="265">
          <cell r="B265" t="str">
            <v>W00501</v>
          </cell>
          <cell r="C265" t="str">
            <v>R3</v>
          </cell>
          <cell r="D265" t="str">
            <v>R</v>
          </cell>
          <cell r="E265" t="str">
            <v>Positive Health Care</v>
          </cell>
        </row>
        <row r="266">
          <cell r="B266" t="str">
            <v>W00502</v>
          </cell>
          <cell r="C266" t="str">
            <v>H</v>
          </cell>
          <cell r="D266" t="str">
            <v>H</v>
          </cell>
          <cell r="E266" t="str">
            <v>Bhuvan X-ray</v>
          </cell>
        </row>
        <row r="267">
          <cell r="B267" t="str">
            <v>W00503</v>
          </cell>
          <cell r="C267" t="str">
            <v>R3</v>
          </cell>
          <cell r="D267" t="str">
            <v>R</v>
          </cell>
          <cell r="E267" t="str">
            <v>Galav Scan Centre</v>
          </cell>
        </row>
        <row r="268">
          <cell r="B268" t="str">
            <v>W00505</v>
          </cell>
          <cell r="C268" t="str">
            <v>R3</v>
          </cell>
          <cell r="D268" t="str">
            <v>R</v>
          </cell>
          <cell r="E268" t="str">
            <v>Hospito India Medical Foundation Ltd.-3</v>
          </cell>
        </row>
        <row r="269">
          <cell r="B269" t="str">
            <v>W00506</v>
          </cell>
          <cell r="C269" t="str">
            <v>R1</v>
          </cell>
          <cell r="D269" t="str">
            <v>R</v>
          </cell>
          <cell r="E269" t="str">
            <v>Modiu's Medicare-2</v>
          </cell>
        </row>
        <row r="270">
          <cell r="B270" t="str">
            <v>W10001</v>
          </cell>
          <cell r="C270" t="str">
            <v>R1</v>
          </cell>
          <cell r="D270" t="str">
            <v>R</v>
          </cell>
          <cell r="E270" t="str">
            <v>R.N. Bagga</v>
          </cell>
        </row>
        <row r="271">
          <cell r="B271" t="str">
            <v>W10002</v>
          </cell>
          <cell r="C271" t="str">
            <v>R1</v>
          </cell>
          <cell r="D271" t="str">
            <v>R</v>
          </cell>
          <cell r="E271" t="str">
            <v>Harbans K. Singh</v>
          </cell>
        </row>
        <row r="272">
          <cell r="B272" t="str">
            <v>W10003</v>
          </cell>
          <cell r="C272" t="str">
            <v>R1</v>
          </cell>
          <cell r="D272" t="str">
            <v>R</v>
          </cell>
          <cell r="E272" t="str">
            <v>Raj Kumar Gupta</v>
          </cell>
        </row>
        <row r="273">
          <cell r="B273" t="str">
            <v>W10004</v>
          </cell>
          <cell r="C273" t="str">
            <v>R1</v>
          </cell>
          <cell r="D273" t="str">
            <v>R</v>
          </cell>
          <cell r="E273" t="str">
            <v>Ultrasonix-2</v>
          </cell>
        </row>
        <row r="274">
          <cell r="B274" t="str">
            <v>W10005</v>
          </cell>
          <cell r="C274" t="str">
            <v>R1</v>
          </cell>
          <cell r="D274" t="str">
            <v>R</v>
          </cell>
          <cell r="E274" t="str">
            <v>Kishore Diagnostic (P) L.-2</v>
          </cell>
        </row>
        <row r="275">
          <cell r="B275" t="str">
            <v>W10006</v>
          </cell>
          <cell r="C275" t="str">
            <v>R1</v>
          </cell>
          <cell r="D275" t="str">
            <v>R</v>
          </cell>
          <cell r="E275" t="str">
            <v>Saral Advanced Diagn..</v>
          </cell>
        </row>
        <row r="276">
          <cell r="B276" t="str">
            <v>W10007</v>
          </cell>
          <cell r="C276" t="str">
            <v>RB</v>
          </cell>
          <cell r="D276" t="str">
            <v>RB</v>
          </cell>
          <cell r="E276" t="str">
            <v>Sheel Nursing Home P.L.</v>
          </cell>
        </row>
        <row r="277">
          <cell r="B277" t="str">
            <v>W10008</v>
          </cell>
          <cell r="C277" t="str">
            <v>R1</v>
          </cell>
          <cell r="D277" t="str">
            <v>R</v>
          </cell>
          <cell r="E277" t="str">
            <v>Christraj Hospital</v>
          </cell>
        </row>
        <row r="278">
          <cell r="B278" t="str">
            <v>W10009</v>
          </cell>
          <cell r="C278" t="str">
            <v>R1</v>
          </cell>
          <cell r="D278" t="str">
            <v>R</v>
          </cell>
          <cell r="E278" t="str">
            <v>Thankam Panose</v>
          </cell>
        </row>
        <row r="279">
          <cell r="B279" t="str">
            <v>W10010</v>
          </cell>
          <cell r="C279" t="str">
            <v>R1</v>
          </cell>
          <cell r="D279" t="str">
            <v>R</v>
          </cell>
          <cell r="E279" t="str">
            <v>Sriniwasa Untrasound Sca..</v>
          </cell>
        </row>
        <row r="280">
          <cell r="B280" t="str">
            <v>W10011</v>
          </cell>
          <cell r="C280" t="str">
            <v>R1</v>
          </cell>
          <cell r="D280" t="str">
            <v>R</v>
          </cell>
          <cell r="E280" t="str">
            <v>Shubham Diagnostic Centre</v>
          </cell>
        </row>
        <row r="281">
          <cell r="B281" t="str">
            <v>W10012</v>
          </cell>
          <cell r="C281" t="str">
            <v>R1</v>
          </cell>
          <cell r="D281" t="str">
            <v>R</v>
          </cell>
          <cell r="E281" t="str">
            <v>Y K Diagnostic</v>
          </cell>
        </row>
        <row r="282">
          <cell r="B282" t="str">
            <v>W10013</v>
          </cell>
          <cell r="C282" t="str">
            <v>R3</v>
          </cell>
          <cell r="D282" t="str">
            <v>R</v>
          </cell>
          <cell r="E282" t="str">
            <v>BBS Mediscanners P.L.</v>
          </cell>
        </row>
        <row r="283">
          <cell r="B283" t="str">
            <v>W10014</v>
          </cell>
          <cell r="C283" t="str">
            <v>R1</v>
          </cell>
          <cell r="D283" t="str">
            <v>R</v>
          </cell>
          <cell r="E283" t="str">
            <v>Kartiayani Nursing Home</v>
          </cell>
        </row>
        <row r="284">
          <cell r="B284" t="str">
            <v>W10015</v>
          </cell>
          <cell r="C284" t="str">
            <v>R1</v>
          </cell>
          <cell r="D284" t="str">
            <v>R</v>
          </cell>
          <cell r="E284" t="str">
            <v>Duljeet Yadav</v>
          </cell>
        </row>
        <row r="285">
          <cell r="B285" t="str">
            <v>W10016</v>
          </cell>
          <cell r="C285" t="str">
            <v>R1</v>
          </cell>
          <cell r="D285" t="str">
            <v>R</v>
          </cell>
          <cell r="E285" t="str">
            <v>Neena Kwatra</v>
          </cell>
        </row>
        <row r="286">
          <cell r="B286" t="str">
            <v>W10017</v>
          </cell>
          <cell r="C286" t="str">
            <v>R1</v>
          </cell>
          <cell r="D286" t="str">
            <v>R</v>
          </cell>
          <cell r="E286" t="str">
            <v>V.B. Rajavel</v>
          </cell>
        </row>
        <row r="287">
          <cell r="B287" t="str">
            <v>W10018</v>
          </cell>
          <cell r="C287" t="str">
            <v>R3</v>
          </cell>
          <cell r="D287" t="str">
            <v>R</v>
          </cell>
          <cell r="E287" t="str">
            <v>Verdict Diagnostics -2</v>
          </cell>
        </row>
        <row r="288">
          <cell r="B288" t="str">
            <v>W10019</v>
          </cell>
          <cell r="C288" t="str">
            <v>R1</v>
          </cell>
          <cell r="D288" t="str">
            <v>R</v>
          </cell>
          <cell r="E288" t="str">
            <v>Sri Gangacharan Hospital</v>
          </cell>
        </row>
        <row r="289">
          <cell r="B289" t="str">
            <v>W10020</v>
          </cell>
          <cell r="C289" t="str">
            <v>R1</v>
          </cell>
          <cell r="D289" t="str">
            <v>R</v>
          </cell>
          <cell r="E289" t="str">
            <v>N.S. Thakur</v>
          </cell>
        </row>
        <row r="290">
          <cell r="B290" t="str">
            <v>W10021</v>
          </cell>
          <cell r="C290" t="str">
            <v>R1</v>
          </cell>
          <cell r="D290" t="str">
            <v>R</v>
          </cell>
          <cell r="E290" t="str">
            <v>Lakshmi Scan &amp; Color..</v>
          </cell>
        </row>
        <row r="291">
          <cell r="B291" t="str">
            <v>W10022</v>
          </cell>
          <cell r="C291" t="str">
            <v>R1</v>
          </cell>
          <cell r="D291" t="str">
            <v>R</v>
          </cell>
          <cell r="E291" t="str">
            <v>Nikit P. Mehta-1</v>
          </cell>
        </row>
        <row r="292">
          <cell r="B292" t="str">
            <v>W10023</v>
          </cell>
          <cell r="C292" t="str">
            <v>R1</v>
          </cell>
          <cell r="D292" t="str">
            <v>R</v>
          </cell>
          <cell r="E292" t="str">
            <v>Peter B Aloysious Navamani</v>
          </cell>
        </row>
        <row r="293">
          <cell r="B293" t="str">
            <v>W10024</v>
          </cell>
          <cell r="C293" t="str">
            <v>R1</v>
          </cell>
          <cell r="D293" t="str">
            <v>R</v>
          </cell>
          <cell r="E293" t="str">
            <v>Ajay Wahi</v>
          </cell>
        </row>
        <row r="294">
          <cell r="B294" t="str">
            <v>W10025</v>
          </cell>
          <cell r="C294" t="str">
            <v>R1</v>
          </cell>
          <cell r="D294" t="str">
            <v>R</v>
          </cell>
          <cell r="E294" t="str">
            <v>G Surendran</v>
          </cell>
        </row>
        <row r="295">
          <cell r="B295" t="str">
            <v>W10026</v>
          </cell>
          <cell r="C295" t="str">
            <v>R1</v>
          </cell>
          <cell r="D295" t="str">
            <v>R</v>
          </cell>
          <cell r="E295" t="str">
            <v>Gopal Maheshwari</v>
          </cell>
        </row>
        <row r="296">
          <cell r="B296" t="str">
            <v>W10027</v>
          </cell>
          <cell r="C296" t="str">
            <v>R1</v>
          </cell>
          <cell r="D296" t="str">
            <v>R</v>
          </cell>
          <cell r="E296" t="str">
            <v>V Padmaja</v>
          </cell>
        </row>
        <row r="297">
          <cell r="B297" t="str">
            <v>W10028</v>
          </cell>
          <cell r="C297" t="str">
            <v>R1</v>
          </cell>
          <cell r="D297" t="str">
            <v>R</v>
          </cell>
          <cell r="E297" t="str">
            <v>R. K. Prakash</v>
          </cell>
        </row>
        <row r="298">
          <cell r="B298" t="str">
            <v>W10029</v>
          </cell>
          <cell r="C298" t="str">
            <v>R1</v>
          </cell>
          <cell r="D298" t="str">
            <v>R</v>
          </cell>
          <cell r="E298" t="str">
            <v>Vivek Sondhi</v>
          </cell>
        </row>
        <row r="299">
          <cell r="B299" t="str">
            <v>W10030</v>
          </cell>
          <cell r="C299" t="str">
            <v>R1</v>
          </cell>
          <cell r="D299" t="str">
            <v>R</v>
          </cell>
          <cell r="E299" t="str">
            <v>Kalpana Alexander</v>
          </cell>
        </row>
        <row r="300">
          <cell r="B300" t="str">
            <v>W10031</v>
          </cell>
          <cell r="C300" t="str">
            <v>R1</v>
          </cell>
          <cell r="D300" t="str">
            <v>R</v>
          </cell>
          <cell r="E300" t="str">
            <v>Surendranath Reddy</v>
          </cell>
        </row>
        <row r="301">
          <cell r="B301" t="str">
            <v>W10032</v>
          </cell>
          <cell r="C301" t="str">
            <v>R1</v>
          </cell>
          <cell r="D301" t="str">
            <v>R</v>
          </cell>
          <cell r="E301" t="str">
            <v>Christian Mission Hospital</v>
          </cell>
        </row>
        <row r="302">
          <cell r="B302" t="str">
            <v>W10033</v>
          </cell>
          <cell r="C302" t="str">
            <v>R3</v>
          </cell>
          <cell r="D302" t="str">
            <v>R</v>
          </cell>
          <cell r="E302" t="str">
            <v>Clarity MRI Centre Pvt. Ltd.</v>
          </cell>
        </row>
        <row r="303">
          <cell r="B303" t="str">
            <v>W10034</v>
          </cell>
          <cell r="C303" t="str">
            <v>R1</v>
          </cell>
          <cell r="D303" t="str">
            <v>R</v>
          </cell>
          <cell r="E303" t="str">
            <v>MOIT Hospital</v>
          </cell>
        </row>
        <row r="304">
          <cell r="B304" t="str">
            <v>W10035</v>
          </cell>
          <cell r="C304" t="str">
            <v>R1</v>
          </cell>
          <cell r="D304" t="str">
            <v>R</v>
          </cell>
          <cell r="E304" t="str">
            <v>HH Raj Dadiji Badan Kanwar</v>
          </cell>
        </row>
        <row r="305">
          <cell r="B305" t="str">
            <v>W10036</v>
          </cell>
          <cell r="C305" t="str">
            <v>R1</v>
          </cell>
          <cell r="D305" t="str">
            <v>R</v>
          </cell>
          <cell r="E305" t="str">
            <v>Vidya Scan &amp; Echo Centre</v>
          </cell>
        </row>
        <row r="306">
          <cell r="B306" t="str">
            <v>W10037</v>
          </cell>
          <cell r="C306" t="str">
            <v>R1</v>
          </cell>
          <cell r="D306" t="str">
            <v>R</v>
          </cell>
          <cell r="E306" t="str">
            <v>S. Ramakrishnan</v>
          </cell>
        </row>
        <row r="307">
          <cell r="B307" t="str">
            <v>W10038</v>
          </cell>
          <cell r="C307" t="str">
            <v>R1</v>
          </cell>
          <cell r="D307" t="str">
            <v>R</v>
          </cell>
          <cell r="E307" t="str">
            <v>C G Lakshmi Devi</v>
          </cell>
        </row>
        <row r="308">
          <cell r="B308" t="str">
            <v>W10039</v>
          </cell>
          <cell r="C308" t="str">
            <v>R1</v>
          </cell>
          <cell r="D308" t="str">
            <v>R</v>
          </cell>
          <cell r="E308" t="str">
            <v>Raghuvanshi</v>
          </cell>
        </row>
        <row r="309">
          <cell r="B309" t="str">
            <v>W10040</v>
          </cell>
          <cell r="C309" t="str">
            <v>R1</v>
          </cell>
          <cell r="D309" t="str">
            <v>R</v>
          </cell>
          <cell r="E309" t="str">
            <v>Pratima X Ray</v>
          </cell>
        </row>
        <row r="310">
          <cell r="B310" t="str">
            <v>W10041</v>
          </cell>
          <cell r="C310" t="str">
            <v>R3</v>
          </cell>
          <cell r="D310" t="str">
            <v>R</v>
          </cell>
          <cell r="E310" t="str">
            <v>Computed Radiodiagnostics-3</v>
          </cell>
        </row>
        <row r="311">
          <cell r="B311" t="str">
            <v>W10042</v>
          </cell>
          <cell r="C311" t="str">
            <v>R1</v>
          </cell>
          <cell r="D311" t="str">
            <v>R</v>
          </cell>
          <cell r="E311" t="str">
            <v>Ashok D Vora</v>
          </cell>
        </row>
        <row r="312">
          <cell r="B312" t="str">
            <v>W10043</v>
          </cell>
          <cell r="C312" t="str">
            <v>R1</v>
          </cell>
          <cell r="D312" t="str">
            <v>R</v>
          </cell>
          <cell r="E312" t="str">
            <v>Imtiaz H Shaikh</v>
          </cell>
        </row>
        <row r="313">
          <cell r="B313" t="str">
            <v>W10044</v>
          </cell>
          <cell r="C313" t="str">
            <v>R1</v>
          </cell>
          <cell r="D313" t="str">
            <v>R</v>
          </cell>
          <cell r="E313" t="str">
            <v>Paliwal Hospital P Ltd.-2</v>
          </cell>
        </row>
        <row r="314">
          <cell r="B314" t="str">
            <v>W10045</v>
          </cell>
          <cell r="C314" t="str">
            <v>R1</v>
          </cell>
          <cell r="D314" t="str">
            <v>R</v>
          </cell>
          <cell r="E314" t="str">
            <v>Subhash Jain-1</v>
          </cell>
        </row>
        <row r="315">
          <cell r="B315" t="str">
            <v>W10046</v>
          </cell>
          <cell r="C315" t="str">
            <v>R1</v>
          </cell>
          <cell r="D315" t="str">
            <v>R</v>
          </cell>
          <cell r="E315" t="str">
            <v>Vasan Medical Hall-1</v>
          </cell>
        </row>
        <row r="316">
          <cell r="B316" t="str">
            <v>W10047</v>
          </cell>
          <cell r="C316" t="str">
            <v>R3</v>
          </cell>
          <cell r="D316" t="str">
            <v>R</v>
          </cell>
          <cell r="E316" t="str">
            <v>Nikit P Mehta-2</v>
          </cell>
        </row>
        <row r="317">
          <cell r="B317" t="str">
            <v>W10048</v>
          </cell>
          <cell r="C317" t="str">
            <v>R1</v>
          </cell>
          <cell r="D317" t="str">
            <v>R</v>
          </cell>
          <cell r="E317" t="str">
            <v>Parakh Diagnostic Centre</v>
          </cell>
        </row>
        <row r="318">
          <cell r="B318" t="str">
            <v>W10049</v>
          </cell>
          <cell r="C318" t="str">
            <v>R1</v>
          </cell>
          <cell r="D318" t="str">
            <v>R</v>
          </cell>
          <cell r="E318" t="str">
            <v>Vasan Medical Hall-2</v>
          </cell>
        </row>
        <row r="319">
          <cell r="B319" t="str">
            <v>W10050</v>
          </cell>
          <cell r="C319" t="str">
            <v>R3</v>
          </cell>
          <cell r="D319" t="str">
            <v>R</v>
          </cell>
          <cell r="E319" t="str">
            <v>Mukul Mehta</v>
          </cell>
        </row>
        <row r="320">
          <cell r="B320" t="str">
            <v>W10051</v>
          </cell>
          <cell r="C320" t="str">
            <v>R1</v>
          </cell>
          <cell r="D320" t="str">
            <v>R</v>
          </cell>
          <cell r="E320" t="str">
            <v>Spandan Diagnostic &amp; Research Centre (P) Ltd-2</v>
          </cell>
        </row>
        <row r="321">
          <cell r="B321" t="str">
            <v>W10052</v>
          </cell>
          <cell r="C321" t="str">
            <v>R1</v>
          </cell>
          <cell r="D321" t="str">
            <v>R</v>
          </cell>
          <cell r="E321" t="str">
            <v>S.K. Bose</v>
          </cell>
        </row>
        <row r="322">
          <cell r="B322" t="str">
            <v>W10053</v>
          </cell>
          <cell r="C322" t="str">
            <v>R3</v>
          </cell>
          <cell r="E322" t="str">
            <v>Mangal Anand Healthcare 1</v>
          </cell>
        </row>
        <row r="323">
          <cell r="B323" t="str">
            <v>W10054</v>
          </cell>
          <cell r="C323" t="str">
            <v>R1</v>
          </cell>
          <cell r="E323" t="str">
            <v>K. C. Jain</v>
          </cell>
        </row>
        <row r="324">
          <cell r="B324" t="str">
            <v>W10055</v>
          </cell>
          <cell r="C324" t="str">
            <v>R1</v>
          </cell>
          <cell r="E324" t="str">
            <v>S. Mohd. Akram</v>
          </cell>
        </row>
        <row r="325">
          <cell r="B325" t="str">
            <v>W10056</v>
          </cell>
          <cell r="C325" t="str">
            <v>R1</v>
          </cell>
          <cell r="E325" t="str">
            <v>Jagdish Cancer &amp; Research</v>
          </cell>
        </row>
        <row r="326">
          <cell r="B326" t="str">
            <v>W10057</v>
          </cell>
          <cell r="C326" t="str">
            <v>R3</v>
          </cell>
          <cell r="E326" t="str">
            <v>Mangal Anand Healthcare L.</v>
          </cell>
        </row>
        <row r="327">
          <cell r="B327" t="str">
            <v>W10058</v>
          </cell>
          <cell r="C327" t="str">
            <v>R3</v>
          </cell>
          <cell r="E327" t="str">
            <v>Nagpur Nuclear Medicine</v>
          </cell>
        </row>
        <row r="328">
          <cell r="B328" t="str">
            <v>W10059</v>
          </cell>
          <cell r="C328" t="str">
            <v>R1</v>
          </cell>
          <cell r="E328" t="str">
            <v>Begusarai Diagnostic (P) L.</v>
          </cell>
        </row>
        <row r="329">
          <cell r="B329" t="str">
            <v>W10060</v>
          </cell>
          <cell r="C329" t="str">
            <v>R1</v>
          </cell>
          <cell r="D329" t="str">
            <v>R</v>
          </cell>
          <cell r="E329" t="str">
            <v>Vishakha Hospital &amp; Diagnostic P. Ltd.-1</v>
          </cell>
        </row>
        <row r="330">
          <cell r="B330" t="str">
            <v>W10061</v>
          </cell>
          <cell r="C330" t="str">
            <v>R1</v>
          </cell>
          <cell r="D330" t="str">
            <v>R</v>
          </cell>
          <cell r="E330" t="str">
            <v>Sethu Scan Service</v>
          </cell>
        </row>
        <row r="331">
          <cell r="B331" t="str">
            <v>W10062</v>
          </cell>
          <cell r="C331" t="str">
            <v>R1</v>
          </cell>
          <cell r="D331" t="str">
            <v>R</v>
          </cell>
          <cell r="E331" t="str">
            <v>Subhash Jain-2</v>
          </cell>
        </row>
        <row r="332">
          <cell r="B332" t="str">
            <v>W10063</v>
          </cell>
          <cell r="C332" t="str">
            <v>R1</v>
          </cell>
          <cell r="D332" t="str">
            <v>R</v>
          </cell>
          <cell r="E332" t="str">
            <v>Advance medical Research Institute-2</v>
          </cell>
        </row>
        <row r="333">
          <cell r="B333" t="str">
            <v>W10064</v>
          </cell>
          <cell r="C333" t="str">
            <v>R1</v>
          </cell>
          <cell r="D333" t="str">
            <v>R</v>
          </cell>
          <cell r="E333" t="str">
            <v>Debashish Pandhi</v>
          </cell>
        </row>
        <row r="334">
          <cell r="B334" t="str">
            <v>W10065</v>
          </cell>
          <cell r="C334" t="str">
            <v>R1</v>
          </cell>
          <cell r="D334" t="str">
            <v>R</v>
          </cell>
          <cell r="E334" t="str">
            <v>Ashok G Joshi</v>
          </cell>
        </row>
        <row r="335">
          <cell r="B335" t="str">
            <v>W10066</v>
          </cell>
          <cell r="C335" t="str">
            <v>R1</v>
          </cell>
          <cell r="D335" t="str">
            <v>R</v>
          </cell>
          <cell r="E335" t="str">
            <v>Hosmat Hospital</v>
          </cell>
        </row>
        <row r="336">
          <cell r="B336" t="str">
            <v>W10067</v>
          </cell>
          <cell r="C336" t="str">
            <v>R1</v>
          </cell>
          <cell r="D336" t="str">
            <v>R</v>
          </cell>
          <cell r="E336" t="str">
            <v>Mohan Lal Sindhi</v>
          </cell>
        </row>
        <row r="337">
          <cell r="B337" t="str">
            <v>W10068</v>
          </cell>
          <cell r="C337" t="str">
            <v>R1</v>
          </cell>
          <cell r="D337" t="str">
            <v>R</v>
          </cell>
          <cell r="E337" t="str">
            <v>A.K. Tyagi</v>
          </cell>
        </row>
        <row r="338">
          <cell r="B338" t="str">
            <v>W10069</v>
          </cell>
          <cell r="C338" t="str">
            <v>R1</v>
          </cell>
          <cell r="D338" t="str">
            <v>R</v>
          </cell>
          <cell r="E338" t="str">
            <v>S.P. Singh</v>
          </cell>
        </row>
        <row r="339">
          <cell r="B339" t="str">
            <v>W10070</v>
          </cell>
          <cell r="C339" t="str">
            <v>R1</v>
          </cell>
          <cell r="D339" t="str">
            <v>R</v>
          </cell>
          <cell r="E339" t="str">
            <v>North Bengal Neuro Research</v>
          </cell>
        </row>
        <row r="340">
          <cell r="B340" t="str">
            <v>W10071</v>
          </cell>
          <cell r="C340" t="str">
            <v>R1</v>
          </cell>
          <cell r="D340" t="str">
            <v>R</v>
          </cell>
          <cell r="E340" t="str">
            <v>Jai Mahakali Ultrasound &amp; X-ray Pathology Centre</v>
          </cell>
        </row>
        <row r="341">
          <cell r="B341" t="str">
            <v>W10072</v>
          </cell>
          <cell r="C341" t="str">
            <v>R1</v>
          </cell>
          <cell r="E341" t="str">
            <v>Jagdish Cancer &amp; Research</v>
          </cell>
        </row>
        <row r="342">
          <cell r="B342" t="str">
            <v>W10073</v>
          </cell>
          <cell r="C342" t="str">
            <v>R1</v>
          </cell>
          <cell r="E342" t="str">
            <v>Jagdish Cancer &amp; Research</v>
          </cell>
        </row>
        <row r="343">
          <cell r="B343" t="str">
            <v>W10074</v>
          </cell>
          <cell r="C343" t="str">
            <v>R1</v>
          </cell>
          <cell r="D343" t="str">
            <v>R</v>
          </cell>
          <cell r="E343" t="str">
            <v>Sanjukta Pattnaik</v>
          </cell>
        </row>
        <row r="344">
          <cell r="B344" t="str">
            <v>W10075</v>
          </cell>
          <cell r="C344" t="str">
            <v>R1</v>
          </cell>
          <cell r="D344" t="str">
            <v>R</v>
          </cell>
          <cell r="E344" t="str">
            <v>Advance medical Research Institute-3</v>
          </cell>
        </row>
        <row r="345">
          <cell r="B345" t="str">
            <v>W10076</v>
          </cell>
          <cell r="C345" t="str">
            <v>R1</v>
          </cell>
          <cell r="D345" t="str">
            <v>R</v>
          </cell>
          <cell r="E345" t="str">
            <v>Skylab ( Assam ) Pvt. Ltd.</v>
          </cell>
        </row>
        <row r="346">
          <cell r="B346" t="str">
            <v>W10077</v>
          </cell>
          <cell r="C346" t="str">
            <v>R1</v>
          </cell>
          <cell r="D346" t="str">
            <v>R</v>
          </cell>
          <cell r="E346" t="str">
            <v>M Thilangabama</v>
          </cell>
        </row>
        <row r="347">
          <cell r="B347" t="str">
            <v>W10078</v>
          </cell>
          <cell r="C347" t="str">
            <v>R1</v>
          </cell>
          <cell r="D347" t="str">
            <v>R</v>
          </cell>
          <cell r="E347" t="str">
            <v>Diagnosis</v>
          </cell>
        </row>
        <row r="348">
          <cell r="B348" t="str">
            <v>W10079</v>
          </cell>
          <cell r="C348" t="str">
            <v>R1</v>
          </cell>
          <cell r="D348" t="str">
            <v>R</v>
          </cell>
          <cell r="E348" t="str">
            <v>Subhra Jha</v>
          </cell>
        </row>
        <row r="349">
          <cell r="B349" t="str">
            <v>W10080</v>
          </cell>
          <cell r="C349" t="str">
            <v>R1</v>
          </cell>
          <cell r="D349" t="str">
            <v>R</v>
          </cell>
          <cell r="E349" t="str">
            <v>Sri  Chennai Scans &amp; research Centre ( P ) Ltd.</v>
          </cell>
        </row>
        <row r="350">
          <cell r="B350" t="str">
            <v>W10081</v>
          </cell>
          <cell r="C350" t="str">
            <v>R1</v>
          </cell>
          <cell r="D350" t="str">
            <v>R</v>
          </cell>
          <cell r="E350" t="str">
            <v>Susheela Johny</v>
          </cell>
        </row>
        <row r="351">
          <cell r="B351" t="str">
            <v>W10082</v>
          </cell>
          <cell r="C351" t="str">
            <v>R1</v>
          </cell>
          <cell r="D351" t="str">
            <v>R</v>
          </cell>
          <cell r="E351" t="str">
            <v>X-Ray Centre Guwahati (P) Ltd.</v>
          </cell>
        </row>
        <row r="352">
          <cell r="B352" t="str">
            <v>W10083</v>
          </cell>
          <cell r="C352" t="str">
            <v>R1</v>
          </cell>
          <cell r="D352" t="str">
            <v>R</v>
          </cell>
          <cell r="E352" t="str">
            <v>T. Jayaraman</v>
          </cell>
        </row>
        <row r="353">
          <cell r="B353" t="str">
            <v>W10084</v>
          </cell>
          <cell r="C353" t="str">
            <v>R1</v>
          </cell>
          <cell r="D353" t="str">
            <v>R</v>
          </cell>
          <cell r="E353" t="str">
            <v>Anju Gupta</v>
          </cell>
        </row>
        <row r="354">
          <cell r="B354" t="str">
            <v>W10085</v>
          </cell>
          <cell r="C354" t="str">
            <v>R1</v>
          </cell>
          <cell r="D354" t="str">
            <v>R</v>
          </cell>
          <cell r="E354" t="str">
            <v>K.M. Jothiraj</v>
          </cell>
        </row>
        <row r="355">
          <cell r="B355" t="str">
            <v>W10086</v>
          </cell>
          <cell r="C355" t="str">
            <v>R1</v>
          </cell>
          <cell r="D355" t="str">
            <v>R</v>
          </cell>
          <cell r="E355" t="str">
            <v>Ramesh Verma</v>
          </cell>
        </row>
        <row r="356">
          <cell r="B356" t="str">
            <v>W10087</v>
          </cell>
          <cell r="C356" t="str">
            <v>R1</v>
          </cell>
          <cell r="D356" t="str">
            <v>R</v>
          </cell>
          <cell r="E356" t="str">
            <v>Jay Kishore</v>
          </cell>
        </row>
        <row r="357">
          <cell r="B357" t="str">
            <v>W10088</v>
          </cell>
          <cell r="C357" t="str">
            <v>R1</v>
          </cell>
          <cell r="D357" t="str">
            <v>R</v>
          </cell>
          <cell r="E357" t="str">
            <v>Vishakha Hospital &amp; Diagnostic P. Ltd.-2</v>
          </cell>
        </row>
        <row r="358">
          <cell r="B358" t="str">
            <v>W10089</v>
          </cell>
          <cell r="C358" t="str">
            <v>R3</v>
          </cell>
          <cell r="D358" t="str">
            <v>R</v>
          </cell>
          <cell r="E358" t="str">
            <v>S. S. Todkari</v>
          </cell>
        </row>
        <row r="359">
          <cell r="B359" t="str">
            <v>W10090</v>
          </cell>
          <cell r="C359" t="str">
            <v>R1</v>
          </cell>
          <cell r="D359" t="str">
            <v>R</v>
          </cell>
          <cell r="E359" t="str">
            <v>P. Murati Sankar</v>
          </cell>
        </row>
        <row r="360">
          <cell r="B360" t="str">
            <v>W10091</v>
          </cell>
          <cell r="C360" t="str">
            <v>R1</v>
          </cell>
          <cell r="D360" t="str">
            <v>R</v>
          </cell>
          <cell r="E360" t="str">
            <v>Tuticorin CT Scan &amp; Research-2</v>
          </cell>
        </row>
        <row r="361">
          <cell r="B361" t="str">
            <v>W10092</v>
          </cell>
          <cell r="C361" t="str">
            <v>R1</v>
          </cell>
          <cell r="D361" t="str">
            <v>R</v>
          </cell>
          <cell r="E361" t="str">
            <v>Prakash Kanwar</v>
          </cell>
        </row>
        <row r="362">
          <cell r="B362" t="str">
            <v>W10093</v>
          </cell>
          <cell r="C362" t="str">
            <v>R1</v>
          </cell>
          <cell r="D362" t="str">
            <v>R</v>
          </cell>
          <cell r="E362" t="str">
            <v>Shija Clinic Pvt. Ltd.</v>
          </cell>
        </row>
        <row r="363">
          <cell r="B363" t="str">
            <v>W10094</v>
          </cell>
          <cell r="C363" t="str">
            <v>R1</v>
          </cell>
          <cell r="D363" t="str">
            <v>R</v>
          </cell>
          <cell r="E363" t="str">
            <v>Rashmi Garg</v>
          </cell>
        </row>
        <row r="364">
          <cell r="B364" t="str">
            <v>W10095</v>
          </cell>
          <cell r="C364" t="str">
            <v>R1</v>
          </cell>
          <cell r="D364" t="str">
            <v>R</v>
          </cell>
          <cell r="E364" t="str">
            <v>Bankura Scan Centre</v>
          </cell>
        </row>
        <row r="365">
          <cell r="B365" t="str">
            <v>W10096</v>
          </cell>
          <cell r="C365" t="str">
            <v>R3</v>
          </cell>
          <cell r="D365" t="str">
            <v>R</v>
          </cell>
          <cell r="E365" t="str">
            <v>Gopal Surendran</v>
          </cell>
        </row>
        <row r="366">
          <cell r="B366" t="str">
            <v>W10097</v>
          </cell>
          <cell r="C366" t="str">
            <v>R1</v>
          </cell>
          <cell r="D366" t="str">
            <v>R</v>
          </cell>
          <cell r="E366" t="str">
            <v>Prateeksha Tolambia</v>
          </cell>
        </row>
        <row r="367">
          <cell r="B367" t="str">
            <v>W10098</v>
          </cell>
          <cell r="C367" t="str">
            <v>R1</v>
          </cell>
          <cell r="D367" t="str">
            <v>R</v>
          </cell>
          <cell r="E367" t="str">
            <v>K. Velluswamy</v>
          </cell>
        </row>
        <row r="368">
          <cell r="B368" t="str">
            <v>W10099</v>
          </cell>
          <cell r="C368" t="str">
            <v>R3</v>
          </cell>
          <cell r="D368" t="str">
            <v>R</v>
          </cell>
          <cell r="E368" t="str">
            <v>Shilpa Phadkule</v>
          </cell>
        </row>
        <row r="369">
          <cell r="B369" t="str">
            <v>W10100</v>
          </cell>
          <cell r="C369" t="str">
            <v>NA</v>
          </cell>
          <cell r="D369" t="str">
            <v>NA</v>
          </cell>
          <cell r="E369" t="str">
            <v>The Chotanagpur Regional Handloom Weaver Coop Union Ltd.</v>
          </cell>
        </row>
        <row r="370">
          <cell r="B370" t="str">
            <v>W10101</v>
          </cell>
          <cell r="C370" t="str">
            <v>R1</v>
          </cell>
          <cell r="D370" t="str">
            <v>R</v>
          </cell>
          <cell r="E370" t="str">
            <v>North Bangalore Diagnostic Pvt. Ltd.</v>
          </cell>
        </row>
        <row r="371">
          <cell r="B371" t="str">
            <v>W10102</v>
          </cell>
          <cell r="C371" t="str">
            <v>R1</v>
          </cell>
          <cell r="D371" t="str">
            <v>R</v>
          </cell>
          <cell r="E371" t="str">
            <v>A.K. Gupta</v>
          </cell>
        </row>
        <row r="372">
          <cell r="B372" t="str">
            <v>W10103</v>
          </cell>
          <cell r="C372" t="str">
            <v>R1</v>
          </cell>
          <cell r="D372" t="str">
            <v>R</v>
          </cell>
          <cell r="E372" t="str">
            <v>Naresh Suri</v>
          </cell>
        </row>
        <row r="373">
          <cell r="B373" t="str">
            <v>W10104</v>
          </cell>
        </row>
        <row r="374">
          <cell r="B374" t="str">
            <v>W10105</v>
          </cell>
          <cell r="C374" t="str">
            <v>R1</v>
          </cell>
          <cell r="D374" t="str">
            <v>R</v>
          </cell>
          <cell r="E374" t="str">
            <v>The Heart Centre</v>
          </cell>
        </row>
        <row r="375">
          <cell r="B375" t="str">
            <v>W10106</v>
          </cell>
          <cell r="C375" t="str">
            <v>R1</v>
          </cell>
          <cell r="D375" t="str">
            <v>R</v>
          </cell>
          <cell r="E375" t="str">
            <v>Atul  Seth</v>
          </cell>
        </row>
        <row r="376">
          <cell r="B376" t="str">
            <v>W10107</v>
          </cell>
          <cell r="C376" t="str">
            <v>R1</v>
          </cell>
          <cell r="D376" t="str">
            <v>R</v>
          </cell>
          <cell r="E376" t="str">
            <v>B. Radhika</v>
          </cell>
        </row>
        <row r="377">
          <cell r="B377" t="str">
            <v>W10108</v>
          </cell>
          <cell r="C377" t="str">
            <v>R1</v>
          </cell>
          <cell r="D377" t="str">
            <v>R</v>
          </cell>
          <cell r="E377" t="str">
            <v>Shirish Valsangkar</v>
          </cell>
        </row>
        <row r="378">
          <cell r="B378" t="str">
            <v>W10109</v>
          </cell>
          <cell r="C378" t="str">
            <v>R1</v>
          </cell>
          <cell r="D378" t="str">
            <v>R</v>
          </cell>
          <cell r="E378" t="str">
            <v>P. Raghu Ramaiah</v>
          </cell>
        </row>
        <row r="379">
          <cell r="B379" t="str">
            <v>W10110</v>
          </cell>
          <cell r="C379" t="str">
            <v>R1</v>
          </cell>
          <cell r="D379" t="str">
            <v>R</v>
          </cell>
          <cell r="E379" t="str">
            <v>Swati Dileep Bhale</v>
          </cell>
        </row>
        <row r="380">
          <cell r="B380" t="str">
            <v>W10111</v>
          </cell>
          <cell r="C380" t="str">
            <v>R3</v>
          </cell>
          <cell r="D380" t="str">
            <v>R</v>
          </cell>
          <cell r="E380" t="str">
            <v>Ajit Scanning &amp; Diagnostic Centre Pvt. Ltd.</v>
          </cell>
        </row>
        <row r="381">
          <cell r="B381" t="str">
            <v>W10112</v>
          </cell>
          <cell r="C381" t="str">
            <v>R1</v>
          </cell>
          <cell r="D381" t="str">
            <v>R</v>
          </cell>
          <cell r="E381" t="str">
            <v>Life Line Diagnostic Centre</v>
          </cell>
        </row>
        <row r="382">
          <cell r="B382" t="str">
            <v>W10113</v>
          </cell>
          <cell r="C382" t="str">
            <v>R1</v>
          </cell>
          <cell r="D382" t="str">
            <v>R</v>
          </cell>
          <cell r="E382" t="str">
            <v>V. Shanmugam</v>
          </cell>
        </row>
        <row r="383">
          <cell r="B383" t="str">
            <v>W10114</v>
          </cell>
          <cell r="C383" t="str">
            <v>R1</v>
          </cell>
          <cell r="D383" t="str">
            <v>R</v>
          </cell>
          <cell r="E383" t="str">
            <v>Ramalakshmi</v>
          </cell>
        </row>
        <row r="384">
          <cell r="B384" t="str">
            <v>W10115</v>
          </cell>
          <cell r="C384" t="str">
            <v>R3</v>
          </cell>
          <cell r="D384" t="str">
            <v>R</v>
          </cell>
          <cell r="E384" t="str">
            <v>Ram Kumar Gupta</v>
          </cell>
        </row>
        <row r="385">
          <cell r="B385" t="str">
            <v>W10116</v>
          </cell>
          <cell r="C385" t="str">
            <v>R1</v>
          </cell>
          <cell r="D385" t="str">
            <v>R</v>
          </cell>
          <cell r="E385" t="str">
            <v>Ongole CT Scan Centre Pvt. Ltd.</v>
          </cell>
        </row>
        <row r="386">
          <cell r="B386" t="str">
            <v>W10117</v>
          </cell>
          <cell r="C386" t="str">
            <v>R1</v>
          </cell>
          <cell r="D386" t="str">
            <v>R</v>
          </cell>
          <cell r="E386" t="str">
            <v>R. K. Gupta ( Sukhda )</v>
          </cell>
        </row>
        <row r="387">
          <cell r="B387" t="str">
            <v>W10118</v>
          </cell>
          <cell r="C387" t="str">
            <v>R1</v>
          </cell>
          <cell r="D387" t="str">
            <v>R</v>
          </cell>
          <cell r="E387" t="str">
            <v>Madanapalle Hospital Pvt. Ltd.</v>
          </cell>
        </row>
        <row r="388">
          <cell r="B388" t="str">
            <v>W10119</v>
          </cell>
          <cell r="C388" t="str">
            <v>R1</v>
          </cell>
          <cell r="D388" t="str">
            <v>R</v>
          </cell>
          <cell r="E388" t="str">
            <v>Bharat Scans Pvt. Ltd.-2</v>
          </cell>
        </row>
        <row r="389">
          <cell r="B389" t="str">
            <v>W10120</v>
          </cell>
          <cell r="C389" t="str">
            <v>R1</v>
          </cell>
          <cell r="D389" t="str">
            <v>R</v>
          </cell>
          <cell r="E389" t="str">
            <v>R. R. Rai</v>
          </cell>
        </row>
        <row r="390">
          <cell r="B390" t="str">
            <v>W10121</v>
          </cell>
          <cell r="C390" t="str">
            <v>R1</v>
          </cell>
          <cell r="D390" t="str">
            <v>R</v>
          </cell>
          <cell r="E390" t="str">
            <v>Advanced Medicare &amp; research Institute Ltd.-4</v>
          </cell>
        </row>
        <row r="391">
          <cell r="B391" t="str">
            <v>W10122</v>
          </cell>
          <cell r="C391" t="str">
            <v>R1</v>
          </cell>
          <cell r="D391" t="str">
            <v>R</v>
          </cell>
          <cell r="E391" t="str">
            <v>Raj Arora</v>
          </cell>
        </row>
        <row r="392">
          <cell r="B392" t="str">
            <v>W10123</v>
          </cell>
          <cell r="C392" t="str">
            <v>R1</v>
          </cell>
          <cell r="D392" t="str">
            <v>R</v>
          </cell>
          <cell r="E392" t="str">
            <v>Travancore Diagnostic Pvt. Ltd.-2</v>
          </cell>
        </row>
        <row r="393">
          <cell r="B393" t="str">
            <v>W10124</v>
          </cell>
          <cell r="C393" t="str">
            <v>R1</v>
          </cell>
          <cell r="D393" t="str">
            <v>R</v>
          </cell>
          <cell r="E393" t="str">
            <v>Ram Ratan Rai</v>
          </cell>
        </row>
        <row r="394">
          <cell r="B394" t="str">
            <v>W10125</v>
          </cell>
          <cell r="C394" t="str">
            <v>R1</v>
          </cell>
          <cell r="D394" t="str">
            <v>R</v>
          </cell>
          <cell r="E394" t="str">
            <v>Noida Medicare Centre Ltd.</v>
          </cell>
        </row>
        <row r="395">
          <cell r="B395" t="str">
            <v>W10126</v>
          </cell>
          <cell r="C395" t="str">
            <v>R1</v>
          </cell>
          <cell r="D395" t="str">
            <v>R</v>
          </cell>
          <cell r="E395" t="str">
            <v>Jeewan Jyoti Medical Care</v>
          </cell>
        </row>
        <row r="396">
          <cell r="B396" t="str">
            <v>W10127</v>
          </cell>
          <cell r="C396" t="str">
            <v>R1</v>
          </cell>
          <cell r="D396" t="str">
            <v>R</v>
          </cell>
          <cell r="E396" t="str">
            <v>BBR Hospital</v>
          </cell>
        </row>
        <row r="397">
          <cell r="B397" t="str">
            <v>W10128</v>
          </cell>
          <cell r="C397" t="str">
            <v>R1</v>
          </cell>
          <cell r="D397" t="str">
            <v>R</v>
          </cell>
          <cell r="E397" t="str">
            <v>Rajvir Singh</v>
          </cell>
        </row>
        <row r="398">
          <cell r="B398" t="str">
            <v>W10129</v>
          </cell>
          <cell r="C398" t="str">
            <v>NA</v>
          </cell>
          <cell r="D398" t="str">
            <v>NA</v>
          </cell>
          <cell r="E398" t="str">
            <v>Manipal Academy of Higher -1</v>
          </cell>
        </row>
        <row r="399">
          <cell r="B399" t="str">
            <v>W10130</v>
          </cell>
          <cell r="C399" t="str">
            <v>R3</v>
          </cell>
          <cell r="D399" t="str">
            <v>R</v>
          </cell>
          <cell r="E399" t="str">
            <v>K G Healthcare ( CT)</v>
          </cell>
        </row>
        <row r="400">
          <cell r="B400" t="str">
            <v>W10131</v>
          </cell>
          <cell r="C400" t="str">
            <v>R1</v>
          </cell>
          <cell r="D400" t="str">
            <v>R</v>
          </cell>
          <cell r="E400" t="str">
            <v>Dynamic Scan &amp; Research Centre Pvt. Ltd.</v>
          </cell>
        </row>
        <row r="401">
          <cell r="B401" t="str">
            <v>W10132</v>
          </cell>
          <cell r="C401" t="str">
            <v>R1</v>
          </cell>
          <cell r="D401" t="str">
            <v>R</v>
          </cell>
          <cell r="E401" t="str">
            <v>BBR Multi Speciality Hospital</v>
          </cell>
        </row>
        <row r="402">
          <cell r="B402" t="str">
            <v>W10133</v>
          </cell>
          <cell r="C402" t="str">
            <v>R1</v>
          </cell>
          <cell r="D402" t="str">
            <v>R</v>
          </cell>
          <cell r="E402" t="str">
            <v>Medisewa Scanning Centre</v>
          </cell>
        </row>
        <row r="403">
          <cell r="B403" t="str">
            <v>W10134</v>
          </cell>
          <cell r="C403" t="str">
            <v>R1</v>
          </cell>
          <cell r="D403" t="str">
            <v>R</v>
          </cell>
          <cell r="E403" t="str">
            <v>Mahajan Imaging Pvt. Ltd.</v>
          </cell>
        </row>
        <row r="404">
          <cell r="B404" t="str">
            <v>W10135</v>
          </cell>
          <cell r="C404" t="str">
            <v>R1</v>
          </cell>
          <cell r="D404" t="str">
            <v>R</v>
          </cell>
          <cell r="E404" t="str">
            <v>Anita's Diagnostic Pvt. Ltd.</v>
          </cell>
        </row>
        <row r="405">
          <cell r="B405" t="str">
            <v>W10136</v>
          </cell>
          <cell r="C405" t="str">
            <v>R1</v>
          </cell>
          <cell r="D405" t="str">
            <v>R</v>
          </cell>
          <cell r="E405" t="str">
            <v>Meenakshi Mission</v>
          </cell>
        </row>
        <row r="406">
          <cell r="B406" t="str">
            <v>W10137</v>
          </cell>
          <cell r="C406" t="str">
            <v>R3</v>
          </cell>
          <cell r="D406" t="str">
            <v>R</v>
          </cell>
          <cell r="E406" t="str">
            <v>K Govinduswamy Naidu Medical Trust</v>
          </cell>
        </row>
        <row r="407">
          <cell r="B407" t="str">
            <v>W10138</v>
          </cell>
          <cell r="C407" t="str">
            <v>NA</v>
          </cell>
          <cell r="D407" t="str">
            <v>NA</v>
          </cell>
          <cell r="E407" t="str">
            <v>Manipal Academy of Higher -2</v>
          </cell>
        </row>
        <row r="408">
          <cell r="B408" t="str">
            <v>W10139</v>
          </cell>
          <cell r="C408" t="str">
            <v>R1</v>
          </cell>
          <cell r="D408" t="str">
            <v>R</v>
          </cell>
          <cell r="E408" t="str">
            <v>Sriniwasa Cardiology Centre</v>
          </cell>
        </row>
        <row r="409">
          <cell r="B409" t="str">
            <v>W10140</v>
          </cell>
          <cell r="C409" t="str">
            <v>R1</v>
          </cell>
          <cell r="D409" t="str">
            <v>R</v>
          </cell>
          <cell r="E409" t="str">
            <v>Sriniwasa Cardiology Centre</v>
          </cell>
        </row>
        <row r="410">
          <cell r="B410" t="str">
            <v>W10141</v>
          </cell>
          <cell r="C410" t="str">
            <v>R1</v>
          </cell>
          <cell r="D410" t="str">
            <v>R</v>
          </cell>
          <cell r="E410" t="str">
            <v>Sriniwasa Cardiology Centre</v>
          </cell>
        </row>
        <row r="411">
          <cell r="B411" t="str">
            <v>W10142</v>
          </cell>
          <cell r="C411" t="str">
            <v>R1</v>
          </cell>
          <cell r="D411" t="str">
            <v>R</v>
          </cell>
          <cell r="E411" t="str">
            <v>Sriniwasa Cardiology Centre</v>
          </cell>
        </row>
        <row r="412">
          <cell r="B412" t="str">
            <v>W10143</v>
          </cell>
          <cell r="C412" t="str">
            <v>R1</v>
          </cell>
          <cell r="D412" t="str">
            <v>R</v>
          </cell>
          <cell r="E412" t="str">
            <v>Shubham Deo Health Care</v>
          </cell>
        </row>
        <row r="413">
          <cell r="B413" t="str">
            <v>W10144</v>
          </cell>
          <cell r="C413" t="str">
            <v>R1</v>
          </cell>
          <cell r="D413" t="str">
            <v>R</v>
          </cell>
          <cell r="E413" t="str">
            <v>Sidhartha Health Care Ltd.</v>
          </cell>
        </row>
        <row r="414">
          <cell r="B414" t="str">
            <v>W10145</v>
          </cell>
          <cell r="C414" t="str">
            <v>R3</v>
          </cell>
          <cell r="D414" t="str">
            <v>R</v>
          </cell>
          <cell r="E414" t="str">
            <v>Mohan Singh Bhati-1</v>
          </cell>
        </row>
        <row r="415">
          <cell r="B415" t="str">
            <v>W10146</v>
          </cell>
          <cell r="C415" t="str">
            <v>R3</v>
          </cell>
          <cell r="D415" t="str">
            <v>R</v>
          </cell>
          <cell r="E415" t="str">
            <v>Mohan Singh Bhati-2</v>
          </cell>
        </row>
        <row r="416">
          <cell r="B416" t="str">
            <v>W10147</v>
          </cell>
          <cell r="C416" t="str">
            <v>R1</v>
          </cell>
          <cell r="D416" t="str">
            <v>R</v>
          </cell>
          <cell r="E416" t="str">
            <v>Vijendra Kumar</v>
          </cell>
        </row>
        <row r="417">
          <cell r="B417" t="str">
            <v>W10148</v>
          </cell>
          <cell r="C417" t="str">
            <v>R1</v>
          </cell>
          <cell r="D417" t="str">
            <v>R</v>
          </cell>
          <cell r="E417" t="str">
            <v>Healing Touch Hospital Pvt. Ltd.</v>
          </cell>
        </row>
        <row r="418">
          <cell r="B418" t="str">
            <v>W10149</v>
          </cell>
          <cell r="C418" t="str">
            <v>R1</v>
          </cell>
          <cell r="D418" t="str">
            <v>R</v>
          </cell>
          <cell r="E418" t="str">
            <v>Inderjit Singh</v>
          </cell>
        </row>
        <row r="419">
          <cell r="B419" t="str">
            <v>W10150</v>
          </cell>
          <cell r="C419" t="str">
            <v>R1</v>
          </cell>
          <cell r="D419" t="str">
            <v>R</v>
          </cell>
          <cell r="E419" t="str">
            <v>Jitendra Kumar Palvia</v>
          </cell>
        </row>
        <row r="420">
          <cell r="B420" t="str">
            <v>W10151</v>
          </cell>
          <cell r="C420" t="str">
            <v>NA</v>
          </cell>
          <cell r="D420" t="str">
            <v>NA</v>
          </cell>
          <cell r="E420" t="str">
            <v>The Cochin Coop Hospital</v>
          </cell>
        </row>
        <row r="421">
          <cell r="B421" t="str">
            <v>W10152</v>
          </cell>
          <cell r="C421" t="str">
            <v>R1</v>
          </cell>
          <cell r="D421" t="str">
            <v>R</v>
          </cell>
          <cell r="E421" t="str">
            <v>A C Tripathi</v>
          </cell>
        </row>
        <row r="422">
          <cell r="B422" t="str">
            <v>W10153</v>
          </cell>
          <cell r="C422" t="str">
            <v>R1</v>
          </cell>
          <cell r="D422" t="str">
            <v>R</v>
          </cell>
          <cell r="E422" t="str">
            <v>Shivam Ultrasound</v>
          </cell>
        </row>
        <row r="423">
          <cell r="B423" t="str">
            <v>W10154</v>
          </cell>
          <cell r="C423" t="str">
            <v>R1</v>
          </cell>
          <cell r="D423" t="str">
            <v>R</v>
          </cell>
          <cell r="E423" t="str">
            <v>Parul Sharma</v>
          </cell>
        </row>
        <row r="424">
          <cell r="B424" t="str">
            <v>W10155</v>
          </cell>
          <cell r="C424" t="str">
            <v>R1</v>
          </cell>
          <cell r="D424" t="str">
            <v>R</v>
          </cell>
          <cell r="E424" t="str">
            <v>Bimla Bhateja</v>
          </cell>
        </row>
        <row r="425">
          <cell r="B425" t="str">
            <v>W10156</v>
          </cell>
          <cell r="C425" t="str">
            <v>R3</v>
          </cell>
          <cell r="D425" t="str">
            <v>R</v>
          </cell>
          <cell r="E425" t="str">
            <v>Mahagujrat</v>
          </cell>
        </row>
        <row r="426">
          <cell r="B426" t="str">
            <v>W10157</v>
          </cell>
          <cell r="C426" t="str">
            <v>R1</v>
          </cell>
          <cell r="D426" t="str">
            <v>R</v>
          </cell>
          <cell r="E426" t="str">
            <v>Bharat Scans Pvt. Ltd.-3</v>
          </cell>
        </row>
        <row r="427">
          <cell r="B427" t="str">
            <v>W10158</v>
          </cell>
          <cell r="C427" t="str">
            <v>R1</v>
          </cell>
          <cell r="D427" t="str">
            <v>R</v>
          </cell>
          <cell r="E427" t="str">
            <v>Shatabadi Mediscans</v>
          </cell>
        </row>
        <row r="428">
          <cell r="B428" t="str">
            <v>W10159</v>
          </cell>
          <cell r="C428" t="str">
            <v>R1</v>
          </cell>
          <cell r="D428" t="str">
            <v>R</v>
          </cell>
          <cell r="E428" t="str">
            <v>Rabindra Prasad</v>
          </cell>
        </row>
        <row r="429">
          <cell r="B429" t="str">
            <v>W10160</v>
          </cell>
          <cell r="C429" t="str">
            <v>R1</v>
          </cell>
          <cell r="D429" t="str">
            <v>R</v>
          </cell>
          <cell r="E429" t="str">
            <v>Bharat Scans Pvt. Ltd.-4</v>
          </cell>
        </row>
        <row r="430">
          <cell r="B430" t="str">
            <v>W10161</v>
          </cell>
          <cell r="C430" t="str">
            <v>R1</v>
          </cell>
          <cell r="D430" t="str">
            <v>R</v>
          </cell>
          <cell r="E430" t="str">
            <v>M K Selveyraj Children Hospital</v>
          </cell>
        </row>
        <row r="431">
          <cell r="B431" t="str">
            <v>W10162</v>
          </cell>
          <cell r="C431" t="str">
            <v>RI</v>
          </cell>
          <cell r="D431" t="str">
            <v>R</v>
          </cell>
          <cell r="E431" t="str">
            <v>Sant Nischal Singh</v>
          </cell>
        </row>
        <row r="432">
          <cell r="B432" t="str">
            <v>W10163</v>
          </cell>
          <cell r="C432" t="str">
            <v>R1</v>
          </cell>
          <cell r="D432" t="str">
            <v>R</v>
          </cell>
          <cell r="E432" t="str">
            <v>Sai Medical Imaging</v>
          </cell>
        </row>
        <row r="433">
          <cell r="B433" t="str">
            <v>W10164</v>
          </cell>
          <cell r="C433" t="str">
            <v>RI</v>
          </cell>
          <cell r="D433" t="str">
            <v>R</v>
          </cell>
          <cell r="E433" t="str">
            <v>K.S Shanmugam</v>
          </cell>
        </row>
        <row r="434">
          <cell r="B434" t="str">
            <v>W10165</v>
          </cell>
          <cell r="C434" t="str">
            <v>R1</v>
          </cell>
          <cell r="D434" t="str">
            <v>R</v>
          </cell>
          <cell r="E434" t="str">
            <v>Sadhana Singh</v>
          </cell>
        </row>
        <row r="435">
          <cell r="B435" t="str">
            <v>W10166</v>
          </cell>
          <cell r="C435" t="str">
            <v>R1</v>
          </cell>
          <cell r="D435" t="str">
            <v>R</v>
          </cell>
          <cell r="E435" t="str">
            <v>Daljit Singh Saini</v>
          </cell>
        </row>
        <row r="436">
          <cell r="B436" t="str">
            <v>W10167</v>
          </cell>
          <cell r="C436" t="str">
            <v>R1</v>
          </cell>
          <cell r="D436" t="str">
            <v>R</v>
          </cell>
          <cell r="E436" t="str">
            <v>Raj Kumar</v>
          </cell>
        </row>
        <row r="437">
          <cell r="B437" t="str">
            <v>W10168</v>
          </cell>
          <cell r="C437" t="str">
            <v>R1</v>
          </cell>
          <cell r="D437" t="str">
            <v>R</v>
          </cell>
          <cell r="E437" t="str">
            <v>MM Vasudevan</v>
          </cell>
        </row>
        <row r="438">
          <cell r="B438" t="str">
            <v>W10169</v>
          </cell>
          <cell r="C438" t="str">
            <v>R1</v>
          </cell>
          <cell r="D438" t="str">
            <v>R</v>
          </cell>
          <cell r="E438" t="str">
            <v>Vikram Scan &amp; Diagnostic Centre</v>
          </cell>
        </row>
        <row r="439">
          <cell r="B439" t="str">
            <v>W10170</v>
          </cell>
          <cell r="C439" t="str">
            <v>R1</v>
          </cell>
          <cell r="D439" t="str">
            <v>R</v>
          </cell>
          <cell r="E439" t="str">
            <v>H S Maan</v>
          </cell>
        </row>
        <row r="440">
          <cell r="B440" t="str">
            <v>W10171</v>
          </cell>
          <cell r="C440" t="str">
            <v>R1</v>
          </cell>
          <cell r="D440" t="str">
            <v>R</v>
          </cell>
          <cell r="E440" t="str">
            <v>Health Care Services (P) Ltd.</v>
          </cell>
        </row>
        <row r="441">
          <cell r="B441" t="str">
            <v>W10172</v>
          </cell>
          <cell r="C441" t="str">
            <v>R1</v>
          </cell>
          <cell r="D441" t="str">
            <v>R</v>
          </cell>
          <cell r="E441" t="str">
            <v>Garima Nagori</v>
          </cell>
        </row>
        <row r="442">
          <cell r="B442" t="str">
            <v>W10173</v>
          </cell>
          <cell r="C442" t="str">
            <v>R1</v>
          </cell>
          <cell r="D442" t="str">
            <v>R</v>
          </cell>
          <cell r="E442" t="str">
            <v>Raminder Kaur</v>
          </cell>
        </row>
        <row r="443">
          <cell r="B443" t="str">
            <v>W10174</v>
          </cell>
          <cell r="C443" t="str">
            <v>R1</v>
          </cell>
          <cell r="D443" t="str">
            <v>R</v>
          </cell>
          <cell r="E443" t="str">
            <v>Kota CT Scan Centre Pvt Ltd</v>
          </cell>
        </row>
        <row r="444">
          <cell r="B444" t="str">
            <v>W10175</v>
          </cell>
          <cell r="C444" t="str">
            <v>R1</v>
          </cell>
          <cell r="D444" t="str">
            <v>R</v>
          </cell>
          <cell r="E444" t="str">
            <v>Supereme CT Scan Pct Ltd</v>
          </cell>
        </row>
        <row r="445">
          <cell r="B445" t="str">
            <v>W10176</v>
          </cell>
          <cell r="C445" t="str">
            <v>R1</v>
          </cell>
          <cell r="D445" t="str">
            <v>R</v>
          </cell>
          <cell r="E445" t="str">
            <v>Body Care Diagnostics</v>
          </cell>
        </row>
        <row r="446">
          <cell r="B446" t="str">
            <v>W10177</v>
          </cell>
          <cell r="C446" t="str">
            <v>R1</v>
          </cell>
          <cell r="D446" t="str">
            <v>R</v>
          </cell>
          <cell r="E446" t="str">
            <v>R N Bagga</v>
          </cell>
        </row>
        <row r="447">
          <cell r="B447" t="str">
            <v>W10178</v>
          </cell>
          <cell r="C447" t="str">
            <v>R1</v>
          </cell>
          <cell r="D447" t="str">
            <v>R</v>
          </cell>
          <cell r="E447" t="str">
            <v>Pankaj Diagnostics</v>
          </cell>
        </row>
        <row r="448">
          <cell r="B448" t="str">
            <v>WGE-LOAN-1</v>
          </cell>
          <cell r="E448" t="str">
            <v>Wipro GE Medical Systems Ltd-1</v>
          </cell>
        </row>
        <row r="449">
          <cell r="B449" t="str">
            <v>W10179</v>
          </cell>
          <cell r="C449" t="str">
            <v>R1</v>
          </cell>
          <cell r="D449" t="str">
            <v>R</v>
          </cell>
          <cell r="E449" t="str">
            <v>Prakash Patil</v>
          </cell>
        </row>
        <row r="450">
          <cell r="B450" t="str">
            <v>W10180</v>
          </cell>
          <cell r="C450" t="str">
            <v>R1</v>
          </cell>
          <cell r="D450" t="str">
            <v>R</v>
          </cell>
          <cell r="E450" t="str">
            <v>Cancer Centre Welfare Home &amp; Research Centre</v>
          </cell>
        </row>
        <row r="451">
          <cell r="B451" t="str">
            <v>W10181</v>
          </cell>
          <cell r="C451" t="str">
            <v>R1</v>
          </cell>
          <cell r="D451" t="str">
            <v>R</v>
          </cell>
          <cell r="E451" t="str">
            <v>Mercury Neuro</v>
          </cell>
        </row>
        <row r="452">
          <cell r="B452" t="str">
            <v>W10182</v>
          </cell>
          <cell r="C452" t="str">
            <v>R1</v>
          </cell>
          <cell r="D452" t="str">
            <v>R</v>
          </cell>
          <cell r="E452" t="str">
            <v>Meenakshi Mission Hospital, S R Trust</v>
          </cell>
        </row>
        <row r="453">
          <cell r="B453" t="str">
            <v>W10183</v>
          </cell>
          <cell r="C453" t="str">
            <v>R1</v>
          </cell>
          <cell r="D453" t="str">
            <v>R</v>
          </cell>
          <cell r="E453" t="str">
            <v>Graham Danial</v>
          </cell>
        </row>
        <row r="454">
          <cell r="B454" t="str">
            <v>W10184</v>
          </cell>
          <cell r="C454" t="str">
            <v>R1</v>
          </cell>
          <cell r="D454" t="str">
            <v>R</v>
          </cell>
          <cell r="E454" t="str">
            <v>Seema Kamaluddin</v>
          </cell>
        </row>
        <row r="455">
          <cell r="B455" t="str">
            <v>W10185</v>
          </cell>
          <cell r="C455" t="str">
            <v>R1</v>
          </cell>
          <cell r="D455" t="str">
            <v>R</v>
          </cell>
          <cell r="E455" t="str">
            <v>A K Sinha</v>
          </cell>
        </row>
        <row r="456">
          <cell r="B456" t="str">
            <v>W10186</v>
          </cell>
          <cell r="C456" t="str">
            <v>R1</v>
          </cell>
          <cell r="D456" t="str">
            <v>R</v>
          </cell>
          <cell r="E456" t="str">
            <v>Sethu Madhvan</v>
          </cell>
        </row>
        <row r="457">
          <cell r="B457" t="str">
            <v>W10187</v>
          </cell>
          <cell r="C457" t="str">
            <v>R1</v>
          </cell>
          <cell r="D457" t="str">
            <v>R</v>
          </cell>
          <cell r="E457" t="str">
            <v>Bhaskar Rao</v>
          </cell>
        </row>
        <row r="458">
          <cell r="B458" t="str">
            <v>W10188</v>
          </cell>
          <cell r="C458" t="str">
            <v>R1</v>
          </cell>
          <cell r="D458" t="str">
            <v>R</v>
          </cell>
          <cell r="E458" t="str">
            <v>Raj Scans</v>
          </cell>
        </row>
        <row r="459">
          <cell r="B459" t="str">
            <v>W10189</v>
          </cell>
          <cell r="C459" t="str">
            <v>R1</v>
          </cell>
          <cell r="D459" t="str">
            <v>R</v>
          </cell>
          <cell r="E459" t="str">
            <v>Thillai Rajan</v>
          </cell>
        </row>
        <row r="460">
          <cell r="B460" t="str">
            <v>W10190</v>
          </cell>
          <cell r="C460" t="str">
            <v>R1</v>
          </cell>
          <cell r="D460" t="str">
            <v>R</v>
          </cell>
          <cell r="E460" t="str">
            <v>K N B Unni</v>
          </cell>
        </row>
        <row r="461">
          <cell r="B461" t="str">
            <v>W10191</v>
          </cell>
          <cell r="C461" t="str">
            <v>R1</v>
          </cell>
          <cell r="D461" t="str">
            <v>R</v>
          </cell>
          <cell r="E461" t="str">
            <v>Madanapalle Hospital Pvt. Ltd.-2</v>
          </cell>
        </row>
        <row r="462">
          <cell r="B462" t="str">
            <v>WGE-LOAN-2</v>
          </cell>
          <cell r="E462" t="str">
            <v>Wipro GE Medical Systems Ltd-2</v>
          </cell>
        </row>
        <row r="463">
          <cell r="B463" t="str">
            <v>W10192</v>
          </cell>
          <cell r="C463" t="str">
            <v>R1</v>
          </cell>
          <cell r="D463" t="str">
            <v>R</v>
          </cell>
          <cell r="E463" t="str">
            <v>Maan Diagnostic &amp; Research Sentre Pvt Ltd.</v>
          </cell>
        </row>
        <row r="464">
          <cell r="B464" t="str">
            <v>W10193</v>
          </cell>
          <cell r="C464" t="str">
            <v>R1</v>
          </cell>
          <cell r="D464" t="str">
            <v>R</v>
          </cell>
          <cell r="E464" t="str">
            <v>Roop Narayan Meena</v>
          </cell>
        </row>
        <row r="465">
          <cell r="B465" t="str">
            <v>W10194</v>
          </cell>
          <cell r="C465" t="str">
            <v>R1</v>
          </cell>
          <cell r="D465" t="str">
            <v>R</v>
          </cell>
          <cell r="E465" t="str">
            <v>Umesh Jindal</v>
          </cell>
        </row>
        <row r="466">
          <cell r="B466" t="str">
            <v>W10195</v>
          </cell>
          <cell r="C466" t="str">
            <v>R1</v>
          </cell>
          <cell r="D466" t="str">
            <v>R</v>
          </cell>
          <cell r="E466" t="str">
            <v>Medicare Diagnostic-1</v>
          </cell>
        </row>
        <row r="467">
          <cell r="B467" t="str">
            <v>W10196</v>
          </cell>
          <cell r="C467" t="str">
            <v>R1</v>
          </cell>
          <cell r="D467" t="str">
            <v>R</v>
          </cell>
          <cell r="E467" t="str">
            <v>Medicare Diagnostic-2</v>
          </cell>
        </row>
        <row r="468">
          <cell r="B468" t="str">
            <v>W10197</v>
          </cell>
          <cell r="C468" t="str">
            <v>R1</v>
          </cell>
          <cell r="D468" t="str">
            <v>R</v>
          </cell>
          <cell r="E468" t="str">
            <v xml:space="preserve">R K Mitra </v>
          </cell>
        </row>
        <row r="469">
          <cell r="B469" t="str">
            <v>W10198</v>
          </cell>
          <cell r="C469" t="str">
            <v>R1</v>
          </cell>
          <cell r="D469" t="str">
            <v>R</v>
          </cell>
          <cell r="E469" t="str">
            <v>Anjhaneyaa Hospitals Pvt Ltd</v>
          </cell>
        </row>
        <row r="470">
          <cell r="B470" t="str">
            <v>W10199</v>
          </cell>
          <cell r="C470" t="str">
            <v>R3</v>
          </cell>
          <cell r="D470" t="str">
            <v>R</v>
          </cell>
          <cell r="E470" t="str">
            <v>H S Hiremath</v>
          </cell>
        </row>
        <row r="471">
          <cell r="B471" t="str">
            <v>W10200</v>
          </cell>
          <cell r="C471" t="str">
            <v>R1</v>
          </cell>
          <cell r="D471" t="str">
            <v>R</v>
          </cell>
          <cell r="E471" t="str">
            <v>Malti Char</v>
          </cell>
        </row>
        <row r="472">
          <cell r="B472" t="str">
            <v>W10201</v>
          </cell>
          <cell r="C472" t="str">
            <v>R1</v>
          </cell>
          <cell r="D472" t="str">
            <v>R</v>
          </cell>
          <cell r="E472" t="str">
            <v>Ashok Gowda</v>
          </cell>
        </row>
        <row r="473">
          <cell r="B473" t="str">
            <v>W10202</v>
          </cell>
          <cell r="C473" t="str">
            <v>R1</v>
          </cell>
          <cell r="D473" t="str">
            <v>R</v>
          </cell>
          <cell r="E473" t="str">
            <v>Siddhartha Health Care Ltd.-Lease-1</v>
          </cell>
        </row>
        <row r="474">
          <cell r="B474" t="str">
            <v>W10203</v>
          </cell>
          <cell r="C474" t="str">
            <v>R1</v>
          </cell>
          <cell r="D474" t="str">
            <v>R</v>
          </cell>
          <cell r="E474" t="str">
            <v>Siddhartha Health Care Ltd-Lease-2</v>
          </cell>
        </row>
        <row r="475">
          <cell r="B475" t="str">
            <v>W10204</v>
          </cell>
          <cell r="C475" t="str">
            <v>R1</v>
          </cell>
          <cell r="D475" t="str">
            <v>R</v>
          </cell>
          <cell r="E475" t="str">
            <v>Quality Care India Ltd</v>
          </cell>
        </row>
        <row r="476">
          <cell r="B476" t="str">
            <v>W10205</v>
          </cell>
          <cell r="C476" t="str">
            <v>R1</v>
          </cell>
          <cell r="D476" t="str">
            <v>R</v>
          </cell>
          <cell r="E476" t="str">
            <v>Trivandrum Scans &amp; Diagnostic Centre</v>
          </cell>
        </row>
        <row r="477">
          <cell r="B477" t="str">
            <v>W10206</v>
          </cell>
          <cell r="C477" t="str">
            <v>R1</v>
          </cell>
          <cell r="D477" t="str">
            <v>R</v>
          </cell>
          <cell r="E477" t="str">
            <v>Sree Janpriya Hospitals (P) ltd.</v>
          </cell>
        </row>
        <row r="478">
          <cell r="B478" t="str">
            <v>W10207</v>
          </cell>
          <cell r="C478" t="str">
            <v>R1</v>
          </cell>
          <cell r="D478" t="str">
            <v>R</v>
          </cell>
          <cell r="E478" t="str">
            <v>Krishna CT Scan centre</v>
          </cell>
        </row>
        <row r="479">
          <cell r="B479" t="str">
            <v>W10208</v>
          </cell>
          <cell r="C479" t="str">
            <v>R1</v>
          </cell>
          <cell r="D479" t="str">
            <v>R</v>
          </cell>
          <cell r="E479" t="str">
            <v>Apporva Radocs Diagnostic Services</v>
          </cell>
        </row>
        <row r="480">
          <cell r="B480" t="str">
            <v>W10209</v>
          </cell>
          <cell r="C480" t="str">
            <v>R1</v>
          </cell>
          <cell r="D480" t="str">
            <v>R</v>
          </cell>
          <cell r="E480" t="str">
            <v>A K Verma</v>
          </cell>
        </row>
        <row r="481">
          <cell r="B481" t="str">
            <v>W10210</v>
          </cell>
          <cell r="C481" t="str">
            <v>R1</v>
          </cell>
          <cell r="D481" t="str">
            <v>R</v>
          </cell>
          <cell r="E481" t="str">
            <v>Kalpana Gupta</v>
          </cell>
        </row>
        <row r="482">
          <cell r="B482" t="str">
            <v>W10211</v>
          </cell>
          <cell r="C482" t="str">
            <v>R1</v>
          </cell>
          <cell r="D482" t="str">
            <v>R</v>
          </cell>
          <cell r="E482" t="str">
            <v>Suman Lata Jaiswal</v>
          </cell>
        </row>
        <row r="483">
          <cell r="B483" t="str">
            <v>W10212</v>
          </cell>
          <cell r="C483" t="str">
            <v>R1</v>
          </cell>
          <cell r="D483" t="str">
            <v>R</v>
          </cell>
          <cell r="E483" t="str">
            <v>Pramod Bharadwaj</v>
          </cell>
        </row>
        <row r="484">
          <cell r="B484" t="str">
            <v>W10213</v>
          </cell>
          <cell r="C484" t="str">
            <v>R1</v>
          </cell>
          <cell r="D484" t="str">
            <v>R</v>
          </cell>
          <cell r="E484" t="str">
            <v>Rajnesh Choubey</v>
          </cell>
        </row>
        <row r="485">
          <cell r="B485" t="str">
            <v>W10214</v>
          </cell>
          <cell r="C485" t="str">
            <v>R1</v>
          </cell>
          <cell r="D485" t="str">
            <v>R</v>
          </cell>
          <cell r="E485" t="str">
            <v>A K Jaiswal</v>
          </cell>
        </row>
        <row r="486">
          <cell r="B486" t="str">
            <v>W10215</v>
          </cell>
          <cell r="C486" t="str">
            <v>R1</v>
          </cell>
          <cell r="D486" t="str">
            <v>R</v>
          </cell>
          <cell r="E486" t="str">
            <v>Darbhanga Diagnostic</v>
          </cell>
        </row>
        <row r="487">
          <cell r="B487" t="str">
            <v>W10216</v>
          </cell>
          <cell r="C487" t="str">
            <v>R1</v>
          </cell>
          <cell r="D487" t="str">
            <v>R</v>
          </cell>
          <cell r="E487" t="str">
            <v>Harikrishnan D I</v>
          </cell>
        </row>
        <row r="488">
          <cell r="B488" t="str">
            <v>W10217</v>
          </cell>
          <cell r="C488" t="str">
            <v>R1</v>
          </cell>
          <cell r="D488" t="str">
            <v>R</v>
          </cell>
          <cell r="E488" t="str">
            <v>Quality Care India ltd.</v>
          </cell>
        </row>
        <row r="489">
          <cell r="B489" t="str">
            <v>W10218</v>
          </cell>
          <cell r="C489" t="str">
            <v>R3</v>
          </cell>
          <cell r="D489" t="str">
            <v>R</v>
          </cell>
          <cell r="E489" t="str">
            <v>Bhatia General Hospital</v>
          </cell>
        </row>
        <row r="490">
          <cell r="B490" t="str">
            <v>W10219</v>
          </cell>
          <cell r="C490" t="str">
            <v>R1</v>
          </cell>
          <cell r="D490" t="str">
            <v>R</v>
          </cell>
          <cell r="E490" t="str">
            <v>A Sreeniwasan</v>
          </cell>
        </row>
        <row r="491">
          <cell r="B491" t="str">
            <v>W10220</v>
          </cell>
          <cell r="C491" t="str">
            <v>R1</v>
          </cell>
          <cell r="D491" t="str">
            <v>R</v>
          </cell>
          <cell r="E491" t="str">
            <v>Arvind Kumar</v>
          </cell>
        </row>
        <row r="492">
          <cell r="B492" t="str">
            <v>W10221</v>
          </cell>
          <cell r="C492" t="str">
            <v>R1</v>
          </cell>
          <cell r="D492" t="str">
            <v>R</v>
          </cell>
          <cell r="E492" t="str">
            <v>Uday Kumar</v>
          </cell>
        </row>
        <row r="493">
          <cell r="B493" t="str">
            <v>W10222</v>
          </cell>
          <cell r="C493" t="str">
            <v>R1</v>
          </cell>
          <cell r="D493" t="str">
            <v>R</v>
          </cell>
          <cell r="E493" t="str">
            <v>Sivakami Gopinath</v>
          </cell>
        </row>
        <row r="494">
          <cell r="B494" t="str">
            <v>W10223</v>
          </cell>
          <cell r="C494" t="str">
            <v>R1</v>
          </cell>
          <cell r="D494" t="str">
            <v>R</v>
          </cell>
          <cell r="E494" t="str">
            <v>BI Jaffrey</v>
          </cell>
        </row>
        <row r="495">
          <cell r="B495" t="str">
            <v>W10224</v>
          </cell>
          <cell r="C495" t="str">
            <v>R1</v>
          </cell>
          <cell r="D495" t="str">
            <v>R</v>
          </cell>
          <cell r="E495" t="str">
            <v>MNRI Scans Pvt. Ltd.</v>
          </cell>
        </row>
        <row r="496">
          <cell r="B496" t="str">
            <v>W10225</v>
          </cell>
          <cell r="C496" t="str">
            <v>R1</v>
          </cell>
          <cell r="D496" t="str">
            <v>R</v>
          </cell>
          <cell r="E496" t="str">
            <v>Lata Devi</v>
          </cell>
        </row>
        <row r="497">
          <cell r="B497" t="str">
            <v>W10226</v>
          </cell>
          <cell r="C497" t="str">
            <v>R1</v>
          </cell>
          <cell r="D497" t="str">
            <v>R</v>
          </cell>
          <cell r="E497" t="str">
            <v>Manasa Medical Centre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Sheet1"/>
      <sheetName val="Sheet2"/>
      <sheetName val="ASSUMPTIONS"/>
      <sheetName val="REPORTS"/>
      <sheetName val="P&amp;L-B.SHEET-RATIOS"/>
      <sheetName val="WORKINGS"/>
      <sheetName val="RUPEE-LOAN"/>
      <sheetName val="INT-WORKS-NEW"/>
      <sheetName val="INT-TL"/>
      <sheetName val="INT-WORKS-OLD"/>
      <sheetName val="SALES-ANAL"/>
      <sheetName val="EXCISE"/>
      <sheetName val="COMM-CSD-EXP"/>
      <sheetName val="I.T."/>
      <sheetName val="SENSITIVITY"/>
      <sheetName val="BUDGET - PL Corp"/>
      <sheetName val="consolidated Budget"/>
    </sheetNames>
    <sheetDataSet>
      <sheetData sheetId="0">
        <row r="2">
          <cell r="A2" t="str">
            <v>BAMBINO AGRO INDUSTRIES LIMITED</v>
          </cell>
        </row>
      </sheetData>
      <sheetData sheetId="1"/>
      <sheetData sheetId="2"/>
      <sheetData sheetId="3">
        <row r="2">
          <cell r="A2" t="str">
            <v>BAMBINO AGRO INDUSTRIES LIMITED</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act_Analysis (2)"/>
      <sheetName val="Contract_Summary (2)"/>
      <sheetName val="Cover"/>
      <sheetName val="Contract_Summary"/>
      <sheetName val="Contract_Analysis"/>
      <sheetName val="Naratives_ by_Contract"/>
      <sheetName val="Contracts per Site"/>
      <sheetName val="A2000FAS"/>
      <sheetName val="A2000"/>
      <sheetName val="B200108"/>
      <sheetName val="B2002manA"/>
      <sheetName val="B2001"/>
      <sheetName val="F200108"/>
      <sheetName val="BC2001"/>
      <sheetName val="FC200108"/>
      <sheetName val="Sold Level"/>
      <sheetName val="F2001man"/>
      <sheetName val="Cum2002"/>
      <sheetName val="B2002man"/>
      <sheetName val="BBid"/>
      <sheetName val="BaltoGo"/>
      <sheetName val="Commentary"/>
      <sheetName val="A200108"/>
      <sheetName val="F2001"/>
      <sheetName val="B2002"/>
      <sheetName val="BC2002"/>
      <sheetName val="Cost Assumptions"/>
      <sheetName val="Deduction of assets"/>
      <sheetName val="party"/>
      <sheetName val="Contract_Analysis_(2)"/>
      <sheetName val="Contract_Summary_(2)"/>
      <sheetName val="Naratives__by_Contract"/>
      <sheetName val="Contracts_per_Site"/>
      <sheetName val="Sold_Level"/>
      <sheetName val="Control"/>
      <sheetName val="405"/>
      <sheetName val="427"/>
      <sheetName val="403"/>
      <sheetName val="Cálculo"/>
      <sheetName val="Fatore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sheetName val="COMP"/>
      <sheetName val="Ack (1)"/>
      <sheetName val="Ack (2)"/>
      <sheetName val="Page1"/>
      <sheetName val="Page2"/>
      <sheetName val="Page3"/>
      <sheetName val="Page4"/>
      <sheetName val="Page5"/>
      <sheetName val="Page6"/>
      <sheetName val="Page7"/>
      <sheetName val="Page8"/>
      <sheetName val="Page9"/>
      <sheetName val="Page10"/>
      <sheetName val="BANK"/>
      <sheetName val="DIRECTORS"/>
      <sheetName val="2266957"/>
      <sheetName val="CY-OS-90-1"/>
      <sheetName val="gl"/>
      <sheetName val="IBA&amp;HP"/>
      <sheetName val="Sheet3"/>
      <sheetName val="tb"/>
      <sheetName val="Deduction of assets"/>
      <sheetName val="B.Sheet &amp; P&amp;L"/>
      <sheetName val="analisis de incrementos"/>
      <sheetName val="proy"/>
      <sheetName val="bandas ene2010"/>
      <sheetName val="Drop_Down Controls"/>
      <sheetName val="Cost Assumptions"/>
      <sheetName val="AEB Snapshot"/>
      <sheetName val="form 1 - 2000 revised- hanil le"/>
      <sheetName val="Lead"/>
      <sheetName val="Links"/>
      <sheetName val="CSG Listing"/>
      <sheetName val="Contract_Analysis"/>
      <sheetName val="Aseet1998"/>
      <sheetName val="Total Haryana POs AMC Sheet 3%"/>
      <sheetName val="delhi 03-04AMC @ 3%"/>
      <sheetName val="itemsdetails"/>
      <sheetName val="BSHEET"/>
      <sheetName val="Makro1"/>
      <sheetName val="Sheet4"/>
      <sheetName val="Data"/>
      <sheetName val="Telval"/>
      <sheetName val="FURNI"/>
      <sheetName val="Ack_(1)"/>
      <sheetName val="Ack_(2)"/>
      <sheetName val="DSLP"/>
      <sheetName val="Push Diag on Premise"/>
      <sheetName val="CChannel Attract Input"/>
      <sheetName val="FStratPlan"/>
      <sheetName val="Filling Line Detail"/>
      <sheetName val="CDIMAG"/>
      <sheetName val="Demand Points"/>
      <sheetName val="MRC to ML conversion"/>
      <sheetName val="Plants"/>
      <sheetName val="NN"/>
      <sheetName val="15"/>
      <sheetName val="3CD"/>
      <sheetName val="for challans"/>
      <sheetName val="Income"/>
      <sheetName val="BSCS"/>
      <sheetName val="Balance"/>
      <sheetName val="Historic Income"/>
      <sheetName val="Holders"/>
      <sheetName val="Royalty"/>
      <sheetName val="MASTER_LIST"/>
      <sheetName val="FORM-16"/>
      <sheetName val="Deduction_of_assets"/>
      <sheetName val="Lookups"/>
      <sheetName val="공장별판관비배부"/>
      <sheetName val="COST1_12FINAL"/>
      <sheetName val="Sens"/>
      <sheetName val="GENERAL"/>
      <sheetName val="DDT_TDS_TCS"/>
      <sheetName val="NATUREOFBUSINESS"/>
      <sheetName val="GENERAL2"/>
      <sheetName val="SUBSIDIARY DETAILS"/>
      <sheetName val="PART_C"/>
      <sheetName val="Assumptions"/>
      <sheetName val="Annex_A1-A28"/>
      <sheetName val="Bal_Sheet-00"/>
      <sheetName val="Sched's-00"/>
      <sheetName val="ALLOY"/>
      <sheetName val="SETNO"/>
      <sheetName val="TIME"/>
      <sheetName val="REGION"/>
      <sheetName val="INTRO"/>
      <sheetName val="Platform"/>
      <sheetName val="Software"/>
      <sheetName val="Header"/>
      <sheetName val="PriceList"/>
      <sheetName val="Data2"/>
      <sheetName val="Revisions"/>
      <sheetName val="Hardware"/>
      <sheetName val="SVC_table"/>
      <sheetName val="Service"/>
      <sheetName val="Assum SG&amp;A-ROW"/>
      <sheetName val="Assumptions IRMG"/>
      <sheetName val="Assumptions US-Rev"/>
      <sheetName val="Q2 YTD OG Sales Analysis"/>
      <sheetName val="Sheet1"/>
      <sheetName val="Article"/>
      <sheetName val="CUMAA"/>
      <sheetName val="AN_Input"/>
      <sheetName val="AMEX"/>
      <sheetName val="Input"/>
      <sheetName val="Janus"/>
      <sheetName val="JHF"/>
      <sheetName val="Lincoln"/>
      <sheetName val="ML"/>
      <sheetName val="MS"/>
      <sheetName val="Prudential"/>
      <sheetName val="Schwab"/>
      <sheetName val="TRowe"/>
      <sheetName val="Waddell"/>
      <sheetName val="gvl"/>
      <sheetName val="MS Parameters"/>
      <sheetName val="MS Inc"/>
      <sheetName val="FINANCIALS"/>
      <sheetName val="YTD"/>
      <sheetName val="DVC Allocation 2017"/>
      <sheetName val="Summary"/>
      <sheetName val="party"/>
      <sheetName val="S e p"/>
      <sheetName val="M a r"/>
      <sheetName val="M a y"/>
      <sheetName val="J u l"/>
      <sheetName val="A p r"/>
      <sheetName val="A u g"/>
      <sheetName val="O c t"/>
      <sheetName val="J u n"/>
      <sheetName val="N o v"/>
      <sheetName val="F e b"/>
      <sheetName val="J a n"/>
      <sheetName val="00 received in 01"/>
      <sheetName val="Main"/>
      <sheetName val="Summary by Verticals,Probabilit"/>
      <sheetName val="Cover"/>
      <sheetName val="CUSTOMER STRATEGIES"/>
      <sheetName val="CustOrg"/>
      <sheetName val="末残計画(四半期ベース)"/>
      <sheetName val="ﾏﾁｭﾘﾃｨﾗﾀﾞｰ（月次ベース）"/>
      <sheetName val="ﾏﾁｭﾘﾃｨﾗﾀﾞｰ（四半期ベース）"/>
      <sheetName val="Introduction"/>
      <sheetName val="IDC macro"/>
      <sheetName val="STRENGTH"/>
      <sheetName val="FEES STRUCTURE"/>
      <sheetName val="P&amp;L"/>
      <sheetName val="PRE-SCHOOL"/>
      <sheetName val="DAY CARE"/>
      <sheetName val="CONSOLIDATED"/>
      <sheetName val="BEP SUMMARY"/>
      <sheetName val="BEP CALCULATION"/>
      <sheetName val="PS+DC+BUS MASTER"/>
      <sheetName val="PROFIT RECO APRIL AND JUNE"/>
      <sheetName val="신규DEP"/>
      <sheetName val="Help"/>
      <sheetName val="rent paid details"/>
      <sheetName val="Additions"/>
      <sheetName val="#REF"/>
      <sheetName val="Cons Balance Sheet"/>
      <sheetName val="Cons P&amp;L"/>
      <sheetName val="CCTV(old)"/>
      <sheetName val="ACS(1)"/>
      <sheetName val="FAS-C(4)"/>
      <sheetName val="関係会社貸付金データ"/>
      <sheetName val="FT-05-02IsoBOM"/>
      <sheetName val="april2005"/>
      <sheetName val="ｸﾞﾗﾌﾃﾞｰﾀ"/>
      <sheetName val="MOHALI - I"/>
      <sheetName val="TOANSA"/>
      <sheetName val="MOHALI - II"/>
      <sheetName val="DREXPJUL"/>
      <sheetName val="JUN KPI-C (Bris)"/>
      <sheetName val="INSUR05-06"/>
      <sheetName val="Lookup"/>
      <sheetName val="_REF"/>
      <sheetName val="Original Andrew___Data"/>
      <sheetName val="Consolidation schedules"/>
      <sheetName val="Schede di consolidamento"/>
      <sheetName val="Ack_(1)1"/>
      <sheetName val="Ack_(2)1"/>
      <sheetName val="Drop_Down_Controls"/>
      <sheetName val="Deduction_of_assets1"/>
      <sheetName val="B_Sheet_&amp;_P&amp;L"/>
      <sheetName val="analisis_de_incrementos"/>
      <sheetName val="bandas_ene2010"/>
      <sheetName val="Total_Haryana_POs_AMC_Sheet_3%"/>
      <sheetName val="delhi_03-04AMC_@_3%"/>
      <sheetName val="form_1_-_2000_revised-_hanil_le"/>
      <sheetName val="Push_Diag_on_Premise"/>
      <sheetName val="CChannel_Attract_Input"/>
      <sheetName val="Filling_Line_Detail"/>
      <sheetName val="Demand_Points"/>
      <sheetName val="MRC_to_ML_conversion"/>
      <sheetName val="CSG_Listing"/>
      <sheetName val="AEB_Snapshot"/>
      <sheetName val="Assum_SG&amp;A-ROW"/>
      <sheetName val="Assumptions_IRMG"/>
      <sheetName val="Assumptions_US-Rev"/>
      <sheetName val="Q2_YTD_OG_Sales_Analysis"/>
      <sheetName val="for_challans"/>
      <sheetName val="Cost_Assumptions"/>
      <sheetName val="SUBSIDIARY_DETAILS"/>
      <sheetName val="MS_Parameters"/>
      <sheetName val="MS_Inc"/>
      <sheetName val="Historic_Income"/>
      <sheetName val="Summary_by_Verticals,Probabilit"/>
      <sheetName val="Ack_(1)2"/>
      <sheetName val="Ack_(2)2"/>
      <sheetName val="Drop_Down_Controls1"/>
      <sheetName val="Deduction_of_assets2"/>
      <sheetName val="B_Sheet_&amp;_P&amp;L1"/>
      <sheetName val="analisis_de_incrementos1"/>
      <sheetName val="bandas_ene20101"/>
      <sheetName val="Total_Haryana_POs_AMC_Sheet_3%1"/>
      <sheetName val="delhi_03-04AMC_@_3%1"/>
      <sheetName val="form_1_-_2000_revised-_hanil_l1"/>
      <sheetName val="Push_Diag_on_Premise1"/>
      <sheetName val="CChannel_Attract_Input1"/>
      <sheetName val="Filling_Line_Detail1"/>
      <sheetName val="Demand_Points1"/>
      <sheetName val="MRC_to_ML_conversion1"/>
      <sheetName val="CSG_Listing1"/>
      <sheetName val="AEB_Snapshot1"/>
      <sheetName val="Assum_SG&amp;A-ROW1"/>
      <sheetName val="Assumptions_IRMG1"/>
      <sheetName val="Assumptions_US-Rev1"/>
      <sheetName val="Q2_YTD_OG_Sales_Analysis1"/>
      <sheetName val="for_challans1"/>
      <sheetName val="Cost_Assumptions1"/>
      <sheetName val="SUBSIDIARY_DETAILS1"/>
      <sheetName val="MS_Parameters1"/>
      <sheetName val="MS_Inc1"/>
      <sheetName val="Historic_Income1"/>
      <sheetName val="Summary_by_Verticals,Probabili1"/>
      <sheetName val="Consolidation_schedules"/>
      <sheetName val="Schede_di_consolidamento"/>
      <sheetName val="CUSTOMER_STRATEGIES"/>
      <sheetName val="DVC_Allocation_2017"/>
      <sheetName val="S_e_p"/>
      <sheetName val="M_a_r"/>
      <sheetName val="M_a_y"/>
      <sheetName val="J_u_l"/>
      <sheetName val="A_p_r"/>
      <sheetName val="A_u_g"/>
      <sheetName val="O_c_t"/>
      <sheetName val="J_u_n"/>
      <sheetName val="N_o_v"/>
      <sheetName val="F_e_b"/>
      <sheetName val="J_a_n"/>
      <sheetName val="00_received_in_01"/>
      <sheetName val="FEES_STRUCTURE"/>
      <sheetName val="DAY_CARE"/>
      <sheetName val="BEP_SUMMARY"/>
      <sheetName val="BEP_CALCULATION"/>
      <sheetName val="PS+DC+BUS_MASTER"/>
      <sheetName val="PROFIT_RECO_APRIL_AND_JUNE"/>
      <sheetName val="IDC_macro"/>
      <sheetName val="rent_paid_details"/>
      <sheetName val="BS"/>
      <sheetName val="schedules"/>
      <sheetName val="BS-2005"/>
      <sheetName val="TRIAL BALANCE"/>
      <sheetName val="Cash Flow"/>
      <sheetName val="Source"/>
      <sheetName val="detail'02"/>
      <sheetName val="#REF!"/>
      <sheetName val="B2B summary"/>
      <sheetName val="TB30.04.06 (2)"/>
      <sheetName val="Bal"/>
      <sheetName val="PROJECTIONS"/>
      <sheetName val="BALANCE SHEET"/>
      <sheetName val="Adm97"/>
      <sheetName val="Annexure-I"/>
      <sheetName val="Challan"/>
      <sheetName val="Form"/>
      <sheetName val="Rollup"/>
      <sheetName val="REPORT"/>
      <sheetName val="Master-Final"/>
      <sheetName val="Info on Rupee Cost"/>
      <sheetName val="Annexures"/>
      <sheetName val="Appendix to Annexure III"/>
      <sheetName val="MEMOIT"/>
      <sheetName val="BS &amp; P&amp;L"/>
      <sheetName val="BS01"/>
      <sheetName val="DPIN KEY"/>
      <sheetName val="Tables"/>
      <sheetName val="FA TB 28-2-2006"/>
      <sheetName val="Net Sales Dump"/>
      <sheetName val="sch"/>
      <sheetName val="SA10 (2)"/>
      <sheetName val="Price Testing - Used - 1"/>
      <sheetName val="Cover "/>
      <sheetName val="summery-FINAL"/>
      <sheetName val="References"/>
      <sheetName val="FA 2010-2011 FINAL"/>
      <sheetName val="@Report Control"/>
      <sheetName val="Detail In Door Stad"/>
      <sheetName val="Sheet2"/>
      <sheetName val="Ref"/>
      <sheetName val="P&amp;M assets &gt; 7 lakh"/>
      <sheetName val="LOB_prodn"/>
      <sheetName val="COA-IPCL"/>
      <sheetName val="Anantpura"/>
      <sheetName val="Animala"/>
      <sheetName val="Greenko Bagewadi"/>
      <sheetName val="Belum"/>
      <sheetName val="Devarahipparigi"/>
      <sheetName val="Devagarh"/>
      <sheetName val="Dwarakamai"/>
      <sheetName val="Fortune Five"/>
      <sheetName val="Greenko Energy Ventures"/>
      <sheetName val="Guttaseema"/>
      <sheetName val="Greenko Infra"/>
      <sheetName val="Kanhur"/>
      <sheetName val="Mangalore"/>
      <sheetName val="Matrix"/>
      <sheetName val="Ratnagiri"/>
      <sheetName val="Rayalaseema"/>
      <sheetName val="Sai Puram"/>
      <sheetName val="Greenko Solar"/>
      <sheetName val="Tanot"/>
      <sheetName val="Vayuputra"/>
      <sheetName val="Vyshali"/>
      <sheetName val="Design"/>
      <sheetName val="BD- Specific Reserve"/>
      <sheetName val="ANALY"/>
      <sheetName val="XREF"/>
      <sheetName val="Macrow"/>
      <sheetName val="Bal_Gr"/>
      <sheetName val="Final Data"/>
      <sheetName val="Adjustments"/>
      <sheetName val="Assumption"/>
      <sheetName val="NOTE 2"/>
      <sheetName val="PEDESB"/>
      <sheetName val="Eingabe"/>
      <sheetName val="P1"/>
      <sheetName val="ING"/>
      <sheetName val="PL"/>
      <sheetName val="Cash flow statement"/>
      <sheetName val="Share Capital "/>
      <sheetName val="BS schedule"/>
      <sheetName val="PL schedule"/>
      <sheetName val="TB FY 18-19"/>
      <sheetName val="Depreciation schedule"/>
      <sheetName val="Memo-17-18"/>
      <sheetName val="Depreciation as per IT Act"/>
      <sheetName val="Note-27-RPD"/>
      <sheetName val="CARO Disqualification "/>
      <sheetName val="Note-28-Actuarial valuation"/>
      <sheetName val="Disallowance"/>
      <sheetName val="DTA DTL computation"/>
      <sheetName val="Closing stock"/>
      <sheetName val="Trial Balance-17-18"/>
      <sheetName val="Audit entries"/>
      <sheetName val="TB-16-17"/>
      <sheetName val="Controls"/>
      <sheetName val="Pool details"/>
      <sheetName val="Index"/>
      <sheetName val="Retail"/>
      <sheetName val="casella-violin"/>
      <sheetName val="Control"/>
      <sheetName val="HR"/>
      <sheetName val="Forex"/>
      <sheetName val="%"/>
      <sheetName val="Inputs"/>
      <sheetName val="OS Scenarios"/>
      <sheetName val="Software JV"/>
      <sheetName val="Overheads"/>
      <sheetName val="P&amp;L00-01(old) "/>
      <sheetName val="Overview"/>
      <sheetName val="List of Rem Entries"/>
      <sheetName val="Masters"/>
      <sheetName val="A01"/>
      <sheetName val="J$SETT (2)"/>
      <sheetName val="CHD Tables"/>
      <sheetName val="TSegDetails"/>
      <sheetName val="TMasterConsUnit"/>
      <sheetName val="RowConfig"/>
      <sheetName val="TMasterSeg"/>
      <sheetName val="Push_Diag_on_Premise2"/>
      <sheetName val="CChannel_Attract_Input2"/>
      <sheetName val="Filling_Line_Detail2"/>
      <sheetName val="Demand_Points2"/>
      <sheetName val="MRC_to_ML_conversion2"/>
      <sheetName val="form_1_-_2000_revised-_hanil_l2"/>
      <sheetName val="K 2.1"/>
      <sheetName val="DVC_Allocation_20171"/>
      <sheetName val="S_e_p1"/>
      <sheetName val="M_a_r1"/>
      <sheetName val="M_a_y1"/>
      <sheetName val="J_u_l1"/>
      <sheetName val="A_p_r1"/>
      <sheetName val="A_u_g1"/>
      <sheetName val="O_c_t1"/>
      <sheetName val="J_u_n1"/>
      <sheetName val="N_o_v1"/>
      <sheetName val="F_e_b1"/>
      <sheetName val="J_a_n1"/>
      <sheetName val="00_received_in_011"/>
      <sheetName val="CUSTOMER_STRATEGIES1"/>
      <sheetName val="Original_Andrew___Data"/>
      <sheetName val="TRIAL_BALANCE"/>
      <sheetName val="Cash_Flow"/>
      <sheetName val="Segment wise Rev"/>
      <sheetName val="bal sheet rs"/>
      <sheetName val="spares"/>
      <sheetName val="Reverse input"/>
      <sheetName val="SCHE-MARCH'04"/>
      <sheetName val="11-FX rates"/>
      <sheetName val="Exceptions"/>
      <sheetName val="Overheads01"/>
      <sheetName val="Positionen"/>
      <sheetName val="agrolist"/>
      <sheetName val="EMPMAST"/>
      <sheetName val="Main Cash Flow"/>
      <sheetName val="Advt-99"/>
      <sheetName val="Medical-99"/>
      <sheetName val="Rent -99"/>
      <sheetName val="Recruitment (ksd)"/>
      <sheetName val="Phone-99"/>
      <sheetName val="Typewriter-99"/>
      <sheetName val="Water &amp; Elec-99"/>
      <sheetName val="Insurance -99"/>
      <sheetName val="Comm_paid-99"/>
      <sheetName val="FAX &amp; E-Mail -99"/>
      <sheetName val="Investments"/>
      <sheetName val="DAILY"/>
      <sheetName val="Master"/>
      <sheetName val="BS Schld"/>
      <sheetName val="Ack_(1)3"/>
      <sheetName val="Ack_(2)3"/>
      <sheetName val="Drop_Down_Controls2"/>
      <sheetName val="Deduction_of_assets3"/>
      <sheetName val="B_Sheet_&amp;_P&amp;L2"/>
      <sheetName val="analisis_de_incrementos2"/>
      <sheetName val="bandas_ene20102"/>
      <sheetName val="AEB_Snapshot2"/>
      <sheetName val="CSG_Listing2"/>
      <sheetName val="Total_Haryana_POs_AMC_Sheet_3%2"/>
      <sheetName val="delhi_03-04AMC_@_3%2"/>
      <sheetName val="MS_Parameters2"/>
      <sheetName val="MS_Inc2"/>
      <sheetName val="Assum_SG&amp;A-ROW2"/>
      <sheetName val="Assumptions_IRMG2"/>
      <sheetName val="Assumptions_US-Rev2"/>
      <sheetName val="Q2_YTD_OG_Sales_Analysis2"/>
      <sheetName val="for_challans2"/>
      <sheetName val="CUSTOMER_STRATEGIES2"/>
      <sheetName val="SUBSIDIARY_DETAILS2"/>
      <sheetName val="Cost_Assumptions2"/>
      <sheetName val="Historic_Income2"/>
      <sheetName val="S_e_p2"/>
      <sheetName val="M_a_r2"/>
      <sheetName val="M_a_y2"/>
      <sheetName val="J_u_l2"/>
      <sheetName val="A_p_r2"/>
      <sheetName val="A_u_g2"/>
      <sheetName val="O_c_t2"/>
      <sheetName val="J_u_n2"/>
      <sheetName val="N_o_v2"/>
      <sheetName val="F_e_b2"/>
      <sheetName val="J_a_n2"/>
      <sheetName val="00_received_in_012"/>
      <sheetName val="rent_paid_details1"/>
      <sheetName val="Cons_Balance_Sheet"/>
      <sheetName val="Cons_P&amp;L"/>
      <sheetName val="DVC_Allocation_20172"/>
      <sheetName val="Summary_by_Verticals,Probabili2"/>
      <sheetName val="FEES_STRUCTURE1"/>
      <sheetName val="DAY_CARE1"/>
      <sheetName val="BEP_SUMMARY1"/>
      <sheetName val="BEP_CALCULATION1"/>
      <sheetName val="PS+DC+BUS_MASTER1"/>
      <sheetName val="PROFIT_RECO_APRIL_AND_JUNE1"/>
      <sheetName val="MOHALI_-_I"/>
      <sheetName val="MOHALI_-_II"/>
      <sheetName val="IDC_macro1"/>
      <sheetName val="JUN_KPI-C_(Bris)"/>
      <sheetName val="Original_Andrew___Data1"/>
      <sheetName val="Consolidation_schedules1"/>
      <sheetName val="Schede_di_consolidamento1"/>
      <sheetName val="TRIAL_BALANCE1"/>
      <sheetName val="Cash_Flow1"/>
      <sheetName val="B2B_summary"/>
      <sheetName val="TB30_04_06_(2)"/>
      <sheetName val="BALANCE_SHEET"/>
      <sheetName val="Info_on_Rupee_Cost"/>
      <sheetName val="Appendix_to_Annexure_III"/>
      <sheetName val="BS_&amp;_P&amp;L"/>
      <sheetName val="DPIN_KEY"/>
      <sheetName val="FA_TB_28-2-2006"/>
      <sheetName val="Net_Sales_Dump"/>
      <sheetName val="SA10_(2)"/>
      <sheetName val="Price_Testing_-_Used_-_1"/>
      <sheetName val="Cover_"/>
      <sheetName val="FA_2010-2011_FINAL"/>
      <sheetName val="@Report_Control"/>
      <sheetName val="Detail_In_Door_Stad"/>
      <sheetName val="P&amp;M_assets_&gt;_7_lakh"/>
      <sheetName val="Greenko_Bagewadi"/>
      <sheetName val="Fortune_Five"/>
      <sheetName val="Greenko_Energy_Ventures"/>
      <sheetName val="Greenko_Infra"/>
      <sheetName val="Sai_Puram"/>
      <sheetName val="Greenko_Solar"/>
      <sheetName val="BD-_Specific_Reserve"/>
      <sheetName val="Final_Data"/>
      <sheetName val="NOTE_2"/>
      <sheetName val="Cash_flow_statement"/>
      <sheetName val="Share_Capital_"/>
      <sheetName val="BS_schedule"/>
      <sheetName val="PL_schedule"/>
      <sheetName val="TB_FY_18-19"/>
      <sheetName val="Depreciation_schedule"/>
      <sheetName val="Depreciation_as_per_IT_Act"/>
      <sheetName val="CARO_Disqualification_"/>
      <sheetName val="Note-28-Actuarial_valuation"/>
      <sheetName val="DTA_DTL_computation"/>
      <sheetName val="Closing_stock"/>
      <sheetName val="Trial_Balance-17-18"/>
      <sheetName val="Audit_entries"/>
      <sheetName val="Pool_details"/>
      <sheetName val="OS_Scenarios"/>
      <sheetName val="Software_JV"/>
      <sheetName val="P&amp;L00-01(old)_"/>
      <sheetName val="List_of_Rem_Entries"/>
      <sheetName val="J$SETT_(2)"/>
      <sheetName val="CHD_Tables"/>
      <sheetName val="Segment_wise_Rev"/>
      <sheetName val="11-FX_rates"/>
    </sheetNames>
    <sheetDataSet>
      <sheetData sheetId="0"/>
      <sheetData sheetId="1"/>
      <sheetData sheetId="2"/>
      <sheetData sheetId="3">
        <row r="48">
          <cell r="F48">
            <v>340</v>
          </cell>
        </row>
      </sheetData>
      <sheetData sheetId="4">
        <row r="48">
          <cell r="F48">
            <v>340</v>
          </cell>
        </row>
      </sheetData>
      <sheetData sheetId="5">
        <row r="48">
          <cell r="F48">
            <v>340</v>
          </cell>
        </row>
      </sheetData>
      <sheetData sheetId="6">
        <row r="48">
          <cell r="F48">
            <v>340</v>
          </cell>
        </row>
      </sheetData>
      <sheetData sheetId="7">
        <row r="48">
          <cell r="F48">
            <v>340</v>
          </cell>
        </row>
      </sheetData>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row r="48">
          <cell r="F48">
            <v>340</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rofit &amp; Loss"/>
      <sheetName val="BS Schld"/>
      <sheetName val="FA schld"/>
      <sheetName val="Sheet3"/>
      <sheetName val="Bal sheet Grps"/>
      <sheetName val="party"/>
      <sheetName val="Dec"/>
      <sheetName val="MF Request-GW"/>
      <sheetName val="FedTaxEdit"/>
      <sheetName val="TB BS"/>
      <sheetName val="TB P&amp;L"/>
      <sheetName val="Required Outstanding Balance"/>
      <sheetName val="Directors"/>
    </sheetNames>
    <sheetDataSet>
      <sheetData sheetId="0"/>
      <sheetData sheetId="1"/>
      <sheetData sheetId="2" refreshError="1">
        <row r="74">
          <cell r="H74">
            <v>2507998930</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orate"/>
      <sheetName val="Delhi"/>
      <sheetName val="Chennai"/>
      <sheetName val="Mumbai"/>
      <sheetName val="Bangalore"/>
      <sheetName val="Salary(2002)"/>
      <sheetName val="Salary(2003)"/>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Accounts</v>
          </cell>
          <cell r="B2" t="str">
            <v>MGMT &amp; ACCTS</v>
          </cell>
        </row>
        <row r="3">
          <cell r="A3" t="str">
            <v>EDP</v>
          </cell>
          <cell r="B3" t="str">
            <v>MGMT &amp; ACCTS</v>
          </cell>
        </row>
        <row r="4">
          <cell r="A4" t="str">
            <v>HR</v>
          </cell>
          <cell r="B4" t="str">
            <v>MGMT &amp; ACCTS</v>
          </cell>
        </row>
        <row r="5">
          <cell r="A5" t="str">
            <v>Management</v>
          </cell>
          <cell r="B5" t="str">
            <v>MGMT &amp; ACCTS</v>
          </cell>
        </row>
        <row r="6">
          <cell r="A6" t="str">
            <v>Air Export</v>
          </cell>
          <cell r="B6" t="str">
            <v>OPERATIONS</v>
          </cell>
        </row>
        <row r="7">
          <cell r="A7" t="str">
            <v>Air Import</v>
          </cell>
          <cell r="B7" t="str">
            <v>OPERATIONS</v>
          </cell>
        </row>
        <row r="8">
          <cell r="A8" t="str">
            <v>C&amp;F</v>
          </cell>
          <cell r="B8" t="str">
            <v>OPERATIONS</v>
          </cell>
        </row>
        <row r="9">
          <cell r="A9" t="str">
            <v>Sea Export</v>
          </cell>
          <cell r="B9" t="str">
            <v>OPERATIONS</v>
          </cell>
        </row>
        <row r="10">
          <cell r="A10" t="str">
            <v>Sea Import</v>
          </cell>
          <cell r="B10" t="str">
            <v>OPERATIONS</v>
          </cell>
        </row>
        <row r="11">
          <cell r="A11" t="str">
            <v>SALES &amp; MKTG.</v>
          </cell>
          <cell r="B11" t="str">
            <v>SALES &amp; MKTG.</v>
          </cell>
        </row>
        <row r="16">
          <cell r="F16" t="str">
            <v xml:space="preserve">BASIC </v>
          </cell>
          <cell r="G16" t="str">
            <v>Salary full time</v>
          </cell>
        </row>
        <row r="17">
          <cell r="F17" t="str">
            <v>HRA</v>
          </cell>
          <cell r="G17" t="str">
            <v>Salary full time</v>
          </cell>
        </row>
        <row r="18">
          <cell r="F18" t="str">
            <v>MEDICAL</v>
          </cell>
          <cell r="G18" t="str">
            <v>Fringe Benefits</v>
          </cell>
        </row>
        <row r="19">
          <cell r="F19" t="str">
            <v>LTA</v>
          </cell>
          <cell r="G19" t="str">
            <v>Fringe Benefits</v>
          </cell>
        </row>
        <row r="20">
          <cell r="F20" t="str">
            <v>COVEYANCE REIMBURSEMENT</v>
          </cell>
          <cell r="G20" t="str">
            <v>Salary full time</v>
          </cell>
        </row>
        <row r="21">
          <cell r="F21" t="str">
            <v>BOOKS &amp; PERIODICALS</v>
          </cell>
          <cell r="G21" t="str">
            <v>Amenities to Employees</v>
          </cell>
        </row>
        <row r="22">
          <cell r="F22" t="str">
            <v>TELEPHONE RESIDENCE</v>
          </cell>
          <cell r="G22" t="str">
            <v>Amenities to Employees</v>
          </cell>
        </row>
        <row r="23">
          <cell r="F23" t="str">
            <v>ENTERTAINMENT</v>
          </cell>
          <cell r="G23" t="str">
            <v>Amenities to Employees</v>
          </cell>
        </row>
        <row r="24">
          <cell r="F24" t="str">
            <v>CAR &amp; DRIVER ACTUAL</v>
          </cell>
          <cell r="G24" t="str">
            <v>Amenities to Employees</v>
          </cell>
        </row>
        <row r="25">
          <cell r="F25" t="str">
            <v>PETROL EXPENCES</v>
          </cell>
          <cell r="G25" t="str">
            <v>Amenities to Employees</v>
          </cell>
        </row>
        <row r="26">
          <cell r="F26" t="str">
            <v>OTHERS</v>
          </cell>
          <cell r="G26" t="str">
            <v>Amenities to Employees</v>
          </cell>
        </row>
        <row r="27">
          <cell r="F27" t="str">
            <v>PF PER MONTH, including Admin Charges</v>
          </cell>
          <cell r="G27" t="str">
            <v>Social Securities</v>
          </cell>
        </row>
        <row r="28">
          <cell r="F28" t="str">
            <v>BONUS PER MONTH</v>
          </cell>
          <cell r="G28" t="str">
            <v>Bonus</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commissions"/>
      <sheetName val="pellet"/>
      <sheetName val="ASICS"/>
      <sheetName val="1999"/>
      <sheetName val="Implied"/>
      <sheetName val="Infra"/>
      <sheetName val="Tran Mat."/>
      <sheetName val="ASICS_Sum"/>
      <sheetName val="BS Schld"/>
      <sheetName val="Comp equip"/>
      <sheetName val="Cum"/>
      <sheetName val="Tables"/>
      <sheetName val="Instructions"/>
      <sheetName val="Vol &amp; Assumpt"/>
      <sheetName val="Tran Mat_"/>
      <sheetName val="MAPPING-Mnth"/>
      <sheetName val="P&amp;L"/>
      <sheetName val="FDR-Jan-99 "/>
      <sheetName val="ASS_PP98"/>
      <sheetName val="Fixed asset register"/>
      <sheetName val="XREF"/>
      <sheetName val="MAT"/>
      <sheetName val="Colt IO"/>
      <sheetName val="Annexure-I"/>
      <sheetName val="SFA WORKSHEET"/>
      <sheetName val="BALANCE SHEET"/>
      <sheetName val="new summary"/>
      <sheetName val="MSSL-Presentation, Action, Note"/>
      <sheetName val="Stock"/>
      <sheetName val="old_serial_no_"/>
      <sheetName val="Calc"/>
      <sheetName val="A0744339"/>
      <sheetName val="list"/>
      <sheetName val="DF"/>
      <sheetName val="Balance Sheet "/>
      <sheetName val="ALL-IBANK-BRS"/>
      <sheetName val="TB 10-10 Adjusted"/>
      <sheetName val="new_main_20K"/>
      <sheetName val="old_serial_no_1"/>
      <sheetName val="Tran_Mat_"/>
      <sheetName val="Tran_Mat_1"/>
      <sheetName val="BS_Schld"/>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NOVEMBER SWAMY ORG-I"/>
      <sheetName val="Sheet2"/>
      <sheetName val="BS"/>
      <sheetName val="DATA"/>
      <sheetName val="AFL"/>
      <sheetName val="CIPL"/>
      <sheetName val="IPL"/>
      <sheetName val="OPL"/>
      <sheetName val="RSL"/>
      <sheetName val="SIPL"/>
      <sheetName val="FDR-Jan-99_"/>
      <sheetName val="TB BS"/>
      <sheetName val="TB P&amp;L"/>
      <sheetName val="April"/>
      <sheetName val="Cons"/>
      <sheetName val="Exchange"/>
      <sheetName val="Inc. Stat from Tral balance"/>
      <sheetName val="PL grp"/>
      <sheetName val="kpmg format"/>
      <sheetName val="cash flow"/>
      <sheetName val="collns"/>
      <sheetName val="OCT"/>
      <sheetName val="BS Groupings"/>
      <sheetName val="August"/>
      <sheetName val="July"/>
      <sheetName val="November"/>
      <sheetName val="Data Sheet for Funding Req"/>
      <sheetName val="Cover"/>
      <sheetName val="CUSTOMER STRATEGIES"/>
      <sheetName val="CustOrg"/>
      <sheetName val="Vari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PL Groupings"/>
      <sheetName val="Basic Details"/>
      <sheetName val="基PLBS"/>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TRIAL BALANCE"/>
      <sheetName val="Form16"/>
      <sheetName val="Summary (without Bonus)"/>
      <sheetName val="Resumo 99"/>
      <sheetName val="ARG-2+10"/>
      <sheetName val="BRZ-2+10"/>
      <sheetName val="HQ-2+10"/>
      <sheetName val="LAC-Bud"/>
      <sheetName val="LAC-2+10"/>
      <sheetName val="MEX-2+10"/>
      <sheetName val="Cntmrs-Recruit"/>
      <sheetName val="DURGESH"/>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Year1"/>
      <sheetName val="fORMULAE"/>
      <sheetName val="Assump"/>
      <sheetName val="Drop_Down Controls"/>
      <sheetName val="Lead"/>
      <sheetName val="Criteria"/>
      <sheetName val="ICGSIP"/>
      <sheetName val="Name"/>
      <sheetName val="BT DB"/>
      <sheetName val="DR4 DB"/>
      <sheetName val="Misc. Master"/>
      <sheetName val="S80-MP"/>
      <sheetName val="Balance Sheet - Deloitte Format"/>
      <sheetName val="Annex - 8"/>
      <sheetName val="Input Sheet"/>
      <sheetName val="MISC"/>
      <sheetName val="ASO"/>
      <sheetName val="FI"/>
      <sheetName val="Mapping"/>
      <sheetName val="Design"/>
      <sheetName val="Directors"/>
      <sheetName val="Comp"/>
      <sheetName val="old_serial_no_2"/>
      <sheetName val="old_serial_no_3"/>
      <sheetName val="Tran_Mat_2"/>
      <sheetName val="Tran_Mat_3"/>
      <sheetName val="BS_Schld1"/>
      <sheetName val="Balance_Sheet_1"/>
      <sheetName val="Colt_IO1"/>
      <sheetName val="FDR-Jan-99_1"/>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Deduction of assets"/>
      <sheetName val="BS Schdl- 1 &amp; 2"/>
      <sheetName val="Makro1"/>
      <sheetName val="Summary_(without_Bonus)"/>
      <sheetName val="Fixed_asset_register"/>
      <sheetName val="Data_Sheet_for_Funding_Req"/>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mp_equip"/>
      <sheetName val="SFA_WORKSHEET"/>
      <sheetName val="BALANCE_SHEET"/>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Cust Master"/>
      <sheetName val="Product Lookups"/>
      <sheetName val="p &amp;l stpwise dec03"/>
      <sheetName val="NOVEMBER_SWAMY_ORG-I"/>
      <sheetName val="XNOR_DM"/>
      <sheetName val="BS_Groupings"/>
      <sheetName val="1__Lead"/>
      <sheetName val="Cost_of_Services"/>
      <sheetName val="Income_Statement"/>
      <sheetName val="Shareholders'_Equity"/>
      <sheetName val="Grant_Ranges"/>
      <sheetName val="fin_stmts_5Yr_Model_Format"/>
      <sheetName val="Equity_Movement_(Shares)"/>
      <sheetName val="Resumo_99"/>
      <sheetName val="Actual_Input"/>
      <sheetName val="Bus_Mgmt"/>
      <sheetName val="Disruptive_"/>
      <sheetName val="PL_Groupings"/>
      <sheetName val="Basic_Details"/>
      <sheetName val="Trave."/>
      <sheetName val="CRITERIA1"/>
      <sheetName val="DSO APOD 0307"/>
      <sheetName val="DSO June 2007 23 07 07"/>
      <sheetName val="Approval Matrix"/>
      <sheetName val="EX RATE"/>
      <sheetName val="op bal mepz"/>
      <sheetName val="Tax Computation"/>
      <sheetName val="for challans"/>
      <sheetName val="Office Furniture- client"/>
      <sheetName val="Office Equipment-client"/>
      <sheetName val="Leasehold imp A30"/>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Annex_A1-A28"/>
      <sheetName val="Bal_Sheet-00"/>
      <sheetName val="Sched's-00"/>
      <sheetName val="9124"/>
      <sheetName val="ITEM-LIST"/>
      <sheetName val="Codes"/>
      <sheetName val="IS Mo"/>
      <sheetName val="Fiscal View"/>
      <sheetName val="Other assumptions"/>
      <sheetName val="Companycode"/>
      <sheetName val="AJE"/>
      <sheetName val="FA TB 28-2-2006"/>
      <sheetName val="ASPACSum"/>
      <sheetName val="EMEASum"/>
      <sheetName val="JapanSum"/>
      <sheetName val="LatamSum"/>
      <sheetName val="NASum"/>
      <sheetName val="UndefRegSum"/>
      <sheetName val="Sales &amp; Revenue &amp; Sked"/>
      <sheetName val="PROV FOR TAX(TCS Form)"/>
      <sheetName val="H"/>
      <sheetName val="14"/>
      <sheetName val="Yearl analysis "/>
      <sheetName val="qtr"/>
      <sheetName val="Dec 2018"/>
      <sheetName val="BIr P&amp;L Sep 2018"/>
      <sheetName val="Comp P&amp;L Sep"/>
      <sheetName val="birSep 2017"/>
      <sheetName val="Com Sep 2017"/>
      <sheetName val="salessum"/>
      <sheetName val="FORM-16"/>
      <sheetName val="SPS DETAIL"/>
      <sheetName val="钻井(调整)"/>
      <sheetName val="MASTER"/>
      <sheetName val="PARAMS"/>
      <sheetName val="expired"/>
      <sheetName val="ESI &amp; PF DELHI"/>
      <sheetName val="FA TopSheet"/>
      <sheetName val="Debit bal circularised"/>
      <sheetName val="Comp_equip3"/>
      <sheetName val="Vol_&amp;_Assumpt3"/>
      <sheetName val="Data_Sheet_for_Funding_Req3"/>
      <sheetName val="TB_BS3"/>
      <sheetName val="TB_P&amp;L3"/>
      <sheetName val="Inc__Stat_from_Tral_balance3"/>
      <sheetName val="PL_grp3"/>
      <sheetName val="kpmg_format3"/>
      <sheetName val="cash_flow3"/>
      <sheetName val="BS_Groupings3"/>
      <sheetName val="Fixed_asset_register3"/>
      <sheetName val="CO_FORMS3"/>
      <sheetName val="WNS_NA_31_03_043"/>
      <sheetName val="WNS_UK_31_03_043"/>
      <sheetName val="PRODUCTION_DATA3"/>
      <sheetName val="INV_COST3"/>
      <sheetName val="MATERIAL_AC3"/>
      <sheetName val="FOR_VARIANCE_CALC_3"/>
      <sheetName val="VARIANCE_SUMMARY3"/>
      <sheetName val="SFA_WORKSHEET3"/>
      <sheetName val="BALANCE_SHEET3"/>
      <sheetName val="new_summary3"/>
      <sheetName val="MSSL-Presentation,_Action,_Not3"/>
      <sheetName val="TB_10-10_Adjusted3"/>
      <sheetName val="1__Lead3"/>
      <sheetName val="Cost_of_Services3"/>
      <sheetName val="Income_Statement3"/>
      <sheetName val="Shareholders'_Equity3"/>
      <sheetName val="Grant_Ranges3"/>
      <sheetName val="fin_stmts_5Yr_Model_Format3"/>
      <sheetName val="Equity_Movement_(Shares)3"/>
      <sheetName val="CUSTOMER_STRATEGIES3"/>
      <sheetName val="NOVEMBER_SWAMY_ORG-I3"/>
      <sheetName val="PL_Groupings3"/>
      <sheetName val="Basic_Details3"/>
      <sheetName val="PROFIT_&amp;_LOSS_PLANNING3"/>
      <sheetName val="Investment_Planning3"/>
      <sheetName val="Breakdown_of_Expenses_3"/>
      <sheetName val="FLYLEAF_PLANNING3"/>
      <sheetName val="XNOR_DM3"/>
      <sheetName val="Resumo_993"/>
      <sheetName val="Actual_Input3"/>
      <sheetName val="Bus_Mgmt3"/>
      <sheetName val="Disruptive_3"/>
      <sheetName val="PROFIT_&amp;_LOSS_PLANNING"/>
      <sheetName val="Investment_Planning"/>
      <sheetName val="Breakdown_of_Expenses_"/>
      <sheetName val="FLYLEAF_PLANNING"/>
      <sheetName val="Data_Sheet_for_Funding_Req1"/>
      <sheetName val="TB_BS1"/>
      <sheetName val="TB_P&amp;L1"/>
      <sheetName val="Inc__Stat_from_Tral_balance1"/>
      <sheetName val="PL_grp1"/>
      <sheetName val="kpmg_format1"/>
      <sheetName val="cash_flow1"/>
      <sheetName val="BS_Groupings1"/>
      <sheetName val="SFA_WORKSHEET1"/>
      <sheetName val="BALANCE_SHEET1"/>
      <sheetName val="new_summary1"/>
      <sheetName val="MSSL-Presentation,_Action,_Not1"/>
      <sheetName val="TB_10-10_Adjusted1"/>
      <sheetName val="1__Lead1"/>
      <sheetName val="Cost_of_Services1"/>
      <sheetName val="Income_Statement1"/>
      <sheetName val="Shareholders'_Equity1"/>
      <sheetName val="Grant_Ranges1"/>
      <sheetName val="fin_stmts_5Yr_Model_Format1"/>
      <sheetName val="Equity_Movement_(Shares)1"/>
      <sheetName val="CUSTOMER_STRATEGIES1"/>
      <sheetName val="PL_Groupings1"/>
      <sheetName val="Basic_Details1"/>
      <sheetName val="PROFIT_&amp;_LOSS_PLANNING1"/>
      <sheetName val="Investment_Planning1"/>
      <sheetName val="Breakdown_of_Expenses_1"/>
      <sheetName val="FLYLEAF_PLANNING1"/>
      <sheetName val="XNOR_DM1"/>
      <sheetName val="Resumo_991"/>
      <sheetName val="Actual_Input1"/>
      <sheetName val="Bus_Mgmt1"/>
      <sheetName val="Disruptive_1"/>
      <sheetName val="Comp_equip2"/>
      <sheetName val="Vol_&amp;_Assumpt2"/>
      <sheetName val="Data_Sheet_for_Funding_Req2"/>
      <sheetName val="TB_BS2"/>
      <sheetName val="TB_P&amp;L2"/>
      <sheetName val="Inc__Stat_from_Tral_balance2"/>
      <sheetName val="PL_grp2"/>
      <sheetName val="kpmg_format2"/>
      <sheetName val="cash_flow2"/>
      <sheetName val="BS_Groupings2"/>
      <sheetName val="Fixed_asset_register2"/>
      <sheetName val="CO_FORMS2"/>
      <sheetName val="WNS_NA_31_03_042"/>
      <sheetName val="WNS_UK_31_03_042"/>
      <sheetName val="PRODUCTION_DATA2"/>
      <sheetName val="INV_COST2"/>
      <sheetName val="MATERIAL_AC2"/>
      <sheetName val="FOR_VARIANCE_CALC_2"/>
      <sheetName val="VARIANCE_SUMMARY2"/>
      <sheetName val="SFA_WORKSHEET2"/>
      <sheetName val="BALANCE_SHEET2"/>
      <sheetName val="new_summary2"/>
      <sheetName val="MSSL-Presentation,_Action,_Not2"/>
      <sheetName val="TB_10-10_Adjusted2"/>
      <sheetName val="1__Lead2"/>
      <sheetName val="Cost_of_Services2"/>
      <sheetName val="Income_Statement2"/>
      <sheetName val="Shareholders'_Equity2"/>
      <sheetName val="Grant_Ranges2"/>
      <sheetName val="fin_stmts_5Yr_Model_Format2"/>
      <sheetName val="Equity_Movement_(Shares)2"/>
      <sheetName val="CUSTOMER_STRATEGIES2"/>
      <sheetName val="NOVEMBER_SWAMY_ORG-I2"/>
      <sheetName val="PL_Groupings2"/>
      <sheetName val="Basic_Details2"/>
      <sheetName val="PROFIT_&amp;_LOSS_PLANNING2"/>
      <sheetName val="Investment_Planning2"/>
      <sheetName val="Breakdown_of_Expenses_2"/>
      <sheetName val="FLYLEAF_PLANNING2"/>
      <sheetName val="XNOR_DM2"/>
      <sheetName val="Resumo_992"/>
      <sheetName val="Actual_Input2"/>
      <sheetName val="Bus_Mgmt2"/>
      <sheetName val="Disruptive_2"/>
      <sheetName val="ModelVEstimate"/>
      <sheetName val="Summary_(without_Bonus)1"/>
      <sheetName val="Summary_(without_Bonus)2"/>
      <sheetName val="Monthly"/>
      <sheetName val="FRECEFECBAILEYS"/>
      <sheetName val="Front"/>
      <sheetName val="Grouping"/>
      <sheetName val="MSU"/>
      <sheetName val="POWER-DEPT"/>
      <sheetName val="2266957"/>
      <sheetName val="Masters"/>
      <sheetName val="Dep"/>
      <sheetName val="P &amp; L"/>
      <sheetName val="Exp"/>
      <sheetName val="Old Salary structure"/>
      <sheetName val="9.Parameters&amp;Notes"/>
      <sheetName val="Sch1-2"/>
      <sheetName val="TRIAL_BALANCE"/>
      <sheetName val="p_&amp;l_stpwise_dec03"/>
      <sheetName val="BT_DB"/>
      <sheetName val="DR4_DB"/>
      <sheetName val="Annex_-_8"/>
      <sheetName val="old_serial_no_11"/>
      <sheetName val="old_serial_no_12"/>
      <sheetName val="Tran_Mat_10"/>
      <sheetName val="BS_Schld5"/>
      <sheetName val="FDR-Jan-99_5"/>
      <sheetName val="Colt_IO5"/>
      <sheetName val="Balance_Sheet_5"/>
      <sheetName val="Tran_Mat_11"/>
      <sheetName val="Drop_Down_Controls1"/>
      <sheetName val="Balance_Sheet_-_Deloitte_Forma1"/>
      <sheetName val="TRIAL_BALANCE1"/>
      <sheetName val="p_&amp;l_stpwise_dec031"/>
      <sheetName val="BT_DB1"/>
      <sheetName val="DR4_DB1"/>
      <sheetName val="Annex_-_81"/>
      <sheetName val="Input_Sheet"/>
      <sheetName val="Deduction_of_assets"/>
      <sheetName val="BS_Schdl-_1_&amp;_2"/>
      <sheetName val="IS_Mo"/>
      <sheetName val="Fiscal_View"/>
      <sheetName val="Other_assumptions"/>
      <sheetName val="Cust_Master"/>
      <sheetName val="Product_Lookups"/>
      <sheetName val="FA_TB_28-2-2006"/>
      <sheetName val="Sales_&amp;_Revenue_&amp;_Sked"/>
      <sheetName val="DSO_APOD_0307"/>
      <sheetName val="DSO_June_2007_23_07_07"/>
      <sheetName val="Approval_Matrix"/>
      <sheetName val="EX_RATE"/>
      <sheetName val="Tax_Computation"/>
      <sheetName val="for_challans"/>
      <sheetName val="Office_Furniture-_client"/>
      <sheetName val="Office_Equipment-client"/>
      <sheetName val="Leasehold_imp_A30"/>
      <sheetName val="Yearl_analysis_"/>
      <sheetName val="Dec_2018"/>
      <sheetName val="BIr_P&amp;L_Sep_2018"/>
      <sheetName val="Comp_P&amp;L_Sep"/>
      <sheetName val="birSep_2017"/>
      <sheetName val="Com_Sep_2017"/>
      <sheetName val="LE-FTE-Nos"/>
      <sheetName val="ASKJInput"/>
      <sheetName val="bs BP 04 SA"/>
      <sheetName val="Container Cost Assumptions"/>
      <sheetName val="Cont Cost Var by Month (SII)"/>
      <sheetName val="BOE"/>
      <sheetName val="Links"/>
      <sheetName val="Profitandloss"/>
      <sheetName val="FG030701 gm1007"/>
      <sheetName val="CLAY"/>
      <sheetName val="AP-2.1"/>
      <sheetName val="SCHDGRP"/>
      <sheetName val="Consolidated"/>
      <sheetName val="MV lease finance charges"/>
      <sheetName val="Summary"/>
      <sheetName val="Invoice From FY14"/>
      <sheetName val="Project Master"/>
      <sheetName val="Sheet4"/>
      <sheetName val="TLSTLNCDCP"/>
      <sheetName val="SalaryData"/>
      <sheetName val="Index"/>
      <sheetName val="Collection"/>
      <sheetName val="AOC-4"/>
      <sheetName val="Instruction Sheet"/>
      <sheetName val="Basic Info Sheet"/>
      <sheetName val="PL"/>
      <sheetName val="Cashflow"/>
      <sheetName val="Policies 1"/>
      <sheetName val="Note 2-11"/>
      <sheetName val="BS-Groupings"/>
      <sheetName val="Note 12"/>
      <sheetName val="Notes 13-20"/>
      <sheetName val="Notes 21"/>
      <sheetName val="Note 22-29"/>
      <sheetName val="PL-Groupings"/>
      <sheetName val="Audit Entries"/>
      <sheetName val="IT Computation 2017-18"/>
      <sheetName val="Deffered Tax"/>
      <sheetName val="Depn IT Act"/>
      <sheetName val="Trial Balance 17-18"/>
      <sheetName val="Strt Archi"/>
      <sheetName val="avg salaries"/>
      <sheetName val="TOANSA"/>
      <sheetName val="MOHALI - II"/>
      <sheetName val="DEWAS"/>
      <sheetName val="MOHALI - I"/>
      <sheetName val="Defn"/>
      <sheetName val="Database"/>
      <sheetName val="Detail Grouping"/>
      <sheetName val="scj99"/>
      <sheetName val="invtdec99_5-2_00"/>
      <sheetName val="ActualsSum"/>
      <sheetName val="ACC2001"/>
      <sheetName val="2005 Ytd Actual"/>
      <sheetName val="admin costs q"/>
      <sheetName val="advisors"/>
      <sheetName val="2005 Budget"/>
      <sheetName val="actis acts"/>
      <sheetName val="insurance"/>
      <sheetName val="knowledge"/>
      <sheetName val="marketing and pr"/>
      <sheetName val="interest and other income"/>
      <sheetName val="other staff related"/>
      <sheetName val="premises"/>
      <sheetName val="prof fees"/>
      <sheetName val="technology expenses"/>
      <sheetName val="training &amp; conf"/>
      <sheetName val="consolidated p&amp;l"/>
      <sheetName val="travel"/>
      <sheetName val="Cash Flow Working"/>
      <sheetName val="P&amp;LSum"/>
      <sheetName val="Table 5"/>
      <sheetName val="Detail P&amp;L"/>
      <sheetName val="Assumption Sheet"/>
      <sheetName val="AR Graphs"/>
      <sheetName val="15-21"/>
      <sheetName val="August TB"/>
      <sheetName val="Old"/>
      <sheetName val="Staff Forecast spread"/>
      <sheetName val="Detail"/>
      <sheetName val="IDCCALHYD-GOO"/>
      <sheetName val="공장별판관비배부"/>
      <sheetName val="Other"/>
      <sheetName val="共機計算"/>
      <sheetName val="共機J"/>
      <sheetName val="YTD"/>
      <sheetName val="COMMRY"/>
      <sheetName val="SALARY REGISTER"/>
      <sheetName val="BANK FILE"/>
      <sheetName val="SALARY REGISTER (2)"/>
      <sheetName val="Year 2"/>
      <sheetName val="old_serial_no_13"/>
      <sheetName val="old_serial_no_14"/>
      <sheetName val="FDR-Jan-99_6"/>
      <sheetName val="Tran_Mat_12"/>
      <sheetName val="BS_Schld6"/>
      <sheetName val="Tran_Mat_13"/>
      <sheetName val="Colt_IO6"/>
      <sheetName val="Balance_Sheet_6"/>
      <sheetName val="DSO_APOD_03071"/>
      <sheetName val="DSO_June_2007_23_07_071"/>
      <sheetName val="Approval_Matrix1"/>
      <sheetName val="Deduction_of_assets1"/>
      <sheetName val="EX_RATE1"/>
      <sheetName val="Drop_Down_Controls2"/>
      <sheetName val="Tax_Computation1"/>
      <sheetName val="for_challans1"/>
      <sheetName val="Office_Furniture-_client1"/>
      <sheetName val="Office_Equipment-client1"/>
      <sheetName val="Leasehold_imp_A301"/>
      <sheetName val="Balance_Sheet_-_Deloitte_Forma2"/>
      <sheetName val="Input_Sheet1"/>
      <sheetName val="Title"/>
      <sheetName val="APR"/>
      <sheetName val="AUG"/>
      <sheetName val="JUNE"/>
      <sheetName val="MAY"/>
      <sheetName val="SEP"/>
      <sheetName val="RC 261"/>
      <sheetName val="CF"/>
      <sheetName val="Comp_equip4"/>
      <sheetName val="SFA_WORKSHEET4"/>
      <sheetName val="BALANCE_SHEET4"/>
      <sheetName val="Fixed_asset_register4"/>
      <sheetName val="Vol_&amp;_Assumpt4"/>
      <sheetName val="new_summary4"/>
      <sheetName val="MSSL-Presentation,_Action,_Not4"/>
      <sheetName val="TB_BS4"/>
      <sheetName val="TB_P&amp;L4"/>
      <sheetName val="CUSTOMER_STRATEGIES4"/>
      <sheetName val="Data_Sheet_for_Funding_Req4"/>
      <sheetName val="PL_grp4"/>
      <sheetName val="kpmg_format4"/>
      <sheetName val="cash_flow4"/>
      <sheetName val="TB_10-10_Adjusted4"/>
      <sheetName val="Inc__Stat_from_Tral_balance4"/>
      <sheetName val="BS_Groupings4"/>
      <sheetName val="XNOR_DM4"/>
      <sheetName val="CO_FORMS4"/>
      <sheetName val="WNS_NA_31_03_044"/>
      <sheetName val="WNS_UK_31_03_044"/>
      <sheetName val="PRODUCTION_DATA4"/>
      <sheetName val="INV_COST4"/>
      <sheetName val="MATERIAL_AC4"/>
      <sheetName val="FOR_VARIANCE_CALC_4"/>
      <sheetName val="VARIANCE_SUMMARY4"/>
      <sheetName val="1__Lead4"/>
      <sheetName val="Cost_of_Services4"/>
      <sheetName val="Income_Statement4"/>
      <sheetName val="Shareholders'_Equity4"/>
      <sheetName val="Grant_Ranges4"/>
      <sheetName val="fin_stmts_5Yr_Model_Format4"/>
      <sheetName val="Equity_Movement_(Shares)4"/>
      <sheetName val="Actual_Input4"/>
      <sheetName val="Bus_Mgmt4"/>
      <sheetName val="Disruptive_4"/>
      <sheetName val="PL_Groupings4"/>
      <sheetName val="Basic_Details4"/>
      <sheetName val="NOVEMBER_SWAMY_ORG-I4"/>
      <sheetName val="TRIAL_BALANCE2"/>
      <sheetName val="PROFIT_&amp;_LOSS_PLANNING4"/>
      <sheetName val="Investment_Planning4"/>
      <sheetName val="Breakdown_of_Expenses_4"/>
      <sheetName val="FLYLEAF_PLANNING4"/>
      <sheetName val="Resumo_994"/>
      <sheetName val="BT_DB2"/>
      <sheetName val="DR4_DB2"/>
      <sheetName val="Annex_-_82"/>
      <sheetName val="Cust_Master1"/>
      <sheetName val="Product_Lookups1"/>
      <sheetName val="p_&amp;l_stpwise_dec032"/>
      <sheetName val="Misc__Master"/>
      <sheetName val="FA_TopSheet"/>
      <sheetName val="BS_Schdl-_1_&amp;_21"/>
      <sheetName val="FA_TB_28-2-20061"/>
      <sheetName val="Debit_bal_circularised"/>
      <sheetName val="IS_Mo1"/>
      <sheetName val="Fiscal_View1"/>
      <sheetName val="Other_assumptions1"/>
      <sheetName val="Sales_&amp;_Revenue_&amp;_Sked1"/>
      <sheetName val="Yearl_analysis_1"/>
      <sheetName val="Dec_20181"/>
      <sheetName val="BIr_P&amp;L_Sep_20181"/>
      <sheetName val="Comp_P&amp;L_Sep1"/>
      <sheetName val="birSep_20171"/>
      <sheetName val="Com_Sep_20171"/>
      <sheetName val="Trave_"/>
      <sheetName val="op_bal_mepz"/>
      <sheetName val="glsrpt129909e"/>
      <sheetName val="INCOME"/>
      <sheetName val="Standing_Data"/>
      <sheetName val="Instruction_Sheet"/>
      <sheetName val="Basic_Info_Sheet"/>
      <sheetName val="Policies_1"/>
      <sheetName val="Note_2-11"/>
      <sheetName val="Note_12"/>
      <sheetName val="Notes_13-20"/>
      <sheetName val="Notes_21"/>
      <sheetName val="Note_22-29"/>
      <sheetName val="Audit_Entries"/>
      <sheetName val="IT_Computation_2017-18"/>
      <sheetName val="Deffered_Tax"/>
      <sheetName val="Depn_IT_Act"/>
      <sheetName val="Trial_Balance_17-18"/>
      <sheetName val="HFK"/>
      <sheetName val="JSK"/>
      <sheetName val="Trial Bal 310306 (2)"/>
      <sheetName val="final sheet "/>
    </sheetNames>
    <sheetDataSet>
      <sheetData sheetId="0" refreshError="1">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ow r="1">
          <cell r="A1" t="str">
            <v>Main number</v>
          </cell>
        </row>
      </sheetData>
      <sheetData sheetId="175">
        <row r="1">
          <cell r="A1" t="str">
            <v>Main number</v>
          </cell>
        </row>
      </sheetData>
      <sheetData sheetId="176" refreshError="1"/>
      <sheetData sheetId="177" refreshError="1"/>
      <sheetData sheetId="178" refreshError="1"/>
      <sheetData sheetId="179" refreshError="1"/>
      <sheetData sheetId="180" refreshError="1"/>
      <sheetData sheetId="181" refreshError="1"/>
      <sheetData sheetId="182" refreshError="1"/>
      <sheetData sheetId="183">
        <row r="1">
          <cell r="A1" t="str">
            <v>Main number</v>
          </cell>
        </row>
      </sheetData>
      <sheetData sheetId="184">
        <row r="1">
          <cell r="A1" t="str">
            <v>Main number</v>
          </cell>
        </row>
      </sheetData>
      <sheetData sheetId="185">
        <row r="1">
          <cell r="A1" t="str">
            <v>Main number</v>
          </cell>
        </row>
      </sheetData>
      <sheetData sheetId="186">
        <row r="1">
          <cell r="A1" t="str">
            <v>Main number</v>
          </cell>
        </row>
      </sheetData>
      <sheetData sheetId="187">
        <row r="1">
          <cell r="A1" t="str">
            <v>Main number</v>
          </cell>
        </row>
      </sheetData>
      <sheetData sheetId="188">
        <row r="1">
          <cell r="A1" t="str">
            <v>Main number</v>
          </cell>
        </row>
      </sheetData>
      <sheetData sheetId="189">
        <row r="1">
          <cell r="A1" t="str">
            <v>Main number</v>
          </cell>
        </row>
      </sheetData>
      <sheetData sheetId="190">
        <row r="1">
          <cell r="A1" t="str">
            <v>Main number</v>
          </cell>
        </row>
      </sheetData>
      <sheetData sheetId="191">
        <row r="1">
          <cell r="A1" t="str">
            <v>Main number</v>
          </cell>
        </row>
      </sheetData>
      <sheetData sheetId="192">
        <row r="1">
          <cell r="A1" t="str">
            <v>Main number</v>
          </cell>
        </row>
      </sheetData>
      <sheetData sheetId="193">
        <row r="1">
          <cell r="A1" t="str">
            <v>Main number</v>
          </cell>
        </row>
      </sheetData>
      <sheetData sheetId="194">
        <row r="1">
          <cell r="A1" t="str">
            <v>Main number</v>
          </cell>
        </row>
      </sheetData>
      <sheetData sheetId="195">
        <row r="1">
          <cell r="A1" t="str">
            <v>Main number</v>
          </cell>
        </row>
      </sheetData>
      <sheetData sheetId="196">
        <row r="1">
          <cell r="A1" t="str">
            <v>Main number</v>
          </cell>
        </row>
      </sheetData>
      <sheetData sheetId="197">
        <row r="1">
          <cell r="A1" t="str">
            <v>Main number</v>
          </cell>
        </row>
      </sheetData>
      <sheetData sheetId="198">
        <row r="1">
          <cell r="A1" t="str">
            <v>Main number</v>
          </cell>
        </row>
      </sheetData>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1">
          <cell r="A1" t="str">
            <v>Main number</v>
          </cell>
        </row>
      </sheetData>
      <sheetData sheetId="235">
        <row r="1">
          <cell r="A1" t="str">
            <v>Main number</v>
          </cell>
        </row>
      </sheetData>
      <sheetData sheetId="236">
        <row r="1">
          <cell r="A1" t="str">
            <v>Main number</v>
          </cell>
        </row>
      </sheetData>
      <sheetData sheetId="237">
        <row r="1">
          <cell r="A1" t="str">
            <v>Main number</v>
          </cell>
        </row>
      </sheetData>
      <sheetData sheetId="238">
        <row r="1">
          <cell r="A1" t="str">
            <v>Main number</v>
          </cell>
        </row>
      </sheetData>
      <sheetData sheetId="239">
        <row r="1">
          <cell r="A1" t="str">
            <v>Main number</v>
          </cell>
        </row>
      </sheetData>
      <sheetData sheetId="240">
        <row r="1">
          <cell r="A1" t="str">
            <v>Main number</v>
          </cell>
        </row>
      </sheetData>
      <sheetData sheetId="241">
        <row r="1">
          <cell r="A1" t="str">
            <v>Main number</v>
          </cell>
        </row>
      </sheetData>
      <sheetData sheetId="242">
        <row r="1">
          <cell r="A1" t="str">
            <v>Main number</v>
          </cell>
        </row>
      </sheetData>
      <sheetData sheetId="243">
        <row r="1">
          <cell r="A1" t="str">
            <v>Main number</v>
          </cell>
        </row>
      </sheetData>
      <sheetData sheetId="244">
        <row r="1">
          <cell r="A1" t="str">
            <v>Main number</v>
          </cell>
        </row>
      </sheetData>
      <sheetData sheetId="245">
        <row r="1">
          <cell r="A1" t="str">
            <v>Main number</v>
          </cell>
        </row>
      </sheetData>
      <sheetData sheetId="246">
        <row r="1">
          <cell r="A1" t="str">
            <v>Main number</v>
          </cell>
        </row>
      </sheetData>
      <sheetData sheetId="247">
        <row r="1">
          <cell r="A1" t="str">
            <v>Main number</v>
          </cell>
        </row>
      </sheetData>
      <sheetData sheetId="248">
        <row r="1">
          <cell r="A1" t="str">
            <v>Main number</v>
          </cell>
        </row>
      </sheetData>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ow r="1">
          <cell r="A1" t="str">
            <v>Main number</v>
          </cell>
        </row>
      </sheetData>
      <sheetData sheetId="262">
        <row r="1">
          <cell r="A1" t="str">
            <v>Main number</v>
          </cell>
        </row>
      </sheetData>
      <sheetData sheetId="263">
        <row r="1">
          <cell r="A1" t="str">
            <v>Main number</v>
          </cell>
        </row>
      </sheetData>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ow r="1">
          <cell r="B1">
            <v>0</v>
          </cell>
        </row>
      </sheetData>
      <sheetData sheetId="296">
        <row r="1">
          <cell r="B1">
            <v>0</v>
          </cell>
        </row>
      </sheetData>
      <sheetData sheetId="297"/>
      <sheetData sheetId="298"/>
      <sheetData sheetId="299"/>
      <sheetData sheetId="300">
        <row r="1">
          <cell r="B1">
            <v>0</v>
          </cell>
        </row>
      </sheetData>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ow r="1">
          <cell r="A1" t="str">
            <v>Main number</v>
          </cell>
        </row>
      </sheetData>
      <sheetData sheetId="313"/>
      <sheetData sheetId="314"/>
      <sheetData sheetId="315">
        <row r="1">
          <cell r="A1" t="str">
            <v>Main number</v>
          </cell>
        </row>
      </sheetData>
      <sheetData sheetId="316"/>
      <sheetData sheetId="317">
        <row r="1">
          <cell r="A1" t="str">
            <v>Main number</v>
          </cell>
        </row>
      </sheetData>
      <sheetData sheetId="318">
        <row r="1">
          <cell r="A1" t="str">
            <v>Main number</v>
          </cell>
        </row>
      </sheetData>
      <sheetData sheetId="319">
        <row r="1">
          <cell r="A1" t="str">
            <v>Main number</v>
          </cell>
        </row>
      </sheetData>
      <sheetData sheetId="320">
        <row r="1">
          <cell r="A1" t="str">
            <v>Main number</v>
          </cell>
        </row>
      </sheetData>
      <sheetData sheetId="321"/>
      <sheetData sheetId="322"/>
      <sheetData sheetId="323"/>
      <sheetData sheetId="324"/>
      <sheetData sheetId="325">
        <row r="1">
          <cell r="A1" t="str">
            <v>Main number</v>
          </cell>
        </row>
      </sheetData>
      <sheetData sheetId="326">
        <row r="1">
          <cell r="A1" t="str">
            <v>Main number</v>
          </cell>
        </row>
      </sheetData>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row r="1">
          <cell r="A1" t="str">
            <v>Main number</v>
          </cell>
        </row>
      </sheetData>
      <sheetData sheetId="344"/>
      <sheetData sheetId="345">
        <row r="1">
          <cell r="A1" t="str">
            <v>Main number</v>
          </cell>
        </row>
      </sheetData>
      <sheetData sheetId="346"/>
      <sheetData sheetId="347">
        <row r="1">
          <cell r="A1" t="str">
            <v>Main number</v>
          </cell>
        </row>
      </sheetData>
      <sheetData sheetId="348"/>
      <sheetData sheetId="349">
        <row r="1">
          <cell r="A1" t="str">
            <v>Main number</v>
          </cell>
        </row>
      </sheetData>
      <sheetData sheetId="350"/>
      <sheetData sheetId="351"/>
      <sheetData sheetId="352">
        <row r="1">
          <cell r="A1" t="str">
            <v>Main number</v>
          </cell>
        </row>
      </sheetData>
      <sheetData sheetId="353"/>
      <sheetData sheetId="354">
        <row r="1">
          <cell r="A1" t="str">
            <v>Main number</v>
          </cell>
        </row>
      </sheetData>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ow r="1">
          <cell r="A1" t="str">
            <v>Main number</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ow r="1">
          <cell r="A1" t="str">
            <v>Main number</v>
          </cell>
        </row>
      </sheetData>
      <sheetData sheetId="388"/>
      <sheetData sheetId="389"/>
      <sheetData sheetId="390"/>
      <sheetData sheetId="391">
        <row r="1">
          <cell r="A1" t="str">
            <v>Main number</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ow r="1">
          <cell r="A1" t="str">
            <v>Main number</v>
          </cell>
        </row>
      </sheetData>
      <sheetData sheetId="406">
        <row r="1">
          <cell r="A1" t="str">
            <v>Main number</v>
          </cell>
        </row>
      </sheetData>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ow r="1">
          <cell r="A1" t="str">
            <v>Main number</v>
          </cell>
        </row>
      </sheetData>
      <sheetData sheetId="426"/>
      <sheetData sheetId="427"/>
      <sheetData sheetId="428"/>
      <sheetData sheetId="429">
        <row r="1">
          <cell r="A1" t="str">
            <v>Main number</v>
          </cell>
        </row>
      </sheetData>
      <sheetData sheetId="430"/>
      <sheetData sheetId="431"/>
      <sheetData sheetId="432"/>
      <sheetData sheetId="433"/>
      <sheetData sheetId="434"/>
      <sheetData sheetId="435"/>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ow r="1">
          <cell r="A1" t="str">
            <v>Main number</v>
          </cell>
        </row>
      </sheetData>
      <sheetData sheetId="454"/>
      <sheetData sheetId="455"/>
      <sheetData sheetId="456">
        <row r="1">
          <cell r="A1" t="str">
            <v>Main number</v>
          </cell>
        </row>
      </sheetData>
      <sheetData sheetId="457"/>
      <sheetData sheetId="458">
        <row r="1">
          <cell r="A1" t="str">
            <v>Main number</v>
          </cell>
        </row>
      </sheetData>
      <sheetData sheetId="459">
        <row r="1">
          <cell r="A1" t="str">
            <v>Main number</v>
          </cell>
        </row>
      </sheetData>
      <sheetData sheetId="460"/>
      <sheetData sheetId="461"/>
      <sheetData sheetId="462"/>
      <sheetData sheetId="463">
        <row r="1">
          <cell r="A1" t="str">
            <v>Main number</v>
          </cell>
        </row>
      </sheetData>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ow r="2">
          <cell r="A2" t="str">
            <v>USD</v>
          </cell>
        </row>
      </sheetData>
      <sheetData sheetId="513"/>
      <sheetData sheetId="514"/>
      <sheetData sheetId="515"/>
      <sheetData sheetId="516" refreshError="1"/>
      <sheetData sheetId="517" refreshError="1"/>
      <sheetData sheetId="518" refreshError="1"/>
      <sheetData sheetId="519" refreshError="1"/>
      <sheetData sheetId="520">
        <row r="2">
          <cell r="B2" t="str">
            <v>AOC - 4 Format for Balance sheet</v>
          </cell>
        </row>
      </sheetData>
      <sheetData sheetId="521">
        <row r="2">
          <cell r="B2" t="str">
            <v>AOC - 4 Format for Balance sheet</v>
          </cell>
        </row>
      </sheetData>
      <sheetData sheetId="522">
        <row r="2">
          <cell r="B2" t="str">
            <v>AOC - 4 Format for Balance sheet</v>
          </cell>
        </row>
      </sheetData>
      <sheetData sheetId="523"/>
      <sheetData sheetId="524">
        <row r="2">
          <cell r="B2" t="str">
            <v>AOC - 4 Format for Balance sheet</v>
          </cell>
        </row>
      </sheetData>
      <sheetData sheetId="525"/>
      <sheetData sheetId="526"/>
      <sheetData sheetId="527"/>
      <sheetData sheetId="528"/>
      <sheetData sheetId="529"/>
      <sheetData sheetId="530"/>
      <sheetData sheetId="531"/>
      <sheetData sheetId="532"/>
      <sheetData sheetId="533">
        <row r="2">
          <cell r="B2" t="str">
            <v>AOC - 4 Format for Balance sheet</v>
          </cell>
        </row>
      </sheetData>
      <sheetData sheetId="534"/>
      <sheetData sheetId="535">
        <row r="2">
          <cell r="B2" t="str">
            <v>AOC - 4 Format for Balance sheet</v>
          </cell>
        </row>
      </sheetData>
      <sheetData sheetId="536"/>
      <sheetData sheetId="537">
        <row r="2">
          <cell r="B2" t="str">
            <v>AOC - 4 Format for Balance sheet</v>
          </cell>
        </row>
      </sheetData>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ow r="1">
          <cell r="A1" t="str">
            <v>PAYDATE</v>
          </cell>
        </row>
      </sheetData>
      <sheetData sheetId="586"/>
      <sheetData sheetId="587"/>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ow r="2">
          <cell r="B2" t="str">
            <v>AOC - 4 Format for Balance sheet</v>
          </cell>
        </row>
      </sheetData>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Page"/>
      <sheetName val="DR"/>
      <sheetName val="DR-Anx"/>
      <sheetName val="AR"/>
      <sheetName val="CARO"/>
      <sheetName val="CAROApp"/>
      <sheetName val="BS"/>
      <sheetName val="PL"/>
      <sheetName val="FundFlow"/>
      <sheetName val="Instructions"/>
      <sheetName val="BSSch"/>
      <sheetName val="FASch"/>
      <sheetName val="PLSch"/>
      <sheetName val="Notes"/>
      <sheetName val="PartIV"/>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IT"/>
      <sheetName val="Mas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3">
          <cell r="C3" t="str">
            <v>Portalplayer (India) Private Limited</v>
          </cell>
        </row>
        <row r="4">
          <cell r="C4" t="str">
            <v>Plot No:249, Prashasan Nagar,Road No:72, Jubilee Hills,Hyderabad-500 034.</v>
          </cell>
        </row>
        <row r="7">
          <cell r="C7" t="str">
            <v>Private Limited Company</v>
          </cell>
        </row>
        <row r="11">
          <cell r="C11" t="str">
            <v>AABCP7418F</v>
          </cell>
        </row>
        <row r="16">
          <cell r="C16" t="str">
            <v>Partner</v>
          </cell>
        </row>
        <row r="19">
          <cell r="C19" t="str">
            <v>Deloitte Haskins &amp; Sells</v>
          </cell>
        </row>
        <row r="20">
          <cell r="C20" t="str">
            <v>P.R. Ramesh</v>
          </cell>
        </row>
        <row r="23">
          <cell r="C23" t="str">
            <v>M.No: 70928</v>
          </cell>
        </row>
        <row r="24">
          <cell r="C24" t="str">
            <v>Chartered Accountants,7th Floor, Amrutha Estates,Lingapur House,Himayathnagar,Hyderabad-500 029.</v>
          </cell>
        </row>
        <row r="28">
          <cell r="C28" t="str">
            <v>31-03-2006</v>
          </cell>
        </row>
        <row r="34">
          <cell r="C34" t="str">
            <v>2006-07</v>
          </cell>
        </row>
        <row r="40">
          <cell r="C40" t="str">
            <v>August 5, 2006</v>
          </cell>
        </row>
        <row r="43">
          <cell r="C43" t="str">
            <v>Hyderabad</v>
          </cell>
        </row>
        <row r="45">
          <cell r="C45" t="str">
            <v>Software Development</v>
          </cell>
        </row>
        <row r="46">
          <cell r="C46" t="str">
            <v>Mercantile</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
      <sheetName val="Dir"/>
      <sheetName val="Acc"/>
      <sheetName val="EY USE ONLY"/>
      <sheetName val="SOR"/>
      <sheetName val="Profit &amp; Loss"/>
      <sheetName val="Schedules_BS"/>
      <sheetName val="Balance Sheet"/>
      <sheetName val="Projects"/>
      <sheetName val="14"/>
      <sheetName val="Grouping"/>
      <sheetName val="Cash and Bank - Schedule 7"/>
      <sheetName val="Other Liabilities"/>
      <sheetName val="Apr97-Jun97"/>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 exp Jul"/>
      <sheetName val="Allocation"/>
      <sheetName val="Key Initiatives"/>
      <sheetName val="Index"/>
      <sheetName val="PL Com"/>
      <sheetName val="PL-Acqg"/>
      <sheetName val="PL-Issu"/>
      <sheetName val="PL-IC"/>
      <sheetName val="PL-Sft"/>
      <sheetName val="PL-Oth"/>
      <sheetName val="CFlow Com"/>
      <sheetName val="BS Com"/>
      <sheetName val="Rev Com"/>
      <sheetName val="Tot Exp com"/>
      <sheetName val="Prod-wise VC"/>
      <sheetName val="PL Inc"/>
      <sheetName val="CFlow Inc"/>
      <sheetName val="BS Inc"/>
      <sheetName val="Rev Inc"/>
      <sheetName val="Sum Inc Rev"/>
      <sheetName val="AM Rev Drv Inc"/>
      <sheetName val="Rev Drv Inc"/>
      <sheetName val="Tot Exp Inc"/>
      <sheetName val="Ops Inc"/>
      <sheetName val="Ops HO Inc"/>
      <sheetName val="SPD Inc"/>
      <sheetName val="Sales Inc"/>
      <sheetName val="FnA Inc"/>
      <sheetName val="FS Inc"/>
      <sheetName val="CM Inc"/>
      <sheetName val="Acqg Inc"/>
      <sheetName val="SnN Inc"/>
      <sheetName val="Capex Inc"/>
      <sheetName val="Payroll Inc"/>
      <sheetName val="EMI Inc"/>
      <sheetName val="PL BL"/>
      <sheetName val="CFlow BL"/>
      <sheetName val="BS BL"/>
      <sheetName val="Rev BL"/>
      <sheetName val="Sum BL Rev"/>
      <sheetName val="AM Rev Drv BL"/>
      <sheetName val="Rev Drv BL"/>
      <sheetName val="Rev Asmptns"/>
      <sheetName val="Trml"/>
      <sheetName val="EMI BL"/>
      <sheetName val="VC Asmptns"/>
      <sheetName val="Capex BL"/>
      <sheetName val="CC Exps BL"/>
      <sheetName val="Tot Exp BL"/>
      <sheetName val="Exps-O&amp;T BL"/>
      <sheetName val="Exps-Sales BL"/>
      <sheetName val="Exps-Corp BL"/>
      <sheetName val="Acqg BL"/>
      <sheetName val="PM BL"/>
      <sheetName val="CM BL"/>
      <sheetName val="Issu BL"/>
      <sheetName val="IC BL"/>
      <sheetName val="CPU BL"/>
      <sheetName val="FS BL"/>
      <sheetName val="SnN BL"/>
      <sheetName val="IS BL"/>
      <sheetName val="Qlty BL"/>
      <sheetName val="SPD BL"/>
      <sheetName val="CS-HO BL"/>
      <sheetName val="CS-Reg BL"/>
      <sheetName val="Ops HO BL"/>
      <sheetName val="FnA BL"/>
      <sheetName val="HR BL"/>
      <sheetName val="Admn BL"/>
      <sheetName val="CRM BL"/>
      <sheetName val="Biz Hd BL"/>
      <sheetName val="Mum BL"/>
      <sheetName val="Pune BL"/>
      <sheetName val="Kol BL"/>
      <sheetName val="Hyd BL"/>
      <sheetName val="Delhi BL"/>
      <sheetName val="Chennai BL"/>
      <sheetName val="Blr BL"/>
      <sheetName val="Ahmd BL"/>
      <sheetName val="Sup Mgt"/>
      <sheetName val="MS Tech"/>
      <sheetName val="MxPac Tech"/>
      <sheetName val="Proj Mgt"/>
      <sheetName val="Sales &amp; Mktg"/>
      <sheetName val="Trml Mgt"/>
      <sheetName val="Testing"/>
      <sheetName val="Payroll BL"/>
      <sheetName val="Rent BL"/>
      <sheetName val="Rent BL jul"/>
      <sheetName val="El n Wat BL"/>
      <sheetName val="El n Wat BL j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02"/>
      <sheetName val="111.64.10, 111.64.30, 112.64.10"/>
      <sheetName val="111.64.20"/>
      <sheetName val="113.64.000"/>
      <sheetName val="113.64.000-Details"/>
      <sheetName val="141.9"/>
      <sheetName val="141.09.910"/>
      <sheetName val="161.90.000"/>
      <sheetName val="18x.xx"/>
      <sheetName val="202.010.00. 201.01010, 20201020"/>
      <sheetName val="201.012.20"/>
      <sheetName val="21301000"/>
      <sheetName val="221.90"/>
      <sheetName val="222.02"/>
      <sheetName val="Attachment"/>
      <sheetName val="223.581"/>
      <sheetName val="223.582"/>
      <sheetName val="GST Reconciliation"/>
      <sheetName val="227.01"/>
      <sheetName val="232.52"/>
      <sheetName val="383.5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 val="Cntmrs"/>
      <sheetName val="Ann -1"/>
      <sheetName val="ML DRS"/>
      <sheetName val="YTD Revenue"/>
      <sheetName val="97-98"/>
      <sheetName val="UNIDADES"/>
      <sheetName val="Sheet1"/>
      <sheetName val="Sheet3"/>
      <sheetName val="M4"/>
      <sheetName val="Finance IT &amp; Pro (2)"/>
      <sheetName val="Setup Variables"/>
      <sheetName val="Directors"/>
      <sheetName val="Comp"/>
      <sheetName val="Consolidated Budget Worksheet"/>
      <sheetName val="Masters"/>
      <sheetName val="A"/>
      <sheetName val="Mode Location Currency"/>
      <sheetName val="Customers"/>
      <sheetName val="IncidentsEAP"/>
      <sheetName val="2000"/>
      <sheetName val="vb 9&amp;10"/>
      <sheetName val="Rates"/>
      <sheetName val="Groupings 2004"/>
      <sheetName val="BS Schedules"/>
      <sheetName val="Main"/>
      <sheetName val="Selection Lists"/>
      <sheetName val="FOREX"/>
      <sheetName val="FN-QMLLC"/>
      <sheetName val="DDC"/>
      <sheetName val="CWS-Ind+US+UK"/>
      <sheetName val="Consol"/>
      <sheetName val="IND"/>
      <sheetName val="ITL"/>
      <sheetName val="LLC"/>
      <sheetName val="UKL"/>
      <sheetName val="PSI"/>
      <sheetName val="FINAL"/>
      <sheetName val="TB"/>
      <sheetName val="12 31 06 ee data"/>
      <sheetName val="Customize Your Purchase Order"/>
      <sheetName val="Cntmrs-Recruit_Time"/>
      <sheetName val="Cntmrs-Chgo_Record"/>
      <sheetName val="Cntmrs-FP_Record"/>
      <sheetName val="Cntmrs-Chgo_Accid"/>
      <sheetName val="Ann_-1"/>
      <sheetName val="ML_DRS"/>
      <sheetName val="YTD_Revenue"/>
      <sheetName val="Consolidated_Budget_Worksheet"/>
      <sheetName val="Mode_Location_Currency"/>
      <sheetName val="vb_9&amp;10"/>
      <sheetName val="Groupings_2004"/>
      <sheetName val="BS_Schedules"/>
      <sheetName val="Selection_Lists"/>
      <sheetName val="12_31_06_ee_data"/>
      <sheetName val="Customize_Your_Purchase_Or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 val="BS Schedules"/>
      <sheetName val="Rates"/>
      <sheetName val="Groupings 2004"/>
      <sheetName val="Customize Your Purchase Order"/>
      <sheetName val="2000PD-White-NOV00"/>
    </sheetNames>
    <sheetDataSet>
      <sheetData sheetId="0" refreshError="1"/>
      <sheetData sheetId="1" refreshError="1"/>
      <sheetData sheetId="2" refreshError="1"/>
      <sheetData sheetId="3" refreshError="1">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eg"/>
      <sheetName val="FA register"/>
      <sheetName val="Sept 02 to Dec 02"/>
      <sheetName val="FA -Register Sep 2002(bcgupta)"/>
      <sheetName val="BS Schedule 1-4"/>
      <sheetName val="FA_register"/>
      <sheetName val="Sept_02_to_Dec_02"/>
      <sheetName val="FA_register1"/>
      <sheetName val="Sept_02_to_Dec_021"/>
      <sheetName val="FA_register2"/>
      <sheetName val="Sept_02_to_Dec_022"/>
      <sheetName val="FA_register3"/>
      <sheetName val="Sept_02_to_Dec_023"/>
      <sheetName val="FA_register4"/>
      <sheetName val="Sept_02_to_Dec_024"/>
      <sheetName val="WORKINGS"/>
      <sheetName val="Masters"/>
      <sheetName val="Data"/>
      <sheetName val="TRIAL BALANCE"/>
      <sheetName val="Sheet1"/>
      <sheetName val="old_serial no."/>
      <sheetName val="tot_ass_9697"/>
      <sheetName val="Groupings-final"/>
      <sheetName val="Sched"/>
      <sheetName val="Trial"/>
      <sheetName val="FA_Final"/>
      <sheetName val="PROD PLAN"/>
    </sheetNames>
    <sheetDataSet>
      <sheetData sheetId="0" refreshError="1">
        <row r="2">
          <cell r="A2">
            <v>1</v>
          </cell>
          <cell r="B2" t="str">
            <v>Computer</v>
          </cell>
          <cell r="C2">
            <v>0.33329999999999999</v>
          </cell>
          <cell r="D2">
            <v>0.25</v>
          </cell>
          <cell r="E2">
            <v>0.33329999999999999</v>
          </cell>
        </row>
        <row r="3">
          <cell r="A3">
            <v>2</v>
          </cell>
          <cell r="B3" t="str">
            <v>Software</v>
          </cell>
          <cell r="C3">
            <v>0.33329999999999999</v>
          </cell>
          <cell r="D3">
            <v>0.33329999999999999</v>
          </cell>
          <cell r="E3">
            <v>0.33329999999999999</v>
          </cell>
        </row>
        <row r="4">
          <cell r="A4">
            <v>3</v>
          </cell>
          <cell r="B4" t="str">
            <v>Office equipment</v>
          </cell>
          <cell r="C4">
            <v>0.25</v>
          </cell>
          <cell r="D4">
            <v>0.2</v>
          </cell>
          <cell r="E4">
            <v>0.25</v>
          </cell>
        </row>
        <row r="5">
          <cell r="A5">
            <v>4</v>
          </cell>
          <cell r="B5" t="str">
            <v>Mobile phones</v>
          </cell>
          <cell r="C5">
            <v>0.5</v>
          </cell>
          <cell r="D5">
            <v>0.5</v>
          </cell>
          <cell r="E5">
            <v>0.5</v>
          </cell>
        </row>
        <row r="6">
          <cell r="A6">
            <v>5</v>
          </cell>
          <cell r="B6" t="str">
            <v>Air conditioners</v>
          </cell>
          <cell r="C6">
            <v>0.2</v>
          </cell>
          <cell r="D6">
            <v>0.2</v>
          </cell>
          <cell r="E6">
            <v>0.2</v>
          </cell>
        </row>
        <row r="7">
          <cell r="A7">
            <v>6</v>
          </cell>
          <cell r="B7" t="str">
            <v>Other office equipment</v>
          </cell>
          <cell r="C7">
            <v>0.25</v>
          </cell>
          <cell r="D7">
            <v>0.2</v>
          </cell>
          <cell r="E7">
            <v>0.25</v>
          </cell>
        </row>
        <row r="8">
          <cell r="A8">
            <v>7</v>
          </cell>
          <cell r="B8" t="str">
            <v>Furniture and fixtures</v>
          </cell>
          <cell r="C8">
            <v>0.2</v>
          </cell>
          <cell r="D8">
            <v>0.2</v>
          </cell>
          <cell r="E8">
            <v>0.2</v>
          </cell>
        </row>
        <row r="9">
          <cell r="A9">
            <v>8</v>
          </cell>
          <cell r="B9" t="str">
            <v>Office interiors</v>
          </cell>
          <cell r="C9">
            <v>0.33329999999999999</v>
          </cell>
          <cell r="D9">
            <v>0.33329999999999999</v>
          </cell>
          <cell r="E9">
            <v>0.33329999999999999</v>
          </cell>
        </row>
        <row r="10">
          <cell r="A10">
            <v>9</v>
          </cell>
          <cell r="B10" t="str">
            <v>Vehicles</v>
          </cell>
          <cell r="C10">
            <v>0.25</v>
          </cell>
          <cell r="D10">
            <v>0.125</v>
          </cell>
          <cell r="E10">
            <v>0.25</v>
          </cell>
        </row>
      </sheetData>
      <sheetData sheetId="1"/>
      <sheetData sheetId="2" refreshError="1"/>
      <sheetData sheetId="3" refreshError="1"/>
      <sheetData sheetId="4" refreshError="1"/>
      <sheetData sheetId="5"/>
      <sheetData sheetId="6"/>
      <sheetData sheetId="7"/>
      <sheetData sheetId="8"/>
      <sheetData sheetId="9"/>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 &amp; L"/>
      <sheetName val="SHARE CAPITAL"/>
      <sheetName val="R &amp; s"/>
      <sheetName val="Res &amp; surplus"/>
      <sheetName val="SEC LOAN "/>
      <sheetName val="UN-SEC.LOAN"/>
      <sheetName val="Fixed Assets"/>
      <sheetName val="INVESTMENT"/>
      <sheetName val="INVENTORY"/>
      <sheetName val="DEBTORS"/>
      <sheetName val="CASHBANK"/>
      <sheetName val="LOANS-ADV"/>
      <sheetName val="LIABILITIES"/>
      <sheetName val="PROVISION"/>
      <sheetName val="OTHER INC."/>
      <sheetName val="Cons"/>
      <sheetName val="FinishedTraded Goods"/>
      <sheetName val="EXPENSES"/>
      <sheetName val="Int &amp; Fin chgs"/>
      <sheetName val="Extord-schedule"/>
      <sheetName val="Interunit"/>
      <sheetName val="Purchases"/>
      <sheetName val="Schedules"/>
      <sheetName val="BS-P&amp;L"/>
      <sheetName val="Cntmrs-Recruit"/>
      <sheetName val="E755 Annex"/>
      <sheetName val="Lookups"/>
      <sheetName val="gen ledger data"/>
      <sheetName val="S.4.3_SAP Dump"/>
      <sheetName val="Original format"/>
      <sheetName val="Details"/>
      <sheetName val="Cochin Invoice File"/>
      <sheetName val="Setup"/>
      <sheetName val="Current assets"/>
      <sheetName val="Current liabilities"/>
      <sheetName val="Deferred tax"/>
      <sheetName val="Dividends"/>
      <sheetName val="Employment of capital"/>
      <sheetName val="EVA"/>
      <sheetName val="Country"/>
      <sheetName val="Income"/>
      <sheetName val="Long Term Borrowings"/>
      <sheetName val="Minorities"/>
      <sheetName val="FA LB"/>
      <sheetName val="Taxation"/>
      <sheetName val="Working capital"/>
      <sheetName val="Basic Details"/>
      <sheetName val="BS Groupings"/>
      <sheetName val="PL Groupings"/>
      <sheetName val="Budd Lanner Split"/>
      <sheetName val="STPI November 08"/>
      <sheetName val="BS - L+OE"/>
      <sheetName val="Groupings BS"/>
      <sheetName val="DEC PIVOT"/>
      <sheetName val="Op Plan Sales"/>
      <sheetName val="Data"/>
      <sheetName val="curlocal"/>
      <sheetName val="E1 Invoice"/>
      <sheetName val="DCF Analysis"/>
      <sheetName val="Con0304"/>
      <sheetName val="Annexure 3A"/>
      <sheetName val="Currency"/>
      <sheetName val="DropDown"/>
      <sheetName val="Non-Statistical Sampling"/>
      <sheetName val="Control"/>
      <sheetName val="405"/>
      <sheetName val="427"/>
      <sheetName val="403"/>
      <sheetName val="PL grp"/>
      <sheetName val="kpmg format"/>
      <sheetName val="cash flow"/>
      <sheetName val="#REF"/>
      <sheetName val="trial (2)"/>
      <sheetName val="P&amp;L"/>
      <sheetName val="Holidays"/>
      <sheetName val="References"/>
      <sheetName val="URD-s"/>
      <sheetName val="grootboekrek"/>
      <sheetName val="LINK GAP"/>
      <sheetName val="SCH4"/>
      <sheetName val="Charts"/>
      <sheetName val="BS-203"/>
      <sheetName val="Adm97"/>
      <sheetName val="130-UNIDADES"/>
      <sheetName val="HIGHLIGHTS"/>
      <sheetName val="STOCK VALUEMay03"/>
      <sheetName val="CWIP"/>
      <sheetName val="Apr 08 to Mar 09"/>
      <sheetName val="DataFF"/>
      <sheetName val="Expense Budget_NOV"/>
      <sheetName val="Query SS 1_805"/>
      <sheetName val="CSCCincSKR"/>
      <sheetName val="Proforma"/>
      <sheetName val="WGE P&amp;E"/>
      <sheetName val="Accrual Nov'05"/>
      <sheetName val="CRITERIA1"/>
      <sheetName val="Financials"/>
      <sheetName val="Sheet1"/>
      <sheetName val="Purchase Order"/>
      <sheetName val="Opening"/>
      <sheetName val="DepRate"/>
      <sheetName val="Other notes"/>
      <sheetName val="FORM-16"/>
      <sheetName val="BALANCE_SHEET"/>
      <sheetName val="P_&amp;_L"/>
      <sheetName val="SHARE_CAPITAL"/>
      <sheetName val="R_&amp;_s"/>
      <sheetName val="Res_&amp;_surplus"/>
      <sheetName val="SEC_LOAN_"/>
      <sheetName val="UN-SEC_LOAN"/>
      <sheetName val="Fixed_Assets"/>
      <sheetName val="OTHER_INC_"/>
      <sheetName val="FinishedTraded_Goods"/>
      <sheetName val="Int_&amp;_Fin_chgs"/>
      <sheetName val="gen_ledger_data"/>
      <sheetName val="Original_format"/>
      <sheetName val="Basic_Details"/>
      <sheetName val="BS_Groupings"/>
      <sheetName val="PL_Groupings"/>
      <sheetName val="S_4_3_SAP_Dump"/>
      <sheetName val="E755_Annex"/>
      <sheetName val="Current_assets"/>
      <sheetName val="Current_liabilities"/>
      <sheetName val="Deferred_tax"/>
      <sheetName val="Employment_of_capital"/>
      <sheetName val="Long_Term_Borrowings"/>
      <sheetName val="FA_LB"/>
      <sheetName val="Working_capital"/>
      <sheetName val="Non-Statistical_Sampling"/>
      <sheetName val="E1_Invoice"/>
      <sheetName val="Groupings_BS"/>
      <sheetName val="DEC_PIVOT"/>
      <sheetName val="Op_Plan_Sales"/>
      <sheetName val="Budd_Lanner_Split"/>
      <sheetName val="STOCK_VALUEMay03"/>
      <sheetName val="WGE_P&amp;E"/>
      <sheetName val="Apr_08_to_Mar_09"/>
      <sheetName val="Expense_Budget_NOV"/>
      <sheetName val="PL_grp"/>
      <sheetName val="kpmg_format"/>
      <sheetName val="cash_flow"/>
      <sheetName val="trial_(2)"/>
      <sheetName val="LINK_GAP"/>
      <sheetName val="Query_SS_1_805"/>
      <sheetName val="Accrual_Nov'05"/>
      <sheetName val="Brand &amp; CC list"/>
      <sheetName val="Market list"/>
      <sheetName val="CashFlow"/>
      <sheetName val="ConsolSkol31122002-ECBDL"/>
      <sheetName val="Model"/>
      <sheetName val="CF"/>
      <sheetName val="Overview"/>
      <sheetName val="Ann -1"/>
      <sheetName val="Co.26 Unfinished P&amp;E"/>
      <sheetName val="capex"/>
      <sheetName val="DataInput1"/>
      <sheetName val="AP Example"/>
      <sheetName val="F1"/>
      <sheetName val="F2"/>
      <sheetName val="F3_A$"/>
      <sheetName val="Frontend"/>
      <sheetName val="K1-per"/>
      <sheetName val="K1-med(RM)"/>
      <sheetName val="K1-ppd"/>
      <sheetName val="S2 Chart"/>
      <sheetName val="S3a(A$)"/>
      <sheetName val="S5 Chart"/>
      <sheetName val="S6"/>
      <sheetName val="S7"/>
      <sheetName val="S8"/>
      <sheetName val="S9_A$"/>
      <sheetName val="S"/>
      <sheetName val="S2_A$"/>
      <sheetName val="exp-m"/>
      <sheetName val="pcQueryData"/>
      <sheetName val="Summary"/>
      <sheetName val="Income Statement"/>
      <sheetName val="Assum"/>
      <sheetName val="Debt"/>
      <sheetName val="Sum"/>
      <sheetName val="Cover"/>
      <sheetName val="MoCF"/>
      <sheetName val="TPM"/>
      <sheetName val="BALANCE_SHEET1"/>
      <sheetName val="P_&amp;_L1"/>
      <sheetName val="SHARE_CAPITAL1"/>
      <sheetName val="R_&amp;_s1"/>
      <sheetName val="Res_&amp;_surplus1"/>
      <sheetName val="SEC_LOAN_1"/>
      <sheetName val="UN-SEC_LOAN1"/>
      <sheetName val="Fixed_Assets1"/>
      <sheetName val="OTHER_INC_1"/>
      <sheetName val="FinishedTraded_Goods1"/>
      <sheetName val="Int_&amp;_Fin_chgs1"/>
      <sheetName val="trial_(2)1"/>
      <sheetName val="LINK_GAP1"/>
      <sheetName val="BALANCE_SHEET2"/>
      <sheetName val="P_&amp;_L2"/>
      <sheetName val="SHARE_CAPITAL2"/>
      <sheetName val="R_&amp;_s2"/>
      <sheetName val="Res_&amp;_surplus2"/>
      <sheetName val="SEC_LOAN_2"/>
      <sheetName val="UN-SEC_LOAN2"/>
      <sheetName val="Fixed_Assets2"/>
      <sheetName val="OTHER_INC_2"/>
      <sheetName val="FinishedTraded_Goods2"/>
      <sheetName val="Int_&amp;_Fin_chgs2"/>
      <sheetName val="trial_(2)2"/>
      <sheetName val="LINK_GAP2"/>
      <sheetName val="gen_ledger_data1"/>
      <sheetName val="S_4_3_SAP_Dump1"/>
      <sheetName val="Groupings_BS1"/>
      <sheetName val="DEC_PIVOT1"/>
      <sheetName val="Op_Plan_Sales1"/>
      <sheetName val="E1_Invoice1"/>
      <sheetName val="E755_Annex1"/>
      <sheetName val="Current_assets1"/>
      <sheetName val="Current_liabilities1"/>
      <sheetName val="Deferred_tax1"/>
      <sheetName val="Employment_of_capital1"/>
      <sheetName val="Long_Term_Borrowings1"/>
      <sheetName val="FA_LB1"/>
      <sheetName val="Working_capital1"/>
      <sheetName val="Basic_Details1"/>
      <sheetName val="BS_Groupings1"/>
      <sheetName val="PL_Groupings1"/>
      <sheetName val="Original_format1"/>
      <sheetName val="Non-Statistical_Sampling1"/>
      <sheetName val="gen_ledger_data2"/>
      <sheetName val="S_4_3_SAP_Dump2"/>
      <sheetName val="Groupings_BS2"/>
      <sheetName val="DEC_PIVOT2"/>
      <sheetName val="Op_Plan_Sales2"/>
      <sheetName val="E1_Invoice2"/>
      <sheetName val="E755_Annex2"/>
      <sheetName val="Current_assets2"/>
      <sheetName val="Current_liabilities2"/>
      <sheetName val="Deferred_tax2"/>
      <sheetName val="Employment_of_capital2"/>
      <sheetName val="Long_Term_Borrowings2"/>
      <sheetName val="FA_LB2"/>
      <sheetName val="Working_capital2"/>
      <sheetName val="Basic_Details2"/>
      <sheetName val="BS_Groupings2"/>
      <sheetName val="PL_Groupings2"/>
      <sheetName val="Original_format2"/>
      <sheetName val="Non-Statistical_Sampling2"/>
      <sheetName val="CAMPWISE COLL"/>
      <sheetName val="Dep"/>
      <sheetName val="Cochin_Invoice_File"/>
      <sheetName val="STPI_November_08"/>
      <sheetName val="BS_-_L+OE"/>
      <sheetName val="Annexure_3A"/>
      <sheetName val="DCF_Analysis"/>
      <sheetName val="DB"/>
      <sheetName val="CP-CT1"/>
      <sheetName val="CP-CT2"/>
      <sheetName val="Letter"/>
      <sheetName val="Basic Resources"/>
      <sheetName val="DCF"/>
      <sheetName val="J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bt schedule"/>
      <sheetName val="debt schedule-tyres"/>
      <sheetName val="debt schedule -sugar"/>
      <sheetName val="debt-IDBI"/>
      <sheetName val="debt -ICICI"/>
      <sheetName val="debt -IFCI"/>
      <sheetName val="debt-SBI"/>
      <sheetName val="debt schedule - Corpo"/>
      <sheetName val="debt schedule - JKDPL"/>
      <sheetName val="debt-sugar"/>
      <sheetName val="debt -tyres"/>
      <sheetName val="debt - Corp"/>
      <sheetName val="BL-Bud"/>
      <sheetName val="BS-Bud"/>
      <sheetName val="GW-Bud"/>
      <sheetName val="Head Office-Bud"/>
      <sheetName val="MS-Bud"/>
      <sheetName val="PL-Bud"/>
      <sheetName val="TB-Bud"/>
      <sheetName val="TM-Bud"/>
      <sheetName val="YS-Bud"/>
      <sheetName val="CoverSheet"/>
      <sheetName val="14-17-23-25  "/>
      <sheetName val="debt_schedule"/>
      <sheetName val="debt_schedule-tyres"/>
      <sheetName val="debt_schedule_-sugar"/>
      <sheetName val="debt_-ICICI"/>
      <sheetName val="debt_-IFCI"/>
      <sheetName val="debt_schedule_-_Corpo"/>
      <sheetName val="debt_schedule_-_JKDPL"/>
      <sheetName val="debt_-tyres"/>
      <sheetName val="debt_-_Corp"/>
      <sheetName val="Ann -1"/>
      <sheetName val="aug stat 06 (2)"/>
      <sheetName val="Categ"/>
      <sheetName val="gen"/>
      <sheetName val="TBAL9697 -group wise  sdpl"/>
      <sheetName val="Head_Office-Bud"/>
      <sheetName val="debt_schedule1"/>
      <sheetName val="debt_schedule-tyres1"/>
      <sheetName val="debt_schedule_-sugar1"/>
      <sheetName val="debt_-ICICI1"/>
      <sheetName val="debt_-IFCI1"/>
      <sheetName val="debt_schedule_-_Corpo1"/>
      <sheetName val="debt_schedule_-_JKDPL1"/>
      <sheetName val="debt_-tyres1"/>
      <sheetName val="debt_-_Corp1"/>
      <sheetName val="Head_Office-Bud1"/>
      <sheetName val="aug_stat_06_(2)"/>
      <sheetName val="14-17-23-25__"/>
      <sheetName val="Sheet2"/>
      <sheetName val="ACCOUNTS"/>
      <sheetName val="Returns (2)"/>
      <sheetName val="ANN 3"/>
      <sheetName val="인사현황(부서)"/>
      <sheetName val="Customers Wise"/>
      <sheetName val="OTY"/>
      <sheetName val="GL Tally UpTo Dec'19"/>
      <sheetName val="Sheet1"/>
      <sheetName val="Invoice wise Pivot"/>
      <sheetName val="Sheet3"/>
      <sheetName val="Sheet4"/>
      <sheetName val="Sheet5"/>
      <sheetName val="Master Reg"/>
      <sheetName val="Cut Off"/>
      <sheetName val="Sale Dumpsite Billing PvTable"/>
      <sheetName val="Liquidated Damages"/>
      <sheetName val="Sales-Rate Difference"/>
      <sheetName val="Bend Transfer To Job Work"/>
      <sheetName val="Chq Payout"/>
      <sheetName val="Assumptions"/>
      <sheetName val="Res Fiscal"/>
      <sheetName val="NC"/>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or Group"/>
      <sheetName val="lov-COAct"/>
      <sheetName val="del"/>
      <sheetName val="corp"/>
      <sheetName val="COIMBATORE"/>
      <sheetName val="dinesh"/>
      <sheetName val="lov-itax"/>
      <sheetName val="lov-cspl"/>
      <sheetName val="costcentre"/>
      <sheetName val="loc"/>
      <sheetName val="Report"/>
      <sheetName val="lov_cspl"/>
      <sheetName val="lov_COAct"/>
      <sheetName val="Tables"/>
      <sheetName val="BRP&amp;L"/>
      <sheetName val="TAX INCOME"/>
      <sheetName val="IT_FBT_DDTP"/>
      <sheetName val="BTB"/>
      <sheetName val="cf"/>
      <sheetName val="orders"/>
      <sheetName val="Bongaon"/>
      <sheetName val="Jeerat"/>
      <sheetName val="NJP"/>
      <sheetName val="Input"/>
      <sheetName val="LINK GAP"/>
      <sheetName val="Details"/>
      <sheetName val="Rates 7-20"/>
      <sheetName val="Minor_Group"/>
      <sheetName val="223.582"/>
      <sheetName val="Minor_Group1"/>
      <sheetName val="02-11"/>
      <sheetName val="Lookup"/>
      <sheetName val="Front sheet"/>
      <sheetName val="Ann I"/>
      <sheetName val="Jul 96 Worksheet"/>
      <sheetName val="Challan"/>
      <sheetName val="Schedules"/>
      <sheetName val="TAX_INCOME"/>
      <sheetName val="REF"/>
      <sheetName val="LINK_GAP"/>
      <sheetName val="GENERAL2"/>
      <sheetName val="Power &amp; Fuel (S)"/>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TAX_INCOME1"/>
      <sheetName val="Jul_96_Worksheet"/>
      <sheetName val="Rates_7-20"/>
      <sheetName val="Ann_I"/>
      <sheetName val="Minor_Group2"/>
      <sheetName val="Minor_Group3"/>
      <sheetName val="Minor_Group4"/>
      <sheetName val="Groupings-final"/>
      <sheetName val="Trial"/>
      <sheetName val="FA_Final"/>
      <sheetName val="EXPENDITURE CYCLE"/>
      <sheetName val="31.3.02 "/>
      <sheetName val="__31.3.03"/>
      <sheetName val="CAP KEY"/>
      <sheetName val="Packing cost"/>
      <sheetName val="NEWMASTER"/>
      <sheetName val="Data"/>
      <sheetName val="CAP_KEY"/>
      <sheetName val="Packing_cost"/>
      <sheetName val="Categ"/>
    </sheetNames>
    <sheetDataSet>
      <sheetData sheetId="0" refreshError="1"/>
      <sheetData sheetId="1" refreshError="1">
        <row r="2">
          <cell r="A2" t="str">
            <v>COA</v>
          </cell>
        </row>
        <row r="3">
          <cell r="A3" t="str">
            <v>LI15</v>
          </cell>
        </row>
        <row r="4">
          <cell r="A4" t="str">
            <v>BG5</v>
          </cell>
        </row>
        <row r="5">
          <cell r="A5" t="str">
            <v>TS100</v>
          </cell>
        </row>
        <row r="6">
          <cell r="A6" t="str">
            <v>FB10</v>
          </cell>
        </row>
        <row r="7">
          <cell r="A7" t="str">
            <v>OE15</v>
          </cell>
        </row>
        <row r="8">
          <cell r="A8" t="str">
            <v>FF15</v>
          </cell>
        </row>
        <row r="9">
          <cell r="A9" t="str">
            <v>CE20</v>
          </cell>
        </row>
        <row r="10">
          <cell r="A10" t="str">
            <v>CS100</v>
          </cell>
        </row>
        <row r="11">
          <cell r="A11" t="str">
            <v>RE33</v>
          </cell>
        </row>
        <row r="12">
          <cell r="A12" t="str">
            <v>OU33</v>
          </cell>
        </row>
        <row r="13">
          <cell r="A13" t="str">
            <v>VH25</v>
          </cell>
        </row>
        <row r="14">
          <cell r="A14" t="str">
            <v>PM15</v>
          </cell>
        </row>
        <row r="15">
          <cell r="A15" t="str">
            <v>LI100</v>
          </cell>
        </row>
        <row r="16">
          <cell r="A16" t="str">
            <v>BG100</v>
          </cell>
        </row>
        <row r="17">
          <cell r="A17" t="str">
            <v>FB100</v>
          </cell>
        </row>
        <row r="18">
          <cell r="A18" t="str">
            <v>OE100</v>
          </cell>
        </row>
        <row r="19">
          <cell r="A19" t="str">
            <v>FF100</v>
          </cell>
        </row>
        <row r="20">
          <cell r="A20" t="str">
            <v>CE100</v>
          </cell>
        </row>
        <row r="21">
          <cell r="A21" t="str">
            <v>RE100</v>
          </cell>
        </row>
        <row r="22">
          <cell r="A22" t="str">
            <v>OU100</v>
          </cell>
        </row>
        <row r="23">
          <cell r="A23" t="str">
            <v>VH100</v>
          </cell>
        </row>
        <row r="24">
          <cell r="A24" t="str">
            <v>PM100</v>
          </cell>
        </row>
      </sheetData>
      <sheetData sheetId="2" refreshError="1"/>
      <sheetData sheetId="3" refreshError="1"/>
      <sheetData sheetId="4" refreshError="1"/>
      <sheetData sheetId="5" refreshError="1"/>
      <sheetData sheetId="6" refreshError="1"/>
      <sheetData sheetId="7" refreshError="1">
        <row r="2">
          <cell r="A2" t="str">
            <v>CSPL</v>
          </cell>
        </row>
        <row r="3">
          <cell r="A3" t="str">
            <v>LI15</v>
          </cell>
        </row>
        <row r="4">
          <cell r="A4" t="str">
            <v>BG5</v>
          </cell>
        </row>
        <row r="5">
          <cell r="A5" t="str">
            <v>TS100</v>
          </cell>
        </row>
        <row r="6">
          <cell r="A6" t="str">
            <v>FB10</v>
          </cell>
        </row>
        <row r="7">
          <cell r="A7" t="str">
            <v>OE15</v>
          </cell>
        </row>
        <row r="8">
          <cell r="A8" t="str">
            <v>FF15</v>
          </cell>
        </row>
        <row r="9">
          <cell r="A9" t="str">
            <v>CE20</v>
          </cell>
        </row>
        <row r="10">
          <cell r="A10" t="str">
            <v>CS100</v>
          </cell>
        </row>
        <row r="11">
          <cell r="A11" t="str">
            <v>RE33</v>
          </cell>
        </row>
        <row r="12">
          <cell r="A12" t="str">
            <v>OU33</v>
          </cell>
        </row>
        <row r="13">
          <cell r="A13" t="str">
            <v>VH25</v>
          </cell>
        </row>
        <row r="14">
          <cell r="A14" t="str">
            <v>PM15</v>
          </cell>
        </row>
        <row r="15">
          <cell r="A15" t="str">
            <v>LI100</v>
          </cell>
        </row>
        <row r="16">
          <cell r="A16" t="str">
            <v>BG100</v>
          </cell>
        </row>
        <row r="17">
          <cell r="A17" t="str">
            <v>FB100</v>
          </cell>
        </row>
        <row r="18">
          <cell r="A18" t="str">
            <v>OE100</v>
          </cell>
        </row>
        <row r="19">
          <cell r="A19" t="str">
            <v>FF100</v>
          </cell>
        </row>
        <row r="20">
          <cell r="A20" t="str">
            <v>CE100</v>
          </cell>
        </row>
        <row r="21">
          <cell r="A21" t="str">
            <v>RE100</v>
          </cell>
        </row>
        <row r="22">
          <cell r="A22" t="str">
            <v>OU100</v>
          </cell>
        </row>
        <row r="23">
          <cell r="A23" t="str">
            <v>VH100</v>
          </cell>
        </row>
        <row r="24">
          <cell r="A24" t="str">
            <v>PM100</v>
          </cell>
        </row>
      </sheetData>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 A General"/>
      <sheetName val="Subsidiary Co Details"/>
      <sheetName val="MD, Dir, Co. secy"/>
      <sheetName val="Beneficial_owners"/>
      <sheetName val="Balance Sheet"/>
      <sheetName val="Profit and Loss"/>
      <sheetName val="Other Info"/>
      <sheetName val="Stock details"/>
      <sheetName val="Part B"/>
      <sheetName val="Part C"/>
      <sheetName val="Sch 1 Bus"/>
      <sheetName val="Sch 2 CG"/>
      <sheetName val="Sch 3 Depr"/>
      <sheetName val="Sch 4 HP"/>
      <sheetName val="Sch 5 OS"/>
      <sheetName val="Sch 6 Setoff"/>
      <sheetName val="Sch 7 Bf Setoff"/>
      <sheetName val="Sch 8 Cf Losses"/>
      <sheetName val="Sch 9 Dedns"/>
      <sheetName val="Sch 10 VIA-Sch 11"/>
      <sheetName val="Sch 12-Sch 13"/>
      <sheetName val="Sch 14 88E-Sch 15 115B"/>
      <sheetName val="Sch 16 Div"/>
      <sheetName val="Sch 17 FB"/>
      <sheetName val="Sch 18 Bank"/>
      <sheetName val="Sch 19, 20 Taxes"/>
      <sheetName val="Sch 21 Div Tax"/>
      <sheetName val="Sch 22, 23 FBT"/>
      <sheetName val="Sch 24 TDS"/>
      <sheetName val="Sch 25 TCS"/>
      <sheetName val="SANY Rev ITR"/>
      <sheetName val="Closing Stock"/>
      <sheetName val="Opening Stock Detail"/>
      <sheetName val="Purcha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3">
          <cell r="AC3">
            <v>193</v>
          </cell>
        </row>
        <row r="4">
          <cell r="AC4">
            <v>194</v>
          </cell>
        </row>
        <row r="5">
          <cell r="AC5" t="str">
            <v>94A</v>
          </cell>
        </row>
        <row r="6">
          <cell r="AC6" t="str">
            <v>94B</v>
          </cell>
        </row>
        <row r="7">
          <cell r="AC7" t="str">
            <v>4BB</v>
          </cell>
        </row>
        <row r="8">
          <cell r="AC8" t="str">
            <v>94C</v>
          </cell>
        </row>
        <row r="9">
          <cell r="AC9" t="str">
            <v>94D</v>
          </cell>
        </row>
        <row r="10">
          <cell r="AC10" t="str">
            <v>94E</v>
          </cell>
        </row>
        <row r="11">
          <cell r="AC11" t="str">
            <v>4EE</v>
          </cell>
        </row>
        <row r="12">
          <cell r="AC12" t="str">
            <v>94F</v>
          </cell>
        </row>
        <row r="13">
          <cell r="AC13" t="str">
            <v>94G</v>
          </cell>
        </row>
        <row r="14">
          <cell r="AC14" t="str">
            <v>94I</v>
          </cell>
        </row>
        <row r="15">
          <cell r="AC15">
            <v>195</v>
          </cell>
        </row>
        <row r="16">
          <cell r="AC16" t="str">
            <v>96A</v>
          </cell>
        </row>
        <row r="17">
          <cell r="AC17" t="str">
            <v>96B</v>
          </cell>
        </row>
        <row r="18">
          <cell r="AC18" t="str">
            <v>96C</v>
          </cell>
        </row>
        <row r="19">
          <cell r="AC19" t="str">
            <v>96D</v>
          </cell>
        </row>
        <row r="20">
          <cell r="AC20" t="str">
            <v>92B</v>
          </cell>
        </row>
        <row r="21">
          <cell r="AC21" t="str">
            <v>94J</v>
          </cell>
        </row>
        <row r="22">
          <cell r="AC22" t="str">
            <v>94H</v>
          </cell>
        </row>
        <row r="23">
          <cell r="AC23">
            <v>206</v>
          </cell>
        </row>
      </sheetData>
      <sheetData sheetId="29"/>
      <sheetData sheetId="30" refreshError="1"/>
      <sheetData sheetId="31" refreshError="1"/>
      <sheetData sheetId="32" refreshError="1"/>
      <sheetData sheetId="3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Projects"/>
      <sheetName val="#REF"/>
      <sheetName val="C &amp; G RHS"/>
      <sheetName val="UK"/>
      <sheetName val="Fin Mar"/>
      <sheetName val="Back_Cal_for OMC"/>
      <sheetName val="factor"/>
      <sheetName val="L_PM"/>
      <sheetName val="Check_list"/>
      <sheetName val="C_&amp;_G_RHS"/>
      <sheetName val="Fin_Mar"/>
      <sheetName val="iQB_Equity-Custom"/>
      <sheetName val="Setup"/>
      <sheetName val="Sheet1"/>
      <sheetName val="Inputs_&amp;_Summary_Output"/>
      <sheetName val="5_-_CITICORP"/>
      <sheetName val="VISION_2000"/>
      <sheetName val="Control"/>
      <sheetName val="Data"/>
      <sheetName val="COST"/>
      <sheetName val="Challan"/>
      <sheetName val="405"/>
      <sheetName val="427"/>
      <sheetName val="Cover"/>
      <sheetName val="PRECAST_lightconc-II2"/>
      <sheetName val="all_client_IDs"/>
      <sheetName val="CRITERIA1"/>
      <sheetName val="Payroll_reconciliation"/>
      <sheetName val="Assumptions"/>
      <sheetName val="403"/>
      <sheetName val="FORM7"/>
      <sheetName val="Input"/>
      <sheetName val="Market_Num50"/>
      <sheetName val="Market_Num75"/>
      <sheetName val="Perf_Distribution"/>
      <sheetName val="FY01_Model"/>
      <sheetName val="Data_Sheet"/>
      <sheetName val="1-OBJ98_"/>
      <sheetName val="Broad_Refresher_Model"/>
      <sheetName val="Trial_Bal"/>
      <sheetName val="Market_Val50"/>
      <sheetName val="Market_Val75"/>
      <sheetName val="120RECV"/>
      <sheetName val="UNP-NCW "/>
      <sheetName val="Valid-List"/>
      <sheetName val="CON"/>
      <sheetName val="90-120"/>
      <sheetName val="Sheet15"/>
      <sheetName val="80JJAA"/>
      <sheetName val="35DD"/>
      <sheetName val="EXPENSES"/>
      <sheetName val="Lead"/>
      <sheetName val="April"/>
      <sheetName val="May"/>
      <sheetName val="June"/>
      <sheetName val="July"/>
      <sheetName val="August"/>
      <sheetName val="September"/>
      <sheetName val="October"/>
      <sheetName val="November"/>
      <sheetName val="December"/>
      <sheetName val="Ledger"/>
      <sheetName val="OE-MOM"/>
      <sheetName val="Monthly WIse Q2"/>
      <sheetName val="January"/>
      <sheetName val="February"/>
      <sheetName val="March"/>
      <sheetName val="January new"/>
      <sheetName val="March new"/>
      <sheetName val="Sheet2"/>
      <sheetName val="FDR-Jan-99 "/>
      <sheetName val="CMA DATA"/>
      <sheetName val="ICICI"/>
      <sheetName val="HDFC"/>
      <sheetName val="Sheet4"/>
      <sheetName val="IS - MoM-Wrkg"/>
      <sheetName val="AOP FY22"/>
      <sheetName val="Sales Summary Wkng"/>
      <sheetName val="Sheet11"/>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ow r="8">
          <cell r="U8">
            <v>242520</v>
          </cell>
        </row>
      </sheetData>
      <sheetData sheetId="13">
        <row r="8">
          <cell r="U8">
            <v>242520</v>
          </cell>
        </row>
      </sheetData>
      <sheetData sheetId="14">
        <row r="8">
          <cell r="U8">
            <v>242520</v>
          </cell>
        </row>
      </sheetData>
      <sheetData sheetId="15">
        <row r="8">
          <cell r="U8">
            <v>242520</v>
          </cell>
        </row>
      </sheetData>
      <sheetData sheetId="16">
        <row r="8">
          <cell r="U8">
            <v>242520</v>
          </cell>
        </row>
      </sheetData>
      <sheetData sheetId="17">
        <row r="8">
          <cell r="U8">
            <v>242520</v>
          </cell>
        </row>
      </sheetData>
      <sheetData sheetId="18">
        <row r="8">
          <cell r="U8">
            <v>242520</v>
          </cell>
        </row>
      </sheetData>
      <sheetData sheetId="19">
        <row r="8">
          <cell r="U8">
            <v>242520</v>
          </cell>
        </row>
      </sheetData>
      <sheetData sheetId="20">
        <row r="8">
          <cell r="U8">
            <v>242520</v>
          </cell>
        </row>
      </sheetData>
      <sheetData sheetId="21">
        <row r="8">
          <cell r="U8">
            <v>242520</v>
          </cell>
        </row>
      </sheetData>
      <sheetData sheetId="22">
        <row r="8">
          <cell r="U8">
            <v>242520</v>
          </cell>
        </row>
      </sheetData>
      <sheetData sheetId="23">
        <row r="8">
          <cell r="U8">
            <v>242520</v>
          </cell>
        </row>
      </sheetData>
      <sheetData sheetId="24"/>
      <sheetData sheetId="25"/>
      <sheetData sheetId="26"/>
      <sheetData sheetId="27"/>
      <sheetData sheetId="28"/>
      <sheetData sheetId="29"/>
      <sheetData sheetId="30"/>
      <sheetData sheetId="31">
        <row r="8">
          <cell r="U8">
            <v>242520</v>
          </cell>
        </row>
      </sheetData>
      <sheetData sheetId="32">
        <row r="8">
          <cell r="U8">
            <v>242520</v>
          </cell>
        </row>
      </sheetData>
      <sheetData sheetId="33">
        <row r="8">
          <cell r="U8">
            <v>242520</v>
          </cell>
        </row>
      </sheetData>
      <sheetData sheetId="34">
        <row r="8">
          <cell r="U8">
            <v>242520</v>
          </cell>
        </row>
      </sheetData>
      <sheetData sheetId="35">
        <row r="8">
          <cell r="U8">
            <v>242520</v>
          </cell>
        </row>
      </sheetData>
      <sheetData sheetId="36">
        <row r="8">
          <cell r="U8">
            <v>242520</v>
          </cell>
        </row>
      </sheetData>
      <sheetData sheetId="37">
        <row r="8">
          <cell r="U8">
            <v>242520</v>
          </cell>
        </row>
      </sheetData>
      <sheetData sheetId="38">
        <row r="8">
          <cell r="U8">
            <v>242520</v>
          </cell>
        </row>
      </sheetData>
      <sheetData sheetId="39">
        <row r="8">
          <cell r="U8">
            <v>242520</v>
          </cell>
        </row>
      </sheetData>
      <sheetData sheetId="40">
        <row r="8">
          <cell r="U8">
            <v>242520</v>
          </cell>
        </row>
      </sheetData>
      <sheetData sheetId="41">
        <row r="8">
          <cell r="U8">
            <v>242520</v>
          </cell>
        </row>
      </sheetData>
      <sheetData sheetId="42">
        <row r="8">
          <cell r="U8">
            <v>242520</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8">
          <cell r="U8">
            <v>242520</v>
          </cell>
        </row>
      </sheetData>
      <sheetData sheetId="54"/>
      <sheetData sheetId="55"/>
      <sheetData sheetId="56"/>
      <sheetData sheetId="57"/>
      <sheetData sheetId="58"/>
      <sheetData sheetId="59">
        <row r="8">
          <cell r="U8">
            <v>242520</v>
          </cell>
        </row>
      </sheetData>
      <sheetData sheetId="60">
        <row r="8">
          <cell r="U8">
            <v>242520</v>
          </cell>
        </row>
      </sheetData>
      <sheetData sheetId="61">
        <row r="8">
          <cell r="U8">
            <v>242520</v>
          </cell>
        </row>
      </sheetData>
      <sheetData sheetId="62">
        <row r="8">
          <cell r="U8">
            <v>242520</v>
          </cell>
        </row>
      </sheetData>
      <sheetData sheetId="63">
        <row r="8">
          <cell r="U8">
            <v>242520</v>
          </cell>
        </row>
      </sheetData>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A"/>
      <sheetName val="Data"/>
      <sheetName val="FX"/>
      <sheetName val="Instructions"/>
      <sheetName val="Control"/>
      <sheetName val="CDR"/>
      <sheetName val="STAT"/>
      <sheetName val="Write Offs"/>
      <sheetName val="SUMMARY"/>
      <sheetName val="Expense Summary"/>
      <sheetName val="PRM"/>
      <sheetName val="NI 02SI vs 01ACT"/>
      <sheetName val="NI 02SI vs 02OP"/>
      <sheetName val="NI LRF"/>
      <sheetName val="NI_NEA Walk"/>
      <sheetName val="Cost Walk ACT01 v SI05"/>
      <sheetName val="HCWalk ACT01 v SI05"/>
      <sheetName val="Acquisition"/>
      <sheetName val="ERROR"/>
    </sheetNames>
    <sheetDataSet>
      <sheetData sheetId="0" refreshError="1"/>
      <sheetData sheetId="1" refreshError="1">
        <row r="1">
          <cell r="B1" t="str">
            <v>Q101A</v>
          </cell>
          <cell r="C1" t="str">
            <v>Q201A</v>
          </cell>
          <cell r="D1" t="str">
            <v>Q301A</v>
          </cell>
          <cell r="E1" t="str">
            <v>Q401A</v>
          </cell>
          <cell r="F1" t="str">
            <v>FY01A</v>
          </cell>
          <cell r="G1" t="str">
            <v>Q102OP</v>
          </cell>
          <cell r="H1" t="str">
            <v>Q202OP</v>
          </cell>
          <cell r="I1" t="str">
            <v>Q302OP</v>
          </cell>
          <cell r="J1" t="str">
            <v>Q402OP</v>
          </cell>
          <cell r="K1" t="str">
            <v>FY02OP</v>
          </cell>
          <cell r="L1" t="str">
            <v>Q102A</v>
          </cell>
          <cell r="M1" t="str">
            <v>FY02SI</v>
          </cell>
          <cell r="N1" t="str">
            <v>FY03SI</v>
          </cell>
          <cell r="O1" t="str">
            <v>FY04SI</v>
          </cell>
        </row>
        <row r="2">
          <cell r="A2" t="str">
            <v>ArgentinaTOTAL FINANCING RECEIVABLES</v>
          </cell>
          <cell r="B2">
            <v>15743986.779999999</v>
          </cell>
          <cell r="C2">
            <v>24805943.23</v>
          </cell>
          <cell r="D2">
            <v>31677821.079999998</v>
          </cell>
          <cell r="E2">
            <v>35936605.579999998</v>
          </cell>
          <cell r="F2">
            <v>35936605.579999998</v>
          </cell>
          <cell r="G2">
            <v>15310559.132719001</v>
          </cell>
          <cell r="H2">
            <v>10914041.689254999</v>
          </cell>
          <cell r="I2">
            <v>6213153.4913400002</v>
          </cell>
          <cell r="J2">
            <v>5098898.9601880005</v>
          </cell>
          <cell r="K2">
            <v>5098898.9601880005</v>
          </cell>
          <cell r="L2">
            <v>12375434.1</v>
          </cell>
          <cell r="M2">
            <v>92010092.817166001</v>
          </cell>
          <cell r="N2">
            <v>116165417.70951</v>
          </cell>
          <cell r="O2">
            <v>134358362.52007699</v>
          </cell>
        </row>
        <row r="3">
          <cell r="A3" t="str">
            <v>ArgentinaRECEIVABLE RESERVES</v>
          </cell>
          <cell r="B3">
            <v>-1247266</v>
          </cell>
          <cell r="C3">
            <v>-1757871.28</v>
          </cell>
          <cell r="D3">
            <v>-4591110.03</v>
          </cell>
          <cell r="E3">
            <v>-6498699.7000000002</v>
          </cell>
          <cell r="F3">
            <v>-6498699.7000000002</v>
          </cell>
          <cell r="G3">
            <v>-7386971.4927139999</v>
          </cell>
          <cell r="H3">
            <v>-7355500.5365270004</v>
          </cell>
          <cell r="I3">
            <v>-4615092.5253520003</v>
          </cell>
          <cell r="J3">
            <v>-3968422.861575</v>
          </cell>
          <cell r="K3">
            <v>-3968422.861575</v>
          </cell>
          <cell r="L3">
            <v>-5405321.3300000001</v>
          </cell>
          <cell r="M3">
            <v>-7866538.3061429998</v>
          </cell>
          <cell r="N3">
            <v>-9896453.7950929999</v>
          </cell>
          <cell r="O3">
            <v>-11312484.387264</v>
          </cell>
        </row>
        <row r="4">
          <cell r="A4" t="str">
            <v>ArgentinaCASH</v>
          </cell>
          <cell r="B4">
            <v>2467805.5699999998</v>
          </cell>
          <cell r="C4">
            <v>1931884.09</v>
          </cell>
          <cell r="D4">
            <v>2277840.14</v>
          </cell>
          <cell r="E4">
            <v>3825080.51</v>
          </cell>
          <cell r="F4">
            <v>3825080.51</v>
          </cell>
          <cell r="G4">
            <v>500000</v>
          </cell>
          <cell r="H4">
            <v>500000</v>
          </cell>
          <cell r="I4">
            <v>300000</v>
          </cell>
          <cell r="J4">
            <v>300000</v>
          </cell>
          <cell r="K4">
            <v>300000</v>
          </cell>
          <cell r="L4">
            <v>2964384.5</v>
          </cell>
          <cell r="M4">
            <v>1000000</v>
          </cell>
          <cell r="N4">
            <v>1000000</v>
          </cell>
          <cell r="O4">
            <v>1000000</v>
          </cell>
        </row>
        <row r="5">
          <cell r="A5" t="str">
            <v>ArgentinaINVESTMENT SECURITIES</v>
          </cell>
          <cell r="B5">
            <v>2.86</v>
          </cell>
          <cell r="C5">
            <v>2.86</v>
          </cell>
          <cell r="D5">
            <v>2.86</v>
          </cell>
          <cell r="E5">
            <v>2.86</v>
          </cell>
          <cell r="F5">
            <v>2.86</v>
          </cell>
          <cell r="G5">
            <v>0</v>
          </cell>
          <cell r="H5">
            <v>0</v>
          </cell>
          <cell r="I5">
            <v>0</v>
          </cell>
          <cell r="J5">
            <v>0</v>
          </cell>
          <cell r="K5">
            <v>0</v>
          </cell>
          <cell r="L5">
            <v>2.86</v>
          </cell>
          <cell r="M5">
            <v>0</v>
          </cell>
          <cell r="N5">
            <v>0</v>
          </cell>
          <cell r="O5">
            <v>0</v>
          </cell>
        </row>
        <row r="6">
          <cell r="A6" t="str">
            <v>ArgentinaINV IN NON CONSOL AFFILIATES</v>
          </cell>
          <cell r="B6">
            <v>0</v>
          </cell>
          <cell r="C6">
            <v>0</v>
          </cell>
          <cell r="D6">
            <v>0</v>
          </cell>
          <cell r="E6">
            <v>0</v>
          </cell>
          <cell r="F6">
            <v>0</v>
          </cell>
          <cell r="G6">
            <v>0</v>
          </cell>
          <cell r="H6">
            <v>0</v>
          </cell>
          <cell r="I6">
            <v>0</v>
          </cell>
          <cell r="J6">
            <v>0</v>
          </cell>
          <cell r="K6">
            <v>0</v>
          </cell>
          <cell r="L6">
            <v>0</v>
          </cell>
          <cell r="M6">
            <v>0</v>
          </cell>
          <cell r="N6">
            <v>0</v>
          </cell>
          <cell r="O6">
            <v>0</v>
          </cell>
        </row>
        <row r="7">
          <cell r="A7" t="str">
            <v>ArgentinaINVESTMENT IN JOINT VENTURE</v>
          </cell>
          <cell r="B7">
            <v>0</v>
          </cell>
          <cell r="C7">
            <v>0</v>
          </cell>
          <cell r="D7">
            <v>0</v>
          </cell>
          <cell r="E7">
            <v>0</v>
          </cell>
          <cell r="F7">
            <v>0</v>
          </cell>
          <cell r="G7">
            <v>0</v>
          </cell>
          <cell r="H7">
            <v>0</v>
          </cell>
          <cell r="I7">
            <v>0</v>
          </cell>
          <cell r="J7">
            <v>0</v>
          </cell>
          <cell r="K7">
            <v>0</v>
          </cell>
          <cell r="L7">
            <v>0</v>
          </cell>
          <cell r="M7">
            <v>0</v>
          </cell>
          <cell r="N7">
            <v>0</v>
          </cell>
          <cell r="O7">
            <v>0</v>
          </cell>
        </row>
        <row r="8">
          <cell r="A8" t="str">
            <v>ArgentinaALL OTHER RECEIVABLES (NON-FINANCING)</v>
          </cell>
          <cell r="B8">
            <v>815660.25</v>
          </cell>
          <cell r="C8">
            <v>1195052.3400000001</v>
          </cell>
          <cell r="D8">
            <v>1712647.29</v>
          </cell>
          <cell r="E8">
            <v>2792564.37</v>
          </cell>
          <cell r="F8">
            <v>2792564.37</v>
          </cell>
          <cell r="G8">
            <v>1363163.7567030001</v>
          </cell>
          <cell r="H8">
            <v>608979.73601800005</v>
          </cell>
          <cell r="I8">
            <v>583057.05913800001</v>
          </cell>
          <cell r="J8">
            <v>579341.26796099998</v>
          </cell>
          <cell r="K8">
            <v>579341.26796099998</v>
          </cell>
          <cell r="L8">
            <v>534817.34</v>
          </cell>
          <cell r="M8">
            <v>500000</v>
          </cell>
          <cell r="N8">
            <v>500000</v>
          </cell>
          <cell r="O8">
            <v>500000</v>
          </cell>
        </row>
        <row r="9">
          <cell r="A9" t="str">
            <v>ArgentinaELTO (NET)</v>
          </cell>
          <cell r="B9">
            <v>0</v>
          </cell>
          <cell r="C9">
            <v>0</v>
          </cell>
          <cell r="D9">
            <v>0</v>
          </cell>
          <cell r="E9">
            <v>0</v>
          </cell>
          <cell r="F9">
            <v>0</v>
          </cell>
          <cell r="G9">
            <v>0</v>
          </cell>
          <cell r="H9">
            <v>0</v>
          </cell>
          <cell r="I9">
            <v>0</v>
          </cell>
          <cell r="J9">
            <v>0</v>
          </cell>
          <cell r="K9">
            <v>0</v>
          </cell>
          <cell r="L9">
            <v>0</v>
          </cell>
          <cell r="M9">
            <v>0</v>
          </cell>
          <cell r="N9">
            <v>0</v>
          </cell>
          <cell r="O9">
            <v>0</v>
          </cell>
        </row>
        <row r="10">
          <cell r="A10" t="str">
            <v>ArgentinaGOODWILL</v>
          </cell>
          <cell r="B10">
            <v>1137436.25</v>
          </cell>
          <cell r="C10">
            <v>1103644.27</v>
          </cell>
          <cell r="D10">
            <v>1070689.23</v>
          </cell>
          <cell r="E10">
            <v>1034963.47</v>
          </cell>
          <cell r="F10">
            <v>1034963.47</v>
          </cell>
          <cell r="G10">
            <v>530750.49743600003</v>
          </cell>
          <cell r="H10">
            <v>492839.74761899997</v>
          </cell>
          <cell r="I10">
            <v>459983.76444399997</v>
          </cell>
          <cell r="J10">
            <v>440409.987234</v>
          </cell>
          <cell r="K10">
            <v>440409.987234</v>
          </cell>
          <cell r="L10">
            <v>451949.1</v>
          </cell>
          <cell r="M10">
            <v>898603.02500000002</v>
          </cell>
          <cell r="N10">
            <v>762126.8</v>
          </cell>
          <cell r="O10">
            <v>625650.57499999995</v>
          </cell>
        </row>
        <row r="11">
          <cell r="A11" t="str">
            <v>ArgentinaOTHER ASSETS</v>
          </cell>
          <cell r="B11">
            <v>6772681.5800000001</v>
          </cell>
          <cell r="C11">
            <v>6586504.7400000002</v>
          </cell>
          <cell r="D11">
            <v>6473710.3700000001</v>
          </cell>
          <cell r="E11">
            <v>6090075.7800000003</v>
          </cell>
          <cell r="F11">
            <v>6090075.7800000003</v>
          </cell>
          <cell r="G11">
            <v>3374331.1553219999</v>
          </cell>
          <cell r="H11">
            <v>3525580.4225960001</v>
          </cell>
          <cell r="I11">
            <v>3169259.1478530001</v>
          </cell>
          <cell r="J11">
            <v>2781131.2771310001</v>
          </cell>
          <cell r="K11">
            <v>2781131.2771310001</v>
          </cell>
          <cell r="L11">
            <v>2515179.2799999998</v>
          </cell>
          <cell r="M11">
            <v>7516854.1245200001</v>
          </cell>
          <cell r="N11">
            <v>6764306.3816529997</v>
          </cell>
          <cell r="O11">
            <v>5726166.410441</v>
          </cell>
        </row>
        <row r="12">
          <cell r="A12" t="str">
            <v>ArgentinaACCOUNTS PAYABLE</v>
          </cell>
          <cell r="B12">
            <v>-1973496.91</v>
          </cell>
          <cell r="C12">
            <v>-3132875.58</v>
          </cell>
          <cell r="D12">
            <v>-4723952.13</v>
          </cell>
          <cell r="E12">
            <v>-10448403.119999999</v>
          </cell>
          <cell r="F12">
            <v>-10448403.119999999</v>
          </cell>
          <cell r="G12">
            <v>-346993.00699299999</v>
          </cell>
          <cell r="H12">
            <v>-378311.68831200001</v>
          </cell>
          <cell r="I12">
            <v>-326484.84848500002</v>
          </cell>
          <cell r="J12">
            <v>-305802.70792999998</v>
          </cell>
          <cell r="K12">
            <v>-305802.70792999998</v>
          </cell>
          <cell r="L12">
            <v>-2114796.2999999998</v>
          </cell>
          <cell r="M12">
            <v>-1817833.3333330001</v>
          </cell>
          <cell r="N12">
            <v>-2070666.6666669999</v>
          </cell>
          <cell r="O12">
            <v>-2189850</v>
          </cell>
        </row>
        <row r="13">
          <cell r="A13" t="str">
            <v>ArgentinaDEFERRED INCOME TAXES</v>
          </cell>
          <cell r="B13">
            <v>-113377.17</v>
          </cell>
          <cell r="C13">
            <v>-179259.19</v>
          </cell>
          <cell r="D13">
            <v>-69942.899999999994</v>
          </cell>
          <cell r="E13">
            <v>-69837.98</v>
          </cell>
          <cell r="F13">
            <v>-69837.98</v>
          </cell>
          <cell r="G13">
            <v>-69837.98</v>
          </cell>
          <cell r="H13">
            <v>-69837.98</v>
          </cell>
          <cell r="I13">
            <v>-69837.98</v>
          </cell>
          <cell r="J13">
            <v>-69837.98</v>
          </cell>
          <cell r="K13">
            <v>-69837.98</v>
          </cell>
          <cell r="L13">
            <v>-30496.93</v>
          </cell>
          <cell r="M13">
            <v>0</v>
          </cell>
          <cell r="N13">
            <v>0</v>
          </cell>
          <cell r="O13">
            <v>0</v>
          </cell>
        </row>
        <row r="14">
          <cell r="A14" t="str">
            <v>ArgentinaWRITE-OFF (MEMO)</v>
          </cell>
          <cell r="B14">
            <v>369065.55</v>
          </cell>
          <cell r="C14">
            <v>950299.24</v>
          </cell>
          <cell r="D14">
            <v>2505457.0699999998</v>
          </cell>
          <cell r="E14">
            <v>4049007.86</v>
          </cell>
          <cell r="F14">
            <v>4049007.86</v>
          </cell>
          <cell r="G14">
            <v>1164182.8797510001</v>
          </cell>
          <cell r="H14">
            <v>3336995.52697</v>
          </cell>
          <cell r="I14">
            <v>7259947.7622109996</v>
          </cell>
          <cell r="J14">
            <v>9676375.5076930001</v>
          </cell>
          <cell r="K14">
            <v>9676375.5076930001</v>
          </cell>
          <cell r="L14">
            <v>1373903.12</v>
          </cell>
          <cell r="M14">
            <v>12341405.032873999</v>
          </cell>
          <cell r="N14">
            <v>16379186.420839</v>
          </cell>
          <cell r="O14">
            <v>20226295.581376001</v>
          </cell>
        </row>
        <row r="15">
          <cell r="A15" t="str">
            <v>ArgentinaINSURANCE RESERVES AND ANNUITY BENEFITS</v>
          </cell>
          <cell r="B15">
            <v>0</v>
          </cell>
          <cell r="C15">
            <v>0</v>
          </cell>
          <cell r="D15">
            <v>0</v>
          </cell>
          <cell r="E15">
            <v>0</v>
          </cell>
          <cell r="F15">
            <v>0</v>
          </cell>
          <cell r="G15">
            <v>0</v>
          </cell>
          <cell r="H15">
            <v>0</v>
          </cell>
          <cell r="I15">
            <v>0</v>
          </cell>
          <cell r="J15">
            <v>0</v>
          </cell>
          <cell r="K15">
            <v>0</v>
          </cell>
          <cell r="L15">
            <v>0</v>
          </cell>
          <cell r="M15">
            <v>0</v>
          </cell>
          <cell r="N15">
            <v>0</v>
          </cell>
          <cell r="O15">
            <v>0</v>
          </cell>
        </row>
        <row r="16">
          <cell r="A16" t="str">
            <v>ArgentinaALL OTHER NON DEBT LIABILITIES</v>
          </cell>
          <cell r="B16">
            <v>-698224.46</v>
          </cell>
          <cell r="C16">
            <v>-800921.57</v>
          </cell>
          <cell r="D16">
            <v>-787843.45</v>
          </cell>
          <cell r="E16">
            <v>-1037103.18</v>
          </cell>
          <cell r="F16">
            <v>-1037103.18</v>
          </cell>
          <cell r="G16">
            <v>-348204.18378800002</v>
          </cell>
          <cell r="H16">
            <v>-395869.03696</v>
          </cell>
          <cell r="I16">
            <v>-309110.67085200001</v>
          </cell>
          <cell r="J16">
            <v>-358669.365422</v>
          </cell>
          <cell r="K16">
            <v>-358669.365422</v>
          </cell>
          <cell r="L16">
            <v>-324788.32</v>
          </cell>
          <cell r="M16">
            <v>-700000</v>
          </cell>
          <cell r="N16">
            <v>-700000</v>
          </cell>
          <cell r="O16">
            <v>-700000</v>
          </cell>
        </row>
        <row r="17">
          <cell r="A17" t="str">
            <v>ArgentinaMINORITY INTEREST (BS)</v>
          </cell>
          <cell r="B17">
            <v>0</v>
          </cell>
          <cell r="C17">
            <v>0</v>
          </cell>
          <cell r="D17">
            <v>0</v>
          </cell>
          <cell r="E17">
            <v>0</v>
          </cell>
          <cell r="F17">
            <v>0</v>
          </cell>
          <cell r="G17">
            <v>0</v>
          </cell>
          <cell r="H17">
            <v>0</v>
          </cell>
          <cell r="I17">
            <v>0</v>
          </cell>
          <cell r="J17">
            <v>0</v>
          </cell>
          <cell r="K17">
            <v>0</v>
          </cell>
          <cell r="L17">
            <v>0</v>
          </cell>
          <cell r="M17">
            <v>0</v>
          </cell>
          <cell r="N17">
            <v>0</v>
          </cell>
          <cell r="O17">
            <v>0</v>
          </cell>
        </row>
        <row r="18">
          <cell r="A18" t="str">
            <v>ArgentinaASIA PACIFIC ENI DIVIDEND</v>
          </cell>
          <cell r="B18">
            <v>0</v>
          </cell>
          <cell r="C18">
            <v>0</v>
          </cell>
          <cell r="D18">
            <v>0</v>
          </cell>
          <cell r="E18">
            <v>0</v>
          </cell>
          <cell r="F18">
            <v>0</v>
          </cell>
          <cell r="G18">
            <v>0</v>
          </cell>
          <cell r="H18">
            <v>0</v>
          </cell>
          <cell r="I18">
            <v>0</v>
          </cell>
          <cell r="J18">
            <v>0</v>
          </cell>
          <cell r="K18">
            <v>0</v>
          </cell>
          <cell r="L18">
            <v>0</v>
          </cell>
          <cell r="M18">
            <v>0</v>
          </cell>
          <cell r="N18">
            <v>0</v>
          </cell>
          <cell r="O18">
            <v>0</v>
          </cell>
        </row>
        <row r="19">
          <cell r="A19" t="str">
            <v>ArgentinaFINANCING INCOME</v>
          </cell>
          <cell r="B19">
            <v>-779571.02</v>
          </cell>
          <cell r="C19">
            <v>-1491107.81</v>
          </cell>
          <cell r="D19">
            <v>-2000966.39</v>
          </cell>
          <cell r="E19">
            <v>-2654789.3199999998</v>
          </cell>
          <cell r="F19">
            <v>-6926434.54</v>
          </cell>
          <cell r="G19">
            <v>-1299029.261674</v>
          </cell>
          <cell r="H19">
            <v>-773039.15592599998</v>
          </cell>
          <cell r="I19">
            <v>-400156.35772099998</v>
          </cell>
          <cell r="J19">
            <v>-209607.443462</v>
          </cell>
          <cell r="K19">
            <v>-2681832.2187819998</v>
          </cell>
          <cell r="L19">
            <v>-1620625.38</v>
          </cell>
          <cell r="M19">
            <v>-22476925.927221999</v>
          </cell>
          <cell r="N19">
            <v>-34863087.818259999</v>
          </cell>
          <cell r="O19">
            <v>-41795691.743766002</v>
          </cell>
        </row>
        <row r="20">
          <cell r="A20" t="str">
            <v>ArgentinaINSURANCE PREMIUM INCOME</v>
          </cell>
          <cell r="B20">
            <v>0</v>
          </cell>
          <cell r="C20">
            <v>0</v>
          </cell>
          <cell r="D20">
            <v>0</v>
          </cell>
          <cell r="E20">
            <v>0</v>
          </cell>
          <cell r="F20">
            <v>0</v>
          </cell>
          <cell r="G20">
            <v>0</v>
          </cell>
          <cell r="H20">
            <v>0</v>
          </cell>
          <cell r="I20">
            <v>0</v>
          </cell>
          <cell r="J20">
            <v>0</v>
          </cell>
          <cell r="K20">
            <v>0</v>
          </cell>
          <cell r="L20">
            <v>0</v>
          </cell>
          <cell r="M20">
            <v>0</v>
          </cell>
          <cell r="N20">
            <v>0</v>
          </cell>
          <cell r="O20">
            <v>0</v>
          </cell>
        </row>
        <row r="21">
          <cell r="A21" t="str">
            <v>ArgentinaINSURANCE INCOME (COMMISSIONS)</v>
          </cell>
          <cell r="B21">
            <v>0</v>
          </cell>
          <cell r="C21">
            <v>0</v>
          </cell>
          <cell r="D21">
            <v>0</v>
          </cell>
          <cell r="E21">
            <v>0</v>
          </cell>
          <cell r="F21">
            <v>0</v>
          </cell>
          <cell r="G21">
            <v>0</v>
          </cell>
          <cell r="H21">
            <v>0</v>
          </cell>
          <cell r="I21">
            <v>0</v>
          </cell>
          <cell r="J21">
            <v>0</v>
          </cell>
          <cell r="K21">
            <v>0</v>
          </cell>
          <cell r="L21">
            <v>0</v>
          </cell>
          <cell r="M21">
            <v>0</v>
          </cell>
          <cell r="N21">
            <v>0</v>
          </cell>
          <cell r="O21">
            <v>0</v>
          </cell>
        </row>
        <row r="22">
          <cell r="A22" t="str">
            <v>ArgentinaSUNDRY INCOME</v>
          </cell>
          <cell r="B22">
            <v>-449798.74</v>
          </cell>
          <cell r="C22">
            <v>-732883.36</v>
          </cell>
          <cell r="D22">
            <v>-1110156.54</v>
          </cell>
          <cell r="E22">
            <v>-1841387.08</v>
          </cell>
          <cell r="F22">
            <v>-4134225.72</v>
          </cell>
          <cell r="G22">
            <v>-768546.44120899995</v>
          </cell>
          <cell r="H22">
            <v>-503577.55906699999</v>
          </cell>
          <cell r="I22">
            <v>-337909.14437699999</v>
          </cell>
          <cell r="J22">
            <v>-193949.504117</v>
          </cell>
          <cell r="K22">
            <v>-1803982.6487700001</v>
          </cell>
          <cell r="L22">
            <v>-1426244.39</v>
          </cell>
          <cell r="M22">
            <v>-16991097.202203002</v>
          </cell>
          <cell r="N22">
            <v>-26687542.360234</v>
          </cell>
          <cell r="O22">
            <v>-33120438.553468</v>
          </cell>
        </row>
        <row r="23">
          <cell r="A23" t="str">
            <v>ArgentinaINTEREST EXPENSE</v>
          </cell>
          <cell r="B23">
            <v>419795.67</v>
          </cell>
          <cell r="C23">
            <v>618068.93999999994</v>
          </cell>
          <cell r="D23">
            <v>1710894.66</v>
          </cell>
          <cell r="E23">
            <v>3932304.63</v>
          </cell>
          <cell r="F23">
            <v>6681063.9000000004</v>
          </cell>
          <cell r="G23">
            <v>711570.14327799994</v>
          </cell>
          <cell r="H23">
            <v>283615.17023799999</v>
          </cell>
          <cell r="I23">
            <v>220011.47369700001</v>
          </cell>
          <cell r="J23">
            <v>210091.06858200001</v>
          </cell>
          <cell r="K23">
            <v>1425287.855795</v>
          </cell>
          <cell r="L23">
            <v>291579.21999999997</v>
          </cell>
          <cell r="M23">
            <v>8939037.3463059999</v>
          </cell>
          <cell r="N23">
            <v>12697434.322634</v>
          </cell>
          <cell r="O23">
            <v>14966471.36741</v>
          </cell>
        </row>
        <row r="24">
          <cell r="A24" t="str">
            <v>ArgentinaINTEREST EXPENSE REDUCTIONS / BUS SHARING</v>
          </cell>
          <cell r="B24">
            <v>0</v>
          </cell>
          <cell r="C24">
            <v>0</v>
          </cell>
          <cell r="D24">
            <v>0</v>
          </cell>
          <cell r="E24">
            <v>0</v>
          </cell>
          <cell r="F24">
            <v>0</v>
          </cell>
          <cell r="G24">
            <v>0</v>
          </cell>
          <cell r="H24">
            <v>0</v>
          </cell>
          <cell r="I24">
            <v>0</v>
          </cell>
          <cell r="J24">
            <v>0</v>
          </cell>
          <cell r="K24">
            <v>0</v>
          </cell>
          <cell r="L24">
            <v>0</v>
          </cell>
          <cell r="M24">
            <v>0</v>
          </cell>
          <cell r="N24">
            <v>0</v>
          </cell>
          <cell r="O24">
            <v>0</v>
          </cell>
        </row>
        <row r="25">
          <cell r="A25" t="str">
            <v>ArgentinaALLOCATED COST OF PREFERRED EQUITY</v>
          </cell>
          <cell r="B25">
            <v>2168.9499999999998</v>
          </cell>
          <cell r="C25">
            <v>2747.02</v>
          </cell>
          <cell r="D25">
            <v>2546.79</v>
          </cell>
          <cell r="E25">
            <v>1776.21</v>
          </cell>
          <cell r="F25">
            <v>9238.9699999999993</v>
          </cell>
          <cell r="G25">
            <v>2500</v>
          </cell>
          <cell r="H25">
            <v>2500</v>
          </cell>
          <cell r="I25">
            <v>2500</v>
          </cell>
          <cell r="J25">
            <v>2500</v>
          </cell>
          <cell r="K25">
            <v>10000</v>
          </cell>
          <cell r="L25">
            <v>777</v>
          </cell>
          <cell r="M25">
            <v>47926.487547999997</v>
          </cell>
          <cell r="N25">
            <v>68077.065168000001</v>
          </cell>
          <cell r="O25">
            <v>80242.466369000002</v>
          </cell>
        </row>
        <row r="26">
          <cell r="A26" t="str">
            <v>ArgentinaSALARIES &amp; BENEFITS</v>
          </cell>
          <cell r="B26">
            <v>1146029.22</v>
          </cell>
          <cell r="C26">
            <v>933137.88</v>
          </cell>
          <cell r="D26">
            <v>740194.36</v>
          </cell>
          <cell r="E26">
            <v>1012605.66</v>
          </cell>
          <cell r="F26">
            <v>3831967.12</v>
          </cell>
          <cell r="G26">
            <v>397435.897436</v>
          </cell>
          <cell r="H26">
            <v>418869.04761900002</v>
          </cell>
          <cell r="I26">
            <v>440027.77777799999</v>
          </cell>
          <cell r="J26">
            <v>453457.44680899999</v>
          </cell>
          <cell r="K26">
            <v>1709790.169641</v>
          </cell>
          <cell r="L26">
            <v>480089.33</v>
          </cell>
          <cell r="M26">
            <v>4112812.22</v>
          </cell>
          <cell r="N26">
            <v>4112812.22</v>
          </cell>
          <cell r="O26">
            <v>4112812.22</v>
          </cell>
        </row>
        <row r="27">
          <cell r="A27" t="str">
            <v>ArgentinaLOSSES ON OTHER ASSETS</v>
          </cell>
          <cell r="B27">
            <v>0</v>
          </cell>
          <cell r="C27">
            <v>0</v>
          </cell>
          <cell r="D27">
            <v>0</v>
          </cell>
          <cell r="E27">
            <v>0</v>
          </cell>
          <cell r="F27">
            <v>0</v>
          </cell>
          <cell r="G27">
            <v>0</v>
          </cell>
          <cell r="H27">
            <v>0</v>
          </cell>
          <cell r="I27">
            <v>0</v>
          </cell>
          <cell r="J27">
            <v>0</v>
          </cell>
          <cell r="K27">
            <v>0</v>
          </cell>
          <cell r="L27">
            <v>0</v>
          </cell>
          <cell r="M27">
            <v>0</v>
          </cell>
          <cell r="N27">
            <v>0</v>
          </cell>
          <cell r="O27">
            <v>0</v>
          </cell>
        </row>
        <row r="28">
          <cell r="A28" t="str">
            <v>ArgentinaCOST OF GOODS SOLD</v>
          </cell>
          <cell r="B28">
            <v>0</v>
          </cell>
          <cell r="C28">
            <v>0</v>
          </cell>
          <cell r="D28">
            <v>0</v>
          </cell>
          <cell r="E28">
            <v>0</v>
          </cell>
          <cell r="F28">
            <v>0</v>
          </cell>
          <cell r="G28">
            <v>0</v>
          </cell>
          <cell r="H28">
            <v>0</v>
          </cell>
          <cell r="I28">
            <v>0</v>
          </cell>
          <cell r="J28">
            <v>0</v>
          </cell>
          <cell r="K28">
            <v>0</v>
          </cell>
          <cell r="L28">
            <v>0</v>
          </cell>
          <cell r="M28">
            <v>0</v>
          </cell>
          <cell r="N28">
            <v>0</v>
          </cell>
          <cell r="O28">
            <v>0</v>
          </cell>
        </row>
        <row r="29">
          <cell r="A29" t="str">
            <v>ArgentinaCOST OF GOODS SOLD - DISTRIBUTION</v>
          </cell>
          <cell r="B29">
            <v>0</v>
          </cell>
          <cell r="C29">
            <v>0</v>
          </cell>
          <cell r="D29">
            <v>0</v>
          </cell>
          <cell r="E29">
            <v>0</v>
          </cell>
          <cell r="F29">
            <v>0</v>
          </cell>
          <cell r="G29">
            <v>0</v>
          </cell>
          <cell r="H29">
            <v>0</v>
          </cell>
          <cell r="I29">
            <v>0</v>
          </cell>
          <cell r="J29">
            <v>0</v>
          </cell>
          <cell r="K29">
            <v>0</v>
          </cell>
          <cell r="L29">
            <v>0</v>
          </cell>
          <cell r="M29">
            <v>0</v>
          </cell>
          <cell r="N29">
            <v>0</v>
          </cell>
          <cell r="O29">
            <v>0</v>
          </cell>
        </row>
        <row r="30">
          <cell r="A30" t="str">
            <v>ArgentinaPOSTAGE</v>
          </cell>
          <cell r="B30">
            <v>55125.53</v>
          </cell>
          <cell r="C30">
            <v>73062.64</v>
          </cell>
          <cell r="D30">
            <v>101135.82</v>
          </cell>
          <cell r="E30">
            <v>102545.1</v>
          </cell>
          <cell r="F30">
            <v>331869.09000000003</v>
          </cell>
          <cell r="G30">
            <v>68998.086076000007</v>
          </cell>
          <cell r="H30">
            <v>60900.210358999997</v>
          </cell>
          <cell r="I30">
            <v>57934.308561999998</v>
          </cell>
          <cell r="J30">
            <v>61387.879034999998</v>
          </cell>
          <cell r="K30">
            <v>249220.48403299999</v>
          </cell>
          <cell r="L30">
            <v>64487.06</v>
          </cell>
          <cell r="M30">
            <v>1592342.8151789999</v>
          </cell>
          <cell r="N30">
            <v>2362030.9716579998</v>
          </cell>
          <cell r="O30">
            <v>2917373.7806699998</v>
          </cell>
        </row>
        <row r="31">
          <cell r="A31" t="str">
            <v>ArgentinaTELEPHONE</v>
          </cell>
          <cell r="B31">
            <v>85147.93</v>
          </cell>
          <cell r="C31">
            <v>128062.15</v>
          </cell>
          <cell r="D31">
            <v>171860.07</v>
          </cell>
          <cell r="E31">
            <v>165081.28</v>
          </cell>
          <cell r="F31">
            <v>550151.43000000005</v>
          </cell>
          <cell r="G31">
            <v>189035.74251499999</v>
          </cell>
          <cell r="H31">
            <v>210857.593693</v>
          </cell>
          <cell r="I31">
            <v>207357.593693</v>
          </cell>
          <cell r="J31">
            <v>210874.26035999999</v>
          </cell>
          <cell r="K31">
            <v>818125.19025999994</v>
          </cell>
          <cell r="L31">
            <v>99355.12</v>
          </cell>
          <cell r="M31">
            <v>403807.16884499998</v>
          </cell>
          <cell r="N31">
            <v>400400.68240300001</v>
          </cell>
          <cell r="O31">
            <v>406766.49628299999</v>
          </cell>
        </row>
        <row r="32">
          <cell r="A32" t="str">
            <v>ArgentinaCUSTOMER SERVICE / COLLECTIONS</v>
          </cell>
          <cell r="B32">
            <v>147125.47</v>
          </cell>
          <cell r="C32">
            <v>139037.22</v>
          </cell>
          <cell r="D32">
            <v>228251.31</v>
          </cell>
          <cell r="E32">
            <v>333888.02</v>
          </cell>
          <cell r="F32">
            <v>848302.02</v>
          </cell>
          <cell r="G32">
            <v>201561.07929699999</v>
          </cell>
          <cell r="H32">
            <v>277803.81557099998</v>
          </cell>
          <cell r="I32">
            <v>317386.78364099999</v>
          </cell>
          <cell r="J32">
            <v>309520.252118</v>
          </cell>
          <cell r="K32">
            <v>1106271.930626</v>
          </cell>
          <cell r="L32">
            <v>188799.55</v>
          </cell>
          <cell r="M32">
            <v>3057217.8644300001</v>
          </cell>
          <cell r="N32">
            <v>4226042.9615040002</v>
          </cell>
          <cell r="O32">
            <v>4916302.7395050004</v>
          </cell>
        </row>
        <row r="33">
          <cell r="A33" t="str">
            <v>ArgentinaSTATIONARY - OFFICE SUPPLIES</v>
          </cell>
          <cell r="B33">
            <v>34713.65</v>
          </cell>
          <cell r="C33">
            <v>32687.67</v>
          </cell>
          <cell r="D33">
            <v>48180.11</v>
          </cell>
          <cell r="E33">
            <v>29301.67</v>
          </cell>
          <cell r="F33">
            <v>144883.1</v>
          </cell>
          <cell r="G33">
            <v>18358.974359</v>
          </cell>
          <cell r="H33">
            <v>14564.752381</v>
          </cell>
          <cell r="I33">
            <v>15300.475555999999</v>
          </cell>
          <cell r="J33">
            <v>15767.446808999999</v>
          </cell>
          <cell r="K33">
            <v>63991.649103999996</v>
          </cell>
          <cell r="L33">
            <v>14183.07</v>
          </cell>
          <cell r="M33">
            <v>65407.735999999997</v>
          </cell>
          <cell r="N33">
            <v>63037.349199999997</v>
          </cell>
          <cell r="O33">
            <v>60785.481740000003</v>
          </cell>
        </row>
        <row r="34">
          <cell r="A34" t="str">
            <v>ArgentinaT&amp;L</v>
          </cell>
          <cell r="B34">
            <v>169597.91</v>
          </cell>
          <cell r="C34">
            <v>117311.39</v>
          </cell>
          <cell r="D34">
            <v>65395.46</v>
          </cell>
          <cell r="E34">
            <v>79543.27</v>
          </cell>
          <cell r="F34">
            <v>431848.03</v>
          </cell>
          <cell r="G34">
            <v>117000.11625000001</v>
          </cell>
          <cell r="H34">
            <v>83500.116250000006</v>
          </cell>
          <cell r="I34">
            <v>73500.116250000006</v>
          </cell>
          <cell r="J34">
            <v>83500.116250000006</v>
          </cell>
          <cell r="K34">
            <v>357500.46500000003</v>
          </cell>
          <cell r="L34">
            <v>74094.94</v>
          </cell>
          <cell r="M34">
            <v>337864.46850000002</v>
          </cell>
          <cell r="N34">
            <v>323471.24507499998</v>
          </cell>
          <cell r="O34">
            <v>309797.68282099999</v>
          </cell>
        </row>
        <row r="35">
          <cell r="A35" t="str">
            <v>ArgentinaRENTAL - BLDG/FACILITIES</v>
          </cell>
          <cell r="B35">
            <v>37329.56</v>
          </cell>
          <cell r="C35">
            <v>41923.97</v>
          </cell>
          <cell r="D35">
            <v>41925.39</v>
          </cell>
          <cell r="E35">
            <v>40263.82</v>
          </cell>
          <cell r="F35">
            <v>161442.74</v>
          </cell>
          <cell r="G35">
            <v>30900</v>
          </cell>
          <cell r="H35">
            <v>30900</v>
          </cell>
          <cell r="I35">
            <v>30900</v>
          </cell>
          <cell r="J35">
            <v>30900</v>
          </cell>
          <cell r="K35">
            <v>123600</v>
          </cell>
          <cell r="L35">
            <v>21311.86</v>
          </cell>
          <cell r="M35">
            <v>257640</v>
          </cell>
          <cell r="N35">
            <v>257640</v>
          </cell>
          <cell r="O35">
            <v>257640</v>
          </cell>
        </row>
        <row r="36">
          <cell r="A36" t="str">
            <v>ArgentinaRENTAL - FURNITURE/EQUIP</v>
          </cell>
          <cell r="B36">
            <v>0</v>
          </cell>
          <cell r="C36">
            <v>0</v>
          </cell>
          <cell r="D36">
            <v>0</v>
          </cell>
          <cell r="E36">
            <v>0</v>
          </cell>
          <cell r="F36">
            <v>0</v>
          </cell>
          <cell r="G36">
            <v>0</v>
          </cell>
          <cell r="H36">
            <v>0</v>
          </cell>
          <cell r="I36">
            <v>0</v>
          </cell>
          <cell r="J36">
            <v>0</v>
          </cell>
          <cell r="K36">
            <v>0</v>
          </cell>
          <cell r="L36">
            <v>0</v>
          </cell>
          <cell r="M36">
            <v>0</v>
          </cell>
          <cell r="N36">
            <v>0</v>
          </cell>
          <cell r="O36">
            <v>0</v>
          </cell>
        </row>
        <row r="37">
          <cell r="A37" t="str">
            <v>ArgentinaRENTAL - COMPUTERS</v>
          </cell>
          <cell r="B37">
            <v>0</v>
          </cell>
          <cell r="C37">
            <v>0</v>
          </cell>
          <cell r="D37">
            <v>0</v>
          </cell>
          <cell r="E37">
            <v>0</v>
          </cell>
          <cell r="F37">
            <v>0</v>
          </cell>
          <cell r="G37">
            <v>0</v>
          </cell>
          <cell r="H37">
            <v>0</v>
          </cell>
          <cell r="I37">
            <v>0</v>
          </cell>
          <cell r="J37">
            <v>0</v>
          </cell>
          <cell r="K37">
            <v>0</v>
          </cell>
          <cell r="L37">
            <v>0</v>
          </cell>
          <cell r="M37">
            <v>0</v>
          </cell>
          <cell r="N37">
            <v>0</v>
          </cell>
          <cell r="O37">
            <v>0</v>
          </cell>
        </row>
        <row r="38">
          <cell r="A38" t="str">
            <v>ArgentinaLEASE IN - LEASE OUT</v>
          </cell>
          <cell r="B38">
            <v>0</v>
          </cell>
          <cell r="C38">
            <v>0</v>
          </cell>
          <cell r="D38">
            <v>0</v>
          </cell>
          <cell r="E38">
            <v>0</v>
          </cell>
          <cell r="F38">
            <v>0</v>
          </cell>
          <cell r="G38">
            <v>0</v>
          </cell>
          <cell r="H38">
            <v>0</v>
          </cell>
          <cell r="I38">
            <v>0</v>
          </cell>
          <cell r="J38">
            <v>0</v>
          </cell>
          <cell r="K38">
            <v>0</v>
          </cell>
          <cell r="L38">
            <v>0</v>
          </cell>
          <cell r="M38">
            <v>0</v>
          </cell>
          <cell r="N38">
            <v>0</v>
          </cell>
          <cell r="O38">
            <v>0</v>
          </cell>
        </row>
        <row r="39">
          <cell r="A39" t="str">
            <v>ArgentinaFURNITURE / EQUIPMENT / COMPUTER EXP</v>
          </cell>
          <cell r="B39">
            <v>47492.58</v>
          </cell>
          <cell r="C39">
            <v>58611.38</v>
          </cell>
          <cell r="D39">
            <v>127500.33</v>
          </cell>
          <cell r="E39">
            <v>99472.68</v>
          </cell>
          <cell r="F39">
            <v>333076.96999999997</v>
          </cell>
          <cell r="G39">
            <v>112127</v>
          </cell>
          <cell r="H39">
            <v>68658</v>
          </cell>
          <cell r="I39">
            <v>84283</v>
          </cell>
          <cell r="J39">
            <v>74283</v>
          </cell>
          <cell r="K39">
            <v>339351</v>
          </cell>
          <cell r="L39">
            <v>105765.14</v>
          </cell>
          <cell r="M39">
            <v>238412</v>
          </cell>
          <cell r="N39">
            <v>238412</v>
          </cell>
          <cell r="O39">
            <v>238412</v>
          </cell>
        </row>
        <row r="40">
          <cell r="A40" t="str">
            <v>ArgentinaSOFTWARE EXPENSE</v>
          </cell>
          <cell r="B40">
            <v>0</v>
          </cell>
          <cell r="C40">
            <v>0</v>
          </cell>
          <cell r="D40">
            <v>0</v>
          </cell>
          <cell r="E40">
            <v>0</v>
          </cell>
          <cell r="F40">
            <v>0</v>
          </cell>
          <cell r="G40">
            <v>47695.728204999999</v>
          </cell>
          <cell r="H40">
            <v>49592.461904999996</v>
          </cell>
          <cell r="I40">
            <v>48619.631111000002</v>
          </cell>
          <cell r="J40">
            <v>48784.753191000003</v>
          </cell>
          <cell r="K40">
            <v>194692.57441199999</v>
          </cell>
          <cell r="L40">
            <v>0</v>
          </cell>
          <cell r="M40">
            <v>486238.91646699997</v>
          </cell>
          <cell r="N40">
            <v>486238.91646699997</v>
          </cell>
          <cell r="O40">
            <v>486238.91646699997</v>
          </cell>
        </row>
        <row r="41">
          <cell r="A41" t="str">
            <v>ArgentinaAMORTIZATION OF INTANGIBLES</v>
          </cell>
          <cell r="B41">
            <v>153170.98000000001</v>
          </cell>
          <cell r="C41">
            <v>181651</v>
          </cell>
          <cell r="D41">
            <v>187042.97</v>
          </cell>
          <cell r="E41">
            <v>171191.59</v>
          </cell>
          <cell r="F41">
            <v>693056.54</v>
          </cell>
          <cell r="G41">
            <v>61069.500675000003</v>
          </cell>
          <cell r="H41">
            <v>62336.105889999999</v>
          </cell>
          <cell r="I41">
            <v>64704.254386000001</v>
          </cell>
          <cell r="J41">
            <v>65703.854049999994</v>
          </cell>
          <cell r="K41">
            <v>253813.715</v>
          </cell>
          <cell r="L41">
            <v>121561.34</v>
          </cell>
          <cell r="M41">
            <v>754000</v>
          </cell>
          <cell r="N41">
            <v>684000</v>
          </cell>
          <cell r="O41">
            <v>684000</v>
          </cell>
        </row>
        <row r="42">
          <cell r="A42" t="str">
            <v>ArgentinaELTO MAINTENANCE</v>
          </cell>
          <cell r="B42">
            <v>0</v>
          </cell>
          <cell r="C42">
            <v>0</v>
          </cell>
          <cell r="D42">
            <v>0</v>
          </cell>
          <cell r="E42">
            <v>0</v>
          </cell>
          <cell r="F42">
            <v>0</v>
          </cell>
          <cell r="G42">
            <v>0</v>
          </cell>
          <cell r="H42">
            <v>0</v>
          </cell>
          <cell r="I42">
            <v>0</v>
          </cell>
          <cell r="J42">
            <v>0</v>
          </cell>
          <cell r="K42">
            <v>0</v>
          </cell>
          <cell r="L42">
            <v>0</v>
          </cell>
          <cell r="M42">
            <v>0</v>
          </cell>
          <cell r="N42">
            <v>0</v>
          </cell>
          <cell r="O42">
            <v>0</v>
          </cell>
        </row>
        <row r="43">
          <cell r="A43" t="str">
            <v>ArgentinaELTO OTHER</v>
          </cell>
          <cell r="B43">
            <v>0</v>
          </cell>
          <cell r="C43">
            <v>0</v>
          </cell>
          <cell r="D43">
            <v>0</v>
          </cell>
          <cell r="E43">
            <v>0</v>
          </cell>
          <cell r="F43">
            <v>0</v>
          </cell>
          <cell r="G43">
            <v>0</v>
          </cell>
          <cell r="H43">
            <v>0</v>
          </cell>
          <cell r="I43">
            <v>0</v>
          </cell>
          <cell r="J43">
            <v>0</v>
          </cell>
          <cell r="K43">
            <v>0</v>
          </cell>
          <cell r="L43">
            <v>0</v>
          </cell>
          <cell r="M43">
            <v>0</v>
          </cell>
          <cell r="N43">
            <v>0</v>
          </cell>
          <cell r="O43">
            <v>0</v>
          </cell>
        </row>
        <row r="44">
          <cell r="A44" t="str">
            <v>ArgentinaLEGAL</v>
          </cell>
          <cell r="B44">
            <v>18234.79</v>
          </cell>
          <cell r="C44">
            <v>29325.79</v>
          </cell>
          <cell r="D44">
            <v>56278.47</v>
          </cell>
          <cell r="E44">
            <v>82181.919999999998</v>
          </cell>
          <cell r="F44">
            <v>186020.97</v>
          </cell>
          <cell r="G44">
            <v>60256.227500000001</v>
          </cell>
          <cell r="H44">
            <v>61256.227500000001</v>
          </cell>
          <cell r="I44">
            <v>63756.227500000001</v>
          </cell>
          <cell r="J44">
            <v>64756.227500000001</v>
          </cell>
          <cell r="K44">
            <v>250024.91</v>
          </cell>
          <cell r="L44">
            <v>50128.41</v>
          </cell>
          <cell r="M44">
            <v>144400</v>
          </cell>
          <cell r="N44">
            <v>137180</v>
          </cell>
          <cell r="O44">
            <v>130321</v>
          </cell>
        </row>
        <row r="45">
          <cell r="A45" t="str">
            <v>ArgentinaADVERTISING</v>
          </cell>
          <cell r="B45">
            <v>45418.92</v>
          </cell>
          <cell r="C45">
            <v>49739.59</v>
          </cell>
          <cell r="D45">
            <v>68782.490000000005</v>
          </cell>
          <cell r="E45">
            <v>75481.649999999994</v>
          </cell>
          <cell r="F45">
            <v>239422.65</v>
          </cell>
          <cell r="G45">
            <v>19337.273964</v>
          </cell>
          <cell r="H45">
            <v>16362.834814</v>
          </cell>
          <cell r="I45">
            <v>17189.386235000002</v>
          </cell>
          <cell r="J45">
            <v>17714.007132999999</v>
          </cell>
          <cell r="K45">
            <v>70603.502145000006</v>
          </cell>
          <cell r="L45">
            <v>31541.38</v>
          </cell>
          <cell r="M45">
            <v>1061487.6479470001</v>
          </cell>
          <cell r="N45">
            <v>1343106.8913090001</v>
          </cell>
          <cell r="O45">
            <v>1499790.3040159999</v>
          </cell>
        </row>
        <row r="46">
          <cell r="A46" t="str">
            <v>ArgentinaSALES PROMOTIONS</v>
          </cell>
          <cell r="B46">
            <v>0</v>
          </cell>
          <cell r="C46">
            <v>0</v>
          </cell>
          <cell r="D46">
            <v>0</v>
          </cell>
          <cell r="E46">
            <v>0</v>
          </cell>
          <cell r="F46">
            <v>0</v>
          </cell>
          <cell r="G46">
            <v>0</v>
          </cell>
          <cell r="H46">
            <v>0</v>
          </cell>
          <cell r="I46">
            <v>0</v>
          </cell>
          <cell r="J46">
            <v>0</v>
          </cell>
          <cell r="K46">
            <v>0</v>
          </cell>
          <cell r="L46">
            <v>0</v>
          </cell>
          <cell r="M46">
            <v>0</v>
          </cell>
          <cell r="N46">
            <v>0</v>
          </cell>
          <cell r="O46">
            <v>0</v>
          </cell>
        </row>
        <row r="47">
          <cell r="A47" t="str">
            <v>ArgentinaDIRECT MAIL</v>
          </cell>
          <cell r="B47">
            <v>0</v>
          </cell>
          <cell r="C47">
            <v>0</v>
          </cell>
          <cell r="D47">
            <v>0</v>
          </cell>
          <cell r="E47">
            <v>0</v>
          </cell>
          <cell r="F47">
            <v>0</v>
          </cell>
          <cell r="G47">
            <v>0</v>
          </cell>
          <cell r="H47">
            <v>0</v>
          </cell>
          <cell r="I47">
            <v>0</v>
          </cell>
          <cell r="J47">
            <v>0</v>
          </cell>
          <cell r="K47">
            <v>0</v>
          </cell>
          <cell r="L47">
            <v>0</v>
          </cell>
          <cell r="M47">
            <v>0</v>
          </cell>
          <cell r="N47">
            <v>0</v>
          </cell>
          <cell r="O47">
            <v>0</v>
          </cell>
        </row>
        <row r="48">
          <cell r="A48" t="str">
            <v>ArgentinaDATA PROCESSING</v>
          </cell>
          <cell r="B48">
            <v>127332.98</v>
          </cell>
          <cell r="C48">
            <v>158854.09</v>
          </cell>
          <cell r="D48">
            <v>201201.68</v>
          </cell>
          <cell r="E48">
            <v>252556.24</v>
          </cell>
          <cell r="F48">
            <v>739944.99</v>
          </cell>
          <cell r="G48">
            <v>113131.299981</v>
          </cell>
          <cell r="H48">
            <v>94612.824676000004</v>
          </cell>
          <cell r="I48">
            <v>92746.605070000005</v>
          </cell>
          <cell r="J48">
            <v>97754.911538</v>
          </cell>
          <cell r="K48">
            <v>398245.64126499998</v>
          </cell>
          <cell r="L48">
            <v>127030.5</v>
          </cell>
          <cell r="M48">
            <v>2584518.9358339999</v>
          </cell>
          <cell r="N48">
            <v>3793833.155642</v>
          </cell>
          <cell r="O48">
            <v>4651442.4918360002</v>
          </cell>
        </row>
        <row r="49">
          <cell r="A49" t="str">
            <v>ArgentinaCONSULTING</v>
          </cell>
          <cell r="B49">
            <v>7889.65</v>
          </cell>
          <cell r="C49">
            <v>17649.66</v>
          </cell>
          <cell r="D49">
            <v>3060.73</v>
          </cell>
          <cell r="E49">
            <v>0</v>
          </cell>
          <cell r="F49">
            <v>28600.04</v>
          </cell>
          <cell r="G49">
            <v>5128.2051279999996</v>
          </cell>
          <cell r="H49">
            <v>5404.7619050000003</v>
          </cell>
          <cell r="I49">
            <v>5677.7777779999997</v>
          </cell>
          <cell r="J49">
            <v>5851.0638300000001</v>
          </cell>
          <cell r="K49">
            <v>22061.808641</v>
          </cell>
          <cell r="L49">
            <v>3273.81</v>
          </cell>
          <cell r="M49">
            <v>19000</v>
          </cell>
          <cell r="N49">
            <v>18050</v>
          </cell>
          <cell r="O49">
            <v>17147.5</v>
          </cell>
        </row>
        <row r="50">
          <cell r="A50" t="str">
            <v>ArgentinaTEMP SERVICES</v>
          </cell>
          <cell r="B50">
            <v>689332.73</v>
          </cell>
          <cell r="C50">
            <v>550666.72</v>
          </cell>
          <cell r="D50">
            <v>577252.88</v>
          </cell>
          <cell r="E50">
            <v>465218.34</v>
          </cell>
          <cell r="F50">
            <v>2282470.67</v>
          </cell>
          <cell r="G50">
            <v>296986.0845</v>
          </cell>
          <cell r="H50">
            <v>113613.390927</v>
          </cell>
          <cell r="I50">
            <v>123886.252588</v>
          </cell>
          <cell r="J50">
            <v>137878.54359700001</v>
          </cell>
          <cell r="K50">
            <v>672364.27161199995</v>
          </cell>
          <cell r="L50">
            <v>217935.62</v>
          </cell>
          <cell r="M50">
            <v>3399407.0145530002</v>
          </cell>
          <cell r="N50">
            <v>3680616.4967029998</v>
          </cell>
          <cell r="O50">
            <v>3999372.3457249999</v>
          </cell>
        </row>
        <row r="51">
          <cell r="A51" t="str">
            <v>ArgentinaGDC CHARGES</v>
          </cell>
          <cell r="B51">
            <v>0</v>
          </cell>
          <cell r="C51">
            <v>0</v>
          </cell>
          <cell r="D51">
            <v>0</v>
          </cell>
          <cell r="E51">
            <v>0</v>
          </cell>
          <cell r="F51">
            <v>0</v>
          </cell>
          <cell r="G51">
            <v>0</v>
          </cell>
          <cell r="H51">
            <v>0</v>
          </cell>
          <cell r="I51">
            <v>0</v>
          </cell>
          <cell r="J51">
            <v>0</v>
          </cell>
          <cell r="K51">
            <v>0</v>
          </cell>
          <cell r="L51">
            <v>0</v>
          </cell>
          <cell r="M51">
            <v>0</v>
          </cell>
          <cell r="N51">
            <v>0</v>
          </cell>
          <cell r="O51">
            <v>0</v>
          </cell>
        </row>
        <row r="52">
          <cell r="A52" t="str">
            <v>ArgentinaTRAINING AND EDUCATION</v>
          </cell>
          <cell r="B52">
            <v>8645.91</v>
          </cell>
          <cell r="C52">
            <v>5071.96</v>
          </cell>
          <cell r="D52">
            <v>20348.060000000001</v>
          </cell>
          <cell r="E52">
            <v>8541.99</v>
          </cell>
          <cell r="F52">
            <v>42607.92</v>
          </cell>
          <cell r="G52">
            <v>10000</v>
          </cell>
          <cell r="H52">
            <v>10000</v>
          </cell>
          <cell r="I52">
            <v>10000</v>
          </cell>
          <cell r="J52">
            <v>10000</v>
          </cell>
          <cell r="K52">
            <v>40000</v>
          </cell>
          <cell r="L52">
            <v>4511.45</v>
          </cell>
          <cell r="M52">
            <v>50000</v>
          </cell>
          <cell r="N52">
            <v>50000</v>
          </cell>
          <cell r="O52">
            <v>50000</v>
          </cell>
        </row>
        <row r="53">
          <cell r="A53" t="str">
            <v>ArgentinaOUTSIDE SERVICES  AND FEES</v>
          </cell>
          <cell r="B53">
            <v>204022.91</v>
          </cell>
          <cell r="C53">
            <v>258496.05</v>
          </cell>
          <cell r="D53">
            <v>173781.81</v>
          </cell>
          <cell r="E53">
            <v>204727.5</v>
          </cell>
          <cell r="F53">
            <v>841028.27</v>
          </cell>
          <cell r="G53">
            <v>219901.93481199999</v>
          </cell>
          <cell r="H53">
            <v>246379.32514500001</v>
          </cell>
          <cell r="I53">
            <v>259093.57650900001</v>
          </cell>
          <cell r="J53">
            <v>238207.300659</v>
          </cell>
          <cell r="K53">
            <v>963582.13712500001</v>
          </cell>
          <cell r="L53">
            <v>145468.44</v>
          </cell>
          <cell r="M53">
            <v>1890803.76982</v>
          </cell>
          <cell r="N53">
            <v>2699023.9102679999</v>
          </cell>
          <cell r="O53">
            <v>3059485.1752909999</v>
          </cell>
        </row>
        <row r="54">
          <cell r="A54" t="str">
            <v>ArgentinaSTATE, FOREIGN, LOCAL TAXES</v>
          </cell>
          <cell r="B54">
            <v>59298.68</v>
          </cell>
          <cell r="C54">
            <v>136861.46</v>
          </cell>
          <cell r="D54">
            <v>127060.15</v>
          </cell>
          <cell r="E54">
            <v>177659.38</v>
          </cell>
          <cell r="F54">
            <v>500879.67</v>
          </cell>
          <cell r="G54">
            <v>104983.844534</v>
          </cell>
          <cell r="H54">
            <v>73436.277560000002</v>
          </cell>
          <cell r="I54">
            <v>54700.523534</v>
          </cell>
          <cell r="J54">
            <v>39187.644267000003</v>
          </cell>
          <cell r="K54">
            <v>272308.289896</v>
          </cell>
          <cell r="L54">
            <v>125915.01</v>
          </cell>
          <cell r="M54">
            <v>2405915.1341940002</v>
          </cell>
          <cell r="N54">
            <v>3400615.9335090001</v>
          </cell>
          <cell r="O54">
            <v>4077912.200683</v>
          </cell>
        </row>
        <row r="55">
          <cell r="A55" t="str">
            <v>ArgentinaS/L TAX - INSURANCE PREMIUMS</v>
          </cell>
          <cell r="B55">
            <v>0</v>
          </cell>
          <cell r="C55">
            <v>0</v>
          </cell>
          <cell r="D55">
            <v>0</v>
          </cell>
          <cell r="E55">
            <v>0</v>
          </cell>
          <cell r="F55">
            <v>0</v>
          </cell>
          <cell r="G55">
            <v>0</v>
          </cell>
          <cell r="H55">
            <v>0</v>
          </cell>
          <cell r="I55">
            <v>0</v>
          </cell>
          <cell r="J55">
            <v>0</v>
          </cell>
          <cell r="K55">
            <v>0</v>
          </cell>
          <cell r="L55">
            <v>0</v>
          </cell>
          <cell r="M55">
            <v>0</v>
          </cell>
          <cell r="N55">
            <v>0</v>
          </cell>
          <cell r="O55">
            <v>0</v>
          </cell>
        </row>
        <row r="56">
          <cell r="A56" t="str">
            <v>ArgentinaSATELLITE LEASE EXPENSE</v>
          </cell>
          <cell r="B56">
            <v>0</v>
          </cell>
          <cell r="C56">
            <v>0</v>
          </cell>
          <cell r="D56">
            <v>0</v>
          </cell>
          <cell r="E56">
            <v>0</v>
          </cell>
          <cell r="F56">
            <v>0</v>
          </cell>
          <cell r="G56">
            <v>0</v>
          </cell>
          <cell r="H56">
            <v>0</v>
          </cell>
          <cell r="I56">
            <v>0</v>
          </cell>
          <cell r="J56">
            <v>0</v>
          </cell>
          <cell r="K56">
            <v>0</v>
          </cell>
          <cell r="L56">
            <v>0</v>
          </cell>
          <cell r="M56">
            <v>0</v>
          </cell>
          <cell r="N56">
            <v>0</v>
          </cell>
          <cell r="O56">
            <v>0</v>
          </cell>
        </row>
        <row r="57">
          <cell r="A57" t="str">
            <v>ArgentinaBUSINESS SHARE EXPENSE</v>
          </cell>
          <cell r="B57">
            <v>0</v>
          </cell>
          <cell r="C57">
            <v>0</v>
          </cell>
          <cell r="D57">
            <v>0</v>
          </cell>
          <cell r="E57">
            <v>0</v>
          </cell>
          <cell r="F57">
            <v>0</v>
          </cell>
          <cell r="G57">
            <v>0</v>
          </cell>
          <cell r="H57">
            <v>0</v>
          </cell>
          <cell r="I57">
            <v>0</v>
          </cell>
          <cell r="J57">
            <v>0</v>
          </cell>
          <cell r="K57">
            <v>0</v>
          </cell>
          <cell r="L57">
            <v>0</v>
          </cell>
          <cell r="M57">
            <v>0</v>
          </cell>
          <cell r="N57">
            <v>0</v>
          </cell>
          <cell r="O57">
            <v>0</v>
          </cell>
        </row>
        <row r="58">
          <cell r="A58" t="str">
            <v>ArgentinaINSURANCE AFFILIATE EXPENSE</v>
          </cell>
          <cell r="B58">
            <v>0</v>
          </cell>
          <cell r="C58">
            <v>0</v>
          </cell>
          <cell r="D58">
            <v>0</v>
          </cell>
          <cell r="E58">
            <v>0</v>
          </cell>
          <cell r="F58">
            <v>0</v>
          </cell>
          <cell r="G58">
            <v>0</v>
          </cell>
          <cell r="H58">
            <v>0</v>
          </cell>
          <cell r="I58">
            <v>0</v>
          </cell>
          <cell r="J58">
            <v>0</v>
          </cell>
          <cell r="K58">
            <v>0</v>
          </cell>
          <cell r="L58">
            <v>0</v>
          </cell>
          <cell r="M58">
            <v>0</v>
          </cell>
          <cell r="N58">
            <v>0</v>
          </cell>
          <cell r="O58">
            <v>0</v>
          </cell>
        </row>
        <row r="59">
          <cell r="A59" t="str">
            <v>ArgentinaOTHER FACILITY EXPENSE</v>
          </cell>
          <cell r="B59">
            <v>24484.29</v>
          </cell>
          <cell r="C59">
            <v>34912.97</v>
          </cell>
          <cell r="D59">
            <v>47669.63</v>
          </cell>
          <cell r="E59">
            <v>35594.39</v>
          </cell>
          <cell r="F59">
            <v>142661.28</v>
          </cell>
          <cell r="G59">
            <v>12820.512821</v>
          </cell>
          <cell r="H59">
            <v>13511.904762</v>
          </cell>
          <cell r="I59">
            <v>14194.444444000001</v>
          </cell>
          <cell r="J59">
            <v>40526.862027000003</v>
          </cell>
          <cell r="K59">
            <v>81053.724054000006</v>
          </cell>
          <cell r="L59">
            <v>21653.73</v>
          </cell>
          <cell r="M59">
            <v>161800</v>
          </cell>
          <cell r="N59">
            <v>160850</v>
          </cell>
          <cell r="O59">
            <v>159947.5</v>
          </cell>
        </row>
        <row r="60">
          <cell r="A60" t="str">
            <v>ArgentinaGROSS OP &amp; ADMIN BUS SHARE</v>
          </cell>
          <cell r="B60">
            <v>0</v>
          </cell>
          <cell r="C60">
            <v>0</v>
          </cell>
          <cell r="D60">
            <v>0</v>
          </cell>
          <cell r="E60">
            <v>0</v>
          </cell>
          <cell r="F60">
            <v>0</v>
          </cell>
          <cell r="G60">
            <v>0</v>
          </cell>
          <cell r="H60">
            <v>0</v>
          </cell>
          <cell r="I60">
            <v>0</v>
          </cell>
          <cell r="J60">
            <v>0</v>
          </cell>
          <cell r="K60">
            <v>0</v>
          </cell>
          <cell r="L60">
            <v>0</v>
          </cell>
          <cell r="M60">
            <v>0</v>
          </cell>
          <cell r="N60">
            <v>0</v>
          </cell>
          <cell r="O60">
            <v>0</v>
          </cell>
        </row>
        <row r="61">
          <cell r="A61" t="str">
            <v>ArgentinaOTHER EXPENSE</v>
          </cell>
          <cell r="B61">
            <v>23971.72</v>
          </cell>
          <cell r="C61">
            <v>35625.67</v>
          </cell>
          <cell r="D61">
            <v>28253.18</v>
          </cell>
          <cell r="E61">
            <v>71649.679999999993</v>
          </cell>
          <cell r="F61">
            <v>159500.25</v>
          </cell>
          <cell r="G61">
            <v>15282.051282</v>
          </cell>
          <cell r="H61">
            <v>16106.190476</v>
          </cell>
          <cell r="I61">
            <v>16919.777778</v>
          </cell>
          <cell r="J61">
            <v>17436.170213000001</v>
          </cell>
          <cell r="K61">
            <v>65744.189748999997</v>
          </cell>
          <cell r="L61">
            <v>13868.12</v>
          </cell>
          <cell r="M61">
            <v>0</v>
          </cell>
          <cell r="N61">
            <v>0</v>
          </cell>
          <cell r="O61">
            <v>0</v>
          </cell>
        </row>
        <row r="62">
          <cell r="A62" t="str">
            <v>ArgentinaGECC INTERCO EXPENSES EXCL GECIS</v>
          </cell>
          <cell r="B62">
            <v>0</v>
          </cell>
          <cell r="C62">
            <v>0</v>
          </cell>
          <cell r="D62">
            <v>0</v>
          </cell>
          <cell r="E62">
            <v>0</v>
          </cell>
          <cell r="F62">
            <v>0</v>
          </cell>
          <cell r="G62">
            <v>0</v>
          </cell>
          <cell r="H62">
            <v>0</v>
          </cell>
          <cell r="I62">
            <v>0</v>
          </cell>
          <cell r="J62">
            <v>0</v>
          </cell>
          <cell r="K62">
            <v>0</v>
          </cell>
          <cell r="L62">
            <v>0</v>
          </cell>
          <cell r="M62">
            <v>0</v>
          </cell>
          <cell r="N62">
            <v>0</v>
          </cell>
          <cell r="O62">
            <v>0</v>
          </cell>
        </row>
        <row r="63">
          <cell r="A63" t="str">
            <v>ArgentinaGECIS INTERCO CHARGES</v>
          </cell>
          <cell r="B63">
            <v>0</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ArgentinaLOSS ADJUSTED EXPENSE</v>
          </cell>
          <cell r="B64">
            <v>0</v>
          </cell>
          <cell r="C64">
            <v>0</v>
          </cell>
          <cell r="D64">
            <v>0</v>
          </cell>
          <cell r="E64">
            <v>0</v>
          </cell>
          <cell r="F64">
            <v>0</v>
          </cell>
          <cell r="G64">
            <v>0</v>
          </cell>
          <cell r="H64">
            <v>0</v>
          </cell>
          <cell r="I64">
            <v>0</v>
          </cell>
          <cell r="J64">
            <v>0</v>
          </cell>
          <cell r="K64">
            <v>0</v>
          </cell>
          <cell r="L64">
            <v>0</v>
          </cell>
          <cell r="M64">
            <v>0</v>
          </cell>
          <cell r="N64">
            <v>0</v>
          </cell>
          <cell r="O64">
            <v>0</v>
          </cell>
        </row>
        <row r="65">
          <cell r="A65" t="str">
            <v>ArgentinaALL OTHER EXPENSES</v>
          </cell>
          <cell r="B65">
            <v>0</v>
          </cell>
          <cell r="C65">
            <v>0</v>
          </cell>
          <cell r="D65">
            <v>0</v>
          </cell>
          <cell r="E65">
            <v>0</v>
          </cell>
          <cell r="F65">
            <v>0</v>
          </cell>
          <cell r="G65">
            <v>0</v>
          </cell>
          <cell r="H65">
            <v>0</v>
          </cell>
          <cell r="I65">
            <v>0</v>
          </cell>
          <cell r="J65">
            <v>0</v>
          </cell>
          <cell r="K65">
            <v>0</v>
          </cell>
          <cell r="L65">
            <v>0</v>
          </cell>
          <cell r="M65">
            <v>0</v>
          </cell>
          <cell r="N65">
            <v>0</v>
          </cell>
          <cell r="O65">
            <v>0</v>
          </cell>
        </row>
        <row r="66">
          <cell r="A66" t="str">
            <v>ArgentinaASSESSMENTS</v>
          </cell>
          <cell r="B66">
            <v>42480.93</v>
          </cell>
          <cell r="C66">
            <v>40866.49</v>
          </cell>
          <cell r="D66">
            <v>45441.54</v>
          </cell>
          <cell r="E66">
            <v>36990.33</v>
          </cell>
          <cell r="F66">
            <v>165779.29</v>
          </cell>
          <cell r="G66">
            <v>38910.962382999998</v>
          </cell>
          <cell r="H66">
            <v>38910.962382999998</v>
          </cell>
          <cell r="I66">
            <v>38910.962382999998</v>
          </cell>
          <cell r="J66">
            <v>38910.962382999998</v>
          </cell>
          <cell r="K66">
            <v>155643.84953100001</v>
          </cell>
          <cell r="L66">
            <v>35860.04</v>
          </cell>
          <cell r="M66">
            <v>225212.62190100001</v>
          </cell>
          <cell r="N66">
            <v>304436.13258600002</v>
          </cell>
          <cell r="O66">
            <v>350019.466075</v>
          </cell>
        </row>
        <row r="67">
          <cell r="A67" t="str">
            <v>ArgentinaFAS 91</v>
          </cell>
          <cell r="B67">
            <v>-514134.45</v>
          </cell>
          <cell r="C67">
            <v>-450155.65</v>
          </cell>
          <cell r="D67">
            <v>-448602.75</v>
          </cell>
          <cell r="E67">
            <v>-347516.61</v>
          </cell>
          <cell r="F67">
            <v>-1760409.46</v>
          </cell>
          <cell r="G67">
            <v>-105456.601991</v>
          </cell>
          <cell r="H67">
            <v>-51784.798498999997</v>
          </cell>
          <cell r="I67">
            <v>-54934.449041</v>
          </cell>
          <cell r="J67">
            <v>-58513.172943999998</v>
          </cell>
          <cell r="K67">
            <v>-270689.02247600001</v>
          </cell>
          <cell r="L67">
            <v>-73026.149999999994</v>
          </cell>
          <cell r="M67">
            <v>-2565674.9153300002</v>
          </cell>
          <cell r="N67">
            <v>-2886943.2513310001</v>
          </cell>
          <cell r="O67">
            <v>-3174757.6060370002</v>
          </cell>
        </row>
        <row r="68">
          <cell r="A68" t="str">
            <v>ArgentinaGOODWILL AMORTIZATION</v>
          </cell>
          <cell r="B68">
            <v>34134.449999999997</v>
          </cell>
          <cell r="C68">
            <v>34131.06</v>
          </cell>
          <cell r="D68">
            <v>34132.17</v>
          </cell>
          <cell r="E68">
            <v>34140.18</v>
          </cell>
          <cell r="F68">
            <v>136537.85999999999</v>
          </cell>
          <cell r="G68">
            <v>0</v>
          </cell>
          <cell r="H68">
            <v>0</v>
          </cell>
          <cell r="I68">
            <v>0</v>
          </cell>
          <cell r="J68">
            <v>0</v>
          </cell>
          <cell r="K68">
            <v>0</v>
          </cell>
          <cell r="L68">
            <v>0</v>
          </cell>
          <cell r="M68">
            <v>136476.22500000001</v>
          </cell>
          <cell r="N68">
            <v>136476.22500000001</v>
          </cell>
          <cell r="O68">
            <v>136476.22500000001</v>
          </cell>
        </row>
        <row r="69">
          <cell r="A69" t="str">
            <v>ArgentinaDEPRECIATION EXPENSE</v>
          </cell>
          <cell r="B69">
            <v>76197.3</v>
          </cell>
          <cell r="C69">
            <v>82118.12</v>
          </cell>
          <cell r="D69">
            <v>92383.16</v>
          </cell>
          <cell r="E69">
            <v>97118.67</v>
          </cell>
          <cell r="F69">
            <v>347817.25</v>
          </cell>
          <cell r="G69">
            <v>51600.830769</v>
          </cell>
          <cell r="H69">
            <v>51276.707936999999</v>
          </cell>
          <cell r="I69">
            <v>47961.964443999997</v>
          </cell>
          <cell r="J69">
            <v>45919.842553000002</v>
          </cell>
          <cell r="K69">
            <v>196759.345703</v>
          </cell>
          <cell r="L69">
            <v>57778.55</v>
          </cell>
          <cell r="M69">
            <v>509771.454333</v>
          </cell>
          <cell r="N69">
            <v>513638.12099999998</v>
          </cell>
          <cell r="O69">
            <v>552938.12100000004</v>
          </cell>
        </row>
        <row r="70">
          <cell r="A70" t="str">
            <v>ArgentinaELTO AMORTIZATION</v>
          </cell>
          <cell r="B70">
            <v>0</v>
          </cell>
          <cell r="C70">
            <v>0</v>
          </cell>
          <cell r="D70">
            <v>0</v>
          </cell>
          <cell r="E70">
            <v>0</v>
          </cell>
          <cell r="F70">
            <v>0</v>
          </cell>
          <cell r="G70">
            <v>0</v>
          </cell>
          <cell r="H70">
            <v>0</v>
          </cell>
          <cell r="I70">
            <v>0</v>
          </cell>
          <cell r="J70">
            <v>0</v>
          </cell>
          <cell r="K70">
            <v>0</v>
          </cell>
          <cell r="L70">
            <v>0</v>
          </cell>
          <cell r="M70">
            <v>0</v>
          </cell>
          <cell r="N70">
            <v>0</v>
          </cell>
          <cell r="O70">
            <v>0</v>
          </cell>
        </row>
        <row r="71">
          <cell r="A71" t="str">
            <v>ArgentinaINSURANCE LOSSES AND BENEFITS</v>
          </cell>
          <cell r="B71">
            <v>0</v>
          </cell>
          <cell r="C71">
            <v>0</v>
          </cell>
          <cell r="D71">
            <v>0</v>
          </cell>
          <cell r="E71">
            <v>0</v>
          </cell>
          <cell r="F71">
            <v>0</v>
          </cell>
          <cell r="G71">
            <v>0</v>
          </cell>
          <cell r="H71">
            <v>0</v>
          </cell>
          <cell r="I71">
            <v>0</v>
          </cell>
          <cell r="J71">
            <v>0</v>
          </cell>
          <cell r="K71">
            <v>0</v>
          </cell>
          <cell r="L71">
            <v>0</v>
          </cell>
          <cell r="M71">
            <v>0</v>
          </cell>
          <cell r="N71">
            <v>0</v>
          </cell>
          <cell r="O71">
            <v>0</v>
          </cell>
        </row>
        <row r="72">
          <cell r="A72" t="str">
            <v>ArgentinaWRITE OFFS</v>
          </cell>
          <cell r="B72">
            <v>1047518.13</v>
          </cell>
          <cell r="C72">
            <v>1091431.8500000001</v>
          </cell>
          <cell r="D72">
            <v>4382536.87</v>
          </cell>
          <cell r="E72">
            <v>3459579.56</v>
          </cell>
          <cell r="F72">
            <v>9981066.4100000001</v>
          </cell>
          <cell r="G72">
            <v>4985667.3570809998</v>
          </cell>
          <cell r="H72">
            <v>2406286.0642070002</v>
          </cell>
          <cell r="I72">
            <v>1764257.860207</v>
          </cell>
          <cell r="J72">
            <v>1535365.5151259999</v>
          </cell>
          <cell r="K72">
            <v>10691576.79662</v>
          </cell>
          <cell r="L72">
            <v>5074910.4400000004</v>
          </cell>
          <cell r="M72">
            <v>15858611.084859001</v>
          </cell>
          <cell r="N72">
            <v>18409101.909789</v>
          </cell>
          <cell r="O72">
            <v>21642326.173547</v>
          </cell>
        </row>
        <row r="73">
          <cell r="A73" t="str">
            <v>ArgentinaRESERVE CHANGE</v>
          </cell>
          <cell r="B73">
            <v>0</v>
          </cell>
          <cell r="C73">
            <v>0</v>
          </cell>
          <cell r="D73">
            <v>0</v>
          </cell>
          <cell r="E73">
            <v>0</v>
          </cell>
          <cell r="F73">
            <v>0</v>
          </cell>
          <cell r="G73">
            <v>0</v>
          </cell>
          <cell r="H73">
            <v>0</v>
          </cell>
          <cell r="I73">
            <v>0</v>
          </cell>
          <cell r="J73">
            <v>0</v>
          </cell>
          <cell r="K73">
            <v>0</v>
          </cell>
          <cell r="L73">
            <v>0</v>
          </cell>
          <cell r="M73">
            <v>0</v>
          </cell>
          <cell r="N73">
            <v>0</v>
          </cell>
          <cell r="O73">
            <v>0</v>
          </cell>
        </row>
        <row r="74">
          <cell r="A74" t="str">
            <v>ArgentinaMINORITY INTEREST</v>
          </cell>
          <cell r="B74">
            <v>0</v>
          </cell>
          <cell r="C74">
            <v>0</v>
          </cell>
          <cell r="D74">
            <v>0</v>
          </cell>
          <cell r="E74">
            <v>0</v>
          </cell>
          <cell r="F74">
            <v>0</v>
          </cell>
          <cell r="G74">
            <v>0</v>
          </cell>
          <cell r="H74">
            <v>0</v>
          </cell>
          <cell r="I74">
            <v>0</v>
          </cell>
          <cell r="J74">
            <v>0</v>
          </cell>
          <cell r="K74">
            <v>0</v>
          </cell>
          <cell r="L74">
            <v>0</v>
          </cell>
          <cell r="M74">
            <v>0</v>
          </cell>
          <cell r="N74">
            <v>0</v>
          </cell>
          <cell r="O74">
            <v>0</v>
          </cell>
        </row>
        <row r="75">
          <cell r="A75" t="str">
            <v>ArgentinaINCOME TAXES</v>
          </cell>
          <cell r="B75">
            <v>-179937.54</v>
          </cell>
          <cell r="C75">
            <v>583878.43000000005</v>
          </cell>
          <cell r="D75">
            <v>-592371.17000000004</v>
          </cell>
          <cell r="E75">
            <v>-883121.62</v>
          </cell>
          <cell r="F75">
            <v>-1071551.8999999999</v>
          </cell>
          <cell r="G75">
            <v>-262668.38698100002</v>
          </cell>
          <cell r="H75">
            <v>-112884.146417</v>
          </cell>
          <cell r="I75">
            <v>-90622.852627999993</v>
          </cell>
          <cell r="J75">
            <v>-87150.710837999999</v>
          </cell>
          <cell r="K75">
            <v>-553326.09686399996</v>
          </cell>
          <cell r="L75">
            <v>-100271.52</v>
          </cell>
          <cell r="M75">
            <v>-3164000</v>
          </cell>
          <cell r="N75">
            <v>-1125102.0129219999</v>
          </cell>
          <cell r="O75">
            <v>2942000</v>
          </cell>
        </row>
        <row r="76">
          <cell r="A76" t="str">
            <v>ArgentinaCUMULATIVE TRANSITION ADJUSTMENT</v>
          </cell>
          <cell r="B76">
            <v>0</v>
          </cell>
          <cell r="C76">
            <v>0</v>
          </cell>
          <cell r="D76">
            <v>0</v>
          </cell>
          <cell r="E76">
            <v>0</v>
          </cell>
          <cell r="F76">
            <v>0</v>
          </cell>
          <cell r="G76">
            <v>0</v>
          </cell>
          <cell r="H76">
            <v>0</v>
          </cell>
          <cell r="I76">
            <v>0</v>
          </cell>
          <cell r="J76">
            <v>0</v>
          </cell>
          <cell r="K76">
            <v>0</v>
          </cell>
          <cell r="L76">
            <v>0</v>
          </cell>
          <cell r="M76">
            <v>0</v>
          </cell>
          <cell r="N76">
            <v>0</v>
          </cell>
          <cell r="O76">
            <v>0</v>
          </cell>
        </row>
        <row r="77">
          <cell r="A77" t="str">
            <v>ArgentinaASIA PACIFIC NI DIVIDEND</v>
          </cell>
          <cell r="B77">
            <v>0</v>
          </cell>
          <cell r="C77">
            <v>0</v>
          </cell>
          <cell r="D77">
            <v>0</v>
          </cell>
          <cell r="E77">
            <v>0</v>
          </cell>
          <cell r="F77">
            <v>0</v>
          </cell>
          <cell r="G77">
            <v>0</v>
          </cell>
          <cell r="H77">
            <v>0</v>
          </cell>
          <cell r="I77">
            <v>0</v>
          </cell>
          <cell r="J77">
            <v>0</v>
          </cell>
          <cell r="K77">
            <v>0</v>
          </cell>
          <cell r="L77">
            <v>0</v>
          </cell>
          <cell r="M77">
            <v>0</v>
          </cell>
          <cell r="N77">
            <v>0</v>
          </cell>
          <cell r="O77">
            <v>0</v>
          </cell>
        </row>
        <row r="78">
          <cell r="A78" t="str">
            <v>ArgentinaNet Income</v>
          </cell>
          <cell r="B78">
            <v>2783219.09</v>
          </cell>
          <cell r="C78">
            <v>2761784.35</v>
          </cell>
          <cell r="D78">
            <v>5131013.24</v>
          </cell>
          <cell r="E78">
            <v>5242599.13</v>
          </cell>
          <cell r="F78">
            <v>15918615.810000001</v>
          </cell>
          <cell r="G78">
            <v>5456558.1609899998</v>
          </cell>
          <cell r="H78">
            <v>3269969.086286</v>
          </cell>
          <cell r="I78">
            <v>3188197.9693769999</v>
          </cell>
          <cell r="J78">
            <v>3307058.2966669998</v>
          </cell>
          <cell r="K78">
            <v>15221783.513320999</v>
          </cell>
          <cell r="L78">
            <v>4151711.69</v>
          </cell>
          <cell r="M78">
            <v>3542412.8669619998</v>
          </cell>
          <cell r="N78">
            <v>-4996148.9328330001</v>
          </cell>
          <cell r="O78">
            <v>-5384866.2488329997</v>
          </cell>
        </row>
        <row r="79">
          <cell r="A79" t="str">
            <v>ArgentinaSubPart F</v>
          </cell>
          <cell r="B79">
            <v>0</v>
          </cell>
          <cell r="C79">
            <v>0</v>
          </cell>
          <cell r="D79">
            <v>0</v>
          </cell>
          <cell r="E79">
            <v>0</v>
          </cell>
          <cell r="F79">
            <v>0</v>
          </cell>
          <cell r="G79">
            <v>0</v>
          </cell>
          <cell r="H79">
            <v>0</v>
          </cell>
          <cell r="I79">
            <v>0</v>
          </cell>
          <cell r="J79">
            <v>0</v>
          </cell>
          <cell r="K79">
            <v>0</v>
          </cell>
          <cell r="L79">
            <v>0</v>
          </cell>
          <cell r="M79">
            <v>0</v>
          </cell>
          <cell r="N79">
            <v>0</v>
          </cell>
          <cell r="O79">
            <v>0</v>
          </cell>
        </row>
        <row r="80">
          <cell r="A80" t="str">
            <v>ArgentinaAssets</v>
          </cell>
          <cell r="B80">
            <v>25690307.289999999</v>
          </cell>
          <cell r="C80">
            <v>33865160.25</v>
          </cell>
          <cell r="D80">
            <v>38621600.939999998</v>
          </cell>
          <cell r="E80">
            <v>43180592.869999997</v>
          </cell>
          <cell r="F80">
            <v>43180592.869999997</v>
          </cell>
          <cell r="G80">
            <v>13691833.049466001</v>
          </cell>
          <cell r="H80">
            <v>8685941.0589620005</v>
          </cell>
          <cell r="I80">
            <v>6110360.9374230001</v>
          </cell>
          <cell r="J80">
            <v>5231358.6309390003</v>
          </cell>
          <cell r="K80">
            <v>5231358.6309390003</v>
          </cell>
          <cell r="L80">
            <v>13436445.85</v>
          </cell>
          <cell r="M80">
            <v>94059011.660541996</v>
          </cell>
          <cell r="N80">
            <v>115295397.09606899</v>
          </cell>
          <cell r="O80">
            <v>130897695.11825401</v>
          </cell>
        </row>
        <row r="81">
          <cell r="A81" t="str">
            <v>ArgentinaEnding Net Investment (ENI) incl Asia</v>
          </cell>
          <cell r="B81">
            <v>22905208.75</v>
          </cell>
          <cell r="C81">
            <v>29752103.91</v>
          </cell>
          <cell r="D81">
            <v>33039862.460000001</v>
          </cell>
          <cell r="E81">
            <v>31625248.59</v>
          </cell>
          <cell r="F81">
            <v>31625248.59</v>
          </cell>
          <cell r="G81">
            <v>12926797.878684999</v>
          </cell>
          <cell r="H81">
            <v>7841922.3536900003</v>
          </cell>
          <cell r="I81">
            <v>5404927.4380860003</v>
          </cell>
          <cell r="J81">
            <v>4497048.5775870001</v>
          </cell>
          <cell r="K81">
            <v>4497048.5775870001</v>
          </cell>
          <cell r="L81">
            <v>10966364.300000001</v>
          </cell>
          <cell r="M81">
            <v>91541178.327208996</v>
          </cell>
          <cell r="N81">
            <v>112524730.42940301</v>
          </cell>
          <cell r="O81">
            <v>128007845.11825401</v>
          </cell>
        </row>
        <row r="82">
          <cell r="A82" t="str">
            <v>ArgentinaANR YTD</v>
          </cell>
          <cell r="B82">
            <v>11841044.305</v>
          </cell>
          <cell r="C82">
            <v>16162677.279999999</v>
          </cell>
          <cell r="D82">
            <v>20041463.23</v>
          </cell>
          <cell r="E82">
            <v>23220491.699999999</v>
          </cell>
          <cell r="F82">
            <v>23220491.699999999</v>
          </cell>
          <cell r="G82">
            <v>25623582.356359001</v>
          </cell>
          <cell r="H82">
            <v>20720402.133990999</v>
          </cell>
          <cell r="I82">
            <v>17093589.973328002</v>
          </cell>
          <cell r="J82">
            <v>14694651.7707</v>
          </cell>
          <cell r="K82">
            <v>14694651.7707</v>
          </cell>
          <cell r="L82">
            <v>24156019.84</v>
          </cell>
          <cell r="M82">
            <v>28442437.787319001</v>
          </cell>
          <cell r="N82">
            <v>41635102.105334997</v>
          </cell>
          <cell r="O82">
            <v>50104756.045916997</v>
          </cell>
        </row>
        <row r="83">
          <cell r="A83" t="str">
            <v>ArgentinaASA YTD</v>
          </cell>
          <cell r="B83">
            <v>11841044.305</v>
          </cell>
          <cell r="C83">
            <v>16162677.279999999</v>
          </cell>
          <cell r="D83">
            <v>20041463.23</v>
          </cell>
          <cell r="E83">
            <v>23220491.699999999</v>
          </cell>
          <cell r="F83">
            <v>23220491.699999999</v>
          </cell>
          <cell r="G83">
            <v>25623582.356359001</v>
          </cell>
          <cell r="H83">
            <v>20720402.133990999</v>
          </cell>
          <cell r="I83">
            <v>17093589.973328002</v>
          </cell>
          <cell r="J83">
            <v>14694651.7707</v>
          </cell>
          <cell r="K83">
            <v>14694651.7707</v>
          </cell>
          <cell r="L83">
            <v>24156019.84</v>
          </cell>
          <cell r="M83">
            <v>28442437.787319001</v>
          </cell>
          <cell r="N83">
            <v>41635102.105334997</v>
          </cell>
          <cell r="O83">
            <v>50104756.045916997</v>
          </cell>
        </row>
        <row r="84">
          <cell r="A84" t="str">
            <v>ArgentinaANI YTD incl Asia - 5 pt</v>
          </cell>
          <cell r="B84">
            <v>17804361.405000001</v>
          </cell>
          <cell r="C84">
            <v>21786942.239999998</v>
          </cell>
          <cell r="D84">
            <v>24600172.295000002</v>
          </cell>
          <cell r="E84">
            <v>26005187.554000001</v>
          </cell>
          <cell r="F84">
            <v>26005187.554000001</v>
          </cell>
          <cell r="G84">
            <v>22276023.234342001</v>
          </cell>
          <cell r="H84">
            <v>17464656.274124999</v>
          </cell>
          <cell r="I84">
            <v>14449724.065114999</v>
          </cell>
          <cell r="J84">
            <v>12459188.96761</v>
          </cell>
          <cell r="K84">
            <v>12459188.96761</v>
          </cell>
          <cell r="L84">
            <v>21295806.445</v>
          </cell>
          <cell r="M84">
            <v>28732620.041698001</v>
          </cell>
          <cell r="N84">
            <v>40813181.751322001</v>
          </cell>
          <cell r="O84">
            <v>48106515.109531</v>
          </cell>
        </row>
        <row r="85">
          <cell r="A85" t="str">
            <v>ArgentinaOff Balance Sheet Assets</v>
          </cell>
          <cell r="B85">
            <v>0</v>
          </cell>
          <cell r="C85">
            <v>0</v>
          </cell>
          <cell r="D85">
            <v>0</v>
          </cell>
          <cell r="E85">
            <v>0</v>
          </cell>
          <cell r="F85">
            <v>0</v>
          </cell>
          <cell r="G85">
            <v>0</v>
          </cell>
          <cell r="H85">
            <v>0</v>
          </cell>
          <cell r="I85">
            <v>0</v>
          </cell>
          <cell r="J85">
            <v>0</v>
          </cell>
          <cell r="K85">
            <v>0</v>
          </cell>
          <cell r="L85">
            <v>0</v>
          </cell>
          <cell r="M85">
            <v>0</v>
          </cell>
          <cell r="N85">
            <v>0</v>
          </cell>
          <cell r="O85">
            <v>0</v>
          </cell>
        </row>
        <row r="86">
          <cell r="A86" t="str">
            <v>ArgentinaJV Receivables</v>
          </cell>
          <cell r="B86">
            <v>0</v>
          </cell>
          <cell r="C86">
            <v>0</v>
          </cell>
          <cell r="D86">
            <v>0</v>
          </cell>
          <cell r="E86">
            <v>0</v>
          </cell>
          <cell r="F86">
            <v>0</v>
          </cell>
          <cell r="G86">
            <v>0</v>
          </cell>
          <cell r="H86">
            <v>0</v>
          </cell>
          <cell r="I86">
            <v>0</v>
          </cell>
          <cell r="J86">
            <v>0</v>
          </cell>
          <cell r="K86">
            <v>0</v>
          </cell>
          <cell r="L86">
            <v>0</v>
          </cell>
          <cell r="M86">
            <v>0</v>
          </cell>
          <cell r="N86">
            <v>0</v>
          </cell>
          <cell r="O86">
            <v>0</v>
          </cell>
        </row>
        <row r="87">
          <cell r="A87" t="str">
            <v>Argentina30+ DELINQUENCY $</v>
          </cell>
          <cell r="B87">
            <v>2561487.37</v>
          </cell>
          <cell r="C87">
            <v>4812757.8099999996</v>
          </cell>
          <cell r="D87">
            <v>5320063.5999999996</v>
          </cell>
          <cell r="E87">
            <v>8331378.6600000001</v>
          </cell>
          <cell r="F87">
            <v>8331378.6600000001</v>
          </cell>
          <cell r="G87">
            <v>8129967.7138360003</v>
          </cell>
          <cell r="H87">
            <v>7999347.314917</v>
          </cell>
          <cell r="I87">
            <v>4719494.354789</v>
          </cell>
          <cell r="J87">
            <v>3873998.4969219998</v>
          </cell>
          <cell r="K87">
            <v>3873998.4969219998</v>
          </cell>
          <cell r="L87">
            <v>6888755.2800000003</v>
          </cell>
          <cell r="M87">
            <v>23002523.204291001</v>
          </cell>
          <cell r="N87">
            <v>29041354.427377</v>
          </cell>
          <cell r="O87">
            <v>33589590.630019002</v>
          </cell>
        </row>
        <row r="88">
          <cell r="A88" t="str">
            <v>Argentina90+ DELINQUENCY $</v>
          </cell>
          <cell r="B88">
            <v>786830.38</v>
          </cell>
          <cell r="C88">
            <v>2068651.15</v>
          </cell>
          <cell r="D88">
            <v>2304804.41</v>
          </cell>
          <cell r="E88">
            <v>3947138.02</v>
          </cell>
          <cell r="F88">
            <v>3947138.02</v>
          </cell>
          <cell r="G88">
            <v>3132324.1629829998</v>
          </cell>
          <cell r="H88">
            <v>5421263.0682119997</v>
          </cell>
          <cell r="I88">
            <v>3275229.972178</v>
          </cell>
          <cell r="J88">
            <v>2746761.1173760002</v>
          </cell>
          <cell r="K88">
            <v>2746761.1173760002</v>
          </cell>
          <cell r="L88">
            <v>3411152.13</v>
          </cell>
          <cell r="M88">
            <v>6900756.9612870002</v>
          </cell>
          <cell r="N88">
            <v>8712406.3282130007</v>
          </cell>
          <cell r="O88">
            <v>10076877.189006001</v>
          </cell>
        </row>
        <row r="89">
          <cell r="A89" t="str">
            <v>ArgentinaTemporary Staff</v>
          </cell>
          <cell r="B89">
            <v>0</v>
          </cell>
          <cell r="C89">
            <v>243</v>
          </cell>
          <cell r="D89">
            <v>243</v>
          </cell>
          <cell r="E89">
            <v>239.5</v>
          </cell>
          <cell r="F89">
            <v>239.5</v>
          </cell>
          <cell r="G89">
            <v>242.88361399999999</v>
          </cell>
          <cell r="H89">
            <v>242.88361399999999</v>
          </cell>
          <cell r="I89">
            <v>242.88361399999999</v>
          </cell>
          <cell r="J89">
            <v>242.88361399999999</v>
          </cell>
          <cell r="K89">
            <v>242.88361399999999</v>
          </cell>
          <cell r="L89">
            <v>245</v>
          </cell>
          <cell r="M89">
            <v>457</v>
          </cell>
          <cell r="N89">
            <v>516</v>
          </cell>
          <cell r="O89">
            <v>577</v>
          </cell>
        </row>
        <row r="90">
          <cell r="A90" t="str">
            <v>ArgentinaContractors</v>
          </cell>
          <cell r="B90">
            <v>0</v>
          </cell>
          <cell r="C90">
            <v>0</v>
          </cell>
          <cell r="D90">
            <v>0</v>
          </cell>
          <cell r="E90">
            <v>0</v>
          </cell>
          <cell r="F90">
            <v>0</v>
          </cell>
          <cell r="G90">
            <v>0</v>
          </cell>
          <cell r="H90">
            <v>0</v>
          </cell>
          <cell r="I90">
            <v>0</v>
          </cell>
          <cell r="J90">
            <v>0</v>
          </cell>
          <cell r="K90">
            <v>0</v>
          </cell>
          <cell r="L90">
            <v>1</v>
          </cell>
          <cell r="M90">
            <v>0</v>
          </cell>
          <cell r="N90">
            <v>0</v>
          </cell>
          <cell r="O90">
            <v>0</v>
          </cell>
        </row>
        <row r="91">
          <cell r="A91" t="str">
            <v>ArgentinaOutsourced to LCC</v>
          </cell>
          <cell r="B91">
            <v>0</v>
          </cell>
          <cell r="C91">
            <v>0</v>
          </cell>
          <cell r="D91">
            <v>0</v>
          </cell>
          <cell r="E91">
            <v>0</v>
          </cell>
          <cell r="F91">
            <v>0</v>
          </cell>
          <cell r="G91">
            <v>0</v>
          </cell>
          <cell r="H91">
            <v>0</v>
          </cell>
          <cell r="I91">
            <v>0</v>
          </cell>
          <cell r="J91">
            <v>0</v>
          </cell>
          <cell r="K91">
            <v>0</v>
          </cell>
          <cell r="L91">
            <v>0</v>
          </cell>
          <cell r="M91">
            <v>0</v>
          </cell>
          <cell r="N91">
            <v>0</v>
          </cell>
          <cell r="O91">
            <v>0</v>
          </cell>
        </row>
        <row r="92">
          <cell r="A92" t="str">
            <v>ArgentinaTotal Headcount</v>
          </cell>
          <cell r="B92">
            <v>42</v>
          </cell>
          <cell r="C92">
            <v>43</v>
          </cell>
          <cell r="D92">
            <v>46</v>
          </cell>
          <cell r="E92">
            <v>48</v>
          </cell>
          <cell r="F92">
            <v>48</v>
          </cell>
          <cell r="G92">
            <v>48</v>
          </cell>
          <cell r="H92">
            <v>48</v>
          </cell>
          <cell r="I92">
            <v>48</v>
          </cell>
          <cell r="J92">
            <v>48</v>
          </cell>
          <cell r="K92">
            <v>48</v>
          </cell>
          <cell r="L92">
            <v>48</v>
          </cell>
          <cell r="M92">
            <v>44</v>
          </cell>
          <cell r="N92">
            <v>44</v>
          </cell>
          <cell r="O92">
            <v>44</v>
          </cell>
        </row>
        <row r="93">
          <cell r="A93" t="str">
            <v>ArgentinaTotal Workforce</v>
          </cell>
          <cell r="B93">
            <v>42</v>
          </cell>
          <cell r="C93">
            <v>286</v>
          </cell>
          <cell r="D93">
            <v>289</v>
          </cell>
          <cell r="E93">
            <v>287.5</v>
          </cell>
          <cell r="F93">
            <v>287.5</v>
          </cell>
          <cell r="G93">
            <v>290.88361400000002</v>
          </cell>
          <cell r="H93">
            <v>290.88361400000002</v>
          </cell>
          <cell r="I93">
            <v>290.88361400000002</v>
          </cell>
          <cell r="J93">
            <v>290.88361400000002</v>
          </cell>
          <cell r="K93">
            <v>290.88361400000002</v>
          </cell>
          <cell r="L93">
            <v>294</v>
          </cell>
          <cell r="M93">
            <v>501</v>
          </cell>
          <cell r="N93">
            <v>560</v>
          </cell>
          <cell r="O93">
            <v>621</v>
          </cell>
        </row>
        <row r="94">
          <cell r="A94" t="str">
            <v>ArgentinaTotal Earned Revenue</v>
          </cell>
          <cell r="B94">
            <v>-1229369.76</v>
          </cell>
          <cell r="C94">
            <v>-2223991.17</v>
          </cell>
          <cell r="D94">
            <v>-3111122.93</v>
          </cell>
          <cell r="E94">
            <v>-4496176.4000000004</v>
          </cell>
          <cell r="F94">
            <v>-11060660.26</v>
          </cell>
          <cell r="G94">
            <v>-2067575.702883</v>
          </cell>
          <cell r="H94">
            <v>-1276616.714993</v>
          </cell>
          <cell r="I94">
            <v>-738065.50209800003</v>
          </cell>
          <cell r="J94">
            <v>-403556.94757900003</v>
          </cell>
          <cell r="K94">
            <v>-4485814.8675520001</v>
          </cell>
          <cell r="L94">
            <v>-3046869.77</v>
          </cell>
          <cell r="M94">
            <v>-39468023.129424997</v>
          </cell>
          <cell r="N94">
            <v>-61550630.178493999</v>
          </cell>
          <cell r="O94">
            <v>-74916130.297233999</v>
          </cell>
        </row>
        <row r="95">
          <cell r="A95" t="str">
            <v>ArgentinaOrdinary Gains - PreTax</v>
          </cell>
          <cell r="B95">
            <v>0</v>
          </cell>
          <cell r="C95">
            <v>0</v>
          </cell>
          <cell r="D95">
            <v>0</v>
          </cell>
          <cell r="E95">
            <v>0</v>
          </cell>
          <cell r="F95">
            <v>0</v>
          </cell>
          <cell r="G95">
            <v>0</v>
          </cell>
          <cell r="H95">
            <v>0</v>
          </cell>
          <cell r="I95">
            <v>0</v>
          </cell>
          <cell r="J95">
            <v>0</v>
          </cell>
          <cell r="K95">
            <v>0</v>
          </cell>
          <cell r="L95">
            <v>0</v>
          </cell>
          <cell r="M95">
            <v>0</v>
          </cell>
          <cell r="N95">
            <v>0</v>
          </cell>
          <cell r="O95">
            <v>0</v>
          </cell>
        </row>
        <row r="96">
          <cell r="A96" t="str">
            <v>ArgentinaOrdinary Gains - AfterTax</v>
          </cell>
          <cell r="B96">
            <v>0</v>
          </cell>
          <cell r="C96">
            <v>0</v>
          </cell>
          <cell r="D96">
            <v>0</v>
          </cell>
          <cell r="E96">
            <v>0</v>
          </cell>
          <cell r="F96">
            <v>0</v>
          </cell>
          <cell r="G96">
            <v>0</v>
          </cell>
          <cell r="H96">
            <v>0</v>
          </cell>
          <cell r="I96">
            <v>0</v>
          </cell>
          <cell r="J96">
            <v>0</v>
          </cell>
          <cell r="K96">
            <v>0</v>
          </cell>
          <cell r="L96">
            <v>0</v>
          </cell>
          <cell r="M96">
            <v>0</v>
          </cell>
          <cell r="N96">
            <v>0</v>
          </cell>
          <cell r="O96">
            <v>0</v>
          </cell>
        </row>
        <row r="97">
          <cell r="A97" t="str">
            <v>ArgentinaTotal Volume</v>
          </cell>
          <cell r="B97">
            <v>12527418.640000001</v>
          </cell>
          <cell r="C97">
            <v>16916552.539999999</v>
          </cell>
          <cell r="D97">
            <v>20069607.82</v>
          </cell>
          <cell r="E97">
            <v>19232557.43</v>
          </cell>
          <cell r="F97">
            <v>68746136.430000007</v>
          </cell>
          <cell r="G97">
            <v>3584280</v>
          </cell>
          <cell r="H97">
            <v>1933571.428571</v>
          </cell>
          <cell r="I97">
            <v>1939777.7777780001</v>
          </cell>
          <cell r="J97">
            <v>1776063.8297870001</v>
          </cell>
          <cell r="K97">
            <v>9233693.0361359995</v>
          </cell>
          <cell r="L97">
            <v>4938175.17</v>
          </cell>
          <cell r="M97">
            <v>216991721.15156499</v>
          </cell>
          <cell r="N97">
            <v>293975762.78522497</v>
          </cell>
          <cell r="O97">
            <v>349883725.59831101</v>
          </cell>
        </row>
        <row r="98">
          <cell r="A98" t="str">
            <v>ArgentinaTOTAL # ACTIVE ACCOUNTS</v>
          </cell>
          <cell r="B98">
            <v>40561</v>
          </cell>
          <cell r="C98">
            <v>62628</v>
          </cell>
          <cell r="D98">
            <v>72104.160000000003</v>
          </cell>
          <cell r="E98">
            <v>88784</v>
          </cell>
          <cell r="F98">
            <v>88784</v>
          </cell>
          <cell r="G98">
            <v>78381</v>
          </cell>
          <cell r="H98">
            <v>58022</v>
          </cell>
          <cell r="I98">
            <v>43478</v>
          </cell>
          <cell r="J98">
            <v>40928</v>
          </cell>
          <cell r="K98">
            <v>40928</v>
          </cell>
          <cell r="L98">
            <v>0</v>
          </cell>
          <cell r="M98">
            <v>358429.97434299998</v>
          </cell>
          <cell r="N98">
            <v>498382.95617199998</v>
          </cell>
          <cell r="O98">
            <v>596997.04346800002</v>
          </cell>
        </row>
        <row r="99">
          <cell r="A99" t="str">
            <v>AustraliaTOTAL FINANCING RECEIVABLES</v>
          </cell>
          <cell r="B99">
            <v>2036354073.4100001</v>
          </cell>
          <cell r="C99">
            <v>2202102925.5799899</v>
          </cell>
          <cell r="D99">
            <v>2210384635.1700001</v>
          </cell>
          <cell r="E99">
            <v>2394497558.5999999</v>
          </cell>
          <cell r="F99">
            <v>2394497558.5999999</v>
          </cell>
          <cell r="G99">
            <v>2477653066.3894401</v>
          </cell>
          <cell r="H99">
            <v>2679043989.0146999</v>
          </cell>
          <cell r="I99">
            <v>2832365621.10606</v>
          </cell>
          <cell r="J99">
            <v>3053886545.34764</v>
          </cell>
          <cell r="K99">
            <v>3053886545.34764</v>
          </cell>
          <cell r="L99">
            <v>2546483196.3299999</v>
          </cell>
          <cell r="M99">
            <v>2959821348.4289498</v>
          </cell>
          <cell r="N99">
            <v>3403379659.0123901</v>
          </cell>
          <cell r="O99">
            <v>3853259668.74124</v>
          </cell>
        </row>
        <row r="100">
          <cell r="A100" t="str">
            <v>AustraliaRECEIVABLE RESERVES</v>
          </cell>
          <cell r="B100">
            <v>-44376917.609999999</v>
          </cell>
          <cell r="C100">
            <v>-47868998.259999998</v>
          </cell>
          <cell r="D100">
            <v>-48025840.789999999</v>
          </cell>
          <cell r="E100">
            <v>-51818528.75</v>
          </cell>
          <cell r="F100">
            <v>-51818528.75</v>
          </cell>
          <cell r="G100">
            <v>-57817755.166608997</v>
          </cell>
          <cell r="H100">
            <v>-61866533.447948001</v>
          </cell>
          <cell r="I100">
            <v>-64992703.181906998</v>
          </cell>
          <cell r="J100">
            <v>-70070206.907003</v>
          </cell>
          <cell r="K100">
            <v>-70070206.907003</v>
          </cell>
          <cell r="L100">
            <v>-56407624.920000002</v>
          </cell>
          <cell r="M100">
            <v>-65367722.292398997</v>
          </cell>
          <cell r="N100">
            <v>-76208872.613664001</v>
          </cell>
          <cell r="O100">
            <v>-87285496.968952</v>
          </cell>
        </row>
        <row r="101">
          <cell r="A101" t="str">
            <v>AustraliaCASH</v>
          </cell>
          <cell r="B101">
            <v>5788128.8200000003</v>
          </cell>
          <cell r="C101">
            <v>21657425.539999999</v>
          </cell>
          <cell r="D101">
            <v>61890775.130000003</v>
          </cell>
          <cell r="E101">
            <v>70293751.819999993</v>
          </cell>
          <cell r="F101">
            <v>70293751.819999993</v>
          </cell>
          <cell r="G101">
            <v>22657017.634254999</v>
          </cell>
          <cell r="H101">
            <v>22657017.634254999</v>
          </cell>
          <cell r="I101">
            <v>22657017.634254999</v>
          </cell>
          <cell r="J101">
            <v>22657017.634254999</v>
          </cell>
          <cell r="K101">
            <v>22657017.634254999</v>
          </cell>
          <cell r="L101">
            <v>64511152.049999997</v>
          </cell>
          <cell r="M101">
            <v>-14805693.140899001</v>
          </cell>
          <cell r="N101">
            <v>-14834590.580899</v>
          </cell>
          <cell r="O101">
            <v>-14864643.918499</v>
          </cell>
        </row>
        <row r="102">
          <cell r="A102" t="str">
            <v>AustraliaINVESTMENT SECURITIES</v>
          </cell>
          <cell r="B102">
            <v>63719143.479999997</v>
          </cell>
          <cell r="C102">
            <v>60239689.049999997</v>
          </cell>
          <cell r="D102">
            <v>56845035.909999996</v>
          </cell>
          <cell r="E102">
            <v>54259272.640000001</v>
          </cell>
          <cell r="F102">
            <v>54259272.640000001</v>
          </cell>
          <cell r="G102">
            <v>82855311.162453994</v>
          </cell>
          <cell r="H102">
            <v>85308553.810022995</v>
          </cell>
          <cell r="I102">
            <v>89677478.942288995</v>
          </cell>
          <cell r="J102">
            <v>95122283.728948995</v>
          </cell>
          <cell r="K102">
            <v>95122283.728948995</v>
          </cell>
          <cell r="L102">
            <v>63820318.229999997</v>
          </cell>
          <cell r="M102">
            <v>99425186.972222</v>
          </cell>
          <cell r="N102">
            <v>119206778.625</v>
          </cell>
          <cell r="O102">
            <v>144372346.92222199</v>
          </cell>
        </row>
        <row r="103">
          <cell r="A103" t="str">
            <v>AustraliaINV IN NON CONSOL AFFILIATES</v>
          </cell>
          <cell r="B103">
            <v>258195</v>
          </cell>
          <cell r="C103">
            <v>275362.5</v>
          </cell>
          <cell r="D103">
            <v>417910.99</v>
          </cell>
          <cell r="E103">
            <v>101735.08</v>
          </cell>
          <cell r="F103">
            <v>101735.08</v>
          </cell>
          <cell r="G103">
            <v>0</v>
          </cell>
          <cell r="H103">
            <v>0</v>
          </cell>
          <cell r="I103">
            <v>0</v>
          </cell>
          <cell r="J103">
            <v>0</v>
          </cell>
          <cell r="K103">
            <v>0</v>
          </cell>
          <cell r="L103">
            <v>102988.17</v>
          </cell>
          <cell r="M103">
            <v>0</v>
          </cell>
          <cell r="N103">
            <v>0</v>
          </cell>
          <cell r="O103">
            <v>0</v>
          </cell>
        </row>
        <row r="104">
          <cell r="A104" t="str">
            <v>AustraliaINVESTMENT IN JOINT VENTURE</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row>
        <row r="105">
          <cell r="A105" t="str">
            <v>AustraliaALL OTHER RECEIVABLES (NON-FINANCING)</v>
          </cell>
          <cell r="B105">
            <v>3494503.1</v>
          </cell>
          <cell r="C105">
            <v>5249332.87</v>
          </cell>
          <cell r="D105">
            <v>48989926.049999997</v>
          </cell>
          <cell r="E105">
            <v>47299931.450000003</v>
          </cell>
          <cell r="F105">
            <v>47299931.450000003</v>
          </cell>
          <cell r="G105">
            <v>44112640</v>
          </cell>
          <cell r="H105">
            <v>44112640</v>
          </cell>
          <cell r="I105">
            <v>44112640</v>
          </cell>
          <cell r="J105">
            <v>44112640</v>
          </cell>
          <cell r="K105">
            <v>44112640</v>
          </cell>
          <cell r="L105">
            <v>53330717.75</v>
          </cell>
          <cell r="M105">
            <v>7853673.5669240002</v>
          </cell>
          <cell r="N105">
            <v>5138813.9941499997</v>
          </cell>
          <cell r="O105">
            <v>5178837.5205499995</v>
          </cell>
        </row>
        <row r="106">
          <cell r="A106" t="str">
            <v>AustraliaELTO (NET)</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row>
        <row r="107">
          <cell r="A107" t="str">
            <v>AustraliaGOODWILL</v>
          </cell>
          <cell r="B107">
            <v>269603796.19</v>
          </cell>
          <cell r="C107">
            <v>282970184.70999998</v>
          </cell>
          <cell r="D107">
            <v>273681069.20999998</v>
          </cell>
          <cell r="E107">
            <v>271268338.10000002</v>
          </cell>
          <cell r="F107">
            <v>271268338.10000002</v>
          </cell>
          <cell r="G107">
            <v>308477382.46227598</v>
          </cell>
          <cell r="H107">
            <v>308347738.61369503</v>
          </cell>
          <cell r="I107">
            <v>308216670.10743803</v>
          </cell>
          <cell r="J107">
            <v>308085601.60118002</v>
          </cell>
          <cell r="K107">
            <v>308085601.60118002</v>
          </cell>
          <cell r="L107">
            <v>274609595.50999999</v>
          </cell>
          <cell r="M107">
            <v>273374467.23141003</v>
          </cell>
          <cell r="N107">
            <v>248967134.68410099</v>
          </cell>
          <cell r="O107">
            <v>235066614.259101</v>
          </cell>
        </row>
        <row r="108">
          <cell r="A108" t="str">
            <v>AustraliaOTHER ASSETS</v>
          </cell>
          <cell r="B108">
            <v>34207950.880000003</v>
          </cell>
          <cell r="C108">
            <v>36313884.899999999</v>
          </cell>
          <cell r="D108">
            <v>41667644.520000003</v>
          </cell>
          <cell r="E108">
            <v>58134365.020000003</v>
          </cell>
          <cell r="F108">
            <v>58134365.020000003</v>
          </cell>
          <cell r="G108">
            <v>84689992.356216997</v>
          </cell>
          <cell r="H108">
            <v>82707121.999241993</v>
          </cell>
          <cell r="I108">
            <v>82360894.776236996</v>
          </cell>
          <cell r="J108">
            <v>80546801.589220002</v>
          </cell>
          <cell r="K108">
            <v>80546801.589220002</v>
          </cell>
          <cell r="L108">
            <v>58753305.609999999</v>
          </cell>
          <cell r="M108">
            <v>118033078.41657101</v>
          </cell>
          <cell r="N108">
            <v>137362340.57541001</v>
          </cell>
          <cell r="O108">
            <v>148672782.05439499</v>
          </cell>
        </row>
        <row r="109">
          <cell r="A109" t="str">
            <v>AustraliaACCOUNTS PAYABLE</v>
          </cell>
          <cell r="B109">
            <v>-24816799.73</v>
          </cell>
          <cell r="C109">
            <v>-20853946.120000001</v>
          </cell>
          <cell r="D109">
            <v>-113031735.02</v>
          </cell>
          <cell r="E109">
            <v>-150813849.34</v>
          </cell>
          <cell r="F109">
            <v>-150813849.34</v>
          </cell>
          <cell r="G109">
            <v>-48505080</v>
          </cell>
          <cell r="H109">
            <v>-48505080</v>
          </cell>
          <cell r="I109">
            <v>-48505080</v>
          </cell>
          <cell r="J109">
            <v>-48505080</v>
          </cell>
          <cell r="K109">
            <v>-48505080</v>
          </cell>
          <cell r="L109">
            <v>-158595936.58000001</v>
          </cell>
          <cell r="M109">
            <v>-36430254.126764998</v>
          </cell>
          <cell r="N109">
            <v>-14108465.030231001</v>
          </cell>
          <cell r="O109">
            <v>-14236314.80821</v>
          </cell>
        </row>
        <row r="110">
          <cell r="A110" t="str">
            <v>AustraliaDEFERRED INCOME TAXES</v>
          </cell>
          <cell r="B110">
            <v>60510902.009999998</v>
          </cell>
          <cell r="C110">
            <v>69176741.709999993</v>
          </cell>
          <cell r="D110">
            <v>72293544.379999995</v>
          </cell>
          <cell r="E110">
            <v>75167293.409999996</v>
          </cell>
          <cell r="F110">
            <v>75167293.409999996</v>
          </cell>
          <cell r="G110">
            <v>-1904948.6217060001</v>
          </cell>
          <cell r="H110">
            <v>-468714.44646299997</v>
          </cell>
          <cell r="I110">
            <v>1107632.0412250001</v>
          </cell>
          <cell r="J110">
            <v>2793131.0412460002</v>
          </cell>
          <cell r="K110">
            <v>2793131.0412460002</v>
          </cell>
          <cell r="L110">
            <v>81362951.230000004</v>
          </cell>
          <cell r="M110">
            <v>-658050.33604700002</v>
          </cell>
          <cell r="N110">
            <v>24092312.0295</v>
          </cell>
          <cell r="O110">
            <v>23395536.9637</v>
          </cell>
        </row>
        <row r="111">
          <cell r="A111" t="str">
            <v>AustraliaWRITE-OFF (MEMO)</v>
          </cell>
          <cell r="B111">
            <v>13719581.130000001</v>
          </cell>
          <cell r="C111">
            <v>25204403.789999999</v>
          </cell>
          <cell r="D111">
            <v>37446326.359999999</v>
          </cell>
          <cell r="E111">
            <v>50967831.340000004</v>
          </cell>
          <cell r="F111">
            <v>50967831.340000004</v>
          </cell>
          <cell r="G111">
            <v>18575824.131549999</v>
          </cell>
          <cell r="H111">
            <v>22123554.815418001</v>
          </cell>
          <cell r="I111">
            <v>39216980.663745001</v>
          </cell>
          <cell r="J111">
            <v>59293310.768830001</v>
          </cell>
          <cell r="K111">
            <v>59293310.768830001</v>
          </cell>
          <cell r="L111">
            <v>12699936.310000001</v>
          </cell>
          <cell r="M111">
            <v>47576473.591710001</v>
          </cell>
          <cell r="N111">
            <v>53515377.863553002</v>
          </cell>
          <cell r="O111">
            <v>59649410.831198998</v>
          </cell>
        </row>
        <row r="112">
          <cell r="A112" t="str">
            <v>AustraliaINSURANCE RESERVES AND ANNUITY BENEFITS</v>
          </cell>
          <cell r="B112">
            <v>-39938585.609999999</v>
          </cell>
          <cell r="C112">
            <v>-42438846.43</v>
          </cell>
          <cell r="D112">
            <v>-42647378.799999997</v>
          </cell>
          <cell r="E112">
            <v>-46540058.399999999</v>
          </cell>
          <cell r="F112">
            <v>-46540058.399999999</v>
          </cell>
          <cell r="G112">
            <v>-46104624.799999997</v>
          </cell>
          <cell r="H112">
            <v>-47196988.799999997</v>
          </cell>
          <cell r="I112">
            <v>-50017468.799999997</v>
          </cell>
          <cell r="J112">
            <v>-53040124.799999997</v>
          </cell>
          <cell r="K112">
            <v>-53040124.799999997</v>
          </cell>
          <cell r="L112">
            <v>-47997496.43</v>
          </cell>
          <cell r="M112">
            <v>-60873951.195903003</v>
          </cell>
          <cell r="N112">
            <v>-74779274.042686999</v>
          </cell>
          <cell r="O112">
            <v>-91635781.135493994</v>
          </cell>
        </row>
        <row r="113">
          <cell r="A113" t="str">
            <v>AustraliaALL OTHER NON DEBT LIABILITIES</v>
          </cell>
          <cell r="B113">
            <v>-51798651.07</v>
          </cell>
          <cell r="C113">
            <v>-47983539.469999999</v>
          </cell>
          <cell r="D113">
            <v>-57650054.909999996</v>
          </cell>
          <cell r="E113">
            <v>-65318897.140000001</v>
          </cell>
          <cell r="F113">
            <v>-65318897.140000001</v>
          </cell>
          <cell r="G113">
            <v>-2502360.944813</v>
          </cell>
          <cell r="H113">
            <v>-2079063.0830610001</v>
          </cell>
          <cell r="I113">
            <v>-1664051.3763629999</v>
          </cell>
          <cell r="J113">
            <v>-1322325.6465119999</v>
          </cell>
          <cell r="K113">
            <v>-1322325.6465119999</v>
          </cell>
          <cell r="L113">
            <v>-65456064.140000001</v>
          </cell>
          <cell r="M113">
            <v>-73037952.740415007</v>
          </cell>
          <cell r="N113">
            <v>-64402382.982869998</v>
          </cell>
          <cell r="O113">
            <v>-54625185.397702001</v>
          </cell>
        </row>
        <row r="114">
          <cell r="A114" t="str">
            <v>AustraliaMINORITY INTEREST (BS)</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row>
        <row r="115">
          <cell r="A115" t="str">
            <v>AustraliaASIA PACIFIC ENI DIVIDEND</v>
          </cell>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row>
        <row r="116">
          <cell r="A116" t="str">
            <v>AustraliaFINANCING INCOME</v>
          </cell>
          <cell r="B116">
            <v>-86819792.459999993</v>
          </cell>
          <cell r="C116">
            <v>-81359103.319999993</v>
          </cell>
          <cell r="D116">
            <v>-93678035.140000001</v>
          </cell>
          <cell r="E116">
            <v>-85309793.280000001</v>
          </cell>
          <cell r="F116">
            <v>-347166724.19999999</v>
          </cell>
          <cell r="G116">
            <v>-90905335.456577003</v>
          </cell>
          <cell r="H116">
            <v>-96502520.562990993</v>
          </cell>
          <cell r="I116">
            <v>-105155566.88399699</v>
          </cell>
          <cell r="J116">
            <v>-109440031.531773</v>
          </cell>
          <cell r="K116">
            <v>-402003454.43533802</v>
          </cell>
          <cell r="L116">
            <v>-90098947.959999993</v>
          </cell>
          <cell r="M116">
            <v>-410424612.50157797</v>
          </cell>
          <cell r="N116">
            <v>-466260146.36922902</v>
          </cell>
          <cell r="O116">
            <v>-528139831.92917502</v>
          </cell>
        </row>
        <row r="117">
          <cell r="A117" t="str">
            <v>AustraliaINSURANCE PREMIUM INCOME</v>
          </cell>
          <cell r="B117">
            <v>-6092738.7000000002</v>
          </cell>
          <cell r="C117">
            <v>-5635865.9500000002</v>
          </cell>
          <cell r="D117">
            <v>-6282947.4000000004</v>
          </cell>
          <cell r="E117">
            <v>-6896436.6799999997</v>
          </cell>
          <cell r="F117">
            <v>-24907988.73</v>
          </cell>
          <cell r="G117">
            <v>-7265896.1793379998</v>
          </cell>
          <cell r="H117">
            <v>-6963380.021834</v>
          </cell>
          <cell r="I117">
            <v>-7515356.6557910005</v>
          </cell>
          <cell r="J117">
            <v>-8255684.9645379996</v>
          </cell>
          <cell r="K117">
            <v>-30000317.821501002</v>
          </cell>
          <cell r="L117">
            <v>-6421891.2000000002</v>
          </cell>
          <cell r="M117">
            <v>-32623279.027778</v>
          </cell>
          <cell r="N117">
            <v>-41504561.847222</v>
          </cell>
          <cell r="O117">
            <v>-55877389.302777998</v>
          </cell>
        </row>
        <row r="118">
          <cell r="A118" t="str">
            <v>AustraliaINSURANCE INCOME (COMMISSIONS)</v>
          </cell>
          <cell r="B118">
            <v>-1927419.4</v>
          </cell>
          <cell r="C118">
            <v>-2222543.87</v>
          </cell>
          <cell r="D118">
            <v>-453238.58</v>
          </cell>
          <cell r="E118">
            <v>-1959470.44</v>
          </cell>
          <cell r="F118">
            <v>-6562672.29</v>
          </cell>
          <cell r="G118">
            <v>-123500</v>
          </cell>
          <cell r="H118">
            <v>-123500</v>
          </cell>
          <cell r="I118">
            <v>-123500</v>
          </cell>
          <cell r="J118">
            <v>-123500</v>
          </cell>
          <cell r="K118">
            <v>-494000</v>
          </cell>
          <cell r="L118">
            <v>-1016728.6</v>
          </cell>
          <cell r="M118">
            <v>-4315768.4545959998</v>
          </cell>
          <cell r="N118">
            <v>-4671644.5522999996</v>
          </cell>
          <cell r="O118">
            <v>-5115295.3036439996</v>
          </cell>
        </row>
        <row r="119">
          <cell r="A119" t="str">
            <v>AustraliaSUNDRY INCOME</v>
          </cell>
          <cell r="B119">
            <v>-4477768.78</v>
          </cell>
          <cell r="C119">
            <v>-4178624.06</v>
          </cell>
          <cell r="D119">
            <v>3800667.82</v>
          </cell>
          <cell r="E119">
            <v>-2537027.11</v>
          </cell>
          <cell r="F119">
            <v>-7392752.1299999999</v>
          </cell>
          <cell r="G119">
            <v>-1161806.3830530001</v>
          </cell>
          <cell r="H119">
            <v>-1645523.8315719999</v>
          </cell>
          <cell r="I119">
            <v>-2063929.958788</v>
          </cell>
          <cell r="J119">
            <v>-2171476.5256770002</v>
          </cell>
          <cell r="K119">
            <v>-7042736.699089</v>
          </cell>
          <cell r="L119">
            <v>-13022.44</v>
          </cell>
          <cell r="M119">
            <v>-25693062.024969</v>
          </cell>
          <cell r="N119">
            <v>-29495367.403999999</v>
          </cell>
          <cell r="O119">
            <v>-37172450.999767996</v>
          </cell>
        </row>
        <row r="120">
          <cell r="A120" t="str">
            <v>AustraliaINTEREST EXPENSE</v>
          </cell>
          <cell r="B120">
            <v>34841240.130000003</v>
          </cell>
          <cell r="C120">
            <v>31836840.329999998</v>
          </cell>
          <cell r="D120">
            <v>31504513.370000001</v>
          </cell>
          <cell r="E120">
            <v>29541446.190000001</v>
          </cell>
          <cell r="F120">
            <v>127724040.02</v>
          </cell>
          <cell r="G120">
            <v>33167234.233748998</v>
          </cell>
          <cell r="H120">
            <v>35981991.657568999</v>
          </cell>
          <cell r="I120">
            <v>38599597.872996002</v>
          </cell>
          <cell r="J120">
            <v>40396582.184977002</v>
          </cell>
          <cell r="K120">
            <v>148145405.94929099</v>
          </cell>
          <cell r="L120">
            <v>30651411.329999998</v>
          </cell>
          <cell r="M120">
            <v>163774747.57678899</v>
          </cell>
          <cell r="N120">
            <v>187351628.56823501</v>
          </cell>
          <cell r="O120">
            <v>215983001.508145</v>
          </cell>
        </row>
        <row r="121">
          <cell r="A121" t="str">
            <v>AustraliaINTEREST EXPENSE REDUCTIONS / BUS SHARING</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row>
        <row r="122">
          <cell r="A122" t="str">
            <v>AustraliaALLOCATED COST OF PREFERRED EQUITY</v>
          </cell>
          <cell r="B122">
            <v>302323.37</v>
          </cell>
          <cell r="C122">
            <v>269419.76</v>
          </cell>
          <cell r="D122">
            <v>303199.57</v>
          </cell>
          <cell r="E122">
            <v>131003.42</v>
          </cell>
          <cell r="F122">
            <v>1005946.12</v>
          </cell>
          <cell r="G122">
            <v>112189.594749</v>
          </cell>
          <cell r="H122">
            <v>114645.50834</v>
          </cell>
          <cell r="I122">
            <v>116327.161257</v>
          </cell>
          <cell r="J122">
            <v>118863.415501</v>
          </cell>
          <cell r="K122">
            <v>462025.67984699999</v>
          </cell>
          <cell r="L122">
            <v>165707.70000000001</v>
          </cell>
          <cell r="M122">
            <v>1854797.9213650001</v>
          </cell>
          <cell r="N122">
            <v>2921267.844573</v>
          </cell>
          <cell r="O122">
            <v>4872920.5880699996</v>
          </cell>
        </row>
        <row r="123">
          <cell r="A123" t="str">
            <v>AustraliaSALARIES &amp; BENEFITS</v>
          </cell>
          <cell r="B123">
            <v>14432326.560000001</v>
          </cell>
          <cell r="C123">
            <v>12643453.68</v>
          </cell>
          <cell r="D123">
            <v>12797729.359999999</v>
          </cell>
          <cell r="E123">
            <v>10933777.119999999</v>
          </cell>
          <cell r="F123">
            <v>50807286.719999999</v>
          </cell>
          <cell r="G123">
            <v>14304181.92688</v>
          </cell>
          <cell r="H123">
            <v>14019966.625050999</v>
          </cell>
          <cell r="I123">
            <v>13802514.639417</v>
          </cell>
          <cell r="J123">
            <v>14703104.356799001</v>
          </cell>
          <cell r="K123">
            <v>56829767.548147</v>
          </cell>
          <cell r="L123">
            <v>13439303.5</v>
          </cell>
          <cell r="M123">
            <v>55044317.834532</v>
          </cell>
          <cell r="N123">
            <v>58719092.295759</v>
          </cell>
          <cell r="O123">
            <v>63088283.366384998</v>
          </cell>
        </row>
        <row r="124">
          <cell r="A124" t="str">
            <v>AustraliaLOSSES ON OTHER ASSETS</v>
          </cell>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row>
        <row r="125">
          <cell r="A125" t="str">
            <v>AustraliaCOST OF GOODS SOLD</v>
          </cell>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row>
        <row r="126">
          <cell r="A126" t="str">
            <v>AustraliaCOST OF GOODS SOLD - DISTRIBUTION</v>
          </cell>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row>
        <row r="127">
          <cell r="A127" t="str">
            <v>AustraliaPOSTAGE</v>
          </cell>
          <cell r="B127">
            <v>1487573.92</v>
          </cell>
          <cell r="C127">
            <v>1352640.38</v>
          </cell>
          <cell r="D127">
            <v>1337488.8500000001</v>
          </cell>
          <cell r="E127">
            <v>1378568.33</v>
          </cell>
          <cell r="F127">
            <v>5556271.4800000004</v>
          </cell>
          <cell r="G127">
            <v>1704879.6377429999</v>
          </cell>
          <cell r="H127">
            <v>1672832.118126</v>
          </cell>
          <cell r="I127">
            <v>1705691.9750969999</v>
          </cell>
          <cell r="J127">
            <v>1754288.6450700001</v>
          </cell>
          <cell r="K127">
            <v>6837692.3760360004</v>
          </cell>
          <cell r="L127">
            <v>1578242.66</v>
          </cell>
          <cell r="M127">
            <v>5006423.5657529999</v>
          </cell>
          <cell r="N127">
            <v>5613816.5944929998</v>
          </cell>
          <cell r="O127">
            <v>5705253.6584609998</v>
          </cell>
        </row>
        <row r="128">
          <cell r="A128" t="str">
            <v>AustraliaTELEPHONE</v>
          </cell>
          <cell r="B128">
            <v>1763798.79</v>
          </cell>
          <cell r="C128">
            <v>1113795.05</v>
          </cell>
          <cell r="D128">
            <v>1967700.43</v>
          </cell>
          <cell r="E128">
            <v>1784974.9</v>
          </cell>
          <cell r="F128">
            <v>6630269.1699999999</v>
          </cell>
          <cell r="G128">
            <v>1731445.56</v>
          </cell>
          <cell r="H128">
            <v>1296804.6000000001</v>
          </cell>
          <cell r="I128">
            <v>1289542.28</v>
          </cell>
          <cell r="J128">
            <v>1475219.72</v>
          </cell>
          <cell r="K128">
            <v>5793012.1600000001</v>
          </cell>
          <cell r="L128">
            <v>1111273.58</v>
          </cell>
          <cell r="M128">
            <v>4857699.6880799998</v>
          </cell>
          <cell r="N128">
            <v>5275809.1078369999</v>
          </cell>
          <cell r="O128">
            <v>5935170.3096319996</v>
          </cell>
        </row>
        <row r="129">
          <cell r="A129" t="str">
            <v>AustraliaCUSTOMER SERVICE / COLLECTIONS</v>
          </cell>
          <cell r="B129">
            <v>326704.78000000003</v>
          </cell>
          <cell r="C129">
            <v>449681.41</v>
          </cell>
          <cell r="D129">
            <v>-343221.47</v>
          </cell>
          <cell r="E129">
            <v>76276.210000000006</v>
          </cell>
          <cell r="F129">
            <v>509440.93</v>
          </cell>
          <cell r="G129">
            <v>182246.306667</v>
          </cell>
          <cell r="H129">
            <v>259899.64</v>
          </cell>
          <cell r="I129">
            <v>303124.64</v>
          </cell>
          <cell r="J129">
            <v>315604.64</v>
          </cell>
          <cell r="K129">
            <v>1060875.226667</v>
          </cell>
          <cell r="L129">
            <v>-46610.53</v>
          </cell>
          <cell r="M129">
            <v>-46056.952741000001</v>
          </cell>
          <cell r="N129">
            <v>-287469.68309300003</v>
          </cell>
          <cell r="O129">
            <v>-408966.74413900002</v>
          </cell>
        </row>
        <row r="130">
          <cell r="A130" t="str">
            <v>AustraliaSTATIONARY - OFFICE SUPPLIES</v>
          </cell>
          <cell r="B130">
            <v>1008329.21</v>
          </cell>
          <cell r="C130">
            <v>491234.94</v>
          </cell>
          <cell r="D130">
            <v>968436.36</v>
          </cell>
          <cell r="E130">
            <v>1829037.28</v>
          </cell>
          <cell r="F130">
            <v>4297037.79</v>
          </cell>
          <cell r="G130">
            <v>350801.89867899998</v>
          </cell>
          <cell r="H130">
            <v>822628.64466700004</v>
          </cell>
          <cell r="I130">
            <v>549634.39930799999</v>
          </cell>
          <cell r="J130">
            <v>562993.41801200004</v>
          </cell>
          <cell r="K130">
            <v>2286058.3606659998</v>
          </cell>
          <cell r="L130">
            <v>809210.33</v>
          </cell>
          <cell r="M130">
            <v>3392532.8370920001</v>
          </cell>
          <cell r="N130">
            <v>3970811.2588010002</v>
          </cell>
          <cell r="O130">
            <v>4885244.0349740004</v>
          </cell>
        </row>
        <row r="131">
          <cell r="A131" t="str">
            <v>AustraliaT&amp;L</v>
          </cell>
          <cell r="B131">
            <v>1525191.11</v>
          </cell>
          <cell r="C131">
            <v>1199595.5900000001</v>
          </cell>
          <cell r="D131">
            <v>1265476.97</v>
          </cell>
          <cell r="E131">
            <v>1254816.8700000001</v>
          </cell>
          <cell r="F131">
            <v>5245080.54</v>
          </cell>
          <cell r="G131">
            <v>1310785.0496</v>
          </cell>
          <cell r="H131">
            <v>1336480.3296000001</v>
          </cell>
          <cell r="I131">
            <v>1213311.5696</v>
          </cell>
          <cell r="J131">
            <v>1190995.7696</v>
          </cell>
          <cell r="K131">
            <v>5051572.7183999997</v>
          </cell>
          <cell r="L131">
            <v>1544360.38</v>
          </cell>
          <cell r="M131">
            <v>5446701.4208319997</v>
          </cell>
          <cell r="N131">
            <v>5987069.8839220004</v>
          </cell>
          <cell r="O131">
            <v>6301303.9967860002</v>
          </cell>
        </row>
        <row r="132">
          <cell r="A132" t="str">
            <v>AustraliaRENTAL - BLDG/FACILITIES</v>
          </cell>
          <cell r="B132">
            <v>2087275.25</v>
          </cell>
          <cell r="C132">
            <v>1844348.95</v>
          </cell>
          <cell r="D132">
            <v>1595826.16</v>
          </cell>
          <cell r="E132">
            <v>1094292.99</v>
          </cell>
          <cell r="F132">
            <v>6621743.3499999996</v>
          </cell>
          <cell r="G132">
            <v>1561122.68</v>
          </cell>
          <cell r="H132">
            <v>1545489.4</v>
          </cell>
          <cell r="I132">
            <v>1631133.4</v>
          </cell>
          <cell r="J132">
            <v>1631133.4</v>
          </cell>
          <cell r="K132">
            <v>6368878.8799999999</v>
          </cell>
          <cell r="L132">
            <v>1633431.68</v>
          </cell>
          <cell r="M132">
            <v>6230227.1395049999</v>
          </cell>
          <cell r="N132">
            <v>6402114.5859460002</v>
          </cell>
          <cell r="O132">
            <v>6716245.1023700004</v>
          </cell>
        </row>
        <row r="133">
          <cell r="A133" t="str">
            <v>AustraliaRENTAL - FURNITURE/EQUIP</v>
          </cell>
          <cell r="B133">
            <v>221186.78</v>
          </cell>
          <cell r="C133">
            <v>116430.13</v>
          </cell>
          <cell r="D133">
            <v>99311.52</v>
          </cell>
          <cell r="E133">
            <v>9516.73</v>
          </cell>
          <cell r="F133">
            <v>446445.16</v>
          </cell>
          <cell r="G133">
            <v>-21210.799999999999</v>
          </cell>
          <cell r="H133">
            <v>-201208.28</v>
          </cell>
          <cell r="I133">
            <v>-122032.56</v>
          </cell>
          <cell r="J133">
            <v>-126241.44</v>
          </cell>
          <cell r="K133">
            <v>-470693.08</v>
          </cell>
          <cell r="L133">
            <v>55527.26</v>
          </cell>
          <cell r="M133">
            <v>377877.55394399998</v>
          </cell>
          <cell r="N133">
            <v>396123.86183499999</v>
          </cell>
          <cell r="O133">
            <v>416522.903643</v>
          </cell>
        </row>
        <row r="134">
          <cell r="A134" t="str">
            <v>AustraliaRENTAL - COMPUTERS</v>
          </cell>
          <cell r="B134">
            <v>141921.99</v>
          </cell>
          <cell r="C134">
            <v>93222.46</v>
          </cell>
          <cell r="D134">
            <v>376347.85</v>
          </cell>
          <cell r="E134">
            <v>601473.5</v>
          </cell>
          <cell r="F134">
            <v>1212965.8</v>
          </cell>
          <cell r="G134">
            <v>225064.27840000001</v>
          </cell>
          <cell r="H134">
            <v>233399.87839999999</v>
          </cell>
          <cell r="I134">
            <v>269019.87839999999</v>
          </cell>
          <cell r="J134">
            <v>226223.87839999999</v>
          </cell>
          <cell r="K134">
            <v>953707.91359999997</v>
          </cell>
          <cell r="L134">
            <v>314340.26</v>
          </cell>
          <cell r="M134">
            <v>1002036.87804</v>
          </cell>
          <cell r="N134">
            <v>1015105.6393020001</v>
          </cell>
          <cell r="O134">
            <v>1051788.8488159999</v>
          </cell>
        </row>
        <row r="135">
          <cell r="A135" t="str">
            <v>AustraliaLEASE IN - LEASE OUT</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row>
        <row r="136">
          <cell r="A136" t="str">
            <v>AustraliaFURNITURE / EQUIPMENT / COMPUTER EXP</v>
          </cell>
          <cell r="B136">
            <v>632713.02</v>
          </cell>
          <cell r="C136">
            <v>847749.57</v>
          </cell>
          <cell r="D136">
            <v>1390806.05</v>
          </cell>
          <cell r="E136">
            <v>453808.65</v>
          </cell>
          <cell r="F136">
            <v>3325077.29</v>
          </cell>
          <cell r="G136">
            <v>2797886</v>
          </cell>
          <cell r="H136">
            <v>1868120.8</v>
          </cell>
          <cell r="I136">
            <v>1742707.2</v>
          </cell>
          <cell r="J136">
            <v>1667896.88</v>
          </cell>
          <cell r="K136">
            <v>8076610.8799999999</v>
          </cell>
          <cell r="L136">
            <v>1902503.03</v>
          </cell>
          <cell r="M136">
            <v>4918331.23166</v>
          </cell>
          <cell r="N136">
            <v>5649828.9406639999</v>
          </cell>
          <cell r="O136">
            <v>6250436.4708160004</v>
          </cell>
        </row>
        <row r="137">
          <cell r="A137" t="str">
            <v>AustraliaSOFTWARE EXPENSE</v>
          </cell>
          <cell r="B137">
            <v>0</v>
          </cell>
          <cell r="C137">
            <v>0</v>
          </cell>
          <cell r="D137">
            <v>0</v>
          </cell>
          <cell r="E137">
            <v>0</v>
          </cell>
          <cell r="F137">
            <v>0</v>
          </cell>
          <cell r="G137">
            <v>577636.80000000005</v>
          </cell>
          <cell r="H137">
            <v>577636.80000000005</v>
          </cell>
          <cell r="I137">
            <v>577636.80000000005</v>
          </cell>
          <cell r="J137">
            <v>577636.80000000005</v>
          </cell>
          <cell r="K137">
            <v>2310547.2000000002</v>
          </cell>
          <cell r="L137">
            <v>0</v>
          </cell>
          <cell r="M137">
            <v>0</v>
          </cell>
          <cell r="N137">
            <v>0</v>
          </cell>
          <cell r="O137">
            <v>0</v>
          </cell>
        </row>
        <row r="138">
          <cell r="A138" t="str">
            <v>AustraliaAMORTIZATION OF INTANGIBLES</v>
          </cell>
          <cell r="B138">
            <v>417694.18</v>
          </cell>
          <cell r="C138">
            <v>175516.57</v>
          </cell>
          <cell r="D138">
            <v>207655.78</v>
          </cell>
          <cell r="E138">
            <v>923816.76</v>
          </cell>
          <cell r="F138">
            <v>1724683.29</v>
          </cell>
          <cell r="G138">
            <v>323652.52423699998</v>
          </cell>
          <cell r="H138">
            <v>325077.18191400002</v>
          </cell>
          <cell r="I138">
            <v>326501.839591</v>
          </cell>
          <cell r="J138">
            <v>326501.839591</v>
          </cell>
          <cell r="K138">
            <v>1301733.385333</v>
          </cell>
          <cell r="L138">
            <v>792743.09</v>
          </cell>
          <cell r="M138">
            <v>2128148</v>
          </cell>
          <cell r="N138">
            <v>2331648</v>
          </cell>
          <cell r="O138">
            <v>2331648</v>
          </cell>
        </row>
        <row r="139">
          <cell r="A139" t="str">
            <v>AustraliaELTO MAINTENANCE</v>
          </cell>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row>
        <row r="140">
          <cell r="A140" t="str">
            <v>AustraliaELTO OTHER</v>
          </cell>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row>
        <row r="141">
          <cell r="A141" t="str">
            <v>AustraliaLEGAL</v>
          </cell>
          <cell r="B141">
            <v>395395.24</v>
          </cell>
          <cell r="C141">
            <v>360578.81</v>
          </cell>
          <cell r="D141">
            <v>258545.51</v>
          </cell>
          <cell r="E141">
            <v>303877.53999999998</v>
          </cell>
          <cell r="F141">
            <v>1318397.1000000001</v>
          </cell>
          <cell r="G141">
            <v>242912.01212100001</v>
          </cell>
          <cell r="H141">
            <v>429609.345455</v>
          </cell>
          <cell r="I141">
            <v>237521.345455</v>
          </cell>
          <cell r="J141">
            <v>231177.345455</v>
          </cell>
          <cell r="K141">
            <v>1141220.0484849999</v>
          </cell>
          <cell r="L141">
            <v>281132.89</v>
          </cell>
          <cell r="M141">
            <v>913285.21696500003</v>
          </cell>
          <cell r="N141">
            <v>916589.48239200003</v>
          </cell>
          <cell r="O141">
            <v>946896.07680599997</v>
          </cell>
        </row>
        <row r="142">
          <cell r="A142" t="str">
            <v>AustraliaADVERTISING</v>
          </cell>
          <cell r="B142">
            <v>954.05</v>
          </cell>
          <cell r="C142">
            <v>3599.57</v>
          </cell>
          <cell r="D142">
            <v>13537.14</v>
          </cell>
          <cell r="E142">
            <v>19408.509999999998</v>
          </cell>
          <cell r="F142">
            <v>37499.269999999997</v>
          </cell>
          <cell r="G142">
            <v>121871.92727299999</v>
          </cell>
          <cell r="H142">
            <v>-136150.18181800001</v>
          </cell>
          <cell r="I142">
            <v>-136982.18181800001</v>
          </cell>
          <cell r="J142">
            <v>-136982.18181800001</v>
          </cell>
          <cell r="K142">
            <v>-288242.61818200001</v>
          </cell>
          <cell r="L142">
            <v>212942.21</v>
          </cell>
          <cell r="M142">
            <v>0</v>
          </cell>
          <cell r="N142">
            <v>0</v>
          </cell>
          <cell r="O142">
            <v>0</v>
          </cell>
        </row>
        <row r="143">
          <cell r="A143" t="str">
            <v>AustraliaSALES PROMOTIONS</v>
          </cell>
          <cell r="B143">
            <v>2764816.83</v>
          </cell>
          <cell r="C143">
            <v>864192.1</v>
          </cell>
          <cell r="D143">
            <v>958572.03</v>
          </cell>
          <cell r="E143">
            <v>1132346.04</v>
          </cell>
          <cell r="F143">
            <v>5719927</v>
          </cell>
          <cell r="G143">
            <v>2642585.4238820001</v>
          </cell>
          <cell r="H143">
            <v>2205405.6333519998</v>
          </cell>
          <cell r="I143">
            <v>2101976.494678</v>
          </cell>
          <cell r="J143">
            <v>2246383.6557999998</v>
          </cell>
          <cell r="K143">
            <v>9196351.2077120002</v>
          </cell>
          <cell r="L143">
            <v>1634081.43</v>
          </cell>
          <cell r="M143">
            <v>9985373.7537159994</v>
          </cell>
          <cell r="N143">
            <v>12210317.776914001</v>
          </cell>
          <cell r="O143">
            <v>12221019.237366</v>
          </cell>
        </row>
        <row r="144">
          <cell r="A144" t="str">
            <v>AustraliaDIRECT MAIL</v>
          </cell>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row>
        <row r="145">
          <cell r="A145" t="str">
            <v>AustraliaDATA PROCESSING</v>
          </cell>
          <cell r="B145">
            <v>1857797.53</v>
          </cell>
          <cell r="C145">
            <v>1709786.13</v>
          </cell>
          <cell r="D145">
            <v>1859641.07</v>
          </cell>
          <cell r="E145">
            <v>1448476.34</v>
          </cell>
          <cell r="F145">
            <v>6875701.0700000003</v>
          </cell>
          <cell r="G145">
            <v>1995142.9445090001</v>
          </cell>
          <cell r="H145">
            <v>1881056.2459470001</v>
          </cell>
          <cell r="I145">
            <v>1955397.7197740001</v>
          </cell>
          <cell r="J145">
            <v>1979554.6291819999</v>
          </cell>
          <cell r="K145">
            <v>7811151.5394130005</v>
          </cell>
          <cell r="L145">
            <v>1868247.9</v>
          </cell>
          <cell r="M145">
            <v>8528745.5341519993</v>
          </cell>
          <cell r="N145">
            <v>9006325.3533389997</v>
          </cell>
          <cell r="O145">
            <v>9769900.9542660005</v>
          </cell>
        </row>
        <row r="146">
          <cell r="A146" t="str">
            <v>AustraliaCONSULTING</v>
          </cell>
          <cell r="B146">
            <v>346155.02</v>
          </cell>
          <cell r="C146">
            <v>413397.1</v>
          </cell>
          <cell r="D146">
            <v>-168555.16</v>
          </cell>
          <cell r="E146">
            <v>103174.21</v>
          </cell>
          <cell r="F146">
            <v>694171.17</v>
          </cell>
          <cell r="G146">
            <v>686400</v>
          </cell>
          <cell r="H146">
            <v>707876</v>
          </cell>
          <cell r="I146">
            <v>488644</v>
          </cell>
          <cell r="J146">
            <v>487604</v>
          </cell>
          <cell r="K146">
            <v>2370524</v>
          </cell>
          <cell r="L146">
            <v>663837.13</v>
          </cell>
          <cell r="M146">
            <v>798619.60849000001</v>
          </cell>
          <cell r="N146">
            <v>819277.98159500002</v>
          </cell>
          <cell r="O146">
            <v>844912.526877</v>
          </cell>
        </row>
        <row r="147">
          <cell r="A147" t="str">
            <v>AustraliaTEMP SERVICES</v>
          </cell>
          <cell r="B147">
            <v>2396378.19</v>
          </cell>
          <cell r="C147">
            <v>2367123.0699999998</v>
          </cell>
          <cell r="D147">
            <v>1700532.85</v>
          </cell>
          <cell r="E147">
            <v>2167271.89</v>
          </cell>
          <cell r="F147">
            <v>8631306</v>
          </cell>
          <cell r="G147">
            <v>1953583.6169090001</v>
          </cell>
          <cell r="H147">
            <v>1628772.746823</v>
          </cell>
          <cell r="I147">
            <v>960925.937163</v>
          </cell>
          <cell r="J147">
            <v>1186140.1939630001</v>
          </cell>
          <cell r="K147">
            <v>5729422.4948580004</v>
          </cell>
          <cell r="L147">
            <v>1708515.39</v>
          </cell>
          <cell r="M147">
            <v>4527764.7123499997</v>
          </cell>
          <cell r="N147">
            <v>4660776.5592599995</v>
          </cell>
          <cell r="O147">
            <v>4879472.9127359996</v>
          </cell>
        </row>
        <row r="148">
          <cell r="A148" t="str">
            <v>AustraliaGDC CHARGES</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row>
        <row r="149">
          <cell r="A149" t="str">
            <v>AustraliaTRAINING AND EDUCATION</v>
          </cell>
          <cell r="B149">
            <v>195833.95</v>
          </cell>
          <cell r="C149">
            <v>131181.4</v>
          </cell>
          <cell r="D149">
            <v>93739.17</v>
          </cell>
          <cell r="E149">
            <v>141272.20000000001</v>
          </cell>
          <cell r="F149">
            <v>562026.72</v>
          </cell>
          <cell r="G149">
            <v>494925.6</v>
          </cell>
          <cell r="H149">
            <v>405693.6</v>
          </cell>
          <cell r="I149">
            <v>410061.6</v>
          </cell>
          <cell r="J149">
            <v>394487.6</v>
          </cell>
          <cell r="K149">
            <v>1705168.4</v>
          </cell>
          <cell r="L149">
            <v>274696.03000000003</v>
          </cell>
          <cell r="M149">
            <v>1165142.86757</v>
          </cell>
          <cell r="N149">
            <v>1212481.8888409999</v>
          </cell>
          <cell r="O149">
            <v>1274362.6457509999</v>
          </cell>
        </row>
        <row r="150">
          <cell r="A150" t="str">
            <v>AustraliaOUTSIDE SERVICES  AND FEES</v>
          </cell>
          <cell r="B150">
            <v>2342076.59</v>
          </cell>
          <cell r="C150">
            <v>2041484.15</v>
          </cell>
          <cell r="D150">
            <v>3794541.76</v>
          </cell>
          <cell r="E150">
            <v>4242287.54</v>
          </cell>
          <cell r="F150">
            <v>12420390.039999999</v>
          </cell>
          <cell r="G150">
            <v>4140552.7013849998</v>
          </cell>
          <cell r="H150">
            <v>3843011.1965339999</v>
          </cell>
          <cell r="I150">
            <v>3934251.893352</v>
          </cell>
          <cell r="J150">
            <v>4096724.974041</v>
          </cell>
          <cell r="K150">
            <v>16014540.765311999</v>
          </cell>
          <cell r="L150">
            <v>3842603.7</v>
          </cell>
          <cell r="M150">
            <v>12791632.188934</v>
          </cell>
          <cell r="N150">
            <v>13860213.282583</v>
          </cell>
          <cell r="O150">
            <v>15703554.611369001</v>
          </cell>
        </row>
        <row r="151">
          <cell r="A151" t="str">
            <v>AustraliaSTATE, FOREIGN, LOCAL TAXES</v>
          </cell>
          <cell r="B151">
            <v>1858626.29</v>
          </cell>
          <cell r="C151">
            <v>1517147.79</v>
          </cell>
          <cell r="D151">
            <v>2038225.35</v>
          </cell>
          <cell r="E151">
            <v>1294891.45</v>
          </cell>
          <cell r="F151">
            <v>6708890.8799999999</v>
          </cell>
          <cell r="G151">
            <v>1660074.7385470001</v>
          </cell>
          <cell r="H151">
            <v>1695036.6013239999</v>
          </cell>
          <cell r="I151">
            <v>1658586.6503560001</v>
          </cell>
          <cell r="J151">
            <v>1679440.5574330001</v>
          </cell>
          <cell r="K151">
            <v>6693138.5476590004</v>
          </cell>
          <cell r="L151">
            <v>1991766.36</v>
          </cell>
          <cell r="M151">
            <v>8693618.1411400009</v>
          </cell>
          <cell r="N151">
            <v>9008713.6827060003</v>
          </cell>
          <cell r="O151">
            <v>9392036.8217619993</v>
          </cell>
        </row>
        <row r="152">
          <cell r="A152" t="str">
            <v>AustraliaS/L TAX - INSURANCE PREMIUMS</v>
          </cell>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row>
        <row r="153">
          <cell r="A153" t="str">
            <v>AustraliaSATELLITE LEASE EXPENSE</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row>
        <row r="154">
          <cell r="A154" t="str">
            <v>AustraliaBUSINESS SHARE EXPENSE</v>
          </cell>
          <cell r="B154">
            <v>-7134.07</v>
          </cell>
          <cell r="C154">
            <v>0</v>
          </cell>
          <cell r="D154">
            <v>0</v>
          </cell>
          <cell r="E154">
            <v>0</v>
          </cell>
          <cell r="F154">
            <v>-7134.07</v>
          </cell>
          <cell r="G154">
            <v>0</v>
          </cell>
          <cell r="H154">
            <v>0</v>
          </cell>
          <cell r="I154">
            <v>0</v>
          </cell>
          <cell r="J154">
            <v>0</v>
          </cell>
          <cell r="K154">
            <v>0</v>
          </cell>
          <cell r="L154">
            <v>0</v>
          </cell>
          <cell r="M154">
            <v>0</v>
          </cell>
          <cell r="N154">
            <v>0</v>
          </cell>
          <cell r="O154">
            <v>0</v>
          </cell>
        </row>
        <row r="155">
          <cell r="A155" t="str">
            <v>AustraliaINSURANCE AFFILIATE EXPENSE</v>
          </cell>
          <cell r="B155">
            <v>887728.98</v>
          </cell>
          <cell r="C155">
            <v>684918.19</v>
          </cell>
          <cell r="D155">
            <v>-1936206.75</v>
          </cell>
          <cell r="E155">
            <v>1152974.82</v>
          </cell>
          <cell r="F155">
            <v>789415.24</v>
          </cell>
          <cell r="G155">
            <v>984256</v>
          </cell>
          <cell r="H155">
            <v>950924</v>
          </cell>
          <cell r="I155">
            <v>1105728</v>
          </cell>
          <cell r="J155">
            <v>1315860</v>
          </cell>
          <cell r="K155">
            <v>4356768</v>
          </cell>
          <cell r="L155">
            <v>583025.59</v>
          </cell>
          <cell r="M155">
            <v>0</v>
          </cell>
          <cell r="N155">
            <v>0</v>
          </cell>
          <cell r="O155">
            <v>0</v>
          </cell>
        </row>
        <row r="156">
          <cell r="A156" t="str">
            <v>AustraliaOTHER FACILITY EXPENSE</v>
          </cell>
          <cell r="B156">
            <v>397717.84</v>
          </cell>
          <cell r="C156">
            <v>314015.89</v>
          </cell>
          <cell r="D156">
            <v>266763.86</v>
          </cell>
          <cell r="E156">
            <v>240331.28</v>
          </cell>
          <cell r="F156">
            <v>1218828.8700000001</v>
          </cell>
          <cell r="G156">
            <v>336492</v>
          </cell>
          <cell r="H156">
            <v>352196</v>
          </cell>
          <cell r="I156">
            <v>336596</v>
          </cell>
          <cell r="J156">
            <v>336648</v>
          </cell>
          <cell r="K156">
            <v>1361932</v>
          </cell>
          <cell r="L156">
            <v>471972.45</v>
          </cell>
          <cell r="M156">
            <v>2360236.733635</v>
          </cell>
          <cell r="N156">
            <v>2420693.5642599999</v>
          </cell>
          <cell r="O156">
            <v>2505876.4316039998</v>
          </cell>
        </row>
        <row r="157">
          <cell r="A157" t="str">
            <v>AustraliaGROSS OP &amp; ADMIN BUS SHARE</v>
          </cell>
          <cell r="B157">
            <v>-201529</v>
          </cell>
          <cell r="C157">
            <v>-212176.04</v>
          </cell>
          <cell r="D157">
            <v>-756544</v>
          </cell>
          <cell r="E157">
            <v>-803482</v>
          </cell>
          <cell r="F157">
            <v>-1973731.04</v>
          </cell>
          <cell r="G157">
            <v>-204656.4</v>
          </cell>
          <cell r="H157">
            <v>-155048.4</v>
          </cell>
          <cell r="I157">
            <v>-149744.4</v>
          </cell>
          <cell r="J157">
            <v>-149744.4</v>
          </cell>
          <cell r="K157">
            <v>-659193.59999999998</v>
          </cell>
          <cell r="L157">
            <v>4826.88</v>
          </cell>
          <cell r="M157">
            <v>0</v>
          </cell>
          <cell r="N157">
            <v>0</v>
          </cell>
          <cell r="O157">
            <v>0</v>
          </cell>
        </row>
        <row r="158">
          <cell r="A158" t="str">
            <v>AustraliaOTHER EXPENSE</v>
          </cell>
          <cell r="B158">
            <v>573942.62</v>
          </cell>
          <cell r="C158">
            <v>314126.21999999997</v>
          </cell>
          <cell r="D158">
            <v>571282.42000000004</v>
          </cell>
          <cell r="E158">
            <v>2316643.17</v>
          </cell>
          <cell r="F158">
            <v>3775994.43</v>
          </cell>
          <cell r="G158">
            <v>-2523403.0069949999</v>
          </cell>
          <cell r="H158">
            <v>-231784.085403</v>
          </cell>
          <cell r="I158">
            <v>-636616.05348899995</v>
          </cell>
          <cell r="J158">
            <v>-675429.89348900004</v>
          </cell>
          <cell r="K158">
            <v>-4067233.0393770002</v>
          </cell>
          <cell r="L158">
            <v>276839.77</v>
          </cell>
          <cell r="M158">
            <v>6319285.5093470002</v>
          </cell>
          <cell r="N158">
            <v>8931267.6717029996</v>
          </cell>
          <cell r="O158">
            <v>12420256.418249</v>
          </cell>
        </row>
        <row r="159">
          <cell r="A159" t="str">
            <v>AustraliaGECC INTERCO EXPENSES EXCL GECIS</v>
          </cell>
          <cell r="B159">
            <v>0</v>
          </cell>
          <cell r="C159">
            <v>0</v>
          </cell>
          <cell r="D159">
            <v>1567873.05</v>
          </cell>
          <cell r="E159">
            <v>1234975.6200000001</v>
          </cell>
          <cell r="F159">
            <v>2802848.67</v>
          </cell>
          <cell r="G159">
            <v>0</v>
          </cell>
          <cell r="H159">
            <v>0</v>
          </cell>
          <cell r="I159">
            <v>0</v>
          </cell>
          <cell r="J159">
            <v>0</v>
          </cell>
          <cell r="K159">
            <v>0</v>
          </cell>
          <cell r="L159">
            <v>-2150</v>
          </cell>
          <cell r="M159">
            <v>0</v>
          </cell>
          <cell r="N159">
            <v>0</v>
          </cell>
          <cell r="O159">
            <v>0</v>
          </cell>
        </row>
        <row r="160">
          <cell r="A160" t="str">
            <v>AustraliaGECIS INTERCO CHARGES</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row>
        <row r="161">
          <cell r="A161" t="str">
            <v>AustraliaLOSS ADJUSTED EXPENSE</v>
          </cell>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row>
        <row r="162">
          <cell r="A162" t="str">
            <v>AustraliaALL OTHER EXPENSES</v>
          </cell>
          <cell r="B162">
            <v>0.01</v>
          </cell>
          <cell r="C162">
            <v>-0.02</v>
          </cell>
          <cell r="D162">
            <v>0.01</v>
          </cell>
          <cell r="E162">
            <v>0</v>
          </cell>
          <cell r="F162">
            <v>0</v>
          </cell>
          <cell r="G162">
            <v>0</v>
          </cell>
          <cell r="H162">
            <v>0</v>
          </cell>
          <cell r="I162">
            <v>0</v>
          </cell>
          <cell r="J162">
            <v>0</v>
          </cell>
          <cell r="K162">
            <v>0</v>
          </cell>
          <cell r="L162">
            <v>-0.01</v>
          </cell>
          <cell r="M162">
            <v>0</v>
          </cell>
          <cell r="N162">
            <v>0</v>
          </cell>
          <cell r="O162">
            <v>0</v>
          </cell>
        </row>
        <row r="163">
          <cell r="A163" t="str">
            <v>AustraliaASSESSMENTS</v>
          </cell>
          <cell r="B163">
            <v>2903013.07</v>
          </cell>
          <cell r="C163">
            <v>2575361.66</v>
          </cell>
          <cell r="D163">
            <v>1266768.3</v>
          </cell>
          <cell r="E163">
            <v>657526.72</v>
          </cell>
          <cell r="F163">
            <v>7402669.75</v>
          </cell>
          <cell r="G163">
            <v>2368246.3984670001</v>
          </cell>
          <cell r="H163">
            <v>2223781.7765529999</v>
          </cell>
          <cell r="I163">
            <v>2315797.6762330001</v>
          </cell>
          <cell r="J163">
            <v>2235332.8596669999</v>
          </cell>
          <cell r="K163">
            <v>9143158.7109210007</v>
          </cell>
          <cell r="L163">
            <v>1562857.28</v>
          </cell>
          <cell r="M163">
            <v>8958522.8928650003</v>
          </cell>
          <cell r="N163">
            <v>10829738.668972</v>
          </cell>
          <cell r="O163">
            <v>12457550.427557999</v>
          </cell>
        </row>
        <row r="164">
          <cell r="A164" t="str">
            <v>AustraliaFAS 91</v>
          </cell>
          <cell r="B164">
            <v>-600332.81000000006</v>
          </cell>
          <cell r="C164">
            <v>-962899.38</v>
          </cell>
          <cell r="D164">
            <v>-2336841.75</v>
          </cell>
          <cell r="E164">
            <v>-1884226.34</v>
          </cell>
          <cell r="F164">
            <v>-5784300.2800000003</v>
          </cell>
          <cell r="G164">
            <v>-4443435.900599</v>
          </cell>
          <cell r="H164">
            <v>-4748603.8467560001</v>
          </cell>
          <cell r="I164">
            <v>-4853263.6746960003</v>
          </cell>
          <cell r="J164">
            <v>-4919240.4383509997</v>
          </cell>
          <cell r="K164">
            <v>-18964543.860401999</v>
          </cell>
          <cell r="L164">
            <v>-2769665.06</v>
          </cell>
          <cell r="M164">
            <v>-3335657.4396370002</v>
          </cell>
          <cell r="N164">
            <v>-2878852.987092</v>
          </cell>
          <cell r="O164">
            <v>-2937990.8189900001</v>
          </cell>
        </row>
        <row r="165">
          <cell r="A165" t="str">
            <v>AustraliaGOODWILL AMORTIZATION</v>
          </cell>
          <cell r="B165">
            <v>4733156.2699999996</v>
          </cell>
          <cell r="C165">
            <v>4431379.38</v>
          </cell>
          <cell r="D165">
            <v>4687344.9400000004</v>
          </cell>
          <cell r="E165">
            <v>4539032.54</v>
          </cell>
          <cell r="F165">
            <v>18390913.129999999</v>
          </cell>
          <cell r="G165">
            <v>0</v>
          </cell>
          <cell r="H165">
            <v>0</v>
          </cell>
          <cell r="I165">
            <v>0</v>
          </cell>
          <cell r="J165">
            <v>0</v>
          </cell>
          <cell r="K165">
            <v>0</v>
          </cell>
          <cell r="L165">
            <v>173.69</v>
          </cell>
          <cell r="M165">
            <v>19704191.779842999</v>
          </cell>
          <cell r="N165">
            <v>19704191.779842999</v>
          </cell>
          <cell r="O165">
            <v>19494296.700162999</v>
          </cell>
        </row>
        <row r="166">
          <cell r="A166" t="str">
            <v>AustraliaDEPRECIATION EXPENSE</v>
          </cell>
          <cell r="B166">
            <v>1270846.98</v>
          </cell>
          <cell r="C166">
            <v>1405677.58</v>
          </cell>
          <cell r="D166">
            <v>1226496.28</v>
          </cell>
          <cell r="E166">
            <v>865129.76</v>
          </cell>
          <cell r="F166">
            <v>4768150.5999999996</v>
          </cell>
          <cell r="G166">
            <v>1608947.015901</v>
          </cell>
          <cell r="H166">
            <v>1809718.4763499999</v>
          </cell>
          <cell r="I166">
            <v>1872077.809683</v>
          </cell>
          <cell r="J166">
            <v>1931176.2763499999</v>
          </cell>
          <cell r="K166">
            <v>7221919.578284</v>
          </cell>
          <cell r="L166">
            <v>1130175.08</v>
          </cell>
          <cell r="M166">
            <v>7496783.7453720002</v>
          </cell>
          <cell r="N166">
            <v>8065186.5251860004</v>
          </cell>
          <cell r="O166">
            <v>8395650.2490100004</v>
          </cell>
        </row>
        <row r="167">
          <cell r="A167" t="str">
            <v>AustraliaELTO AMORTIZATION</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row>
        <row r="168">
          <cell r="A168" t="str">
            <v>AustraliaINSURANCE LOSSES AND BENEFITS</v>
          </cell>
          <cell r="B168">
            <v>1156703.92</v>
          </cell>
          <cell r="C168">
            <v>1985258.34</v>
          </cell>
          <cell r="D168">
            <v>2129154.9700000002</v>
          </cell>
          <cell r="E168">
            <v>1814506.09</v>
          </cell>
          <cell r="F168">
            <v>7085623.3200000003</v>
          </cell>
          <cell r="G168">
            <v>2241252</v>
          </cell>
          <cell r="H168">
            <v>1853852</v>
          </cell>
          <cell r="I168">
            <v>1937468</v>
          </cell>
          <cell r="J168">
            <v>2140632</v>
          </cell>
          <cell r="K168">
            <v>8173204</v>
          </cell>
          <cell r="L168">
            <v>1945224.55</v>
          </cell>
          <cell r="M168">
            <v>10840104.473611001</v>
          </cell>
          <cell r="N168">
            <v>14474623.880139001</v>
          </cell>
          <cell r="O168">
            <v>20818775.911694001</v>
          </cell>
        </row>
        <row r="169">
          <cell r="A169" t="str">
            <v>AustraliaWRITE OFFS</v>
          </cell>
          <cell r="B169">
            <v>8560353.0600000005</v>
          </cell>
          <cell r="C169">
            <v>11968559.140000001</v>
          </cell>
          <cell r="D169">
            <v>13487663.369999999</v>
          </cell>
          <cell r="E169">
            <v>16855601.27</v>
          </cell>
          <cell r="F169">
            <v>50872176.840000004</v>
          </cell>
          <cell r="G169">
            <v>18575824.131549999</v>
          </cell>
          <cell r="H169">
            <v>3547730.6838679998</v>
          </cell>
          <cell r="I169">
            <v>17093425.848327</v>
          </cell>
          <cell r="J169">
            <v>20076330.105085</v>
          </cell>
          <cell r="K169">
            <v>59293310.768830001</v>
          </cell>
          <cell r="L169">
            <v>16434291.73</v>
          </cell>
          <cell r="M169">
            <v>58621003.937131003</v>
          </cell>
          <cell r="N169">
            <v>64415651.218368001</v>
          </cell>
          <cell r="O169">
            <v>72054183.602893993</v>
          </cell>
        </row>
        <row r="170">
          <cell r="A170" t="str">
            <v>AustraliaRESERVE CHANGE</v>
          </cell>
          <cell r="B170">
            <v>113530.27</v>
          </cell>
          <cell r="C170">
            <v>112262.04</v>
          </cell>
          <cell r="D170">
            <v>-74517.77</v>
          </cell>
          <cell r="E170">
            <v>59216.2</v>
          </cell>
          <cell r="F170">
            <v>210490.74</v>
          </cell>
          <cell r="G170">
            <v>0</v>
          </cell>
          <cell r="H170">
            <v>0</v>
          </cell>
          <cell r="I170">
            <v>0</v>
          </cell>
          <cell r="J170">
            <v>0</v>
          </cell>
          <cell r="K170">
            <v>0</v>
          </cell>
          <cell r="L170">
            <v>95287.039999999994</v>
          </cell>
          <cell r="M170">
            <v>0</v>
          </cell>
          <cell r="N170">
            <v>0</v>
          </cell>
          <cell r="O170">
            <v>0</v>
          </cell>
        </row>
        <row r="171">
          <cell r="A171" t="str">
            <v>AustraliaMINORITY INTEREST</v>
          </cell>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row>
        <row r="172">
          <cell r="A172" t="str">
            <v>AustraliaINCOME TAXES</v>
          </cell>
          <cell r="B172">
            <v>-11246633.27</v>
          </cell>
          <cell r="C172">
            <v>-7700114.8700000001</v>
          </cell>
          <cell r="D172">
            <v>-7364569.2400000002</v>
          </cell>
          <cell r="E172">
            <v>-7478690.3399999999</v>
          </cell>
          <cell r="F172">
            <v>-33790007.719999999</v>
          </cell>
          <cell r="G172">
            <v>-7762350.5566210002</v>
          </cell>
          <cell r="H172">
            <v>-888369.26878299995</v>
          </cell>
          <cell r="I172">
            <v>-5168506.7406569999</v>
          </cell>
          <cell r="J172">
            <v>-5725310.6360520003</v>
          </cell>
          <cell r="K172">
            <v>-19544537.202112</v>
          </cell>
          <cell r="L172">
            <v>-6504269.6299999999</v>
          </cell>
          <cell r="M172">
            <v>-32477568.072241001</v>
          </cell>
          <cell r="N172">
            <v>-35164029.146563999</v>
          </cell>
          <cell r="O172">
            <v>-37332028.598471001</v>
          </cell>
        </row>
        <row r="173">
          <cell r="A173" t="str">
            <v>AustraliaCUMULATIVE TRANSITION ADJUSTMENT</v>
          </cell>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row>
        <row r="174">
          <cell r="A174" t="str">
            <v>AustraliaASIA PACIFIC NI DIVIDEND</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row>
        <row r="175">
          <cell r="A175" t="str">
            <v>AustraliaNet Income</v>
          </cell>
          <cell r="B175">
            <v>-19430042.690000001</v>
          </cell>
          <cell r="C175">
            <v>-16637350.130000001</v>
          </cell>
          <cell r="D175">
            <v>-19858835.09</v>
          </cell>
          <cell r="E175">
            <v>-16267374.050000001</v>
          </cell>
          <cell r="F175">
            <v>-72193601.959999993</v>
          </cell>
          <cell r="G175">
            <v>-16009401.681934001</v>
          </cell>
          <cell r="H175">
            <v>-28006450.989282999</v>
          </cell>
          <cell r="I175">
            <v>-27390296.478551</v>
          </cell>
          <cell r="J175">
            <v>-26439104.866774</v>
          </cell>
          <cell r="K175">
            <v>-97845254.016543001</v>
          </cell>
          <cell r="L175">
            <v>-17892733.530000001</v>
          </cell>
          <cell r="M175">
            <v>-93177851.730827004</v>
          </cell>
          <cell r="N175">
            <v>-114091706.092031</v>
          </cell>
          <cell r="O175">
            <v>-140267389.38076001</v>
          </cell>
        </row>
        <row r="176">
          <cell r="A176" t="str">
            <v>AustraliaSubPart F</v>
          </cell>
          <cell r="B176">
            <v>14160000</v>
          </cell>
          <cell r="C176">
            <v>11276000</v>
          </cell>
          <cell r="D176">
            <v>11502466</v>
          </cell>
          <cell r="E176">
            <v>10240546</v>
          </cell>
          <cell r="F176">
            <v>47179012</v>
          </cell>
          <cell r="G176">
            <v>10756595.484581999</v>
          </cell>
          <cell r="H176">
            <v>10756595.484581999</v>
          </cell>
          <cell r="I176">
            <v>13242729.515418001</v>
          </cell>
          <cell r="J176">
            <v>13242729.515418001</v>
          </cell>
          <cell r="K176">
            <v>47998650</v>
          </cell>
          <cell r="L176">
            <v>10552100</v>
          </cell>
          <cell r="M176">
            <v>54692618.625138998</v>
          </cell>
          <cell r="N176">
            <v>64069713.103983998</v>
          </cell>
          <cell r="O176">
            <v>75008150.702779993</v>
          </cell>
        </row>
        <row r="177">
          <cell r="A177" t="str">
            <v>AustraliaAssets</v>
          </cell>
          <cell r="B177">
            <v>2369048873.27</v>
          </cell>
          <cell r="C177">
            <v>2560939806.8899899</v>
          </cell>
          <cell r="D177">
            <v>2645851156.1900001</v>
          </cell>
          <cell r="E177">
            <v>2844036423.96</v>
          </cell>
          <cell r="F177">
            <v>2844036423.96</v>
          </cell>
          <cell r="G177">
            <v>2962627654.8380299</v>
          </cell>
          <cell r="H177">
            <v>3160310527.62397</v>
          </cell>
          <cell r="I177">
            <v>3314397619.3843699</v>
          </cell>
          <cell r="J177">
            <v>3534340682.9942398</v>
          </cell>
          <cell r="K177">
            <v>3534340682.9942398</v>
          </cell>
          <cell r="L177">
            <v>3005203648.73</v>
          </cell>
          <cell r="M177">
            <v>3378334339.1827798</v>
          </cell>
          <cell r="N177">
            <v>3823011263.6964898</v>
          </cell>
          <cell r="O177">
            <v>4284400108.6100502</v>
          </cell>
        </row>
        <row r="178">
          <cell r="A178" t="str">
            <v>AustraliaEnding Net Investment (ENI) incl Asia</v>
          </cell>
          <cell r="B178">
            <v>2313005738.8699999</v>
          </cell>
          <cell r="C178">
            <v>2518840216.5799899</v>
          </cell>
          <cell r="D178">
            <v>2504815531.8400002</v>
          </cell>
          <cell r="E178">
            <v>2656530912.4899998</v>
          </cell>
          <cell r="F178">
            <v>2656530912.4899998</v>
          </cell>
          <cell r="G178">
            <v>2863610640.4715099</v>
          </cell>
          <cell r="H178">
            <v>3062060681.2944398</v>
          </cell>
          <cell r="I178">
            <v>3215318651.2492299</v>
          </cell>
          <cell r="J178">
            <v>3434266283.5889802</v>
          </cell>
          <cell r="K178">
            <v>3434266283.5889802</v>
          </cell>
          <cell r="L178">
            <v>2814517102.8099999</v>
          </cell>
          <cell r="M178">
            <v>3207334130.7836499</v>
          </cell>
          <cell r="N178">
            <v>3693813453.6701999</v>
          </cell>
          <cell r="O178">
            <v>4147298364.2323499</v>
          </cell>
        </row>
        <row r="179">
          <cell r="A179" t="str">
            <v>AustraliaANR YTD</v>
          </cell>
          <cell r="B179">
            <v>2161855228.085</v>
          </cell>
          <cell r="C179">
            <v>2175271127.25</v>
          </cell>
          <cell r="D179">
            <v>2184049504.23</v>
          </cell>
          <cell r="E179">
            <v>2226139115.1040001</v>
          </cell>
          <cell r="F179">
            <v>2226139115.1040001</v>
          </cell>
          <cell r="G179">
            <v>2436075312.49472</v>
          </cell>
          <cell r="H179">
            <v>2517064871.3347101</v>
          </cell>
          <cell r="I179">
            <v>2595890058.7775502</v>
          </cell>
          <cell r="J179">
            <v>2687489356.0915699</v>
          </cell>
          <cell r="K179">
            <v>2687489356.0915699</v>
          </cell>
          <cell r="L179">
            <v>2470490377.4650002</v>
          </cell>
          <cell r="M179">
            <v>1079242592.96382</v>
          </cell>
          <cell r="N179">
            <v>1272640201.48827</v>
          </cell>
          <cell r="O179">
            <v>1451327865.55072</v>
          </cell>
        </row>
        <row r="180">
          <cell r="A180" t="str">
            <v>AustraliaASA YTD</v>
          </cell>
          <cell r="B180">
            <v>2161855228.085</v>
          </cell>
          <cell r="C180">
            <v>2175271127.25</v>
          </cell>
          <cell r="D180">
            <v>2184049504.23</v>
          </cell>
          <cell r="E180">
            <v>2226139115.1040001</v>
          </cell>
          <cell r="F180">
            <v>2226139115.1040001</v>
          </cell>
          <cell r="G180">
            <v>2436075312.49472</v>
          </cell>
          <cell r="H180">
            <v>2517064871.3347101</v>
          </cell>
          <cell r="I180">
            <v>2595890058.7775502</v>
          </cell>
          <cell r="J180">
            <v>2687489356.0915699</v>
          </cell>
          <cell r="K180">
            <v>2687489356.0915699</v>
          </cell>
          <cell r="L180">
            <v>2470490377.4650002</v>
          </cell>
          <cell r="M180">
            <v>1079242592.96382</v>
          </cell>
          <cell r="N180">
            <v>1272640201.48827</v>
          </cell>
          <cell r="O180">
            <v>1451327865.55072</v>
          </cell>
        </row>
        <row r="181">
          <cell r="A181" t="str">
            <v>AustraliaANI YTD incl Asia - 5 pt</v>
          </cell>
          <cell r="B181">
            <v>2449076784.2199998</v>
          </cell>
          <cell r="C181">
            <v>2472331261.6733298</v>
          </cell>
          <cell r="D181">
            <v>2480452329.2150002</v>
          </cell>
          <cell r="E181">
            <v>2515668045.8699999</v>
          </cell>
          <cell r="F181">
            <v>2515668045.8699999</v>
          </cell>
          <cell r="G181">
            <v>2760070776.4807501</v>
          </cell>
          <cell r="H181">
            <v>2860734078.08532</v>
          </cell>
          <cell r="I181">
            <v>2949380221.3762898</v>
          </cell>
          <cell r="J181">
            <v>3046357433.81883</v>
          </cell>
          <cell r="K181">
            <v>3046357433.81883</v>
          </cell>
          <cell r="L181">
            <v>2735524007.6500001</v>
          </cell>
          <cell r="M181">
            <v>1121987870.1763699</v>
          </cell>
          <cell r="N181">
            <v>1380229516.89077</v>
          </cell>
          <cell r="O181">
            <v>1568222363.5805099</v>
          </cell>
        </row>
        <row r="182">
          <cell r="A182" t="str">
            <v>AustraliaOff Balance Sheet Assets</v>
          </cell>
          <cell r="B182">
            <v>0</v>
          </cell>
          <cell r="C182">
            <v>0</v>
          </cell>
          <cell r="D182">
            <v>0</v>
          </cell>
          <cell r="E182">
            <v>0</v>
          </cell>
          <cell r="F182">
            <v>0</v>
          </cell>
          <cell r="G182">
            <v>0</v>
          </cell>
          <cell r="H182">
            <v>0</v>
          </cell>
          <cell r="I182">
            <v>0</v>
          </cell>
          <cell r="J182">
            <v>0</v>
          </cell>
          <cell r="K182">
            <v>0</v>
          </cell>
          <cell r="L182">
            <v>0</v>
          </cell>
          <cell r="M182">
            <v>0</v>
          </cell>
          <cell r="N182">
            <v>0</v>
          </cell>
          <cell r="O182">
            <v>0</v>
          </cell>
        </row>
        <row r="183">
          <cell r="A183" t="str">
            <v>AustraliaJV Receivables</v>
          </cell>
          <cell r="B183">
            <v>0</v>
          </cell>
          <cell r="C183">
            <v>0</v>
          </cell>
          <cell r="D183">
            <v>0</v>
          </cell>
          <cell r="E183">
            <v>0</v>
          </cell>
          <cell r="F183">
            <v>0</v>
          </cell>
          <cell r="G183">
            <v>0</v>
          </cell>
          <cell r="H183">
            <v>0</v>
          </cell>
          <cell r="I183">
            <v>0</v>
          </cell>
          <cell r="J183">
            <v>0</v>
          </cell>
          <cell r="K183">
            <v>0</v>
          </cell>
          <cell r="L183">
            <v>0</v>
          </cell>
          <cell r="M183">
            <v>0</v>
          </cell>
          <cell r="N183">
            <v>0</v>
          </cell>
          <cell r="O183">
            <v>0</v>
          </cell>
        </row>
        <row r="184">
          <cell r="A184" t="str">
            <v>Australia30+ DELINQUENCY $</v>
          </cell>
          <cell r="B184">
            <v>117152314.97</v>
          </cell>
          <cell r="C184">
            <v>111894363.51000001</v>
          </cell>
          <cell r="D184">
            <v>110861064.18000001</v>
          </cell>
          <cell r="E184">
            <v>113978083.79000001</v>
          </cell>
          <cell r="F184">
            <v>113978083.79000001</v>
          </cell>
          <cell r="G184">
            <v>121590203.384738</v>
          </cell>
          <cell r="H184">
            <v>127272754.543871</v>
          </cell>
          <cell r="I184">
            <v>141578024.79627901</v>
          </cell>
          <cell r="J184">
            <v>159379937.73594001</v>
          </cell>
          <cell r="K184">
            <v>159379937.73594001</v>
          </cell>
          <cell r="L184">
            <v>110837603.81999999</v>
          </cell>
          <cell r="M184">
            <v>102640181.517142</v>
          </cell>
          <cell r="N184">
            <v>124989511.38680901</v>
          </cell>
          <cell r="O184">
            <v>145218046.879233</v>
          </cell>
        </row>
        <row r="185">
          <cell r="A185" t="str">
            <v>Australia90+ DELINQUENCY $</v>
          </cell>
          <cell r="B185">
            <v>31504547.32</v>
          </cell>
          <cell r="C185">
            <v>34998492.119999997</v>
          </cell>
          <cell r="D185">
            <v>30627689.43</v>
          </cell>
          <cell r="E185">
            <v>35438563.869999997</v>
          </cell>
          <cell r="F185">
            <v>35438563.869999997</v>
          </cell>
          <cell r="G185">
            <v>31167490.300535001</v>
          </cell>
          <cell r="H185">
            <v>32969744.119739</v>
          </cell>
          <cell r="I185">
            <v>35910422.230898999</v>
          </cell>
          <cell r="J185">
            <v>38677068.142945997</v>
          </cell>
          <cell r="K185">
            <v>38677068.142945997</v>
          </cell>
          <cell r="L185">
            <v>34650202.359999999</v>
          </cell>
          <cell r="M185">
            <v>27633786.860454999</v>
          </cell>
          <cell r="N185">
            <v>33930386.617963001</v>
          </cell>
          <cell r="O185">
            <v>40182308.886818998</v>
          </cell>
        </row>
        <row r="186">
          <cell r="A186" t="str">
            <v>AustraliaTemporary Staff</v>
          </cell>
          <cell r="B186">
            <v>0</v>
          </cell>
          <cell r="C186">
            <v>164.5</v>
          </cell>
          <cell r="D186">
            <v>118</v>
          </cell>
          <cell r="E186">
            <v>267.5</v>
          </cell>
          <cell r="F186">
            <v>267.5</v>
          </cell>
          <cell r="G186">
            <v>185</v>
          </cell>
          <cell r="H186">
            <v>125.5</v>
          </cell>
          <cell r="I186">
            <v>34.5</v>
          </cell>
          <cell r="J186">
            <v>72</v>
          </cell>
          <cell r="K186">
            <v>72</v>
          </cell>
          <cell r="L186">
            <v>227</v>
          </cell>
          <cell r="M186">
            <v>52.5</v>
          </cell>
          <cell r="N186">
            <v>51.5</v>
          </cell>
          <cell r="O186">
            <v>51.5</v>
          </cell>
        </row>
        <row r="187">
          <cell r="A187" t="str">
            <v>AustraliaContractors</v>
          </cell>
          <cell r="B187">
            <v>0</v>
          </cell>
          <cell r="C187">
            <v>43</v>
          </cell>
          <cell r="D187">
            <v>120.5</v>
          </cell>
          <cell r="E187">
            <v>130.5</v>
          </cell>
          <cell r="F187">
            <v>130.5</v>
          </cell>
          <cell r="G187">
            <v>61</v>
          </cell>
          <cell r="H187">
            <v>60</v>
          </cell>
          <cell r="I187">
            <v>58</v>
          </cell>
          <cell r="J187">
            <v>58</v>
          </cell>
          <cell r="K187">
            <v>58</v>
          </cell>
          <cell r="L187">
            <v>114</v>
          </cell>
          <cell r="M187">
            <v>33</v>
          </cell>
          <cell r="N187">
            <v>34</v>
          </cell>
          <cell r="O187">
            <v>35</v>
          </cell>
        </row>
        <row r="188">
          <cell r="A188" t="str">
            <v>AustraliaOutsourced to LCC</v>
          </cell>
          <cell r="B188">
            <v>0</v>
          </cell>
          <cell r="C188">
            <v>0</v>
          </cell>
          <cell r="D188">
            <v>0</v>
          </cell>
          <cell r="E188">
            <v>0</v>
          </cell>
          <cell r="F188">
            <v>0</v>
          </cell>
          <cell r="G188">
            <v>175</v>
          </cell>
          <cell r="H188">
            <v>156.5</v>
          </cell>
          <cell r="I188">
            <v>156.5</v>
          </cell>
          <cell r="J188">
            <v>156.5</v>
          </cell>
          <cell r="K188">
            <v>156.5</v>
          </cell>
          <cell r="L188">
            <v>114.5</v>
          </cell>
          <cell r="M188">
            <v>226.5</v>
          </cell>
          <cell r="N188">
            <v>226.5</v>
          </cell>
          <cell r="O188">
            <v>226.5</v>
          </cell>
        </row>
        <row r="189">
          <cell r="A189" t="str">
            <v>AustraliaTotal Headcount</v>
          </cell>
          <cell r="B189">
            <v>1601</v>
          </cell>
          <cell r="C189">
            <v>1553</v>
          </cell>
          <cell r="D189">
            <v>1586.5</v>
          </cell>
          <cell r="E189">
            <v>1557.5</v>
          </cell>
          <cell r="F189">
            <v>1557.5</v>
          </cell>
          <cell r="G189">
            <v>1669.5</v>
          </cell>
          <cell r="H189">
            <v>1630.5</v>
          </cell>
          <cell r="I189">
            <v>1591.5</v>
          </cell>
          <cell r="J189">
            <v>1529.5</v>
          </cell>
          <cell r="K189">
            <v>1529.5</v>
          </cell>
          <cell r="L189">
            <v>1528</v>
          </cell>
          <cell r="M189">
            <v>1589.5</v>
          </cell>
          <cell r="N189">
            <v>1613.5</v>
          </cell>
          <cell r="O189">
            <v>1638.5</v>
          </cell>
        </row>
        <row r="190">
          <cell r="A190" t="str">
            <v>AustraliaTotal Workforce</v>
          </cell>
          <cell r="B190">
            <v>1601</v>
          </cell>
          <cell r="C190">
            <v>1760.5</v>
          </cell>
          <cell r="D190">
            <v>1825</v>
          </cell>
          <cell r="E190">
            <v>1955.5</v>
          </cell>
          <cell r="F190">
            <v>1955.5</v>
          </cell>
          <cell r="G190">
            <v>2090.5</v>
          </cell>
          <cell r="H190">
            <v>1972.5</v>
          </cell>
          <cell r="I190">
            <v>1840.5</v>
          </cell>
          <cell r="J190">
            <v>1816</v>
          </cell>
          <cell r="K190">
            <v>1816</v>
          </cell>
          <cell r="L190">
            <v>1983.5</v>
          </cell>
          <cell r="M190">
            <v>1901.5</v>
          </cell>
          <cell r="N190">
            <v>1925.5</v>
          </cell>
          <cell r="O190">
            <v>1951.5</v>
          </cell>
        </row>
        <row r="191">
          <cell r="A191" t="str">
            <v>AustraliaTotal Earned Revenue</v>
          </cell>
          <cell r="B191">
            <v>-99317719.340000004</v>
          </cell>
          <cell r="C191">
            <v>-93396137.200000003</v>
          </cell>
          <cell r="D191">
            <v>-96613553.299999997</v>
          </cell>
          <cell r="E191">
            <v>-96702727.510000005</v>
          </cell>
          <cell r="F191">
            <v>-386030137.35000002</v>
          </cell>
          <cell r="G191">
            <v>-99456538.018968001</v>
          </cell>
          <cell r="H191">
            <v>-105234924.41639601</v>
          </cell>
          <cell r="I191">
            <v>-114858353.498576</v>
          </cell>
          <cell r="J191">
            <v>-119990693.021988</v>
          </cell>
          <cell r="K191">
            <v>-439540508.95592803</v>
          </cell>
          <cell r="L191">
            <v>-97550590.200000003</v>
          </cell>
          <cell r="M191">
            <v>-473056722.00892103</v>
          </cell>
          <cell r="N191">
            <v>-541931720.17275095</v>
          </cell>
          <cell r="O191">
            <v>-626304967.53536499</v>
          </cell>
        </row>
        <row r="192">
          <cell r="A192" t="str">
            <v>AustraliaOrdinary Gains - PreTax</v>
          </cell>
          <cell r="B192">
            <v>0</v>
          </cell>
          <cell r="C192">
            <v>0</v>
          </cell>
          <cell r="D192">
            <v>0</v>
          </cell>
          <cell r="E192">
            <v>0</v>
          </cell>
          <cell r="F192">
            <v>0</v>
          </cell>
          <cell r="G192">
            <v>0</v>
          </cell>
          <cell r="H192">
            <v>0</v>
          </cell>
          <cell r="I192">
            <v>0</v>
          </cell>
          <cell r="J192">
            <v>0</v>
          </cell>
          <cell r="K192">
            <v>0</v>
          </cell>
          <cell r="L192">
            <v>0</v>
          </cell>
          <cell r="M192">
            <v>0</v>
          </cell>
          <cell r="N192">
            <v>0</v>
          </cell>
          <cell r="O192">
            <v>0</v>
          </cell>
        </row>
        <row r="193">
          <cell r="A193" t="str">
            <v>AustraliaOrdinary Gains - AfterTax</v>
          </cell>
          <cell r="B193">
            <v>0</v>
          </cell>
          <cell r="C193">
            <v>0</v>
          </cell>
          <cell r="D193">
            <v>0</v>
          </cell>
          <cell r="E193">
            <v>0</v>
          </cell>
          <cell r="F193">
            <v>0</v>
          </cell>
          <cell r="G193">
            <v>0</v>
          </cell>
          <cell r="H193">
            <v>0</v>
          </cell>
          <cell r="I193">
            <v>0</v>
          </cell>
          <cell r="J193">
            <v>0</v>
          </cell>
          <cell r="K193">
            <v>0</v>
          </cell>
          <cell r="L193">
            <v>0</v>
          </cell>
          <cell r="M193">
            <v>0</v>
          </cell>
          <cell r="N193">
            <v>0</v>
          </cell>
          <cell r="O193">
            <v>0</v>
          </cell>
        </row>
        <row r="194">
          <cell r="A194" t="str">
            <v>AustraliaTotal Volume</v>
          </cell>
          <cell r="B194">
            <v>349126237.44999999</v>
          </cell>
          <cell r="C194">
            <v>414074719.85000002</v>
          </cell>
          <cell r="D194">
            <v>477749812.22000003</v>
          </cell>
          <cell r="E194">
            <v>633832418.67999995</v>
          </cell>
          <cell r="F194">
            <v>1874783188.2</v>
          </cell>
          <cell r="G194">
            <v>573137425.96961701</v>
          </cell>
          <cell r="H194">
            <v>672394254.33819199</v>
          </cell>
          <cell r="I194">
            <v>681106332.74709296</v>
          </cell>
          <cell r="J194">
            <v>766822302.42080605</v>
          </cell>
          <cell r="K194">
            <v>2693460315.4756999</v>
          </cell>
          <cell r="L194">
            <v>538182686</v>
          </cell>
          <cell r="M194">
            <v>2410507044.7879601</v>
          </cell>
          <cell r="N194">
            <v>2925456955.934</v>
          </cell>
          <cell r="O194">
            <v>3239258903.7438502</v>
          </cell>
        </row>
        <row r="195">
          <cell r="A195" t="str">
            <v>AustraliaTOTAL # ACTIVE ACCOUNTS</v>
          </cell>
          <cell r="B195">
            <v>2092467.94</v>
          </cell>
          <cell r="C195">
            <v>2033791.7</v>
          </cell>
          <cell r="D195">
            <v>2012360.86</v>
          </cell>
          <cell r="E195">
            <v>2045830.92</v>
          </cell>
          <cell r="F195">
            <v>2045830.92</v>
          </cell>
          <cell r="G195">
            <v>2070361.747375</v>
          </cell>
          <cell r="H195">
            <v>1990400.718897</v>
          </cell>
          <cell r="I195">
            <v>2023142.397899</v>
          </cell>
          <cell r="J195">
            <v>2073321.7508640001</v>
          </cell>
          <cell r="K195">
            <v>2073321.7508640001</v>
          </cell>
          <cell r="L195">
            <v>0</v>
          </cell>
          <cell r="M195">
            <v>2719003.0396690001</v>
          </cell>
          <cell r="N195">
            <v>2917710.1759850001</v>
          </cell>
          <cell r="O195">
            <v>3120437.5420639999</v>
          </cell>
        </row>
        <row r="196">
          <cell r="A196" t="str">
            <v>AustriaTOTAL FINANCING RECEIVABLES</v>
          </cell>
          <cell r="B196">
            <v>1446946629.21</v>
          </cell>
          <cell r="C196">
            <v>1411504724.8900001</v>
          </cell>
          <cell r="D196">
            <v>1522639663.8800001</v>
          </cell>
          <cell r="E196">
            <v>1492287243.4200001</v>
          </cell>
          <cell r="F196">
            <v>1492287243.4200001</v>
          </cell>
          <cell r="G196">
            <v>1466793357</v>
          </cell>
          <cell r="H196">
            <v>1507274322</v>
          </cell>
          <cell r="I196">
            <v>1540848129</v>
          </cell>
          <cell r="J196">
            <v>1561456598</v>
          </cell>
          <cell r="K196">
            <v>1561456598</v>
          </cell>
          <cell r="L196">
            <v>1441720515.95</v>
          </cell>
          <cell r="M196">
            <v>1786637188</v>
          </cell>
          <cell r="N196">
            <v>2022498376</v>
          </cell>
          <cell r="O196">
            <v>2284782823</v>
          </cell>
        </row>
        <row r="197">
          <cell r="A197" t="str">
            <v>AustriaRECEIVABLE RESERVES</v>
          </cell>
          <cell r="B197">
            <v>-60624910.170000002</v>
          </cell>
          <cell r="C197">
            <v>-52526621.539999999</v>
          </cell>
          <cell r="D197">
            <v>-56909169.439999998</v>
          </cell>
          <cell r="E197">
            <v>-59750834.020000003</v>
          </cell>
          <cell r="F197">
            <v>-59750834.020000003</v>
          </cell>
          <cell r="G197">
            <v>-56729792</v>
          </cell>
          <cell r="H197">
            <v>-55095741</v>
          </cell>
          <cell r="I197">
            <v>-52523391</v>
          </cell>
          <cell r="J197">
            <v>-47928436</v>
          </cell>
          <cell r="K197">
            <v>-47928436</v>
          </cell>
          <cell r="L197">
            <v>-56899429.359999999</v>
          </cell>
          <cell r="M197">
            <v>-40416287</v>
          </cell>
          <cell r="N197">
            <v>-37166036</v>
          </cell>
          <cell r="O197">
            <v>-35266732</v>
          </cell>
        </row>
        <row r="198">
          <cell r="A198" t="str">
            <v>AustriaCASH</v>
          </cell>
          <cell r="B198">
            <v>5473879.9699999997</v>
          </cell>
          <cell r="C198">
            <v>4944474.57</v>
          </cell>
          <cell r="D198">
            <v>5090348.26</v>
          </cell>
          <cell r="E198">
            <v>4007096.84</v>
          </cell>
          <cell r="F198">
            <v>4007096.84</v>
          </cell>
          <cell r="G198">
            <v>3999554</v>
          </cell>
          <cell r="H198">
            <v>3999554</v>
          </cell>
          <cell r="I198">
            <v>3999554</v>
          </cell>
          <cell r="J198">
            <v>3999554</v>
          </cell>
          <cell r="K198">
            <v>3999554</v>
          </cell>
          <cell r="L198">
            <v>6418782.4699999997</v>
          </cell>
          <cell r="M198">
            <v>5504402</v>
          </cell>
          <cell r="N198">
            <v>5504402</v>
          </cell>
          <cell r="O198">
            <v>5504402</v>
          </cell>
        </row>
        <row r="199">
          <cell r="A199" t="str">
            <v>AustriaINVESTMENT SECURITIES</v>
          </cell>
          <cell r="B199">
            <v>9654875.8699999992</v>
          </cell>
          <cell r="C199">
            <v>9050526.6500000004</v>
          </cell>
          <cell r="D199">
            <v>9843312.7699999996</v>
          </cell>
          <cell r="E199">
            <v>9672608.8800000008</v>
          </cell>
          <cell r="F199">
            <v>9672608.8800000008</v>
          </cell>
          <cell r="G199">
            <v>9654401</v>
          </cell>
          <cell r="H199">
            <v>9654401</v>
          </cell>
          <cell r="I199">
            <v>9654401</v>
          </cell>
          <cell r="J199">
            <v>9654401</v>
          </cell>
          <cell r="K199">
            <v>9654401</v>
          </cell>
          <cell r="L199">
            <v>7937185.1299999999</v>
          </cell>
          <cell r="M199">
            <v>9708712</v>
          </cell>
          <cell r="N199">
            <v>9708712</v>
          </cell>
          <cell r="O199">
            <v>9708712</v>
          </cell>
        </row>
        <row r="200">
          <cell r="A200" t="str">
            <v>AustriaINV IN NON CONSOL AFFILIATES</v>
          </cell>
          <cell r="B200">
            <v>23173936.739999998</v>
          </cell>
          <cell r="C200">
            <v>18437489.059999999</v>
          </cell>
          <cell r="D200">
            <v>18357786.129999999</v>
          </cell>
          <cell r="E200">
            <v>12970304.539999999</v>
          </cell>
          <cell r="F200">
            <v>12970304.539999999</v>
          </cell>
          <cell r="G200">
            <v>12945889</v>
          </cell>
          <cell r="H200">
            <v>12945889</v>
          </cell>
          <cell r="I200">
            <v>12945889</v>
          </cell>
          <cell r="J200">
            <v>12945889</v>
          </cell>
          <cell r="K200">
            <v>12945889</v>
          </cell>
          <cell r="L200">
            <v>9431109.0399999991</v>
          </cell>
          <cell r="M200">
            <v>23303155</v>
          </cell>
          <cell r="N200">
            <v>23303155</v>
          </cell>
          <cell r="O200">
            <v>23303155</v>
          </cell>
        </row>
        <row r="201">
          <cell r="A201" t="str">
            <v>AustriaINVESTMENT IN JOINT VENTURE</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row>
        <row r="202">
          <cell r="A202" t="str">
            <v>AustriaALL OTHER RECEIVABLES (NON-FINANCING)</v>
          </cell>
          <cell r="B202">
            <v>44555778.960000001</v>
          </cell>
          <cell r="C202">
            <v>16201085.73</v>
          </cell>
          <cell r="D202">
            <v>12235329.949999999</v>
          </cell>
          <cell r="E202">
            <v>29332368.629999999</v>
          </cell>
          <cell r="F202">
            <v>29332368.629999999</v>
          </cell>
          <cell r="G202">
            <v>13094204</v>
          </cell>
          <cell r="H202">
            <v>13094204</v>
          </cell>
          <cell r="I202">
            <v>13094204</v>
          </cell>
          <cell r="J202">
            <v>13094204</v>
          </cell>
          <cell r="K202">
            <v>13094204</v>
          </cell>
          <cell r="L202">
            <v>15332168.279999999</v>
          </cell>
          <cell r="M202">
            <v>13105819</v>
          </cell>
          <cell r="N202">
            <v>13105819</v>
          </cell>
          <cell r="O202">
            <v>13105819</v>
          </cell>
        </row>
        <row r="203">
          <cell r="A203" t="str">
            <v>AustriaELTO (NET)</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row>
        <row r="204">
          <cell r="A204" t="str">
            <v>AustriaGOODWILL</v>
          </cell>
          <cell r="B204">
            <v>104792969.98999999</v>
          </cell>
          <cell r="C204">
            <v>98300973.920000002</v>
          </cell>
          <cell r="D204">
            <v>103107881.84</v>
          </cell>
          <cell r="E204">
            <v>98771047.900000006</v>
          </cell>
          <cell r="F204">
            <v>98771047.900000006</v>
          </cell>
          <cell r="G204">
            <v>99488728</v>
          </cell>
          <cell r="H204">
            <v>99488728</v>
          </cell>
          <cell r="I204">
            <v>99488728</v>
          </cell>
          <cell r="J204">
            <v>99488728</v>
          </cell>
          <cell r="K204">
            <v>99488728</v>
          </cell>
          <cell r="L204">
            <v>96476450.109999999</v>
          </cell>
          <cell r="M204">
            <v>90519084</v>
          </cell>
          <cell r="N204">
            <v>81461193</v>
          </cell>
          <cell r="O204">
            <v>72403302</v>
          </cell>
        </row>
        <row r="205">
          <cell r="A205" t="str">
            <v>AustriaOTHER ASSETS</v>
          </cell>
          <cell r="B205">
            <v>20713786.559999999</v>
          </cell>
          <cell r="C205">
            <v>17438658.789999999</v>
          </cell>
          <cell r="D205">
            <v>17541005.609999999</v>
          </cell>
          <cell r="E205">
            <v>17332559.870000001</v>
          </cell>
          <cell r="F205">
            <v>17332559.870000001</v>
          </cell>
          <cell r="G205">
            <v>18807713</v>
          </cell>
          <cell r="H205">
            <v>18807713</v>
          </cell>
          <cell r="I205">
            <v>18807713</v>
          </cell>
          <cell r="J205">
            <v>18807713</v>
          </cell>
          <cell r="K205">
            <v>18807713</v>
          </cell>
          <cell r="L205">
            <v>16502145.76</v>
          </cell>
          <cell r="M205">
            <v>20713089</v>
          </cell>
          <cell r="N205">
            <v>20713089</v>
          </cell>
          <cell r="O205">
            <v>20713089</v>
          </cell>
        </row>
        <row r="206">
          <cell r="A206" t="str">
            <v>AustriaACCOUNTS PAYABLE</v>
          </cell>
          <cell r="B206">
            <v>-16792511.280000001</v>
          </cell>
          <cell r="C206">
            <v>-24143809.719999999</v>
          </cell>
          <cell r="D206">
            <v>-16525257.939999999</v>
          </cell>
          <cell r="E206">
            <v>-3318713.95</v>
          </cell>
          <cell r="F206">
            <v>-3318713.95</v>
          </cell>
          <cell r="G206">
            <v>-4864781</v>
          </cell>
          <cell r="H206">
            <v>-4864781</v>
          </cell>
          <cell r="I206">
            <v>-4864781</v>
          </cell>
          <cell r="J206">
            <v>-4864781</v>
          </cell>
          <cell r="K206">
            <v>-4864781</v>
          </cell>
          <cell r="L206">
            <v>-12654562.050000001</v>
          </cell>
          <cell r="M206">
            <v>-16760277</v>
          </cell>
          <cell r="N206">
            <v>-16760277</v>
          </cell>
          <cell r="O206">
            <v>-16760277</v>
          </cell>
        </row>
        <row r="207">
          <cell r="A207" t="str">
            <v>AustriaDEFERRED INCOME TAXES</v>
          </cell>
          <cell r="B207">
            <v>45484262.840000004</v>
          </cell>
          <cell r="C207">
            <v>48995232.270000003</v>
          </cell>
          <cell r="D207">
            <v>55814851.859999999</v>
          </cell>
          <cell r="E207">
            <v>47807706.890000001</v>
          </cell>
          <cell r="F207">
            <v>47807706.890000001</v>
          </cell>
          <cell r="G207">
            <v>48055613</v>
          </cell>
          <cell r="H207">
            <v>48055613</v>
          </cell>
          <cell r="I207">
            <v>48055613</v>
          </cell>
          <cell r="J207">
            <v>48055613</v>
          </cell>
          <cell r="K207">
            <v>48055613</v>
          </cell>
          <cell r="L207">
            <v>52552137.93</v>
          </cell>
          <cell r="M207">
            <v>49802112</v>
          </cell>
          <cell r="N207">
            <v>49802112</v>
          </cell>
          <cell r="O207">
            <v>49802112</v>
          </cell>
        </row>
        <row r="208">
          <cell r="A208" t="str">
            <v>AustriaWRITE-OFF (MEMO)</v>
          </cell>
          <cell r="B208">
            <v>1760286.32</v>
          </cell>
          <cell r="C208">
            <v>9147106.0199999996</v>
          </cell>
          <cell r="D208">
            <v>14645067.859999999</v>
          </cell>
          <cell r="E208">
            <v>16452697.039999999</v>
          </cell>
          <cell r="F208">
            <v>16452697.039999999</v>
          </cell>
          <cell r="G208">
            <v>4472289</v>
          </cell>
          <cell r="H208">
            <v>7050621</v>
          </cell>
          <cell r="I208">
            <v>9578704</v>
          </cell>
          <cell r="J208">
            <v>10501550</v>
          </cell>
          <cell r="K208">
            <v>10501550</v>
          </cell>
          <cell r="L208">
            <v>6257700.4699999997</v>
          </cell>
          <cell r="M208">
            <v>18464628</v>
          </cell>
          <cell r="N208">
            <v>18701518</v>
          </cell>
          <cell r="O208">
            <v>20835592</v>
          </cell>
        </row>
        <row r="209">
          <cell r="A209" t="str">
            <v>AustriaINSURANCE RESERVES AND ANNUITY BENEFITS</v>
          </cell>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row>
        <row r="210">
          <cell r="A210" t="str">
            <v>AustriaALL OTHER NON DEBT LIABILITIES</v>
          </cell>
          <cell r="B210">
            <v>-30615860.16</v>
          </cell>
          <cell r="C210">
            <v>-25809452.32</v>
          </cell>
          <cell r="D210">
            <v>-28865361.210000001</v>
          </cell>
          <cell r="E210">
            <v>-29672499.640000001</v>
          </cell>
          <cell r="F210">
            <v>-29672499.640000001</v>
          </cell>
          <cell r="G210">
            <v>-28841043</v>
          </cell>
          <cell r="H210">
            <v>-28841043</v>
          </cell>
          <cell r="I210">
            <v>-28841043</v>
          </cell>
          <cell r="J210">
            <v>-28841043</v>
          </cell>
          <cell r="K210">
            <v>-28841043</v>
          </cell>
          <cell r="L210">
            <v>-27675786.539999999</v>
          </cell>
          <cell r="M210">
            <v>-36041002</v>
          </cell>
          <cell r="N210">
            <v>-36041002</v>
          </cell>
          <cell r="O210">
            <v>-36041002</v>
          </cell>
        </row>
        <row r="211">
          <cell r="A211" t="str">
            <v>AustriaMINORITY INTEREST (BS)</v>
          </cell>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row>
        <row r="212">
          <cell r="A212" t="str">
            <v>AustriaASIA PACIFIC ENI DIVIDEND</v>
          </cell>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row>
        <row r="213">
          <cell r="A213" t="str">
            <v>AustriaFINANCING INCOME</v>
          </cell>
          <cell r="B213">
            <v>-36230649.170000002</v>
          </cell>
          <cell r="C213">
            <v>-33313186.059999999</v>
          </cell>
          <cell r="D213">
            <v>-33966593.670000002</v>
          </cell>
          <cell r="E213">
            <v>-32685508.120000001</v>
          </cell>
          <cell r="F213">
            <v>-136195937.02000001</v>
          </cell>
          <cell r="G213">
            <v>-31763867</v>
          </cell>
          <cell r="H213">
            <v>-31872783</v>
          </cell>
          <cell r="I213">
            <v>-33335980</v>
          </cell>
          <cell r="J213">
            <v>-34465864</v>
          </cell>
          <cell r="K213">
            <v>-131438494</v>
          </cell>
          <cell r="L213">
            <v>-30249534.289999999</v>
          </cell>
          <cell r="M213">
            <v>-168531487</v>
          </cell>
          <cell r="N213">
            <v>-190455932</v>
          </cell>
          <cell r="O213">
            <v>-212941346</v>
          </cell>
        </row>
        <row r="214">
          <cell r="A214" t="str">
            <v>AustriaINSURANCE PREMIUM INCOME</v>
          </cell>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row>
        <row r="215">
          <cell r="A215" t="str">
            <v>AustriaINSURANCE INCOME (COMMISSIONS)</v>
          </cell>
          <cell r="B215">
            <v>-109686.61</v>
          </cell>
          <cell r="C215">
            <v>-116950.3</v>
          </cell>
          <cell r="D215">
            <v>-107281.61</v>
          </cell>
          <cell r="E215">
            <v>-137316.22</v>
          </cell>
          <cell r="F215">
            <v>-471234.74</v>
          </cell>
          <cell r="G215">
            <v>0</v>
          </cell>
          <cell r="H215">
            <v>0</v>
          </cell>
          <cell r="I215">
            <v>0</v>
          </cell>
          <cell r="J215">
            <v>0</v>
          </cell>
          <cell r="K215">
            <v>0</v>
          </cell>
          <cell r="L215">
            <v>-155691.73000000001</v>
          </cell>
          <cell r="M215">
            <v>0</v>
          </cell>
          <cell r="N215">
            <v>0</v>
          </cell>
          <cell r="O215">
            <v>0</v>
          </cell>
        </row>
        <row r="216">
          <cell r="A216" t="str">
            <v>AustriaSUNDRY INCOME</v>
          </cell>
          <cell r="B216">
            <v>-2144913.7799999998</v>
          </cell>
          <cell r="C216">
            <v>-980413.83</v>
          </cell>
          <cell r="D216">
            <v>-819801.85</v>
          </cell>
          <cell r="E216">
            <v>-13344772.039999999</v>
          </cell>
          <cell r="F216">
            <v>-17289901.5</v>
          </cell>
          <cell r="G216">
            <v>-496560</v>
          </cell>
          <cell r="H216">
            <v>-564128</v>
          </cell>
          <cell r="I216">
            <v>-654218</v>
          </cell>
          <cell r="J216">
            <v>-957822</v>
          </cell>
          <cell r="K216">
            <v>-2672728</v>
          </cell>
          <cell r="L216">
            <v>-1744154.93</v>
          </cell>
          <cell r="M216">
            <v>-2260754</v>
          </cell>
          <cell r="N216">
            <v>-1834815</v>
          </cell>
          <cell r="O216">
            <v>-1670992</v>
          </cell>
        </row>
        <row r="217">
          <cell r="A217" t="str">
            <v>AustriaINTEREST EXPENSE</v>
          </cell>
          <cell r="B217">
            <v>18265014.129999999</v>
          </cell>
          <cell r="C217">
            <v>17436740.030000001</v>
          </cell>
          <cell r="D217">
            <v>16092818.779999999</v>
          </cell>
          <cell r="E217">
            <v>15054195.390000001</v>
          </cell>
          <cell r="F217">
            <v>66848768.329999998</v>
          </cell>
          <cell r="G217">
            <v>13992367</v>
          </cell>
          <cell r="H217">
            <v>13517289</v>
          </cell>
          <cell r="I217">
            <v>13732077</v>
          </cell>
          <cell r="J217">
            <v>14044532</v>
          </cell>
          <cell r="K217">
            <v>55286265</v>
          </cell>
          <cell r="L217">
            <v>13941442.57</v>
          </cell>
          <cell r="M217">
            <v>78493550</v>
          </cell>
          <cell r="N217">
            <v>87414373</v>
          </cell>
          <cell r="O217">
            <v>97647473</v>
          </cell>
        </row>
        <row r="218">
          <cell r="A218" t="str">
            <v>AustriaINTEREST EXPENSE REDUCTIONS / BUS SHARING</v>
          </cell>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row>
        <row r="219">
          <cell r="A219" t="str">
            <v>AustriaALLOCATED COST OF PREFERRED EQUITY</v>
          </cell>
          <cell r="B219">
            <v>207302.31</v>
          </cell>
          <cell r="C219">
            <v>166710.67000000001</v>
          </cell>
          <cell r="D219">
            <v>140123.54</v>
          </cell>
          <cell r="E219">
            <v>85424.08</v>
          </cell>
          <cell r="F219">
            <v>599560.6</v>
          </cell>
          <cell r="G219">
            <v>271020</v>
          </cell>
          <cell r="H219">
            <v>276368</v>
          </cell>
          <cell r="I219">
            <v>283292</v>
          </cell>
          <cell r="J219">
            <v>291841</v>
          </cell>
          <cell r="K219">
            <v>1122521</v>
          </cell>
          <cell r="L219">
            <v>95125.16</v>
          </cell>
          <cell r="M219">
            <v>1244589</v>
          </cell>
          <cell r="N219">
            <v>1390429</v>
          </cell>
          <cell r="O219">
            <v>1557362</v>
          </cell>
        </row>
        <row r="220">
          <cell r="A220" t="str">
            <v>AustriaSALARIES &amp; BENEFITS</v>
          </cell>
          <cell r="B220">
            <v>9474875.0399999991</v>
          </cell>
          <cell r="C220">
            <v>5047340.57</v>
          </cell>
          <cell r="D220">
            <v>8247456.2199999997</v>
          </cell>
          <cell r="E220">
            <v>10301536.65</v>
          </cell>
          <cell r="F220">
            <v>33071208.48</v>
          </cell>
          <cell r="G220">
            <v>9172895</v>
          </cell>
          <cell r="H220">
            <v>8845894</v>
          </cell>
          <cell r="I220">
            <v>8580471</v>
          </cell>
          <cell r="J220">
            <v>8531049</v>
          </cell>
          <cell r="K220">
            <v>35130309</v>
          </cell>
          <cell r="L220">
            <v>8240638.9299999997</v>
          </cell>
          <cell r="M220">
            <v>38899158</v>
          </cell>
          <cell r="N220">
            <v>40438901</v>
          </cell>
          <cell r="O220">
            <v>43444177</v>
          </cell>
        </row>
        <row r="221">
          <cell r="A221" t="str">
            <v>AustriaLOSSES ON OTHER ASSETS</v>
          </cell>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row>
        <row r="222">
          <cell r="A222" t="str">
            <v>AustriaCOST OF GOODS SOLD</v>
          </cell>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row>
        <row r="223">
          <cell r="A223" t="str">
            <v>AustriaCOST OF GOODS SOLD - DISTRIBUTION</v>
          </cell>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row>
        <row r="224">
          <cell r="A224" t="str">
            <v>AustriaPOSTAGE</v>
          </cell>
          <cell r="B224">
            <v>172720.05</v>
          </cell>
          <cell r="C224">
            <v>380016.54</v>
          </cell>
          <cell r="D224">
            <v>272835.07</v>
          </cell>
          <cell r="E224">
            <v>265482.59000000003</v>
          </cell>
          <cell r="F224">
            <v>1091054.25</v>
          </cell>
          <cell r="G224">
            <v>242243</v>
          </cell>
          <cell r="H224">
            <v>242243</v>
          </cell>
          <cell r="I224">
            <v>242243</v>
          </cell>
          <cell r="J224">
            <v>242241</v>
          </cell>
          <cell r="K224">
            <v>968970</v>
          </cell>
          <cell r="L224">
            <v>294346.44</v>
          </cell>
          <cell r="M224">
            <v>1001518</v>
          </cell>
          <cell r="N224">
            <v>1101607</v>
          </cell>
          <cell r="O224">
            <v>1211704</v>
          </cell>
        </row>
        <row r="225">
          <cell r="A225" t="str">
            <v>AustriaTELEPHONE</v>
          </cell>
          <cell r="B225">
            <v>176951.67999999999</v>
          </cell>
          <cell r="C225">
            <v>223538.15</v>
          </cell>
          <cell r="D225">
            <v>206365.66</v>
          </cell>
          <cell r="E225">
            <v>187011.97</v>
          </cell>
          <cell r="F225">
            <v>793867.46</v>
          </cell>
          <cell r="G225">
            <v>162702</v>
          </cell>
          <cell r="H225">
            <v>162702</v>
          </cell>
          <cell r="I225">
            <v>162702</v>
          </cell>
          <cell r="J225">
            <v>162702</v>
          </cell>
          <cell r="K225">
            <v>650808</v>
          </cell>
          <cell r="L225">
            <v>137544.29999999999</v>
          </cell>
          <cell r="M225">
            <v>787274</v>
          </cell>
          <cell r="N225">
            <v>820096</v>
          </cell>
          <cell r="O225">
            <v>850483</v>
          </cell>
        </row>
        <row r="226">
          <cell r="A226" t="str">
            <v>AustriaCUSTOMER SERVICE / COLLECTIONS</v>
          </cell>
          <cell r="B226">
            <v>139073.41</v>
          </cell>
          <cell r="C226">
            <v>146579.93</v>
          </cell>
          <cell r="D226">
            <v>250028.19</v>
          </cell>
          <cell r="E226">
            <v>223090.14</v>
          </cell>
          <cell r="F226">
            <v>758771.67</v>
          </cell>
          <cell r="G226">
            <v>191667</v>
          </cell>
          <cell r="H226">
            <v>191667</v>
          </cell>
          <cell r="I226">
            <v>191667</v>
          </cell>
          <cell r="J226">
            <v>191667</v>
          </cell>
          <cell r="K226">
            <v>766668</v>
          </cell>
          <cell r="L226">
            <v>138455.94</v>
          </cell>
          <cell r="M226">
            <v>970860</v>
          </cell>
          <cell r="N226">
            <v>1067883</v>
          </cell>
          <cell r="O226">
            <v>1174645</v>
          </cell>
        </row>
        <row r="227">
          <cell r="A227" t="str">
            <v>AustriaSTATIONARY - OFFICE SUPPLIES</v>
          </cell>
          <cell r="B227">
            <v>123996.16</v>
          </cell>
          <cell r="C227">
            <v>154482.32999999999</v>
          </cell>
          <cell r="D227">
            <v>123091.43</v>
          </cell>
          <cell r="E227">
            <v>139474.57999999999</v>
          </cell>
          <cell r="F227">
            <v>541044.5</v>
          </cell>
          <cell r="G227">
            <v>149027</v>
          </cell>
          <cell r="H227">
            <v>162511</v>
          </cell>
          <cell r="I227">
            <v>137566</v>
          </cell>
          <cell r="J227">
            <v>137566</v>
          </cell>
          <cell r="K227">
            <v>586670</v>
          </cell>
          <cell r="L227">
            <v>109322.27</v>
          </cell>
          <cell r="M227">
            <v>559325</v>
          </cell>
          <cell r="N227">
            <v>590343</v>
          </cell>
          <cell r="O227">
            <v>620460</v>
          </cell>
        </row>
        <row r="228">
          <cell r="A228" t="str">
            <v>AustriaT&amp;L</v>
          </cell>
          <cell r="B228">
            <v>321072.75</v>
          </cell>
          <cell r="C228">
            <v>512789.1</v>
          </cell>
          <cell r="D228">
            <v>382701.04</v>
          </cell>
          <cell r="E228">
            <v>405335.2</v>
          </cell>
          <cell r="F228">
            <v>1621898.09</v>
          </cell>
          <cell r="G228">
            <v>241873</v>
          </cell>
          <cell r="H228">
            <v>241873</v>
          </cell>
          <cell r="I228">
            <v>241873</v>
          </cell>
          <cell r="J228">
            <v>241871</v>
          </cell>
          <cell r="K228">
            <v>967490</v>
          </cell>
          <cell r="L228">
            <v>305650.68</v>
          </cell>
          <cell r="M228">
            <v>1824319</v>
          </cell>
          <cell r="N228">
            <v>1905022</v>
          </cell>
          <cell r="O228">
            <v>1984011</v>
          </cell>
        </row>
        <row r="229">
          <cell r="A229" t="str">
            <v>AustriaRENTAL - BLDG/FACILITIES</v>
          </cell>
          <cell r="B229">
            <v>572250.93999999994</v>
          </cell>
          <cell r="C229">
            <v>515969.43</v>
          </cell>
          <cell r="D229">
            <v>618970.14</v>
          </cell>
          <cell r="E229">
            <v>612399.06000000006</v>
          </cell>
          <cell r="F229">
            <v>2319589.5699999998</v>
          </cell>
          <cell r="G229">
            <v>779754</v>
          </cell>
          <cell r="H229">
            <v>779754</v>
          </cell>
          <cell r="I229">
            <v>779752</v>
          </cell>
          <cell r="J229">
            <v>779751</v>
          </cell>
          <cell r="K229">
            <v>3119011</v>
          </cell>
          <cell r="L229">
            <v>643316.96</v>
          </cell>
          <cell r="M229">
            <v>2526113</v>
          </cell>
          <cell r="N229">
            <v>2619439</v>
          </cell>
          <cell r="O229">
            <v>2678320</v>
          </cell>
        </row>
        <row r="230">
          <cell r="A230" t="str">
            <v>AustriaRENTAL - FURNITURE/EQUIP</v>
          </cell>
          <cell r="B230">
            <v>76159.06</v>
          </cell>
          <cell r="C230">
            <v>-6134.89</v>
          </cell>
          <cell r="D230">
            <v>-2638.44</v>
          </cell>
          <cell r="E230">
            <v>-17662.36</v>
          </cell>
          <cell r="F230">
            <v>49723.37</v>
          </cell>
          <cell r="G230">
            <v>0</v>
          </cell>
          <cell r="H230">
            <v>0</v>
          </cell>
          <cell r="I230">
            <v>0</v>
          </cell>
          <cell r="J230">
            <v>0</v>
          </cell>
          <cell r="K230">
            <v>0</v>
          </cell>
          <cell r="L230">
            <v>176.27</v>
          </cell>
          <cell r="M230">
            <v>259690</v>
          </cell>
          <cell r="N230">
            <v>264198</v>
          </cell>
          <cell r="O230">
            <v>268797</v>
          </cell>
        </row>
        <row r="231">
          <cell r="A231" t="str">
            <v>AustriaRENTAL - COMPUTERS</v>
          </cell>
          <cell r="B231">
            <v>137186.17000000001</v>
          </cell>
          <cell r="C231">
            <v>147214.84</v>
          </cell>
          <cell r="D231">
            <v>138546.79999999999</v>
          </cell>
          <cell r="E231">
            <v>212540.76</v>
          </cell>
          <cell r="F231">
            <v>635488.56999999995</v>
          </cell>
          <cell r="G231">
            <v>218694</v>
          </cell>
          <cell r="H231">
            <v>218694</v>
          </cell>
          <cell r="I231">
            <v>218694</v>
          </cell>
          <cell r="J231">
            <v>218694</v>
          </cell>
          <cell r="K231">
            <v>874776</v>
          </cell>
          <cell r="L231">
            <v>226473.1</v>
          </cell>
          <cell r="M231">
            <v>369066</v>
          </cell>
          <cell r="N231">
            <v>341384</v>
          </cell>
          <cell r="O231">
            <v>315775</v>
          </cell>
        </row>
        <row r="232">
          <cell r="A232" t="str">
            <v>AustriaLEASE IN - LEASE OUT</v>
          </cell>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row>
        <row r="233">
          <cell r="A233" t="str">
            <v>AustriaFURNITURE / EQUIPMENT / COMPUTER EXP</v>
          </cell>
          <cell r="B233">
            <v>127126.12</v>
          </cell>
          <cell r="C233">
            <v>118518.39</v>
          </cell>
          <cell r="D233">
            <v>135726.06</v>
          </cell>
          <cell r="E233">
            <v>218651.45</v>
          </cell>
          <cell r="F233">
            <v>600022.02</v>
          </cell>
          <cell r="G233">
            <v>121269</v>
          </cell>
          <cell r="H233">
            <v>121269</v>
          </cell>
          <cell r="I233">
            <v>121269</v>
          </cell>
          <cell r="J233">
            <v>121269</v>
          </cell>
          <cell r="K233">
            <v>485076</v>
          </cell>
          <cell r="L233">
            <v>193257.7</v>
          </cell>
          <cell r="M233">
            <v>1066441</v>
          </cell>
          <cell r="N233">
            <v>1085016</v>
          </cell>
          <cell r="O233">
            <v>1103951</v>
          </cell>
        </row>
        <row r="234">
          <cell r="A234" t="str">
            <v>AustriaSOFTWARE EXPENSE</v>
          </cell>
          <cell r="B234">
            <v>0</v>
          </cell>
          <cell r="C234">
            <v>0</v>
          </cell>
          <cell r="D234">
            <v>0</v>
          </cell>
          <cell r="E234">
            <v>0</v>
          </cell>
          <cell r="F234">
            <v>0</v>
          </cell>
          <cell r="G234">
            <v>758912</v>
          </cell>
          <cell r="H234">
            <v>758912</v>
          </cell>
          <cell r="I234">
            <v>758912</v>
          </cell>
          <cell r="J234">
            <v>758910</v>
          </cell>
          <cell r="K234">
            <v>3035646</v>
          </cell>
          <cell r="L234">
            <v>45595.74</v>
          </cell>
          <cell r="M234">
            <v>1592673</v>
          </cell>
          <cell r="N234">
            <v>1381404</v>
          </cell>
          <cell r="O234">
            <v>599991</v>
          </cell>
        </row>
        <row r="235">
          <cell r="A235" t="str">
            <v>AustriaAMORTIZATION OF INTANGIBLES</v>
          </cell>
          <cell r="B235">
            <v>356442.07</v>
          </cell>
          <cell r="C235">
            <v>725820.69</v>
          </cell>
          <cell r="D235">
            <v>781527.46</v>
          </cell>
          <cell r="E235">
            <v>885998.04</v>
          </cell>
          <cell r="F235">
            <v>2749788.26</v>
          </cell>
          <cell r="G235">
            <v>0</v>
          </cell>
          <cell r="H235">
            <v>0</v>
          </cell>
          <cell r="I235">
            <v>0</v>
          </cell>
          <cell r="J235">
            <v>0</v>
          </cell>
          <cell r="K235">
            <v>0</v>
          </cell>
          <cell r="L235">
            <v>600462.96</v>
          </cell>
          <cell r="M235">
            <v>0</v>
          </cell>
          <cell r="N235">
            <v>0</v>
          </cell>
          <cell r="O235">
            <v>0</v>
          </cell>
        </row>
        <row r="236">
          <cell r="A236" t="str">
            <v>AustriaELTO MAINTENANCE</v>
          </cell>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row>
        <row r="237">
          <cell r="A237" t="str">
            <v>AustriaELTO OTHER</v>
          </cell>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row>
        <row r="238">
          <cell r="A238" t="str">
            <v>AustriaLEGAL</v>
          </cell>
          <cell r="B238">
            <v>1086961.07</v>
          </cell>
          <cell r="C238">
            <v>1195894.73</v>
          </cell>
          <cell r="D238">
            <v>1791691.54</v>
          </cell>
          <cell r="E238">
            <v>2341248.34</v>
          </cell>
          <cell r="F238">
            <v>6415795.6799999997</v>
          </cell>
          <cell r="G238">
            <v>607268</v>
          </cell>
          <cell r="H238">
            <v>342869</v>
          </cell>
          <cell r="I238">
            <v>0</v>
          </cell>
          <cell r="J238">
            <v>0</v>
          </cell>
          <cell r="K238">
            <v>950137</v>
          </cell>
          <cell r="L238">
            <v>-237098.7</v>
          </cell>
          <cell r="M238">
            <v>3897238</v>
          </cell>
          <cell r="N238">
            <v>4286952</v>
          </cell>
          <cell r="O238">
            <v>4715621</v>
          </cell>
        </row>
        <row r="239">
          <cell r="A239" t="str">
            <v>AustriaADVERTISING</v>
          </cell>
          <cell r="B239">
            <v>65784.179999999993</v>
          </cell>
          <cell r="C239">
            <v>578951.11</v>
          </cell>
          <cell r="D239">
            <v>350195.94</v>
          </cell>
          <cell r="E239">
            <v>-337403.63</v>
          </cell>
          <cell r="F239">
            <v>657527.6</v>
          </cell>
          <cell r="G239">
            <v>46393</v>
          </cell>
          <cell r="H239">
            <v>46393</v>
          </cell>
          <cell r="I239">
            <v>46393</v>
          </cell>
          <cell r="J239">
            <v>46393</v>
          </cell>
          <cell r="K239">
            <v>185572</v>
          </cell>
          <cell r="L239">
            <v>101459.86</v>
          </cell>
          <cell r="M239">
            <v>823973</v>
          </cell>
          <cell r="N239">
            <v>906299</v>
          </cell>
          <cell r="O239">
            <v>996920</v>
          </cell>
        </row>
        <row r="240">
          <cell r="A240" t="str">
            <v>AustriaSALES PROMOTIONS</v>
          </cell>
          <cell r="B240">
            <v>240982.11</v>
          </cell>
          <cell r="C240">
            <v>301266.36</v>
          </cell>
          <cell r="D240">
            <v>283230.96999999997</v>
          </cell>
          <cell r="E240">
            <v>491417.86</v>
          </cell>
          <cell r="F240">
            <v>1316897.3</v>
          </cell>
          <cell r="G240">
            <v>349159</v>
          </cell>
          <cell r="H240">
            <v>349159</v>
          </cell>
          <cell r="I240">
            <v>349159</v>
          </cell>
          <cell r="J240">
            <v>349159</v>
          </cell>
          <cell r="K240">
            <v>1396636</v>
          </cell>
          <cell r="L240">
            <v>586773.31000000006</v>
          </cell>
          <cell r="M240">
            <v>1693663</v>
          </cell>
          <cell r="N240">
            <v>1863002</v>
          </cell>
          <cell r="O240">
            <v>2049294</v>
          </cell>
        </row>
        <row r="241">
          <cell r="A241" t="str">
            <v>AustriaDIRECT MAIL</v>
          </cell>
          <cell r="B241">
            <v>0</v>
          </cell>
          <cell r="C241">
            <v>0</v>
          </cell>
          <cell r="D241">
            <v>0</v>
          </cell>
          <cell r="E241">
            <v>0</v>
          </cell>
          <cell r="F241">
            <v>0</v>
          </cell>
          <cell r="G241">
            <v>141990</v>
          </cell>
          <cell r="H241">
            <v>141990</v>
          </cell>
          <cell r="I241">
            <v>141990</v>
          </cell>
          <cell r="J241">
            <v>141991</v>
          </cell>
          <cell r="K241">
            <v>567961</v>
          </cell>
          <cell r="L241">
            <v>133771.12</v>
          </cell>
          <cell r="M241">
            <v>0</v>
          </cell>
          <cell r="N241">
            <v>0</v>
          </cell>
          <cell r="O241">
            <v>0</v>
          </cell>
        </row>
        <row r="242">
          <cell r="A242" t="str">
            <v>AustriaDATA PROCESSING</v>
          </cell>
          <cell r="B242">
            <v>785260.14</v>
          </cell>
          <cell r="C242">
            <v>462486.69</v>
          </cell>
          <cell r="D242">
            <v>415132.8</v>
          </cell>
          <cell r="E242">
            <v>832168.35</v>
          </cell>
          <cell r="F242">
            <v>2495047.98</v>
          </cell>
          <cell r="G242">
            <v>790568</v>
          </cell>
          <cell r="H242">
            <v>790568</v>
          </cell>
          <cell r="I242">
            <v>790568</v>
          </cell>
          <cell r="J242">
            <v>790567</v>
          </cell>
          <cell r="K242">
            <v>3162271</v>
          </cell>
          <cell r="L242">
            <v>813670.06</v>
          </cell>
          <cell r="M242">
            <v>1417923</v>
          </cell>
          <cell r="N242">
            <v>1366977</v>
          </cell>
          <cell r="O242">
            <v>1264454</v>
          </cell>
        </row>
        <row r="243">
          <cell r="A243" t="str">
            <v>AustriaCONSULTING</v>
          </cell>
          <cell r="B243">
            <v>116560.22</v>
          </cell>
          <cell r="C243">
            <v>229189.55</v>
          </cell>
          <cell r="D243">
            <v>236387.32</v>
          </cell>
          <cell r="E243">
            <v>24719.5</v>
          </cell>
          <cell r="F243">
            <v>606856.59</v>
          </cell>
          <cell r="G243">
            <v>217641</v>
          </cell>
          <cell r="H243">
            <v>217641</v>
          </cell>
          <cell r="I243">
            <v>217641</v>
          </cell>
          <cell r="J243">
            <v>217641</v>
          </cell>
          <cell r="K243">
            <v>870564</v>
          </cell>
          <cell r="L243">
            <v>157511.4</v>
          </cell>
          <cell r="M243">
            <v>1196556</v>
          </cell>
          <cell r="N243">
            <v>1232444</v>
          </cell>
          <cell r="O243">
            <v>1269413</v>
          </cell>
        </row>
        <row r="244">
          <cell r="A244" t="str">
            <v>AustriaTEMP SERVICES</v>
          </cell>
          <cell r="B244">
            <v>352472.18</v>
          </cell>
          <cell r="C244">
            <v>184478.62</v>
          </cell>
          <cell r="D244">
            <v>188256.19</v>
          </cell>
          <cell r="E244">
            <v>132299.25</v>
          </cell>
          <cell r="F244">
            <v>857506.24</v>
          </cell>
          <cell r="G244">
            <v>54582</v>
          </cell>
          <cell r="H244">
            <v>54582</v>
          </cell>
          <cell r="I244">
            <v>54582</v>
          </cell>
          <cell r="J244">
            <v>54580</v>
          </cell>
          <cell r="K244">
            <v>218326</v>
          </cell>
          <cell r="L244">
            <v>73254.41</v>
          </cell>
          <cell r="M244">
            <v>680333</v>
          </cell>
          <cell r="N244">
            <v>700711</v>
          </cell>
          <cell r="O244">
            <v>721721</v>
          </cell>
        </row>
        <row r="245">
          <cell r="A245" t="str">
            <v>AustriaGDC CHARGES</v>
          </cell>
          <cell r="B245">
            <v>333404.28000000003</v>
          </cell>
          <cell r="C245">
            <v>741278.9</v>
          </cell>
          <cell r="D245">
            <v>575911.73</v>
          </cell>
          <cell r="E245">
            <v>746987.98</v>
          </cell>
          <cell r="F245">
            <v>2397582.89</v>
          </cell>
          <cell r="G245">
            <v>499838</v>
          </cell>
          <cell r="H245">
            <v>499838</v>
          </cell>
          <cell r="I245">
            <v>499838</v>
          </cell>
          <cell r="J245">
            <v>499838</v>
          </cell>
          <cell r="K245">
            <v>1999352</v>
          </cell>
          <cell r="L245">
            <v>600926.35</v>
          </cell>
          <cell r="M245">
            <v>2738643</v>
          </cell>
          <cell r="N245">
            <v>2533236</v>
          </cell>
          <cell r="O245">
            <v>2343158</v>
          </cell>
        </row>
        <row r="246">
          <cell r="A246" t="str">
            <v>AustriaTRAINING AND EDUCATION</v>
          </cell>
          <cell r="B246">
            <v>189595.78</v>
          </cell>
          <cell r="C246">
            <v>236364.54</v>
          </cell>
          <cell r="D246">
            <v>273281.46999999997</v>
          </cell>
          <cell r="E246">
            <v>-195984.53</v>
          </cell>
          <cell r="F246">
            <v>503257.26</v>
          </cell>
          <cell r="G246">
            <v>126488</v>
          </cell>
          <cell r="H246">
            <v>126488</v>
          </cell>
          <cell r="I246">
            <v>126488</v>
          </cell>
          <cell r="J246">
            <v>126489</v>
          </cell>
          <cell r="K246">
            <v>505953</v>
          </cell>
          <cell r="L246">
            <v>113536.8</v>
          </cell>
          <cell r="M246">
            <v>880510</v>
          </cell>
          <cell r="N246">
            <v>933530</v>
          </cell>
          <cell r="O246">
            <v>984837</v>
          </cell>
        </row>
        <row r="247">
          <cell r="A247" t="str">
            <v>AustriaOUTSIDE SERVICES  AND FEES</v>
          </cell>
          <cell r="B247">
            <v>689119.98</v>
          </cell>
          <cell r="C247">
            <v>819070.1</v>
          </cell>
          <cell r="D247">
            <v>871242.25</v>
          </cell>
          <cell r="E247">
            <v>889747.8</v>
          </cell>
          <cell r="F247">
            <v>3269180.13</v>
          </cell>
          <cell r="G247">
            <v>523876</v>
          </cell>
          <cell r="H247">
            <v>523876</v>
          </cell>
          <cell r="I247">
            <v>523876</v>
          </cell>
          <cell r="J247">
            <v>523874</v>
          </cell>
          <cell r="K247">
            <v>2095502</v>
          </cell>
          <cell r="L247">
            <v>420261.74</v>
          </cell>
          <cell r="M247">
            <v>1369863</v>
          </cell>
          <cell r="N247">
            <v>1480321</v>
          </cell>
          <cell r="O247">
            <v>1506200</v>
          </cell>
        </row>
        <row r="248">
          <cell r="A248" t="str">
            <v>AustriaSTATE, FOREIGN, LOCAL TAXES</v>
          </cell>
          <cell r="B248">
            <v>33120.550000000003</v>
          </cell>
          <cell r="C248">
            <v>50285.87</v>
          </cell>
          <cell r="D248">
            <v>83263.86</v>
          </cell>
          <cell r="E248">
            <v>278956.09000000003</v>
          </cell>
          <cell r="F248">
            <v>445626.37</v>
          </cell>
          <cell r="G248">
            <v>54014</v>
          </cell>
          <cell r="H248">
            <v>59775</v>
          </cell>
          <cell r="I248">
            <v>69988</v>
          </cell>
          <cell r="J248">
            <v>58467</v>
          </cell>
          <cell r="K248">
            <v>242244</v>
          </cell>
          <cell r="L248">
            <v>84054.48</v>
          </cell>
          <cell r="M248">
            <v>115868</v>
          </cell>
          <cell r="N248">
            <v>115868</v>
          </cell>
          <cell r="O248">
            <v>115868</v>
          </cell>
        </row>
        <row r="249">
          <cell r="A249" t="str">
            <v>AustriaS/L TAX - INSURANCE PREMIUMS</v>
          </cell>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row>
        <row r="250">
          <cell r="A250" t="str">
            <v>AustriaSATELLITE LEASE EXPENSE</v>
          </cell>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row>
        <row r="251">
          <cell r="A251" t="str">
            <v>AustriaBUSINESS SHARE EXPENSE</v>
          </cell>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row>
        <row r="252">
          <cell r="A252" t="str">
            <v>AustriaINSURANCE AFFILIATE EXPENSE</v>
          </cell>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row>
        <row r="253">
          <cell r="A253" t="str">
            <v>AustriaOTHER FACILITY EXPENSE</v>
          </cell>
          <cell r="B253">
            <v>280142.7</v>
          </cell>
          <cell r="C253">
            <v>223184.75</v>
          </cell>
          <cell r="D253">
            <v>212110.57</v>
          </cell>
          <cell r="E253">
            <v>200086.93</v>
          </cell>
          <cell r="F253">
            <v>915524.95</v>
          </cell>
          <cell r="G253">
            <v>228721</v>
          </cell>
          <cell r="H253">
            <v>228721</v>
          </cell>
          <cell r="I253">
            <v>228721</v>
          </cell>
          <cell r="J253">
            <v>228720</v>
          </cell>
          <cell r="K253">
            <v>914883</v>
          </cell>
          <cell r="L253">
            <v>274796.17</v>
          </cell>
          <cell r="M253">
            <v>1098541</v>
          </cell>
          <cell r="N253">
            <v>1136142</v>
          </cell>
          <cell r="O253">
            <v>1199261</v>
          </cell>
        </row>
        <row r="254">
          <cell r="A254" t="str">
            <v>AustriaGROSS OP &amp; ADMIN BUS SHARE</v>
          </cell>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row>
        <row r="255">
          <cell r="A255" t="str">
            <v>AustriaOTHER EXPENSE</v>
          </cell>
          <cell r="B255">
            <v>-2688782.02</v>
          </cell>
          <cell r="C255">
            <v>-998519.21</v>
          </cell>
          <cell r="D255">
            <v>-49262.67</v>
          </cell>
          <cell r="E255">
            <v>-1132946.9099999999</v>
          </cell>
          <cell r="F255">
            <v>-4869510.8099999996</v>
          </cell>
          <cell r="G255">
            <v>-494561</v>
          </cell>
          <cell r="H255">
            <v>-674741</v>
          </cell>
          <cell r="I255">
            <v>-674741</v>
          </cell>
          <cell r="J255">
            <v>-764832</v>
          </cell>
          <cell r="K255">
            <v>-2608875</v>
          </cell>
          <cell r="L255">
            <v>-451877.06</v>
          </cell>
          <cell r="M255">
            <v>-8260113</v>
          </cell>
          <cell r="N255">
            <v>-6556351</v>
          </cell>
          <cell r="O255">
            <v>-6669334</v>
          </cell>
        </row>
        <row r="256">
          <cell r="A256" t="str">
            <v>AustriaGECC INTERCO EXPENSES EXCL GECIS</v>
          </cell>
          <cell r="B256">
            <v>0.32</v>
          </cell>
          <cell r="C256">
            <v>-168815.98</v>
          </cell>
          <cell r="D256">
            <v>0.53</v>
          </cell>
          <cell r="E256">
            <v>-12605.02</v>
          </cell>
          <cell r="F256">
            <v>-181420.15</v>
          </cell>
          <cell r="G256">
            <v>37749</v>
          </cell>
          <cell r="H256">
            <v>37749</v>
          </cell>
          <cell r="I256">
            <v>37749</v>
          </cell>
          <cell r="J256">
            <v>37747</v>
          </cell>
          <cell r="K256">
            <v>150994</v>
          </cell>
          <cell r="L256">
            <v>-0.01</v>
          </cell>
          <cell r="M256">
            <v>0</v>
          </cell>
          <cell r="N256">
            <v>0</v>
          </cell>
          <cell r="O256">
            <v>0</v>
          </cell>
        </row>
        <row r="257">
          <cell r="A257" t="str">
            <v>AustriaGECIS INTERCO CHARGES</v>
          </cell>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row>
        <row r="258">
          <cell r="A258" t="str">
            <v>AustriaLOSS ADJUSTED EXPENSE</v>
          </cell>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row>
        <row r="259">
          <cell r="A259" t="str">
            <v>AustriaALL OTHER EXPENSES</v>
          </cell>
          <cell r="B259">
            <v>-0.01</v>
          </cell>
          <cell r="C259">
            <v>0</v>
          </cell>
          <cell r="D259">
            <v>0.03</v>
          </cell>
          <cell r="E259">
            <v>0</v>
          </cell>
          <cell r="F259">
            <v>0.02</v>
          </cell>
          <cell r="G259">
            <v>65458</v>
          </cell>
          <cell r="H259">
            <v>42488</v>
          </cell>
          <cell r="I259">
            <v>42488</v>
          </cell>
          <cell r="J259">
            <v>19517</v>
          </cell>
          <cell r="K259">
            <v>169951</v>
          </cell>
          <cell r="L259">
            <v>0.01</v>
          </cell>
          <cell r="M259">
            <v>206850</v>
          </cell>
          <cell r="N259">
            <v>206850</v>
          </cell>
          <cell r="O259">
            <v>206850</v>
          </cell>
        </row>
        <row r="260">
          <cell r="A260" t="str">
            <v>AustriaASSESSMENTS</v>
          </cell>
          <cell r="B260">
            <v>1234122.05</v>
          </cell>
          <cell r="C260">
            <v>24006.67</v>
          </cell>
          <cell r="D260">
            <v>-344166.01</v>
          </cell>
          <cell r="E260">
            <v>-926124.03</v>
          </cell>
          <cell r="F260">
            <v>-12161.32</v>
          </cell>
          <cell r="G260">
            <v>1024629</v>
          </cell>
          <cell r="H260">
            <v>1024629</v>
          </cell>
          <cell r="I260">
            <v>1024629</v>
          </cell>
          <cell r="J260">
            <v>1024629</v>
          </cell>
          <cell r="K260">
            <v>4098516</v>
          </cell>
          <cell r="L260">
            <v>828245.97</v>
          </cell>
          <cell r="M260">
            <v>4508111</v>
          </cell>
          <cell r="N260">
            <v>5034698</v>
          </cell>
          <cell r="O260">
            <v>5639719</v>
          </cell>
        </row>
        <row r="261">
          <cell r="A261" t="str">
            <v>AustriaFAS 91</v>
          </cell>
          <cell r="B261">
            <v>-3046263.53</v>
          </cell>
          <cell r="C261">
            <v>-3726793.14</v>
          </cell>
          <cell r="D261">
            <v>-2412570.06</v>
          </cell>
          <cell r="E261">
            <v>-1706346.65</v>
          </cell>
          <cell r="F261">
            <v>-10891973.380000001</v>
          </cell>
          <cell r="G261">
            <v>-3366934</v>
          </cell>
          <cell r="H261">
            <v>-3246907</v>
          </cell>
          <cell r="I261">
            <v>-3149483</v>
          </cell>
          <cell r="J261">
            <v>-3131342</v>
          </cell>
          <cell r="K261">
            <v>-12894666</v>
          </cell>
          <cell r="L261">
            <v>-2769042.04</v>
          </cell>
          <cell r="M261">
            <v>-13643389</v>
          </cell>
          <cell r="N261">
            <v>-15903258</v>
          </cell>
          <cell r="O261">
            <v>-18595375</v>
          </cell>
        </row>
        <row r="262">
          <cell r="A262" t="str">
            <v>AustriaGOODWILL AMORTIZATION</v>
          </cell>
          <cell r="B262">
            <v>2321837.7599999998</v>
          </cell>
          <cell r="C262">
            <v>2216299.7400000002</v>
          </cell>
          <cell r="D262">
            <v>2185517.6800000002</v>
          </cell>
          <cell r="E262">
            <v>2234924.4900000002</v>
          </cell>
          <cell r="F262">
            <v>8958579.6699999999</v>
          </cell>
          <cell r="G262">
            <v>0</v>
          </cell>
          <cell r="H262">
            <v>0</v>
          </cell>
          <cell r="I262">
            <v>0</v>
          </cell>
          <cell r="J262">
            <v>0</v>
          </cell>
          <cell r="K262">
            <v>0</v>
          </cell>
          <cell r="L262">
            <v>0</v>
          </cell>
          <cell r="M262">
            <v>9021885</v>
          </cell>
          <cell r="N262">
            <v>9021885</v>
          </cell>
          <cell r="O262">
            <v>9021885</v>
          </cell>
        </row>
        <row r="263">
          <cell r="A263" t="str">
            <v>AustriaDEPRECIATION EXPENSE</v>
          </cell>
          <cell r="B263">
            <v>835717.11</v>
          </cell>
          <cell r="C263">
            <v>829117.92</v>
          </cell>
          <cell r="D263">
            <v>801900.15</v>
          </cell>
          <cell r="E263">
            <v>790751.61</v>
          </cell>
          <cell r="F263">
            <v>3257486.79</v>
          </cell>
          <cell r="G263">
            <v>847314</v>
          </cell>
          <cell r="H263">
            <v>847314</v>
          </cell>
          <cell r="I263">
            <v>847314</v>
          </cell>
          <cell r="J263">
            <v>847313</v>
          </cell>
          <cell r="K263">
            <v>3389255</v>
          </cell>
          <cell r="L263">
            <v>742831.1</v>
          </cell>
          <cell r="M263">
            <v>3866940</v>
          </cell>
          <cell r="N263">
            <v>3032507</v>
          </cell>
          <cell r="O263">
            <v>2574083</v>
          </cell>
        </row>
        <row r="264">
          <cell r="A264" t="str">
            <v>AustriaELTO AMORTIZATION</v>
          </cell>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row>
        <row r="265">
          <cell r="A265" t="str">
            <v>AustriaINSURANCE LOSSES AND BENEFITS</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row>
        <row r="266">
          <cell r="A266" t="str">
            <v>AustriaWRITE OFFS</v>
          </cell>
          <cell r="B266">
            <v>4184583.5</v>
          </cell>
          <cell r="C266">
            <v>1286370.07</v>
          </cell>
          <cell r="D266">
            <v>6912006.8799999999</v>
          </cell>
          <cell r="E266">
            <v>4615802.4800000004</v>
          </cell>
          <cell r="F266">
            <v>16998762.93</v>
          </cell>
          <cell r="G266">
            <v>3072259</v>
          </cell>
          <cell r="H266">
            <v>3354190</v>
          </cell>
          <cell r="I266">
            <v>2816094</v>
          </cell>
          <cell r="J266">
            <v>539602</v>
          </cell>
          <cell r="K266">
            <v>9782145</v>
          </cell>
          <cell r="L266">
            <v>4026646.42</v>
          </cell>
          <cell r="M266">
            <v>10413356</v>
          </cell>
          <cell r="N266">
            <v>15451268</v>
          </cell>
          <cell r="O266">
            <v>19036288</v>
          </cell>
        </row>
        <row r="267">
          <cell r="A267" t="str">
            <v>AustriaRESERVE CHANGE</v>
          </cell>
          <cell r="B267">
            <v>1204412.6499999999</v>
          </cell>
          <cell r="C267">
            <v>219708.36</v>
          </cell>
          <cell r="D267">
            <v>-695482.22</v>
          </cell>
          <cell r="E267">
            <v>1119584.68</v>
          </cell>
          <cell r="F267">
            <v>1848223.47</v>
          </cell>
          <cell r="G267">
            <v>0</v>
          </cell>
          <cell r="H267">
            <v>0</v>
          </cell>
          <cell r="I267">
            <v>0</v>
          </cell>
          <cell r="J267">
            <v>0</v>
          </cell>
          <cell r="K267">
            <v>0</v>
          </cell>
          <cell r="L267">
            <v>727301.26</v>
          </cell>
          <cell r="M267">
            <v>0</v>
          </cell>
          <cell r="N267">
            <v>0</v>
          </cell>
          <cell r="O267">
            <v>0</v>
          </cell>
        </row>
        <row r="268">
          <cell r="A268" t="str">
            <v>AustriaMINORITY INTEREST</v>
          </cell>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row>
        <row r="269">
          <cell r="A269" t="str">
            <v>AustriaINCOME TAXES</v>
          </cell>
          <cell r="B269">
            <v>112305.58</v>
          </cell>
          <cell r="C269">
            <v>1507217.39</v>
          </cell>
          <cell r="D269">
            <v>-1411342.58</v>
          </cell>
          <cell r="E269">
            <v>2552290.4300000002</v>
          </cell>
          <cell r="F269">
            <v>2760470.82</v>
          </cell>
          <cell r="G269">
            <v>490901</v>
          </cell>
          <cell r="H269">
            <v>849619</v>
          </cell>
          <cell r="I269">
            <v>1690388</v>
          </cell>
          <cell r="J269">
            <v>2934079</v>
          </cell>
          <cell r="K269">
            <v>5964987</v>
          </cell>
          <cell r="L269">
            <v>367434.72</v>
          </cell>
          <cell r="M269">
            <v>7145426</v>
          </cell>
          <cell r="N269">
            <v>9246300</v>
          </cell>
          <cell r="O269">
            <v>12016092</v>
          </cell>
        </row>
        <row r="270">
          <cell r="A270" t="str">
            <v>AustriaCUMULATIVE TRANSITION ADJUSTMENT</v>
          </cell>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row>
        <row r="271">
          <cell r="A271" t="str">
            <v>AustriaASIA PACIFIC NI DIVIDEND</v>
          </cell>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row>
        <row r="272">
          <cell r="A272" t="str">
            <v>AustriaNet Income</v>
          </cell>
          <cell r="B272">
            <v>-3743.07</v>
          </cell>
          <cell r="C272">
            <v>-2629921.37</v>
          </cell>
          <cell r="D272">
            <v>2761181.19</v>
          </cell>
          <cell r="E272">
            <v>-4654543.8099999996</v>
          </cell>
          <cell r="F272">
            <v>-4527027.0599999996</v>
          </cell>
          <cell r="G272">
            <v>-640651</v>
          </cell>
          <cell r="H272">
            <v>-1301494</v>
          </cell>
          <cell r="I272">
            <v>-2855998</v>
          </cell>
          <cell r="J272">
            <v>-5157161</v>
          </cell>
          <cell r="K272">
            <v>-9955304</v>
          </cell>
          <cell r="L272">
            <v>-583114.56000000006</v>
          </cell>
          <cell r="M272">
            <v>-12025488</v>
          </cell>
          <cell r="N272">
            <v>-15781271</v>
          </cell>
          <cell r="O272">
            <v>-20758234</v>
          </cell>
        </row>
        <row r="273">
          <cell r="A273" t="str">
            <v>AustriaSubPart F</v>
          </cell>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row>
        <row r="274">
          <cell r="A274" t="str">
            <v>AustriaAssets</v>
          </cell>
          <cell r="B274">
            <v>1594686947.1300001</v>
          </cell>
          <cell r="C274">
            <v>1523351312.0699999</v>
          </cell>
          <cell r="D274">
            <v>1631906159</v>
          </cell>
          <cell r="E274">
            <v>1604622396.0599999</v>
          </cell>
          <cell r="F274">
            <v>1604622396.0599999</v>
          </cell>
          <cell r="G274">
            <v>1568054054</v>
          </cell>
          <cell r="H274">
            <v>1610169070</v>
          </cell>
          <cell r="I274">
            <v>1646315227</v>
          </cell>
          <cell r="J274">
            <v>1671518651</v>
          </cell>
          <cell r="K274">
            <v>1671518651</v>
          </cell>
          <cell r="L274">
            <v>1536918927.3800001</v>
          </cell>
          <cell r="M274">
            <v>1909075162</v>
          </cell>
          <cell r="N274">
            <v>2139128710</v>
          </cell>
          <cell r="O274">
            <v>2394254570</v>
          </cell>
        </row>
        <row r="275">
          <cell r="A275" t="str">
            <v>AustriaEnding Net Investment (ENI) incl Asia</v>
          </cell>
          <cell r="B275">
            <v>1592762838.53</v>
          </cell>
          <cell r="C275">
            <v>1522393282.3</v>
          </cell>
          <cell r="D275">
            <v>1642330391.71</v>
          </cell>
          <cell r="E275">
            <v>1619438889.3599999</v>
          </cell>
          <cell r="F275">
            <v>1619438889.3599999</v>
          </cell>
          <cell r="G275">
            <v>1582403843</v>
          </cell>
          <cell r="H275">
            <v>1624518859</v>
          </cell>
          <cell r="I275">
            <v>1660665016</v>
          </cell>
          <cell r="J275">
            <v>1685868440</v>
          </cell>
          <cell r="K275">
            <v>1685868440</v>
          </cell>
          <cell r="L275">
            <v>1549140716.72</v>
          </cell>
          <cell r="M275">
            <v>1906075995</v>
          </cell>
          <cell r="N275">
            <v>2136129543</v>
          </cell>
          <cell r="O275">
            <v>2391255403</v>
          </cell>
        </row>
        <row r="276">
          <cell r="A276" t="str">
            <v>AustriaANR YTD</v>
          </cell>
          <cell r="B276">
            <v>1436626603.27</v>
          </cell>
          <cell r="C276">
            <v>1428252643.8099999</v>
          </cell>
          <cell r="D276">
            <v>1451849398.8275001</v>
          </cell>
          <cell r="E276">
            <v>1459936967.7460001</v>
          </cell>
          <cell r="F276">
            <v>1459936967.7460001</v>
          </cell>
          <cell r="G276">
            <v>1479540300.21</v>
          </cell>
          <cell r="H276">
            <v>1488784974.1400001</v>
          </cell>
          <cell r="I276">
            <v>1501800762.855</v>
          </cell>
          <cell r="J276">
            <v>1513731929.8840001</v>
          </cell>
          <cell r="K276">
            <v>1513731929.8840001</v>
          </cell>
          <cell r="L276">
            <v>1467003879.6849999</v>
          </cell>
          <cell r="M276">
            <v>675099739.60000002</v>
          </cell>
          <cell r="N276">
            <v>761827112.79999995</v>
          </cell>
          <cell r="O276">
            <v>861456239.79999995</v>
          </cell>
        </row>
        <row r="277">
          <cell r="A277" t="str">
            <v>AustriaASA YTD</v>
          </cell>
          <cell r="B277">
            <v>1436626603.27</v>
          </cell>
          <cell r="C277">
            <v>1428252643.8099999</v>
          </cell>
          <cell r="D277">
            <v>1451849398.8275001</v>
          </cell>
          <cell r="E277">
            <v>1459936967.7460001</v>
          </cell>
          <cell r="F277">
            <v>1459936967.7460001</v>
          </cell>
          <cell r="G277">
            <v>1479540300.21</v>
          </cell>
          <cell r="H277">
            <v>1488784974.1400001</v>
          </cell>
          <cell r="I277">
            <v>1501800762.855</v>
          </cell>
          <cell r="J277">
            <v>1513731929.8840001</v>
          </cell>
          <cell r="K277">
            <v>1513731929.8840001</v>
          </cell>
          <cell r="L277">
            <v>1467219379.6849999</v>
          </cell>
          <cell r="M277">
            <v>675099739.60000002</v>
          </cell>
          <cell r="N277">
            <v>761827112.79999995</v>
          </cell>
          <cell r="O277">
            <v>861456239.79999995</v>
          </cell>
        </row>
        <row r="278">
          <cell r="A278" t="str">
            <v>AustriaANI YTD incl Asia - 5 pt</v>
          </cell>
          <cell r="B278">
            <v>1594745494.1600001</v>
          </cell>
          <cell r="C278">
            <v>1570628090.20666</v>
          </cell>
          <cell r="D278">
            <v>1588553665.5825</v>
          </cell>
          <cell r="E278">
            <v>1594730710.3380001</v>
          </cell>
          <cell r="F278">
            <v>1594730710.3380001</v>
          </cell>
          <cell r="G278">
            <v>1600921366.1800001</v>
          </cell>
          <cell r="H278">
            <v>1608787197.1199999</v>
          </cell>
          <cell r="I278">
            <v>1621756651.8399999</v>
          </cell>
          <cell r="J278">
            <v>1634579009.4719999</v>
          </cell>
          <cell r="K278">
            <v>1634579009.4719999</v>
          </cell>
          <cell r="L278">
            <v>1584289803.04</v>
          </cell>
          <cell r="M278">
            <v>723731877.20000005</v>
          </cell>
          <cell r="N278">
            <v>808441107.60000002</v>
          </cell>
          <cell r="O278">
            <v>905476989.20000005</v>
          </cell>
        </row>
        <row r="279">
          <cell r="A279" t="str">
            <v>AustriaOff Balance Sheet Assets</v>
          </cell>
          <cell r="B279">
            <v>0</v>
          </cell>
          <cell r="C279">
            <v>0</v>
          </cell>
          <cell r="D279">
            <v>0</v>
          </cell>
          <cell r="E279">
            <v>0</v>
          </cell>
          <cell r="F279">
            <v>0</v>
          </cell>
          <cell r="G279">
            <v>0</v>
          </cell>
          <cell r="H279">
            <v>0</v>
          </cell>
          <cell r="I279">
            <v>0</v>
          </cell>
          <cell r="J279">
            <v>0</v>
          </cell>
          <cell r="K279">
            <v>0</v>
          </cell>
          <cell r="L279">
            <v>431000</v>
          </cell>
          <cell r="M279">
            <v>0</v>
          </cell>
          <cell r="N279">
            <v>0</v>
          </cell>
          <cell r="O279">
            <v>0</v>
          </cell>
        </row>
        <row r="280">
          <cell r="A280" t="str">
            <v>AustriaJV Receivables</v>
          </cell>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row>
        <row r="281">
          <cell r="A281" t="str">
            <v>Austria30+ DELINQUENCY $</v>
          </cell>
          <cell r="B281">
            <v>143331622.61000001</v>
          </cell>
          <cell r="C281">
            <v>140148284.41</v>
          </cell>
          <cell r="D281">
            <v>139704120.93000001</v>
          </cell>
          <cell r="E281">
            <v>130231682.42</v>
          </cell>
          <cell r="F281">
            <v>130231682.42</v>
          </cell>
          <cell r="G281">
            <v>135682043.81276399</v>
          </cell>
          <cell r="H281">
            <v>140716961.43630001</v>
          </cell>
          <cell r="I281">
            <v>143468176.17823401</v>
          </cell>
          <cell r="J281">
            <v>140483655.94539601</v>
          </cell>
          <cell r="K281">
            <v>140483655.94539601</v>
          </cell>
          <cell r="L281">
            <v>140055432.41999999</v>
          </cell>
          <cell r="M281">
            <v>156566975</v>
          </cell>
          <cell r="N281">
            <v>177774745</v>
          </cell>
          <cell r="O281">
            <v>201720404</v>
          </cell>
        </row>
        <row r="282">
          <cell r="A282" t="str">
            <v>Austria90+ DELINQUENCY $</v>
          </cell>
          <cell r="B282">
            <v>80809779.849999994</v>
          </cell>
          <cell r="C282">
            <v>78420784.780000001</v>
          </cell>
          <cell r="D282">
            <v>77112041.930000007</v>
          </cell>
          <cell r="E282">
            <v>76206287.359999999</v>
          </cell>
          <cell r="F282">
            <v>76206287.359999999</v>
          </cell>
          <cell r="G282">
            <v>72955622.267078996</v>
          </cell>
          <cell r="H282">
            <v>75943770.151501</v>
          </cell>
          <cell r="I282">
            <v>80328904.285426006</v>
          </cell>
          <cell r="J282">
            <v>80413637.001763999</v>
          </cell>
          <cell r="K282">
            <v>80413637.001763999</v>
          </cell>
          <cell r="L282">
            <v>79608973.150000006</v>
          </cell>
          <cell r="M282">
            <v>81705720</v>
          </cell>
          <cell r="N282">
            <v>93149186</v>
          </cell>
          <cell r="O282">
            <v>106284426</v>
          </cell>
        </row>
        <row r="283">
          <cell r="A283" t="str">
            <v>AustriaTemporary Staff</v>
          </cell>
          <cell r="B283">
            <v>0</v>
          </cell>
          <cell r="C283">
            <v>17</v>
          </cell>
          <cell r="D283">
            <v>14</v>
          </cell>
          <cell r="E283">
            <v>34</v>
          </cell>
          <cell r="F283">
            <v>34</v>
          </cell>
          <cell r="G283">
            <v>14</v>
          </cell>
          <cell r="H283">
            <v>15</v>
          </cell>
          <cell r="I283">
            <v>25</v>
          </cell>
          <cell r="J283">
            <v>7</v>
          </cell>
          <cell r="K283">
            <v>7</v>
          </cell>
          <cell r="L283">
            <v>4.5</v>
          </cell>
          <cell r="M283">
            <v>5</v>
          </cell>
          <cell r="N283">
            <v>5</v>
          </cell>
          <cell r="O283">
            <v>5</v>
          </cell>
        </row>
        <row r="284">
          <cell r="A284" t="str">
            <v>AustriaContractors</v>
          </cell>
          <cell r="B284">
            <v>0</v>
          </cell>
          <cell r="C284">
            <v>6</v>
          </cell>
          <cell r="D284">
            <v>7</v>
          </cell>
          <cell r="E284">
            <v>6</v>
          </cell>
          <cell r="F284">
            <v>6</v>
          </cell>
          <cell r="G284">
            <v>4.25</v>
          </cell>
          <cell r="H284">
            <v>4.25</v>
          </cell>
          <cell r="I284">
            <v>4.25</v>
          </cell>
          <cell r="J284">
            <v>4.25</v>
          </cell>
          <cell r="K284">
            <v>4.25</v>
          </cell>
          <cell r="L284">
            <v>35</v>
          </cell>
          <cell r="M284">
            <v>2</v>
          </cell>
          <cell r="N284">
            <v>2</v>
          </cell>
          <cell r="O284">
            <v>2</v>
          </cell>
        </row>
        <row r="285">
          <cell r="A285" t="str">
            <v>AustriaOutsourced to LCC</v>
          </cell>
          <cell r="B285">
            <v>0</v>
          </cell>
          <cell r="C285">
            <v>0</v>
          </cell>
          <cell r="D285">
            <v>0</v>
          </cell>
          <cell r="E285">
            <v>0</v>
          </cell>
          <cell r="F285">
            <v>0</v>
          </cell>
          <cell r="G285">
            <v>50</v>
          </cell>
          <cell r="H285">
            <v>50</v>
          </cell>
          <cell r="I285">
            <v>50</v>
          </cell>
          <cell r="J285">
            <v>50</v>
          </cell>
          <cell r="K285">
            <v>50</v>
          </cell>
          <cell r="L285">
            <v>0</v>
          </cell>
          <cell r="M285">
            <v>30</v>
          </cell>
          <cell r="N285">
            <v>27</v>
          </cell>
          <cell r="O285">
            <v>25</v>
          </cell>
        </row>
        <row r="286">
          <cell r="A286" t="str">
            <v>AustriaTotal Headcount</v>
          </cell>
          <cell r="B286">
            <v>684</v>
          </cell>
          <cell r="C286">
            <v>690.5</v>
          </cell>
          <cell r="D286">
            <v>709</v>
          </cell>
          <cell r="E286">
            <v>683.5</v>
          </cell>
          <cell r="F286">
            <v>683.5</v>
          </cell>
          <cell r="G286">
            <v>726</v>
          </cell>
          <cell r="H286">
            <v>694.5</v>
          </cell>
          <cell r="I286">
            <v>663.5</v>
          </cell>
          <cell r="J286">
            <v>657.5</v>
          </cell>
          <cell r="K286">
            <v>657.5</v>
          </cell>
          <cell r="L286">
            <v>716.5</v>
          </cell>
          <cell r="M286">
            <v>681</v>
          </cell>
          <cell r="N286">
            <v>690.5</v>
          </cell>
          <cell r="O286">
            <v>713</v>
          </cell>
        </row>
        <row r="287">
          <cell r="A287" t="str">
            <v>AustriaTotal Workforce</v>
          </cell>
          <cell r="B287">
            <v>684</v>
          </cell>
          <cell r="C287">
            <v>713.5</v>
          </cell>
          <cell r="D287">
            <v>730</v>
          </cell>
          <cell r="E287">
            <v>723.5</v>
          </cell>
          <cell r="F287">
            <v>723.5</v>
          </cell>
          <cell r="G287">
            <v>794.25</v>
          </cell>
          <cell r="H287">
            <v>763.75</v>
          </cell>
          <cell r="I287">
            <v>742.75</v>
          </cell>
          <cell r="J287">
            <v>718.75</v>
          </cell>
          <cell r="K287">
            <v>718.75</v>
          </cell>
          <cell r="L287">
            <v>756</v>
          </cell>
          <cell r="M287">
            <v>718</v>
          </cell>
          <cell r="N287">
            <v>724.5</v>
          </cell>
          <cell r="O287">
            <v>745</v>
          </cell>
        </row>
        <row r="288">
          <cell r="A288" t="str">
            <v>AustriaTotal Earned Revenue</v>
          </cell>
          <cell r="B288">
            <v>-38485249.560000002</v>
          </cell>
          <cell r="C288">
            <v>-34410550.189999998</v>
          </cell>
          <cell r="D288">
            <v>-34893677.130000003</v>
          </cell>
          <cell r="E288">
            <v>-46167596.380000003</v>
          </cell>
          <cell r="F288">
            <v>-153957073.25999999</v>
          </cell>
          <cell r="G288">
            <v>-32260427</v>
          </cell>
          <cell r="H288">
            <v>-32436911</v>
          </cell>
          <cell r="I288">
            <v>-33990198</v>
          </cell>
          <cell r="J288">
            <v>-35423686</v>
          </cell>
          <cell r="K288">
            <v>-134111222</v>
          </cell>
          <cell r="L288">
            <v>-32149380.949999999</v>
          </cell>
          <cell r="M288">
            <v>-170792241</v>
          </cell>
          <cell r="N288">
            <v>-192290747</v>
          </cell>
          <cell r="O288">
            <v>-214612338</v>
          </cell>
        </row>
        <row r="289">
          <cell r="A289" t="str">
            <v>AustriaOrdinary Gains - PreTax</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row>
        <row r="290">
          <cell r="A290" t="str">
            <v>AustriaOrdinary Gains - AfterTax</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row>
        <row r="291">
          <cell r="A291" t="str">
            <v>AustriaTotal Volume</v>
          </cell>
          <cell r="B291">
            <v>176295033.5</v>
          </cell>
          <cell r="C291">
            <v>172901144.63999999</v>
          </cell>
          <cell r="D291">
            <v>187918296.49000001</v>
          </cell>
          <cell r="E291">
            <v>124625497.65000001</v>
          </cell>
          <cell r="F291">
            <v>661739972.27999997</v>
          </cell>
          <cell r="G291">
            <v>155984936.025718</v>
          </cell>
          <cell r="H291">
            <v>195232092.769113</v>
          </cell>
          <cell r="I291">
            <v>191422395.900702</v>
          </cell>
          <cell r="J291">
            <v>181380395.12428701</v>
          </cell>
          <cell r="K291">
            <v>724019819.81982005</v>
          </cell>
          <cell r="L291">
            <v>140012065.30000001</v>
          </cell>
          <cell r="M291">
            <v>894472142</v>
          </cell>
          <cell r="N291">
            <v>1012096867</v>
          </cell>
          <cell r="O291">
            <v>1126117494</v>
          </cell>
        </row>
        <row r="292">
          <cell r="A292" t="str">
            <v>AustriaTOTAL # ACTIVE ACCOUNTS</v>
          </cell>
          <cell r="B292">
            <v>171434</v>
          </cell>
          <cell r="C292">
            <v>170733</v>
          </cell>
          <cell r="D292">
            <v>171311</v>
          </cell>
          <cell r="E292">
            <v>171727</v>
          </cell>
          <cell r="F292">
            <v>171727</v>
          </cell>
          <cell r="G292">
            <v>157519</v>
          </cell>
          <cell r="H292">
            <v>161253</v>
          </cell>
          <cell r="I292">
            <v>164953</v>
          </cell>
          <cell r="J292">
            <v>168732</v>
          </cell>
          <cell r="K292">
            <v>168732</v>
          </cell>
          <cell r="L292">
            <v>0</v>
          </cell>
          <cell r="M292">
            <v>197606</v>
          </cell>
          <cell r="N292">
            <v>224765</v>
          </cell>
          <cell r="O292">
            <v>258005</v>
          </cell>
        </row>
        <row r="293">
          <cell r="A293" t="str">
            <v>Auto IrelandTOTAL FINANCING RECEIVABLES</v>
          </cell>
          <cell r="B293">
            <v>1136557746</v>
          </cell>
          <cell r="C293">
            <v>978741095</v>
          </cell>
          <cell r="D293">
            <v>1001981891</v>
          </cell>
          <cell r="E293">
            <v>949067827.71000004</v>
          </cell>
          <cell r="F293">
            <v>949067827.71000004</v>
          </cell>
          <cell r="G293">
            <v>1013778140.98839</v>
          </cell>
          <cell r="H293">
            <v>1003700647.1223201</v>
          </cell>
          <cell r="I293">
            <v>1034112616.4155101</v>
          </cell>
          <cell r="J293">
            <v>1076461641.0646501</v>
          </cell>
          <cell r="K293">
            <v>1076461641.0646501</v>
          </cell>
          <cell r="L293">
            <v>960328377.70000005</v>
          </cell>
          <cell r="M293">
            <v>1181717432.2059801</v>
          </cell>
          <cell r="N293">
            <v>1343536472.0805399</v>
          </cell>
          <cell r="O293">
            <v>1501199943.6061499</v>
          </cell>
        </row>
        <row r="294">
          <cell r="A294" t="str">
            <v>Auto IrelandRECEIVABLE RESERVES</v>
          </cell>
          <cell r="B294">
            <v>-24717348</v>
          </cell>
          <cell r="C294">
            <v>-22058864</v>
          </cell>
          <cell r="D294">
            <v>-23624831</v>
          </cell>
          <cell r="E294">
            <v>-18950251.120000001</v>
          </cell>
          <cell r="F294">
            <v>-18950251.120000001</v>
          </cell>
          <cell r="G294">
            <v>-21424362.135552</v>
          </cell>
          <cell r="H294">
            <v>-24356325.352379002</v>
          </cell>
          <cell r="I294">
            <v>-25026928.219347</v>
          </cell>
          <cell r="J294">
            <v>-25441519.315574002</v>
          </cell>
          <cell r="K294">
            <v>-25441519.315574002</v>
          </cell>
          <cell r="L294">
            <v>-20929593.93</v>
          </cell>
          <cell r="M294">
            <v>-26759593.825320002</v>
          </cell>
          <cell r="N294">
            <v>-28776277.57979</v>
          </cell>
          <cell r="O294">
            <v>-30044372.256292999</v>
          </cell>
        </row>
        <row r="295">
          <cell r="A295" t="str">
            <v>Auto IrelandCASH</v>
          </cell>
          <cell r="B295">
            <v>25297814</v>
          </cell>
          <cell r="C295">
            <v>14025888</v>
          </cell>
          <cell r="D295">
            <v>27535663</v>
          </cell>
          <cell r="E295">
            <v>25152059.809999999</v>
          </cell>
          <cell r="F295">
            <v>25152059.809999999</v>
          </cell>
          <cell r="G295">
            <v>18744431.088536002</v>
          </cell>
          <cell r="H295">
            <v>18744431.088536002</v>
          </cell>
          <cell r="I295">
            <v>18744431.088536002</v>
          </cell>
          <cell r="J295">
            <v>18744431.088536002</v>
          </cell>
          <cell r="K295">
            <v>18744431.088536002</v>
          </cell>
          <cell r="L295">
            <v>30882615.289999999</v>
          </cell>
          <cell r="M295">
            <v>1872215.5442679999</v>
          </cell>
          <cell r="N295">
            <v>1872215.5442679999</v>
          </cell>
          <cell r="O295">
            <v>1872215.5442679999</v>
          </cell>
        </row>
        <row r="296">
          <cell r="A296" t="str">
            <v>Auto IrelandINVESTMENT SECURITIES</v>
          </cell>
          <cell r="B296">
            <v>0</v>
          </cell>
          <cell r="C296">
            <v>0</v>
          </cell>
          <cell r="D296">
            <v>0</v>
          </cell>
          <cell r="E296">
            <v>0</v>
          </cell>
          <cell r="F296">
            <v>0</v>
          </cell>
          <cell r="G296">
            <v>0</v>
          </cell>
          <cell r="H296">
            <v>0</v>
          </cell>
          <cell r="I296">
            <v>0</v>
          </cell>
          <cell r="J296">
            <v>0</v>
          </cell>
          <cell r="K296">
            <v>0</v>
          </cell>
          <cell r="L296">
            <v>0</v>
          </cell>
          <cell r="M296">
            <v>0</v>
          </cell>
          <cell r="N296">
            <v>0</v>
          </cell>
          <cell r="O296">
            <v>0</v>
          </cell>
        </row>
        <row r="297">
          <cell r="A297" t="str">
            <v>Auto IrelandINV IN NON CONSOL AFFILIATES</v>
          </cell>
          <cell r="B297">
            <v>0</v>
          </cell>
          <cell r="C297">
            <v>0</v>
          </cell>
          <cell r="D297">
            <v>0</v>
          </cell>
          <cell r="E297">
            <v>114.61</v>
          </cell>
          <cell r="F297">
            <v>114.61</v>
          </cell>
          <cell r="G297">
            <v>0</v>
          </cell>
          <cell r="H297">
            <v>0</v>
          </cell>
          <cell r="I297">
            <v>0</v>
          </cell>
          <cell r="J297">
            <v>0</v>
          </cell>
          <cell r="K297">
            <v>0</v>
          </cell>
          <cell r="L297">
            <v>112.05</v>
          </cell>
          <cell r="M297">
            <v>0</v>
          </cell>
          <cell r="N297">
            <v>0</v>
          </cell>
          <cell r="O297">
            <v>0</v>
          </cell>
        </row>
        <row r="298">
          <cell r="A298" t="str">
            <v>Auto IrelandINVESTMENT IN JOINT VENTURE</v>
          </cell>
          <cell r="B298">
            <v>0</v>
          </cell>
          <cell r="C298">
            <v>0</v>
          </cell>
          <cell r="D298">
            <v>0</v>
          </cell>
          <cell r="E298">
            <v>0</v>
          </cell>
          <cell r="F298">
            <v>0</v>
          </cell>
          <cell r="G298">
            <v>0</v>
          </cell>
          <cell r="H298">
            <v>0</v>
          </cell>
          <cell r="I298">
            <v>0</v>
          </cell>
          <cell r="J298">
            <v>0</v>
          </cell>
          <cell r="K298">
            <v>0</v>
          </cell>
          <cell r="L298">
            <v>0</v>
          </cell>
          <cell r="M298">
            <v>0</v>
          </cell>
          <cell r="N298">
            <v>0</v>
          </cell>
          <cell r="O298">
            <v>0</v>
          </cell>
        </row>
        <row r="299">
          <cell r="A299" t="str">
            <v>Auto IrelandALL OTHER RECEIVABLES (NON-FINANCING)</v>
          </cell>
          <cell r="B299">
            <v>10809208</v>
          </cell>
          <cell r="C299">
            <v>6119208</v>
          </cell>
          <cell r="D299">
            <v>5357138</v>
          </cell>
          <cell r="E299">
            <v>-1626202.61</v>
          </cell>
          <cell r="F299">
            <v>-1626202.61</v>
          </cell>
          <cell r="G299">
            <v>0</v>
          </cell>
          <cell r="H299">
            <v>0</v>
          </cell>
          <cell r="I299">
            <v>0</v>
          </cell>
          <cell r="J299">
            <v>0</v>
          </cell>
          <cell r="K299">
            <v>0</v>
          </cell>
          <cell r="L299">
            <v>27103894.190000001</v>
          </cell>
          <cell r="M299">
            <v>0</v>
          </cell>
          <cell r="N299">
            <v>0</v>
          </cell>
          <cell r="O299">
            <v>0</v>
          </cell>
        </row>
        <row r="300">
          <cell r="A300" t="str">
            <v>Auto IrelandELTO (NET)</v>
          </cell>
          <cell r="B300">
            <v>0</v>
          </cell>
          <cell r="C300">
            <v>0</v>
          </cell>
          <cell r="D300">
            <v>0</v>
          </cell>
          <cell r="E300">
            <v>184207.76</v>
          </cell>
          <cell r="F300">
            <v>184207.76</v>
          </cell>
          <cell r="G300">
            <v>0</v>
          </cell>
          <cell r="H300">
            <v>0</v>
          </cell>
          <cell r="I300">
            <v>0</v>
          </cell>
          <cell r="J300">
            <v>0</v>
          </cell>
          <cell r="K300">
            <v>0</v>
          </cell>
          <cell r="L300">
            <v>197043.28</v>
          </cell>
          <cell r="M300">
            <v>0</v>
          </cell>
          <cell r="N300">
            <v>0</v>
          </cell>
          <cell r="O300">
            <v>0</v>
          </cell>
        </row>
        <row r="301">
          <cell r="A301" t="str">
            <v>Auto IrelandGOODWILL</v>
          </cell>
          <cell r="B301">
            <v>164873728</v>
          </cell>
          <cell r="C301">
            <v>149928679</v>
          </cell>
          <cell r="D301">
            <v>166813156</v>
          </cell>
          <cell r="E301">
            <v>161715559.96000001</v>
          </cell>
          <cell r="F301">
            <v>161715559.96000001</v>
          </cell>
          <cell r="G301">
            <v>160227690.73565999</v>
          </cell>
          <cell r="H301">
            <v>160194610.81026</v>
          </cell>
          <cell r="I301">
            <v>160161530.88486001</v>
          </cell>
          <cell r="J301">
            <v>160128450.95945999</v>
          </cell>
          <cell r="K301">
            <v>160128450.95945999</v>
          </cell>
          <cell r="L301">
            <v>158126604.56999999</v>
          </cell>
          <cell r="M301">
            <v>144969990.81695199</v>
          </cell>
          <cell r="N301">
            <v>137584443.04652199</v>
          </cell>
          <cell r="O301">
            <v>130198895.27609199</v>
          </cell>
        </row>
        <row r="302">
          <cell r="A302" t="str">
            <v>Auto IrelandOTHER ASSETS</v>
          </cell>
          <cell r="B302">
            <v>-41264377</v>
          </cell>
          <cell r="C302">
            <v>-41614060</v>
          </cell>
          <cell r="D302">
            <v>-43442288</v>
          </cell>
          <cell r="E302">
            <v>-34995819.409999996</v>
          </cell>
          <cell r="F302">
            <v>-34995819.409999996</v>
          </cell>
          <cell r="G302">
            <v>-56599481.032373004</v>
          </cell>
          <cell r="H302">
            <v>-56566401.106973</v>
          </cell>
          <cell r="I302">
            <v>-56533321.181573004</v>
          </cell>
          <cell r="J302">
            <v>-56500241.256173</v>
          </cell>
          <cell r="K302">
            <v>-56500241.256173</v>
          </cell>
          <cell r="L302">
            <v>-44354694.93</v>
          </cell>
          <cell r="M302">
            <v>-44540284.002765998</v>
          </cell>
          <cell r="N302">
            <v>-42274066.298717998</v>
          </cell>
          <cell r="O302">
            <v>-40007848.594669998</v>
          </cell>
        </row>
        <row r="303">
          <cell r="A303" t="str">
            <v>Auto IrelandACCOUNTS PAYABLE</v>
          </cell>
          <cell r="B303">
            <v>7601777</v>
          </cell>
          <cell r="C303">
            <v>15864468</v>
          </cell>
          <cell r="D303">
            <v>15932376</v>
          </cell>
          <cell r="E303">
            <v>-8969180.8900000006</v>
          </cell>
          <cell r="F303">
            <v>-8969180.8900000006</v>
          </cell>
          <cell r="G303">
            <v>-8232018.3200000003</v>
          </cell>
          <cell r="H303">
            <v>-8232018.3200000003</v>
          </cell>
          <cell r="I303">
            <v>-8232018.3200000003</v>
          </cell>
          <cell r="J303">
            <v>-8232018.3200000003</v>
          </cell>
          <cell r="K303">
            <v>-8232018.3200000003</v>
          </cell>
          <cell r="L303">
            <v>-12492899.26</v>
          </cell>
          <cell r="M303">
            <v>15581580.003953001</v>
          </cell>
          <cell r="N303">
            <v>15581580.003953001</v>
          </cell>
          <cell r="O303">
            <v>15581580.003953001</v>
          </cell>
        </row>
        <row r="304">
          <cell r="A304" t="str">
            <v>Auto IrelandDEFERRED INCOME TAXES</v>
          </cell>
          <cell r="B304">
            <v>0</v>
          </cell>
          <cell r="C304">
            <v>0</v>
          </cell>
          <cell r="D304">
            <v>0</v>
          </cell>
          <cell r="E304">
            <v>-55811225.119999997</v>
          </cell>
          <cell r="F304">
            <v>-55811225.119999997</v>
          </cell>
          <cell r="G304">
            <v>-29259866.289999999</v>
          </cell>
          <cell r="H304">
            <v>-29259866.289999999</v>
          </cell>
          <cell r="I304">
            <v>-29259866.289999999</v>
          </cell>
          <cell r="J304">
            <v>-29259866.289999999</v>
          </cell>
          <cell r="K304">
            <v>-29259866.289999999</v>
          </cell>
          <cell r="L304">
            <v>-57862667.850000001</v>
          </cell>
          <cell r="M304">
            <v>0</v>
          </cell>
          <cell r="N304">
            <v>0</v>
          </cell>
          <cell r="O304">
            <v>0</v>
          </cell>
        </row>
        <row r="305">
          <cell r="A305" t="str">
            <v>Auto IrelandWRITE-OFF (MEMO)</v>
          </cell>
          <cell r="B305">
            <v>0</v>
          </cell>
          <cell r="C305">
            <v>10236818</v>
          </cell>
          <cell r="D305">
            <v>14135807</v>
          </cell>
          <cell r="E305">
            <v>18961138.539999999</v>
          </cell>
          <cell r="F305">
            <v>18961138.539999999</v>
          </cell>
          <cell r="G305">
            <v>4288557</v>
          </cell>
          <cell r="H305">
            <v>8577113</v>
          </cell>
          <cell r="I305">
            <v>13283031</v>
          </cell>
          <cell r="J305">
            <v>17988948</v>
          </cell>
          <cell r="K305">
            <v>17988948</v>
          </cell>
          <cell r="L305">
            <v>1929807.58</v>
          </cell>
          <cell r="M305">
            <v>13096509.011399999</v>
          </cell>
          <cell r="N305">
            <v>15260589.011399999</v>
          </cell>
          <cell r="O305">
            <v>16681450</v>
          </cell>
        </row>
        <row r="306">
          <cell r="A306" t="str">
            <v>Auto IrelandINSURANCE RESERVES AND ANNUITY BENEFITS</v>
          </cell>
          <cell r="B306">
            <v>0</v>
          </cell>
          <cell r="C306">
            <v>0</v>
          </cell>
          <cell r="D306">
            <v>0</v>
          </cell>
          <cell r="E306">
            <v>0</v>
          </cell>
          <cell r="F306">
            <v>0</v>
          </cell>
          <cell r="G306">
            <v>0</v>
          </cell>
          <cell r="H306">
            <v>0</v>
          </cell>
          <cell r="I306">
            <v>0</v>
          </cell>
          <cell r="J306">
            <v>0</v>
          </cell>
          <cell r="K306">
            <v>0</v>
          </cell>
          <cell r="L306">
            <v>0</v>
          </cell>
          <cell r="M306">
            <v>0</v>
          </cell>
          <cell r="N306">
            <v>0</v>
          </cell>
          <cell r="O306">
            <v>0</v>
          </cell>
        </row>
        <row r="307">
          <cell r="A307" t="str">
            <v>Auto IrelandALL OTHER NON DEBT LIABILITIES</v>
          </cell>
          <cell r="B307">
            <v>-56370517</v>
          </cell>
          <cell r="C307">
            <v>-48314167</v>
          </cell>
          <cell r="D307">
            <v>-77537405</v>
          </cell>
          <cell r="E307">
            <v>-1465639.33</v>
          </cell>
          <cell r="F307">
            <v>-1465639.33</v>
          </cell>
          <cell r="G307">
            <v>-1326790.203552</v>
          </cell>
          <cell r="H307">
            <v>-1326790.203552</v>
          </cell>
          <cell r="I307">
            <v>-1326790.203552</v>
          </cell>
          <cell r="J307">
            <v>-1326790.203552</v>
          </cell>
          <cell r="K307">
            <v>-1326790.203552</v>
          </cell>
          <cell r="L307">
            <v>-3623336.77</v>
          </cell>
          <cell r="M307">
            <v>-47440161.443811998</v>
          </cell>
          <cell r="N307">
            <v>-47440161.443811998</v>
          </cell>
          <cell r="O307">
            <v>-47440161.443811998</v>
          </cell>
        </row>
        <row r="308">
          <cell r="A308" t="str">
            <v>Auto IrelandMINORITY INTEREST (BS)</v>
          </cell>
          <cell r="B308">
            <v>-904328</v>
          </cell>
          <cell r="C308">
            <v>-1047515</v>
          </cell>
          <cell r="D308">
            <v>-1184586</v>
          </cell>
          <cell r="E308">
            <v>-1347316.61</v>
          </cell>
          <cell r="F308">
            <v>-1347316.61</v>
          </cell>
          <cell r="G308">
            <v>0</v>
          </cell>
          <cell r="H308">
            <v>0</v>
          </cell>
          <cell r="I308">
            <v>0</v>
          </cell>
          <cell r="J308">
            <v>0</v>
          </cell>
          <cell r="K308">
            <v>0</v>
          </cell>
          <cell r="L308">
            <v>-1169030.93</v>
          </cell>
          <cell r="M308">
            <v>-228898.52874000001</v>
          </cell>
          <cell r="N308">
            <v>-228898.52874000001</v>
          </cell>
          <cell r="O308">
            <v>-228898.52874000001</v>
          </cell>
        </row>
        <row r="309">
          <cell r="A309" t="str">
            <v>Auto IrelandASIA PACIFIC ENI DIVIDEND</v>
          </cell>
          <cell r="B309">
            <v>0</v>
          </cell>
          <cell r="C309">
            <v>0</v>
          </cell>
          <cell r="D309">
            <v>0</v>
          </cell>
          <cell r="E309">
            <v>0</v>
          </cell>
          <cell r="F309">
            <v>0</v>
          </cell>
          <cell r="G309">
            <v>0</v>
          </cell>
          <cell r="H309">
            <v>0</v>
          </cell>
          <cell r="I309">
            <v>0</v>
          </cell>
          <cell r="J309">
            <v>0</v>
          </cell>
          <cell r="K309">
            <v>0</v>
          </cell>
          <cell r="L309">
            <v>0</v>
          </cell>
          <cell r="M309">
            <v>0</v>
          </cell>
          <cell r="N309">
            <v>0</v>
          </cell>
          <cell r="O309">
            <v>0</v>
          </cell>
        </row>
        <row r="310">
          <cell r="A310" t="str">
            <v>Auto IrelandFINANCING INCOME</v>
          </cell>
          <cell r="B310">
            <v>-22022066.120000001</v>
          </cell>
          <cell r="C310">
            <v>-23542180.359999999</v>
          </cell>
          <cell r="D310">
            <v>-14370307.93</v>
          </cell>
          <cell r="E310">
            <v>-15707687.91</v>
          </cell>
          <cell r="F310">
            <v>-75642242.319999993</v>
          </cell>
          <cell r="G310">
            <v>-17286752.636392001</v>
          </cell>
          <cell r="H310">
            <v>-17922233.141483001</v>
          </cell>
          <cell r="I310">
            <v>-18389325.559675001</v>
          </cell>
          <cell r="J310">
            <v>-18181869.920777</v>
          </cell>
          <cell r="K310">
            <v>-71780181.258327007</v>
          </cell>
          <cell r="L310">
            <v>-17171001.25</v>
          </cell>
          <cell r="M310">
            <v>-87337586.722358003</v>
          </cell>
          <cell r="N310">
            <v>-100016739.54008301</v>
          </cell>
          <cell r="O310">
            <v>-115927968.83239999</v>
          </cell>
        </row>
        <row r="311">
          <cell r="A311" t="str">
            <v>Auto IrelandINSURANCE PREMIUM INCOME</v>
          </cell>
          <cell r="B311">
            <v>-302751</v>
          </cell>
          <cell r="C311">
            <v>-625943</v>
          </cell>
          <cell r="D311">
            <v>-1192152</v>
          </cell>
          <cell r="E311">
            <v>2120846</v>
          </cell>
          <cell r="F311">
            <v>0</v>
          </cell>
          <cell r="G311">
            <v>-1757837.514775</v>
          </cell>
          <cell r="H311">
            <v>-1623944.7439280001</v>
          </cell>
          <cell r="I311">
            <v>-1537273.0385179999</v>
          </cell>
          <cell r="J311">
            <v>-1395980.140011</v>
          </cell>
          <cell r="K311">
            <v>-6315035.4372319998</v>
          </cell>
          <cell r="L311">
            <v>0</v>
          </cell>
          <cell r="M311">
            <v>-6507163.2709659999</v>
          </cell>
          <cell r="N311">
            <v>-6354828.9655630002</v>
          </cell>
          <cell r="O311">
            <v>-7063941.4282229999</v>
          </cell>
        </row>
        <row r="312">
          <cell r="A312" t="str">
            <v>Auto IrelandINSURANCE INCOME (COMMISSIONS)</v>
          </cell>
          <cell r="B312">
            <v>-2123472.9900000002</v>
          </cell>
          <cell r="C312">
            <v>-1813158.65</v>
          </cell>
          <cell r="D312">
            <v>-1900448.09</v>
          </cell>
          <cell r="E312">
            <v>3583775.31</v>
          </cell>
          <cell r="F312">
            <v>-2253304.42</v>
          </cell>
          <cell r="G312">
            <v>1757837.514775</v>
          </cell>
          <cell r="H312">
            <v>1392839.0339279999</v>
          </cell>
          <cell r="I312">
            <v>1537273.0385179999</v>
          </cell>
          <cell r="J312">
            <v>1395980.140011</v>
          </cell>
          <cell r="K312">
            <v>6083929.7272319999</v>
          </cell>
          <cell r="L312">
            <v>-388454.87</v>
          </cell>
          <cell r="M312">
            <v>-6984687.1683809999</v>
          </cell>
          <cell r="N312">
            <v>-9096803.5041099992</v>
          </cell>
          <cell r="O312">
            <v>-11155410.211451</v>
          </cell>
        </row>
        <row r="313">
          <cell r="A313" t="str">
            <v>Auto IrelandSUNDRY INCOME</v>
          </cell>
          <cell r="B313">
            <v>0</v>
          </cell>
          <cell r="C313">
            <v>0</v>
          </cell>
          <cell r="D313">
            <v>0</v>
          </cell>
          <cell r="E313">
            <v>-9864221.2799999993</v>
          </cell>
          <cell r="F313">
            <v>-9864221.2799999993</v>
          </cell>
          <cell r="G313">
            <v>-3785344.663189</v>
          </cell>
          <cell r="H313">
            <v>-3606959.158667</v>
          </cell>
          <cell r="I313">
            <v>-3837090.9381400002</v>
          </cell>
          <cell r="J313">
            <v>-3588420.956334</v>
          </cell>
          <cell r="K313">
            <v>-14817815.716331</v>
          </cell>
          <cell r="L313">
            <v>-2029836.53</v>
          </cell>
          <cell r="M313">
            <v>0</v>
          </cell>
          <cell r="N313">
            <v>0</v>
          </cell>
          <cell r="O313">
            <v>0</v>
          </cell>
        </row>
        <row r="314">
          <cell r="A314" t="str">
            <v>Auto IrelandINTEREST EXPENSE</v>
          </cell>
          <cell r="B314">
            <v>13141671.93</v>
          </cell>
          <cell r="C314">
            <v>13421097.25</v>
          </cell>
          <cell r="D314">
            <v>7367158.4800000004</v>
          </cell>
          <cell r="E314">
            <v>36425243.159999996</v>
          </cell>
          <cell r="F314">
            <v>70355170.819999993</v>
          </cell>
          <cell r="G314">
            <v>16278383.688459</v>
          </cell>
          <cell r="H314">
            <v>16447701.679021999</v>
          </cell>
          <cell r="I314">
            <v>16841888.717</v>
          </cell>
          <cell r="J314">
            <v>16761118.072639</v>
          </cell>
          <cell r="K314">
            <v>66329092.157119997</v>
          </cell>
          <cell r="L314">
            <v>15544520.84</v>
          </cell>
          <cell r="M314">
            <v>51802773.555331998</v>
          </cell>
          <cell r="N314">
            <v>57540725.152438</v>
          </cell>
          <cell r="O314">
            <v>64225955.912885003</v>
          </cell>
        </row>
        <row r="315">
          <cell r="A315" t="str">
            <v>Auto IrelandINTEREST EXPENSE REDUCTIONS / BUS SHARING</v>
          </cell>
          <cell r="B315">
            <v>0</v>
          </cell>
          <cell r="C315">
            <v>0</v>
          </cell>
          <cell r="D315">
            <v>0</v>
          </cell>
          <cell r="E315">
            <v>-27043432</v>
          </cell>
          <cell r="F315">
            <v>-27043432</v>
          </cell>
          <cell r="G315">
            <v>-6002183.4400159996</v>
          </cell>
          <cell r="H315">
            <v>-6078138.8650949998</v>
          </cell>
          <cell r="I315">
            <v>-6157015.6043250002</v>
          </cell>
          <cell r="J315">
            <v>-6138830.7276590001</v>
          </cell>
          <cell r="K315">
            <v>-24376168.637095999</v>
          </cell>
          <cell r="L315">
            <v>-5726791</v>
          </cell>
          <cell r="M315">
            <v>0</v>
          </cell>
          <cell r="N315">
            <v>0</v>
          </cell>
          <cell r="O315">
            <v>0</v>
          </cell>
        </row>
        <row r="316">
          <cell r="A316" t="str">
            <v>Auto IrelandALLOCATED COST OF PREFERRED EQUITY</v>
          </cell>
          <cell r="B316">
            <v>0</v>
          </cell>
          <cell r="C316">
            <v>0</v>
          </cell>
          <cell r="D316">
            <v>0</v>
          </cell>
          <cell r="E316">
            <v>571203.49</v>
          </cell>
          <cell r="F316">
            <v>571203.49</v>
          </cell>
          <cell r="G316">
            <v>0</v>
          </cell>
          <cell r="H316">
            <v>0</v>
          </cell>
          <cell r="I316">
            <v>0</v>
          </cell>
          <cell r="J316">
            <v>0</v>
          </cell>
          <cell r="K316">
            <v>0</v>
          </cell>
          <cell r="L316">
            <v>70687.27</v>
          </cell>
          <cell r="M316">
            <v>0</v>
          </cell>
          <cell r="N316">
            <v>0</v>
          </cell>
          <cell r="O316">
            <v>0</v>
          </cell>
        </row>
        <row r="317">
          <cell r="A317" t="str">
            <v>Auto IrelandSALARIES &amp; BENEFITS</v>
          </cell>
          <cell r="B317">
            <v>5801296.2400000002</v>
          </cell>
          <cell r="C317">
            <v>5652928.5599999996</v>
          </cell>
          <cell r="D317">
            <v>5619343.5300000003</v>
          </cell>
          <cell r="E317">
            <v>5782566.0999999996</v>
          </cell>
          <cell r="F317">
            <v>22856134.43</v>
          </cell>
          <cell r="G317">
            <v>5512604.8283240004</v>
          </cell>
          <cell r="H317">
            <v>5299235.6599040003</v>
          </cell>
          <cell r="I317">
            <v>5161701.7259290004</v>
          </cell>
          <cell r="J317">
            <v>5017675.8467770005</v>
          </cell>
          <cell r="K317">
            <v>20991218.060935002</v>
          </cell>
          <cell r="L317">
            <v>5404016</v>
          </cell>
          <cell r="M317">
            <v>20230909.394336998</v>
          </cell>
          <cell r="N317">
            <v>20041455.014231</v>
          </cell>
          <cell r="O317">
            <v>21592910.578285001</v>
          </cell>
        </row>
        <row r="318">
          <cell r="A318" t="str">
            <v>Auto IrelandLOSSES ON OTHER ASSETS</v>
          </cell>
          <cell r="B318">
            <v>0</v>
          </cell>
          <cell r="C318">
            <v>0</v>
          </cell>
          <cell r="D318">
            <v>0</v>
          </cell>
          <cell r="E318">
            <v>34844.269999999997</v>
          </cell>
          <cell r="F318">
            <v>34844.269999999997</v>
          </cell>
          <cell r="G318">
            <v>0</v>
          </cell>
          <cell r="H318">
            <v>0</v>
          </cell>
          <cell r="I318">
            <v>0</v>
          </cell>
          <cell r="J318">
            <v>0</v>
          </cell>
          <cell r="K318">
            <v>0</v>
          </cell>
          <cell r="L318">
            <v>0</v>
          </cell>
          <cell r="M318">
            <v>0</v>
          </cell>
          <cell r="N318">
            <v>0</v>
          </cell>
          <cell r="O318">
            <v>0</v>
          </cell>
        </row>
        <row r="319">
          <cell r="A319" t="str">
            <v>Auto IrelandCOST OF GOODS SOLD</v>
          </cell>
          <cell r="B319">
            <v>0</v>
          </cell>
          <cell r="C319">
            <v>0</v>
          </cell>
          <cell r="D319">
            <v>0</v>
          </cell>
          <cell r="E319">
            <v>0</v>
          </cell>
          <cell r="F319">
            <v>0</v>
          </cell>
          <cell r="G319">
            <v>0</v>
          </cell>
          <cell r="H319">
            <v>0</v>
          </cell>
          <cell r="I319">
            <v>0</v>
          </cell>
          <cell r="J319">
            <v>0</v>
          </cell>
          <cell r="K319">
            <v>0</v>
          </cell>
          <cell r="L319">
            <v>0</v>
          </cell>
          <cell r="M319">
            <v>0</v>
          </cell>
          <cell r="N319">
            <v>0</v>
          </cell>
          <cell r="O319">
            <v>0</v>
          </cell>
        </row>
        <row r="320">
          <cell r="A320" t="str">
            <v>Auto IrelandCOST OF GOODS SOLD - DISTRIBUTION</v>
          </cell>
          <cell r="B320">
            <v>0</v>
          </cell>
          <cell r="C320">
            <v>0</v>
          </cell>
          <cell r="D320">
            <v>0</v>
          </cell>
          <cell r="E320">
            <v>0</v>
          </cell>
          <cell r="F320">
            <v>0</v>
          </cell>
          <cell r="G320">
            <v>0</v>
          </cell>
          <cell r="H320">
            <v>0</v>
          </cell>
          <cell r="I320">
            <v>0</v>
          </cell>
          <cell r="J320">
            <v>0</v>
          </cell>
          <cell r="K320">
            <v>0</v>
          </cell>
          <cell r="L320">
            <v>0</v>
          </cell>
          <cell r="M320">
            <v>0</v>
          </cell>
          <cell r="N320">
            <v>0</v>
          </cell>
          <cell r="O320">
            <v>0</v>
          </cell>
        </row>
        <row r="321">
          <cell r="A321" t="str">
            <v>Auto IrelandPOSTAGE</v>
          </cell>
          <cell r="B321">
            <v>122941.28</v>
          </cell>
          <cell r="C321">
            <v>136855.19</v>
          </cell>
          <cell r="D321">
            <v>-8228.7800000000007</v>
          </cell>
          <cell r="E321">
            <v>123435.26</v>
          </cell>
          <cell r="F321">
            <v>375002.95</v>
          </cell>
          <cell r="G321">
            <v>84828.631294999999</v>
          </cell>
          <cell r="H321">
            <v>84828.631294999999</v>
          </cell>
          <cell r="I321">
            <v>84571.023658999999</v>
          </cell>
          <cell r="J321">
            <v>83471.897746999995</v>
          </cell>
          <cell r="K321">
            <v>337700.18399699999</v>
          </cell>
          <cell r="L321">
            <v>82566.92</v>
          </cell>
          <cell r="M321">
            <v>404248.08560499997</v>
          </cell>
          <cell r="N321">
            <v>404471.75682100002</v>
          </cell>
          <cell r="O321">
            <v>404692.99841</v>
          </cell>
        </row>
        <row r="322">
          <cell r="A322" t="str">
            <v>Auto IrelandTELEPHONE</v>
          </cell>
          <cell r="B322">
            <v>225408.81</v>
          </cell>
          <cell r="C322">
            <v>188174.63</v>
          </cell>
          <cell r="D322">
            <v>195403.67</v>
          </cell>
          <cell r="E322">
            <v>248327.37</v>
          </cell>
          <cell r="F322">
            <v>857314.48</v>
          </cell>
          <cell r="G322">
            <v>162950.50044800001</v>
          </cell>
          <cell r="H322">
            <v>164596.39527899999</v>
          </cell>
          <cell r="I322">
            <v>164193.754006</v>
          </cell>
          <cell r="J322">
            <v>160758.98553000001</v>
          </cell>
          <cell r="K322">
            <v>652499.63526200003</v>
          </cell>
          <cell r="L322">
            <v>172926.56</v>
          </cell>
          <cell r="M322">
            <v>707882.05579200003</v>
          </cell>
          <cell r="N322">
            <v>712720.60102599999</v>
          </cell>
          <cell r="O322">
            <v>717697.19883400004</v>
          </cell>
        </row>
        <row r="323">
          <cell r="A323" t="str">
            <v>Auto IrelandCUSTOMER SERVICE / COLLECTIONS</v>
          </cell>
          <cell r="B323">
            <v>392701.05</v>
          </cell>
          <cell r="C323">
            <v>353753.1</v>
          </cell>
          <cell r="D323">
            <v>433088.58</v>
          </cell>
          <cell r="E323">
            <v>702129.8</v>
          </cell>
          <cell r="F323">
            <v>1881672.53</v>
          </cell>
          <cell r="G323">
            <v>274210.25393200002</v>
          </cell>
          <cell r="H323">
            <v>274210.25393200002</v>
          </cell>
          <cell r="I323">
            <v>274210.25393200002</v>
          </cell>
          <cell r="J323">
            <v>274210.25393200002</v>
          </cell>
          <cell r="K323">
            <v>1096841.0157280001</v>
          </cell>
          <cell r="L323">
            <v>291351.19</v>
          </cell>
          <cell r="M323">
            <v>1199654.333297</v>
          </cell>
          <cell r="N323">
            <v>1361414.272352</v>
          </cell>
          <cell r="O323">
            <v>1527371.3929870001</v>
          </cell>
        </row>
        <row r="324">
          <cell r="A324" t="str">
            <v>Auto IrelandSTATIONARY - OFFICE SUPPLIES</v>
          </cell>
          <cell r="B324">
            <v>147569.64000000001</v>
          </cell>
          <cell r="C324">
            <v>168343.39</v>
          </cell>
          <cell r="D324">
            <v>148373.59</v>
          </cell>
          <cell r="E324">
            <v>165557.17000000001</v>
          </cell>
          <cell r="F324">
            <v>629843.79</v>
          </cell>
          <cell r="G324">
            <v>137821.87308300001</v>
          </cell>
          <cell r="H324">
            <v>145463.78058300001</v>
          </cell>
          <cell r="I324">
            <v>153324.201665</v>
          </cell>
          <cell r="J324">
            <v>142749.276622</v>
          </cell>
          <cell r="K324">
            <v>579359.13195499999</v>
          </cell>
          <cell r="L324">
            <v>172707.67</v>
          </cell>
          <cell r="M324">
            <v>443917.83526600001</v>
          </cell>
          <cell r="N324">
            <v>449259.50770999998</v>
          </cell>
          <cell r="O324">
            <v>453685.68430800003</v>
          </cell>
        </row>
        <row r="325">
          <cell r="A325" t="str">
            <v>Auto IrelandT&amp;L</v>
          </cell>
          <cell r="B325">
            <v>393718.41</v>
          </cell>
          <cell r="C325">
            <v>296693.5</v>
          </cell>
          <cell r="D325">
            <v>518219.65</v>
          </cell>
          <cell r="E325">
            <v>964877.47</v>
          </cell>
          <cell r="F325">
            <v>2173509.0299999998</v>
          </cell>
          <cell r="G325">
            <v>421768.95292800001</v>
          </cell>
          <cell r="H325">
            <v>400265.11625899997</v>
          </cell>
          <cell r="I325">
            <v>405035.10925899999</v>
          </cell>
          <cell r="J325">
            <v>400455.37495899998</v>
          </cell>
          <cell r="K325">
            <v>1627524.5534039999</v>
          </cell>
          <cell r="L325">
            <v>504642.32</v>
          </cell>
          <cell r="M325">
            <v>1676553.4534229999</v>
          </cell>
          <cell r="N325">
            <v>1620270.510401</v>
          </cell>
          <cell r="O325">
            <v>1763139.423003</v>
          </cell>
        </row>
        <row r="326">
          <cell r="A326" t="str">
            <v>Auto IrelandRENTAL - BLDG/FACILITIES</v>
          </cell>
          <cell r="B326">
            <v>321265.87</v>
          </cell>
          <cell r="C326">
            <v>337474.82</v>
          </cell>
          <cell r="D326">
            <v>249187.76</v>
          </cell>
          <cell r="E326">
            <v>264371.03999999998</v>
          </cell>
          <cell r="F326">
            <v>1172299.49</v>
          </cell>
          <cell r="G326">
            <v>289128.15180400002</v>
          </cell>
          <cell r="H326">
            <v>289700.61107699998</v>
          </cell>
          <cell r="I326">
            <v>285950.03501200001</v>
          </cell>
          <cell r="J326">
            <v>265969.33985400002</v>
          </cell>
          <cell r="K326">
            <v>1130748.137748</v>
          </cell>
          <cell r="L326">
            <v>288821.78000000003</v>
          </cell>
          <cell r="M326">
            <v>959231.16509999998</v>
          </cell>
          <cell r="N326">
            <v>2048921.1879</v>
          </cell>
          <cell r="O326">
            <v>2048921.1879</v>
          </cell>
        </row>
        <row r="327">
          <cell r="A327" t="str">
            <v>Auto IrelandRENTAL - FURNITURE/EQUIP</v>
          </cell>
          <cell r="B327">
            <v>0</v>
          </cell>
          <cell r="C327">
            <v>0</v>
          </cell>
          <cell r="D327">
            <v>0</v>
          </cell>
          <cell r="E327">
            <v>0</v>
          </cell>
          <cell r="F327">
            <v>0</v>
          </cell>
          <cell r="G327">
            <v>0</v>
          </cell>
          <cell r="H327">
            <v>0</v>
          </cell>
          <cell r="I327">
            <v>0</v>
          </cell>
          <cell r="J327">
            <v>0</v>
          </cell>
          <cell r="K327">
            <v>0</v>
          </cell>
          <cell r="L327">
            <v>0</v>
          </cell>
          <cell r="M327">
            <v>0</v>
          </cell>
          <cell r="N327">
            <v>0</v>
          </cell>
          <cell r="O327">
            <v>0</v>
          </cell>
        </row>
        <row r="328">
          <cell r="A328" t="str">
            <v>Auto IrelandRENTAL - COMPUTERS</v>
          </cell>
          <cell r="B328">
            <v>0</v>
          </cell>
          <cell r="C328">
            <v>0</v>
          </cell>
          <cell r="D328">
            <v>0</v>
          </cell>
          <cell r="E328">
            <v>0</v>
          </cell>
          <cell r="F328">
            <v>0</v>
          </cell>
          <cell r="G328">
            <v>0</v>
          </cell>
          <cell r="H328">
            <v>0</v>
          </cell>
          <cell r="I328">
            <v>0</v>
          </cell>
          <cell r="J328">
            <v>0</v>
          </cell>
          <cell r="K328">
            <v>0</v>
          </cell>
          <cell r="L328">
            <v>0</v>
          </cell>
          <cell r="M328">
            <v>0</v>
          </cell>
          <cell r="N328">
            <v>0</v>
          </cell>
          <cell r="O328">
            <v>0</v>
          </cell>
        </row>
        <row r="329">
          <cell r="A329" t="str">
            <v>Auto IrelandLEASE IN - LEASE OUT</v>
          </cell>
          <cell r="B329">
            <v>0</v>
          </cell>
          <cell r="C329">
            <v>0</v>
          </cell>
          <cell r="D329">
            <v>0</v>
          </cell>
          <cell r="E329">
            <v>0</v>
          </cell>
          <cell r="F329">
            <v>0</v>
          </cell>
          <cell r="G329">
            <v>0</v>
          </cell>
          <cell r="H329">
            <v>0</v>
          </cell>
          <cell r="I329">
            <v>0</v>
          </cell>
          <cell r="J329">
            <v>0</v>
          </cell>
          <cell r="K329">
            <v>0</v>
          </cell>
          <cell r="L329">
            <v>0</v>
          </cell>
          <cell r="M329">
            <v>0</v>
          </cell>
          <cell r="N329">
            <v>0</v>
          </cell>
          <cell r="O329">
            <v>0</v>
          </cell>
        </row>
        <row r="330">
          <cell r="A330" t="str">
            <v>Auto IrelandFURNITURE / EQUIPMENT / COMPUTER EXP</v>
          </cell>
          <cell r="B330">
            <v>265176</v>
          </cell>
          <cell r="C330">
            <v>123018.67</v>
          </cell>
          <cell r="D330">
            <v>-388194.72</v>
          </cell>
          <cell r="E330">
            <v>1871.56</v>
          </cell>
          <cell r="F330">
            <v>1871.51</v>
          </cell>
          <cell r="G330">
            <v>0</v>
          </cell>
          <cell r="H330">
            <v>0</v>
          </cell>
          <cell r="I330">
            <v>0</v>
          </cell>
          <cell r="J330">
            <v>0</v>
          </cell>
          <cell r="K330">
            <v>0</v>
          </cell>
          <cell r="L330">
            <v>0</v>
          </cell>
          <cell r="M330">
            <v>0</v>
          </cell>
          <cell r="N330">
            <v>0</v>
          </cell>
          <cell r="O330">
            <v>0</v>
          </cell>
        </row>
        <row r="331">
          <cell r="A331" t="str">
            <v>Auto IrelandSOFTWARE EXPENSE</v>
          </cell>
          <cell r="B331">
            <v>0</v>
          </cell>
          <cell r="C331">
            <v>0</v>
          </cell>
          <cell r="D331">
            <v>0</v>
          </cell>
          <cell r="E331">
            <v>0</v>
          </cell>
          <cell r="F331">
            <v>0</v>
          </cell>
          <cell r="G331">
            <v>0</v>
          </cell>
          <cell r="H331">
            <v>0</v>
          </cell>
          <cell r="I331">
            <v>0</v>
          </cell>
          <cell r="J331">
            <v>0</v>
          </cell>
          <cell r="K331">
            <v>0</v>
          </cell>
          <cell r="L331">
            <v>0</v>
          </cell>
          <cell r="M331">
            <v>0</v>
          </cell>
          <cell r="N331">
            <v>0</v>
          </cell>
          <cell r="O331">
            <v>0</v>
          </cell>
        </row>
        <row r="332">
          <cell r="A332" t="str">
            <v>Auto IrelandAMORTIZATION OF INTANGIBLES</v>
          </cell>
          <cell r="B332">
            <v>0</v>
          </cell>
          <cell r="C332">
            <v>0</v>
          </cell>
          <cell r="D332">
            <v>0</v>
          </cell>
          <cell r="E332">
            <v>0</v>
          </cell>
          <cell r="F332">
            <v>0</v>
          </cell>
          <cell r="G332">
            <v>0</v>
          </cell>
          <cell r="H332">
            <v>0</v>
          </cell>
          <cell r="I332">
            <v>0</v>
          </cell>
          <cell r="J332">
            <v>0</v>
          </cell>
          <cell r="K332">
            <v>0</v>
          </cell>
          <cell r="L332">
            <v>0</v>
          </cell>
          <cell r="M332">
            <v>0</v>
          </cell>
          <cell r="N332">
            <v>0</v>
          </cell>
          <cell r="O332">
            <v>0</v>
          </cell>
        </row>
        <row r="333">
          <cell r="A333" t="str">
            <v>Auto IrelandELTO MAINTENANCE</v>
          </cell>
          <cell r="B333">
            <v>0</v>
          </cell>
          <cell r="C333">
            <v>0</v>
          </cell>
          <cell r="D333">
            <v>0</v>
          </cell>
          <cell r="E333">
            <v>0</v>
          </cell>
          <cell r="F333">
            <v>0</v>
          </cell>
          <cell r="G333">
            <v>0</v>
          </cell>
          <cell r="H333">
            <v>0</v>
          </cell>
          <cell r="I333">
            <v>0</v>
          </cell>
          <cell r="J333">
            <v>0</v>
          </cell>
          <cell r="K333">
            <v>0</v>
          </cell>
          <cell r="L333">
            <v>0</v>
          </cell>
          <cell r="M333">
            <v>0</v>
          </cell>
          <cell r="N333">
            <v>0</v>
          </cell>
          <cell r="O333">
            <v>0</v>
          </cell>
        </row>
        <row r="334">
          <cell r="A334" t="str">
            <v>Auto IrelandELTO OTHER</v>
          </cell>
          <cell r="B334">
            <v>0</v>
          </cell>
          <cell r="C334">
            <v>0</v>
          </cell>
          <cell r="D334">
            <v>0</v>
          </cell>
          <cell r="E334">
            <v>0</v>
          </cell>
          <cell r="F334">
            <v>0</v>
          </cell>
          <cell r="G334">
            <v>0</v>
          </cell>
          <cell r="H334">
            <v>0</v>
          </cell>
          <cell r="I334">
            <v>0</v>
          </cell>
          <cell r="J334">
            <v>0</v>
          </cell>
          <cell r="K334">
            <v>0</v>
          </cell>
          <cell r="L334">
            <v>0</v>
          </cell>
          <cell r="M334">
            <v>0</v>
          </cell>
          <cell r="N334">
            <v>0</v>
          </cell>
          <cell r="O334">
            <v>0</v>
          </cell>
        </row>
        <row r="335">
          <cell r="A335" t="str">
            <v>Auto IrelandLEGAL</v>
          </cell>
          <cell r="B335">
            <v>0</v>
          </cell>
          <cell r="C335">
            <v>0</v>
          </cell>
          <cell r="D335">
            <v>0</v>
          </cell>
          <cell r="E335">
            <v>0</v>
          </cell>
          <cell r="F335">
            <v>0</v>
          </cell>
          <cell r="G335">
            <v>0</v>
          </cell>
          <cell r="H335">
            <v>0</v>
          </cell>
          <cell r="I335">
            <v>0</v>
          </cell>
          <cell r="J335">
            <v>0</v>
          </cell>
          <cell r="K335">
            <v>0</v>
          </cell>
          <cell r="L335">
            <v>0</v>
          </cell>
          <cell r="M335">
            <v>0</v>
          </cell>
          <cell r="N335">
            <v>0</v>
          </cell>
          <cell r="O335">
            <v>0</v>
          </cell>
        </row>
        <row r="336">
          <cell r="A336" t="str">
            <v>Auto IrelandADVERTISING</v>
          </cell>
          <cell r="B336">
            <v>114793.91</v>
          </cell>
          <cell r="C336">
            <v>10788.69</v>
          </cell>
          <cell r="D336">
            <v>315425.99</v>
          </cell>
          <cell r="E336">
            <v>390826.62</v>
          </cell>
          <cell r="F336">
            <v>831835.21</v>
          </cell>
          <cell r="G336">
            <v>28090.792412999999</v>
          </cell>
          <cell r="H336">
            <v>61453.692412999997</v>
          </cell>
          <cell r="I336">
            <v>44321.392413000001</v>
          </cell>
          <cell r="J336">
            <v>38009.492413</v>
          </cell>
          <cell r="K336">
            <v>171875.369653</v>
          </cell>
          <cell r="L336">
            <v>28160.52</v>
          </cell>
          <cell r="M336">
            <v>19046.28</v>
          </cell>
          <cell r="N336">
            <v>20950.907999999999</v>
          </cell>
          <cell r="O336">
            <v>23045.998800000001</v>
          </cell>
        </row>
        <row r="337">
          <cell r="A337" t="str">
            <v>Auto IrelandSALES PROMOTIONS</v>
          </cell>
          <cell r="B337">
            <v>29625.26</v>
          </cell>
          <cell r="C337">
            <v>29891.81</v>
          </cell>
          <cell r="D337">
            <v>-6767.32</v>
          </cell>
          <cell r="E337">
            <v>3298.8</v>
          </cell>
          <cell r="F337">
            <v>56048.55</v>
          </cell>
          <cell r="G337">
            <v>208070.14875600001</v>
          </cell>
          <cell r="H337">
            <v>73283.627133000002</v>
          </cell>
          <cell r="I337">
            <v>78118.434718000004</v>
          </cell>
          <cell r="J337">
            <v>85557.459717999998</v>
          </cell>
          <cell r="K337">
            <v>445029.67032500001</v>
          </cell>
          <cell r="L337">
            <v>204511.19</v>
          </cell>
          <cell r="M337">
            <v>585364.70429999998</v>
          </cell>
          <cell r="N337">
            <v>608048.77119999996</v>
          </cell>
          <cell r="O337">
            <v>632624.60470000003</v>
          </cell>
        </row>
        <row r="338">
          <cell r="A338" t="str">
            <v>Auto IrelandDIRECT MAIL</v>
          </cell>
          <cell r="B338">
            <v>69004.160000000003</v>
          </cell>
          <cell r="C338">
            <v>328363.63</v>
          </cell>
          <cell r="D338">
            <v>277873.45</v>
          </cell>
          <cell r="E338">
            <v>272599.15999999997</v>
          </cell>
          <cell r="F338">
            <v>947840.4</v>
          </cell>
          <cell r="G338">
            <v>259830.00715300001</v>
          </cell>
          <cell r="H338">
            <v>505453.087153</v>
          </cell>
          <cell r="I338">
            <v>422902.45215299999</v>
          </cell>
          <cell r="J338">
            <v>465552.86215300002</v>
          </cell>
          <cell r="K338">
            <v>1653738.408611</v>
          </cell>
          <cell r="L338">
            <v>254179.77</v>
          </cell>
          <cell r="M338">
            <v>1424325.32</v>
          </cell>
          <cell r="N338">
            <v>1717975.6470999999</v>
          </cell>
          <cell r="O338">
            <v>2071285.1513</v>
          </cell>
        </row>
        <row r="339">
          <cell r="A339" t="str">
            <v>Auto IrelandDATA PROCESSING</v>
          </cell>
          <cell r="B339">
            <v>287329.03000000003</v>
          </cell>
          <cell r="C339">
            <v>376466.21</v>
          </cell>
          <cell r="D339">
            <v>323897.11</v>
          </cell>
          <cell r="E339">
            <v>440214.06</v>
          </cell>
          <cell r="F339">
            <v>1427906.41</v>
          </cell>
          <cell r="G339">
            <v>417017.54387200001</v>
          </cell>
          <cell r="H339">
            <v>421075.19387199997</v>
          </cell>
          <cell r="I339">
            <v>421075.19387199997</v>
          </cell>
          <cell r="J339">
            <v>421075.19387199997</v>
          </cell>
          <cell r="K339">
            <v>1680243.125489</v>
          </cell>
          <cell r="L339">
            <v>422924.52</v>
          </cell>
          <cell r="M339">
            <v>1571670.555066</v>
          </cell>
          <cell r="N339">
            <v>1571670.555066</v>
          </cell>
          <cell r="O339">
            <v>1571670.555066</v>
          </cell>
        </row>
        <row r="340">
          <cell r="A340" t="str">
            <v>Auto IrelandCONSULTING</v>
          </cell>
          <cell r="B340">
            <v>586740.02</v>
          </cell>
          <cell r="C340">
            <v>447312.17</v>
          </cell>
          <cell r="D340">
            <v>491047.05</v>
          </cell>
          <cell r="E340">
            <v>1159615.8700000001</v>
          </cell>
          <cell r="F340">
            <v>2684715.11</v>
          </cell>
          <cell r="G340">
            <v>434575.81560899998</v>
          </cell>
          <cell r="H340">
            <v>441557.382591</v>
          </cell>
          <cell r="I340">
            <v>405436.18229099998</v>
          </cell>
          <cell r="J340">
            <v>405436.18229099998</v>
          </cell>
          <cell r="K340">
            <v>1687005.5627820001</v>
          </cell>
          <cell r="L340">
            <v>444276.52</v>
          </cell>
          <cell r="M340">
            <v>5160438.0865940005</v>
          </cell>
          <cell r="N340">
            <v>5516897.9500449998</v>
          </cell>
          <cell r="O340">
            <v>6042693.4083359996</v>
          </cell>
        </row>
        <row r="341">
          <cell r="A341" t="str">
            <v>Auto IrelandTEMP SERVICES</v>
          </cell>
          <cell r="B341">
            <v>6683.19</v>
          </cell>
          <cell r="C341">
            <v>492.44</v>
          </cell>
          <cell r="D341">
            <v>95090.22</v>
          </cell>
          <cell r="E341">
            <v>87551.61</v>
          </cell>
          <cell r="F341">
            <v>189817.46</v>
          </cell>
          <cell r="G341">
            <v>71500.430441000004</v>
          </cell>
          <cell r="H341">
            <v>71500.430441000004</v>
          </cell>
          <cell r="I341">
            <v>71500.430441000004</v>
          </cell>
          <cell r="J341">
            <v>71500.430441000004</v>
          </cell>
          <cell r="K341">
            <v>286001.72176500002</v>
          </cell>
          <cell r="L341">
            <v>96277.17</v>
          </cell>
          <cell r="M341">
            <v>0</v>
          </cell>
          <cell r="N341">
            <v>0</v>
          </cell>
          <cell r="O341">
            <v>0</v>
          </cell>
        </row>
        <row r="342">
          <cell r="A342" t="str">
            <v>Auto IrelandGDC CHARGES</v>
          </cell>
          <cell r="B342">
            <v>41859.49</v>
          </cell>
          <cell r="C342">
            <v>165102.17000000001</v>
          </cell>
          <cell r="D342">
            <v>110449.06</v>
          </cell>
          <cell r="E342">
            <v>141448.32000000001</v>
          </cell>
          <cell r="F342">
            <v>458859.04</v>
          </cell>
          <cell r="G342">
            <v>141314.31128699999</v>
          </cell>
          <cell r="H342">
            <v>141314.31128699999</v>
          </cell>
          <cell r="I342">
            <v>141314.31128699999</v>
          </cell>
          <cell r="J342">
            <v>141314.31128699999</v>
          </cell>
          <cell r="K342">
            <v>565257.24514999997</v>
          </cell>
          <cell r="L342">
            <v>138550.93</v>
          </cell>
          <cell r="M342">
            <v>687218.93387299997</v>
          </cell>
          <cell r="N342">
            <v>687218.93387299997</v>
          </cell>
          <cell r="O342">
            <v>687218.93387299997</v>
          </cell>
        </row>
        <row r="343">
          <cell r="A343" t="str">
            <v>Auto IrelandTRAINING AND EDUCATION</v>
          </cell>
          <cell r="B343">
            <v>60946.06</v>
          </cell>
          <cell r="C343">
            <v>77038.81</v>
          </cell>
          <cell r="D343">
            <v>97543.76</v>
          </cell>
          <cell r="E343">
            <v>126805.77</v>
          </cell>
          <cell r="F343">
            <v>362334.4</v>
          </cell>
          <cell r="G343">
            <v>89818.341060000006</v>
          </cell>
          <cell r="H343">
            <v>89940.079092</v>
          </cell>
          <cell r="I343">
            <v>88946.858540999994</v>
          </cell>
          <cell r="J343">
            <v>88159.724098000006</v>
          </cell>
          <cell r="K343">
            <v>356865.00279100001</v>
          </cell>
          <cell r="L343">
            <v>76571.45</v>
          </cell>
          <cell r="M343">
            <v>333593.63507299998</v>
          </cell>
          <cell r="N343">
            <v>333650.87642699998</v>
          </cell>
          <cell r="O343">
            <v>351370.88808300003</v>
          </cell>
        </row>
        <row r="344">
          <cell r="A344" t="str">
            <v>Auto IrelandOUTSIDE SERVICES  AND FEES</v>
          </cell>
          <cell r="B344">
            <v>0</v>
          </cell>
          <cell r="C344">
            <v>0</v>
          </cell>
          <cell r="D344">
            <v>0</v>
          </cell>
          <cell r="E344">
            <v>0</v>
          </cell>
          <cell r="F344">
            <v>0</v>
          </cell>
          <cell r="G344">
            <v>0</v>
          </cell>
          <cell r="H344">
            <v>0</v>
          </cell>
          <cell r="I344">
            <v>0</v>
          </cell>
          <cell r="J344">
            <v>0</v>
          </cell>
          <cell r="K344">
            <v>0</v>
          </cell>
          <cell r="L344">
            <v>0</v>
          </cell>
          <cell r="M344">
            <v>0</v>
          </cell>
          <cell r="N344">
            <v>0</v>
          </cell>
          <cell r="O344">
            <v>0</v>
          </cell>
        </row>
        <row r="345">
          <cell r="A345" t="str">
            <v>Auto IrelandSTATE, FOREIGN, LOCAL TAXES</v>
          </cell>
          <cell r="B345">
            <v>685079</v>
          </cell>
          <cell r="C345">
            <v>482888</v>
          </cell>
          <cell r="D345">
            <v>493518</v>
          </cell>
          <cell r="E345">
            <v>-59042.49</v>
          </cell>
          <cell r="F345">
            <v>1602442.51</v>
          </cell>
          <cell r="G345">
            <v>784401.52426600002</v>
          </cell>
          <cell r="H345">
            <v>706731.070068</v>
          </cell>
          <cell r="I345">
            <v>789878.073125</v>
          </cell>
          <cell r="J345">
            <v>784456.26182200003</v>
          </cell>
          <cell r="K345">
            <v>3065466.9292819998</v>
          </cell>
          <cell r="L345">
            <v>628742.9</v>
          </cell>
          <cell r="M345">
            <v>2703312.5198860001</v>
          </cell>
          <cell r="N345">
            <v>3027965.819838</v>
          </cell>
          <cell r="O345">
            <v>3425837.8907610001</v>
          </cell>
        </row>
        <row r="346">
          <cell r="A346" t="str">
            <v>Auto IrelandS/L TAX - INSURANCE PREMIUMS</v>
          </cell>
          <cell r="B346">
            <v>0</v>
          </cell>
          <cell r="C346">
            <v>0</v>
          </cell>
          <cell r="D346">
            <v>0</v>
          </cell>
          <cell r="E346">
            <v>0</v>
          </cell>
          <cell r="F346">
            <v>0</v>
          </cell>
          <cell r="G346">
            <v>0</v>
          </cell>
          <cell r="H346">
            <v>0</v>
          </cell>
          <cell r="I346">
            <v>0</v>
          </cell>
          <cell r="J346">
            <v>0</v>
          </cell>
          <cell r="K346">
            <v>0</v>
          </cell>
          <cell r="L346">
            <v>0</v>
          </cell>
          <cell r="M346">
            <v>0</v>
          </cell>
          <cell r="N346">
            <v>0</v>
          </cell>
          <cell r="O346">
            <v>0</v>
          </cell>
        </row>
        <row r="347">
          <cell r="A347" t="str">
            <v>Auto IrelandSATELLITE LEASE EXPENSE</v>
          </cell>
          <cell r="B347">
            <v>0</v>
          </cell>
          <cell r="C347">
            <v>0</v>
          </cell>
          <cell r="D347">
            <v>0</v>
          </cell>
          <cell r="E347">
            <v>0</v>
          </cell>
          <cell r="F347">
            <v>0</v>
          </cell>
          <cell r="G347">
            <v>0</v>
          </cell>
          <cell r="H347">
            <v>0</v>
          </cell>
          <cell r="I347">
            <v>0</v>
          </cell>
          <cell r="J347">
            <v>0</v>
          </cell>
          <cell r="K347">
            <v>0</v>
          </cell>
          <cell r="L347">
            <v>0</v>
          </cell>
          <cell r="M347">
            <v>0</v>
          </cell>
          <cell r="N347">
            <v>0</v>
          </cell>
          <cell r="O347">
            <v>0</v>
          </cell>
        </row>
        <row r="348">
          <cell r="A348" t="str">
            <v>Auto IrelandBUSINESS SHARE EXPENSE</v>
          </cell>
          <cell r="B348">
            <v>-245830.655142</v>
          </cell>
          <cell r="C348">
            <v>-101492.82070700001</v>
          </cell>
          <cell r="D348">
            <v>-258361.73868899999</v>
          </cell>
          <cell r="E348">
            <v>-296697.785462</v>
          </cell>
          <cell r="F348">
            <v>-902383</v>
          </cell>
          <cell r="G348">
            <v>399877.36441500002</v>
          </cell>
          <cell r="H348">
            <v>473677.86790399998</v>
          </cell>
          <cell r="I348">
            <v>-116887.92148</v>
          </cell>
          <cell r="J348">
            <v>423762.42705</v>
          </cell>
          <cell r="K348">
            <v>1180429.737889</v>
          </cell>
          <cell r="L348">
            <v>407280</v>
          </cell>
          <cell r="M348">
            <v>-495781.65826400003</v>
          </cell>
          <cell r="N348">
            <v>-257728.510683</v>
          </cell>
          <cell r="O348">
            <v>-108025.181092</v>
          </cell>
        </row>
        <row r="349">
          <cell r="A349" t="str">
            <v>Auto IrelandINSURANCE AFFILIATE EXPENSE</v>
          </cell>
          <cell r="B349">
            <v>0</v>
          </cell>
          <cell r="C349">
            <v>0</v>
          </cell>
          <cell r="D349">
            <v>0</v>
          </cell>
          <cell r="E349">
            <v>0</v>
          </cell>
          <cell r="F349">
            <v>0</v>
          </cell>
          <cell r="G349">
            <v>0</v>
          </cell>
          <cell r="H349">
            <v>0</v>
          </cell>
          <cell r="I349">
            <v>0</v>
          </cell>
          <cell r="J349">
            <v>0</v>
          </cell>
          <cell r="K349">
            <v>0</v>
          </cell>
          <cell r="L349">
            <v>0</v>
          </cell>
          <cell r="M349">
            <v>0</v>
          </cell>
          <cell r="N349">
            <v>0</v>
          </cell>
          <cell r="O349">
            <v>0</v>
          </cell>
        </row>
        <row r="350">
          <cell r="A350" t="str">
            <v>Auto IrelandOTHER FACILITY EXPENSE</v>
          </cell>
          <cell r="B350">
            <v>0</v>
          </cell>
          <cell r="C350">
            <v>0</v>
          </cell>
          <cell r="D350">
            <v>590023.25</v>
          </cell>
          <cell r="E350">
            <v>220051.39</v>
          </cell>
          <cell r="F350">
            <v>810074.64</v>
          </cell>
          <cell r="G350">
            <v>182199.91284599999</v>
          </cell>
          <cell r="H350">
            <v>182199.91284599999</v>
          </cell>
          <cell r="I350">
            <v>178993.79829000001</v>
          </cell>
          <cell r="J350">
            <v>173925.99164699999</v>
          </cell>
          <cell r="K350">
            <v>717319.61562900001</v>
          </cell>
          <cell r="L350">
            <v>177457.83</v>
          </cell>
          <cell r="M350">
            <v>760541.65219499997</v>
          </cell>
          <cell r="N350">
            <v>561668.045743</v>
          </cell>
          <cell r="O350">
            <v>595216.37512800004</v>
          </cell>
        </row>
        <row r="351">
          <cell r="A351" t="str">
            <v>Auto IrelandGROSS OP &amp; ADMIN BUS SHARE</v>
          </cell>
          <cell r="B351">
            <v>-2576955.321035</v>
          </cell>
          <cell r="C351">
            <v>-2382440.2652989998</v>
          </cell>
          <cell r="D351">
            <v>-3782865.687562</v>
          </cell>
          <cell r="E351">
            <v>-3129023.2761039999</v>
          </cell>
          <cell r="F351">
            <v>-11871284.550000001</v>
          </cell>
          <cell r="G351">
            <v>-3387520.8861679998</v>
          </cell>
          <cell r="H351">
            <v>-3357693.637195</v>
          </cell>
          <cell r="I351">
            <v>-2776821.8007379998</v>
          </cell>
          <cell r="J351">
            <v>-3309097.2110669999</v>
          </cell>
          <cell r="K351">
            <v>-12831133.535168</v>
          </cell>
          <cell r="L351">
            <v>-3358569.93</v>
          </cell>
          <cell r="M351">
            <v>-11843092.651216</v>
          </cell>
          <cell r="N351">
            <v>-12738932.281053999</v>
          </cell>
          <cell r="O351">
            <v>-13615949.943177</v>
          </cell>
        </row>
        <row r="352">
          <cell r="A352" t="str">
            <v>Auto IrelandOTHER EXPENSE</v>
          </cell>
          <cell r="B352">
            <v>-486679.76</v>
          </cell>
          <cell r="C352">
            <v>-585508.84</v>
          </cell>
          <cell r="D352">
            <v>-4740045.87</v>
          </cell>
          <cell r="E352">
            <v>-3409443.49</v>
          </cell>
          <cell r="F352">
            <v>-9221677.9600000009</v>
          </cell>
          <cell r="G352">
            <v>507418.39646000002</v>
          </cell>
          <cell r="H352">
            <v>451280.11457799998</v>
          </cell>
          <cell r="I352">
            <v>433681.93174099998</v>
          </cell>
          <cell r="J352">
            <v>-9186368.7698950004</v>
          </cell>
          <cell r="K352">
            <v>-7793988.3271159995</v>
          </cell>
          <cell r="L352">
            <v>-1539196.64</v>
          </cell>
          <cell r="M352">
            <v>-8914523.5043679997</v>
          </cell>
          <cell r="N352">
            <v>-4622526.6132089999</v>
          </cell>
          <cell r="O352">
            <v>-410061.74993599998</v>
          </cell>
        </row>
        <row r="353">
          <cell r="A353" t="str">
            <v>Auto IrelandGECC INTERCO EXPENSES EXCL GECIS</v>
          </cell>
          <cell r="B353">
            <v>0</v>
          </cell>
          <cell r="C353">
            <v>0</v>
          </cell>
          <cell r="D353">
            <v>0</v>
          </cell>
          <cell r="E353">
            <v>747401.22</v>
          </cell>
          <cell r="F353">
            <v>747401.22</v>
          </cell>
          <cell r="G353">
            <v>0</v>
          </cell>
          <cell r="H353">
            <v>0</v>
          </cell>
          <cell r="I353">
            <v>0</v>
          </cell>
          <cell r="J353">
            <v>0</v>
          </cell>
          <cell r="K353">
            <v>0</v>
          </cell>
          <cell r="L353">
            <v>695645.65</v>
          </cell>
          <cell r="M353">
            <v>0</v>
          </cell>
          <cell r="N353">
            <v>0</v>
          </cell>
          <cell r="O353">
            <v>0</v>
          </cell>
        </row>
        <row r="354">
          <cell r="A354" t="str">
            <v>Auto IrelandGECIS INTERCO CHARGES</v>
          </cell>
          <cell r="B354">
            <v>75063</v>
          </cell>
          <cell r="C354">
            <v>79958.84</v>
          </cell>
          <cell r="D354">
            <v>51749.55</v>
          </cell>
          <cell r="E354">
            <v>74124.179999999993</v>
          </cell>
          <cell r="F354">
            <v>280895.57</v>
          </cell>
          <cell r="G354">
            <v>33930</v>
          </cell>
          <cell r="H354">
            <v>33930</v>
          </cell>
          <cell r="I354">
            <v>33930</v>
          </cell>
          <cell r="J354">
            <v>33930</v>
          </cell>
          <cell r="K354">
            <v>135720</v>
          </cell>
          <cell r="L354">
            <v>33266.54</v>
          </cell>
          <cell r="M354">
            <v>243633.56460899999</v>
          </cell>
          <cell r="N354">
            <v>255815.24283999999</v>
          </cell>
          <cell r="O354">
            <v>268606.00498199998</v>
          </cell>
        </row>
        <row r="355">
          <cell r="A355" t="str">
            <v>Auto IrelandLOSS ADJUSTED EXPENSE</v>
          </cell>
          <cell r="B355">
            <v>0</v>
          </cell>
          <cell r="C355">
            <v>0</v>
          </cell>
          <cell r="D355">
            <v>0</v>
          </cell>
          <cell r="E355">
            <v>0</v>
          </cell>
          <cell r="F355">
            <v>0</v>
          </cell>
          <cell r="G355">
            <v>0</v>
          </cell>
          <cell r="H355">
            <v>0</v>
          </cell>
          <cell r="I355">
            <v>0</v>
          </cell>
          <cell r="J355">
            <v>0</v>
          </cell>
          <cell r="K355">
            <v>0</v>
          </cell>
          <cell r="L355">
            <v>0</v>
          </cell>
          <cell r="M355">
            <v>0</v>
          </cell>
          <cell r="N355">
            <v>0</v>
          </cell>
          <cell r="O355">
            <v>0</v>
          </cell>
        </row>
        <row r="356">
          <cell r="A356" t="str">
            <v>Auto IrelandALL OTHER EXPENSES</v>
          </cell>
          <cell r="B356">
            <v>0</v>
          </cell>
          <cell r="C356">
            <v>0</v>
          </cell>
          <cell r="D356">
            <v>0</v>
          </cell>
          <cell r="E356">
            <v>0</v>
          </cell>
          <cell r="F356">
            <v>0</v>
          </cell>
          <cell r="G356">
            <v>0</v>
          </cell>
          <cell r="H356">
            <v>0</v>
          </cell>
          <cell r="I356">
            <v>0</v>
          </cell>
          <cell r="J356">
            <v>0</v>
          </cell>
          <cell r="K356">
            <v>0</v>
          </cell>
          <cell r="L356">
            <v>0</v>
          </cell>
          <cell r="M356">
            <v>0</v>
          </cell>
          <cell r="N356">
            <v>0</v>
          </cell>
          <cell r="O356">
            <v>0</v>
          </cell>
        </row>
        <row r="357">
          <cell r="A357" t="str">
            <v>Auto IrelandASSESSMENTS</v>
          </cell>
          <cell r="B357">
            <v>803880</v>
          </cell>
          <cell r="C357">
            <v>760896</v>
          </cell>
          <cell r="D357">
            <v>572877.36</v>
          </cell>
          <cell r="E357">
            <v>-3060819.92</v>
          </cell>
          <cell r="F357">
            <v>-923166.56</v>
          </cell>
          <cell r="G357">
            <v>709564.33843400003</v>
          </cell>
          <cell r="H357">
            <v>709564.33843400003</v>
          </cell>
          <cell r="I357">
            <v>709564.33843400003</v>
          </cell>
          <cell r="J357">
            <v>709564.33843400003</v>
          </cell>
          <cell r="K357">
            <v>2838257.3537360001</v>
          </cell>
          <cell r="L357">
            <v>637050.03</v>
          </cell>
          <cell r="M357">
            <v>3100528.7000529999</v>
          </cell>
          <cell r="N357">
            <v>3429298.7054969999</v>
          </cell>
          <cell r="O357">
            <v>3843191.8806440001</v>
          </cell>
        </row>
        <row r="358">
          <cell r="A358" t="str">
            <v>Auto IrelandFAS 91</v>
          </cell>
          <cell r="B358">
            <v>-1339374.83</v>
          </cell>
          <cell r="C358">
            <v>-1288567.3799999999</v>
          </cell>
          <cell r="D358">
            <v>-995319.31</v>
          </cell>
          <cell r="E358">
            <v>3623261.52</v>
          </cell>
          <cell r="F358">
            <v>0</v>
          </cell>
          <cell r="G358">
            <v>-1409900.9829800001</v>
          </cell>
          <cell r="H358">
            <v>-1267498.512842</v>
          </cell>
          <cell r="I358">
            <v>-1248271.760522</v>
          </cell>
          <cell r="J358">
            <v>-1121464.118767</v>
          </cell>
          <cell r="K358">
            <v>-5047135.3751109997</v>
          </cell>
          <cell r="L358">
            <v>0</v>
          </cell>
          <cell r="M358">
            <v>-5247112.5571959997</v>
          </cell>
          <cell r="N358">
            <v>-5960843.9956510002</v>
          </cell>
          <cell r="O358">
            <v>-6610748.1515459996</v>
          </cell>
        </row>
        <row r="359">
          <cell r="A359" t="str">
            <v>Auto IrelandGOODWILL AMORTIZATION</v>
          </cell>
          <cell r="B359">
            <v>1762402.54</v>
          </cell>
          <cell r="C359">
            <v>1916532</v>
          </cell>
          <cell r="D359">
            <v>1846006.2</v>
          </cell>
          <cell r="E359">
            <v>1939281.99</v>
          </cell>
          <cell r="F359">
            <v>7464222.7300000004</v>
          </cell>
          <cell r="G359">
            <v>0</v>
          </cell>
          <cell r="H359">
            <v>0</v>
          </cell>
          <cell r="I359">
            <v>0</v>
          </cell>
          <cell r="J359">
            <v>0</v>
          </cell>
          <cell r="K359">
            <v>0</v>
          </cell>
          <cell r="L359">
            <v>0</v>
          </cell>
          <cell r="M359">
            <v>7253228.0688300002</v>
          </cell>
          <cell r="N359">
            <v>7253228.0688300002</v>
          </cell>
          <cell r="O359">
            <v>7253228.0688300002</v>
          </cell>
        </row>
        <row r="360">
          <cell r="A360" t="str">
            <v>Auto IrelandDEPRECIATION EXPENSE</v>
          </cell>
          <cell r="B360">
            <v>667978.81000000006</v>
          </cell>
          <cell r="C360">
            <v>648337.85</v>
          </cell>
          <cell r="D360">
            <v>627175.41</v>
          </cell>
          <cell r="E360">
            <v>584016.42000000004</v>
          </cell>
          <cell r="F360">
            <v>2527508.4900000002</v>
          </cell>
          <cell r="G360">
            <v>443065.77798200003</v>
          </cell>
          <cell r="H360">
            <v>438754.47726499999</v>
          </cell>
          <cell r="I360">
            <v>453917.75245099998</v>
          </cell>
          <cell r="J360">
            <v>423685.81654799997</v>
          </cell>
          <cell r="K360">
            <v>1759423.824246</v>
          </cell>
          <cell r="L360">
            <v>440028.05</v>
          </cell>
          <cell r="M360">
            <v>1766400.931355</v>
          </cell>
          <cell r="N360">
            <v>1711946.294519</v>
          </cell>
          <cell r="O360">
            <v>1999674.508495</v>
          </cell>
        </row>
        <row r="361">
          <cell r="A361" t="str">
            <v>Auto IrelandELTO AMORTIZATION</v>
          </cell>
          <cell r="B361">
            <v>0</v>
          </cell>
          <cell r="C361">
            <v>0</v>
          </cell>
          <cell r="D361">
            <v>0</v>
          </cell>
          <cell r="E361">
            <v>0</v>
          </cell>
          <cell r="F361">
            <v>0</v>
          </cell>
          <cell r="G361">
            <v>0</v>
          </cell>
          <cell r="H361">
            <v>0</v>
          </cell>
          <cell r="I361">
            <v>0</v>
          </cell>
          <cell r="J361">
            <v>0</v>
          </cell>
          <cell r="K361">
            <v>0</v>
          </cell>
          <cell r="L361">
            <v>0</v>
          </cell>
          <cell r="M361">
            <v>0</v>
          </cell>
          <cell r="N361">
            <v>0</v>
          </cell>
          <cell r="O361">
            <v>0</v>
          </cell>
        </row>
        <row r="362">
          <cell r="A362" t="str">
            <v>Auto IrelandINSURANCE LOSSES AND BENEFITS</v>
          </cell>
          <cell r="B362">
            <v>0</v>
          </cell>
          <cell r="C362">
            <v>0</v>
          </cell>
          <cell r="D362">
            <v>0</v>
          </cell>
          <cell r="E362">
            <v>0</v>
          </cell>
          <cell r="F362">
            <v>0</v>
          </cell>
          <cell r="G362">
            <v>0</v>
          </cell>
          <cell r="H362">
            <v>0</v>
          </cell>
          <cell r="I362">
            <v>0</v>
          </cell>
          <cell r="J362">
            <v>0</v>
          </cell>
          <cell r="K362">
            <v>0</v>
          </cell>
          <cell r="L362">
            <v>0</v>
          </cell>
          <cell r="M362">
            <v>0</v>
          </cell>
          <cell r="N362">
            <v>0</v>
          </cell>
          <cell r="O362">
            <v>0</v>
          </cell>
        </row>
        <row r="363">
          <cell r="A363" t="str">
            <v>Auto IrelandWRITE OFFS</v>
          </cell>
          <cell r="B363">
            <v>3117548.14</v>
          </cell>
          <cell r="C363">
            <v>1028634.67</v>
          </cell>
          <cell r="D363">
            <v>1232006.03</v>
          </cell>
          <cell r="E363">
            <v>-1850054.37</v>
          </cell>
          <cell r="F363">
            <v>3528134.47</v>
          </cell>
          <cell r="G363">
            <v>2736782.4070689999</v>
          </cell>
          <cell r="H363">
            <v>2341435.3730060002</v>
          </cell>
          <cell r="I363">
            <v>2839859.076351</v>
          </cell>
          <cell r="J363">
            <v>2583847.3056089999</v>
          </cell>
          <cell r="K363">
            <v>10501924.162033999</v>
          </cell>
          <cell r="L363">
            <v>735823.4</v>
          </cell>
          <cell r="M363">
            <v>12404018.661625</v>
          </cell>
          <cell r="N363">
            <v>14947457.171723999</v>
          </cell>
          <cell r="O363">
            <v>17069877.050218999</v>
          </cell>
        </row>
        <row r="364">
          <cell r="A364" t="str">
            <v>Auto IrelandRESERVE CHANGE</v>
          </cell>
          <cell r="B364">
            <v>0</v>
          </cell>
          <cell r="C364">
            <v>0</v>
          </cell>
          <cell r="D364">
            <v>0</v>
          </cell>
          <cell r="E364">
            <v>1743008.64</v>
          </cell>
          <cell r="F364">
            <v>1743008.64</v>
          </cell>
          <cell r="G364">
            <v>0</v>
          </cell>
          <cell r="H364">
            <v>0</v>
          </cell>
          <cell r="I364">
            <v>0</v>
          </cell>
          <cell r="J364">
            <v>0</v>
          </cell>
          <cell r="K364">
            <v>0</v>
          </cell>
          <cell r="L364">
            <v>1006644.88</v>
          </cell>
          <cell r="M364">
            <v>0</v>
          </cell>
          <cell r="N364">
            <v>0</v>
          </cell>
          <cell r="O364">
            <v>0</v>
          </cell>
        </row>
        <row r="365">
          <cell r="A365" t="str">
            <v>Auto IrelandMINORITY INTEREST</v>
          </cell>
          <cell r="B365">
            <v>144276.97</v>
          </cell>
          <cell r="C365">
            <v>143187.14000000001</v>
          </cell>
          <cell r="D365">
            <v>137071.32999999999</v>
          </cell>
          <cell r="E365">
            <v>144181.75</v>
          </cell>
          <cell r="F365">
            <v>568717.18999999994</v>
          </cell>
          <cell r="G365">
            <v>114515.9</v>
          </cell>
          <cell r="H365">
            <v>114515.9</v>
          </cell>
          <cell r="I365">
            <v>114515.9</v>
          </cell>
          <cell r="J365">
            <v>114515.9</v>
          </cell>
          <cell r="K365">
            <v>458063.6</v>
          </cell>
          <cell r="L365">
            <v>112055.45</v>
          </cell>
          <cell r="M365">
            <v>649224</v>
          </cell>
          <cell r="N365">
            <v>703326</v>
          </cell>
          <cell r="O365">
            <v>757428</v>
          </cell>
        </row>
        <row r="366">
          <cell r="A366" t="str">
            <v>Auto IrelandINCOME TAXES</v>
          </cell>
          <cell r="B366">
            <v>-2318856.9330000002</v>
          </cell>
          <cell r="C366">
            <v>-6483739.4414999997</v>
          </cell>
          <cell r="D366">
            <v>-2851993.8955000001</v>
          </cell>
          <cell r="E366">
            <v>-3347899.7</v>
          </cell>
          <cell r="F366">
            <v>-15002489.970000001</v>
          </cell>
          <cell r="G366">
            <v>-3836675.2638500002</v>
          </cell>
          <cell r="H366">
            <v>-3502582.416652</v>
          </cell>
          <cell r="I366">
            <v>-3560609.42221</v>
          </cell>
          <cell r="J366">
            <v>-225141.75161899999</v>
          </cell>
          <cell r="K366">
            <v>-11125008.85433</v>
          </cell>
          <cell r="L366">
            <v>-4496499.38</v>
          </cell>
          <cell r="M366">
            <v>-12482981.11703</v>
          </cell>
          <cell r="N366">
            <v>-12480352.525697</v>
          </cell>
          <cell r="O366">
            <v>-13155242.774912</v>
          </cell>
        </row>
        <row r="367">
          <cell r="A367" t="str">
            <v>Auto IrelandCUMULATIVE TRANSITION ADJUSTMENT</v>
          </cell>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row>
        <row r="368">
          <cell r="A368" t="str">
            <v>Auto IrelandASIA PACIFIC NI DIVIDEND</v>
          </cell>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row>
        <row r="369">
          <cell r="A369" t="str">
            <v>Auto IrelandNet Income</v>
          </cell>
          <cell r="B369">
            <v>-2151028.7991760001</v>
          </cell>
          <cell r="C369">
            <v>-9648801.2175060008</v>
          </cell>
          <cell r="D369">
            <v>-8702156.3117520008</v>
          </cell>
          <cell r="E369">
            <v>-5081586.8915649997</v>
          </cell>
          <cell r="F369">
            <v>-25583573.219999999</v>
          </cell>
          <cell r="G369">
            <v>-4984707.9802569998</v>
          </cell>
          <cell r="H369">
            <v>-5602542.4564990001</v>
          </cell>
          <cell r="I369">
            <v>-5487192.0605199998</v>
          </cell>
          <cell r="J369">
            <v>-11680490.710673001</v>
          </cell>
          <cell r="K369">
            <v>-27754933.207949001</v>
          </cell>
          <cell r="L369">
            <v>-5638662.25</v>
          </cell>
          <cell r="M369">
            <v>-23725213.158167999</v>
          </cell>
          <cell r="N369">
            <v>-25002398.942469999</v>
          </cell>
          <cell r="O369">
            <v>-28720004.57691</v>
          </cell>
        </row>
        <row r="370">
          <cell r="A370" t="str">
            <v>Auto IrelandSubPart F</v>
          </cell>
          <cell r="B370">
            <v>2385800</v>
          </cell>
          <cell r="C370">
            <v>7701000</v>
          </cell>
          <cell r="D370">
            <v>4077391</v>
          </cell>
          <cell r="E370">
            <v>3531251</v>
          </cell>
          <cell r="F370">
            <v>17695442</v>
          </cell>
          <cell r="G370">
            <v>4339926.7335740002</v>
          </cell>
          <cell r="H370">
            <v>4339926.7335740002</v>
          </cell>
          <cell r="I370">
            <v>4339926.7335740002</v>
          </cell>
          <cell r="J370">
            <v>4339926.7335740002</v>
          </cell>
          <cell r="K370">
            <v>17359706.934294999</v>
          </cell>
          <cell r="L370">
            <v>4955275.1500000004</v>
          </cell>
          <cell r="M370">
            <v>16915225.176339</v>
          </cell>
          <cell r="N370">
            <v>17408671.361809</v>
          </cell>
          <cell r="O370">
            <v>19205618.983994</v>
          </cell>
        </row>
        <row r="371">
          <cell r="A371" t="str">
            <v>Auto IrelandAssets</v>
          </cell>
          <cell r="B371">
            <v>1271556771</v>
          </cell>
          <cell r="C371">
            <v>1085141946</v>
          </cell>
          <cell r="D371">
            <v>1134620729</v>
          </cell>
          <cell r="E371">
            <v>1080547496.71</v>
          </cell>
          <cell r="F371">
            <v>1080547496.71</v>
          </cell>
          <cell r="G371">
            <v>1114726419.64466</v>
          </cell>
          <cell r="H371">
            <v>1101716962.5617599</v>
          </cell>
          <cell r="I371">
            <v>1131458328.9879799</v>
          </cell>
          <cell r="J371">
            <v>1173392762.5409</v>
          </cell>
          <cell r="K371">
            <v>1173392762.5409</v>
          </cell>
          <cell r="L371">
            <v>1111354358.22</v>
          </cell>
          <cell r="M371">
            <v>1257259760.73911</v>
          </cell>
          <cell r="N371">
            <v>1411942786.79283</v>
          </cell>
          <cell r="O371">
            <v>1563218833.5755401</v>
          </cell>
        </row>
        <row r="372">
          <cell r="A372" t="str">
            <v>Auto IrelandEnding Net Investment (ENI) incl Asia</v>
          </cell>
          <cell r="B372">
            <v>1221883703</v>
          </cell>
          <cell r="C372">
            <v>1051644732</v>
          </cell>
          <cell r="D372">
            <v>1071831114</v>
          </cell>
          <cell r="E372">
            <v>1012954134.76</v>
          </cell>
          <cell r="F372">
            <v>1012954134.76</v>
          </cell>
          <cell r="G372">
            <v>1075907744.83111</v>
          </cell>
          <cell r="H372">
            <v>1062898287.74821</v>
          </cell>
          <cell r="I372">
            <v>1092639654.1744299</v>
          </cell>
          <cell r="J372">
            <v>1134574087.72735</v>
          </cell>
          <cell r="K372">
            <v>1134574087.72735</v>
          </cell>
          <cell r="L372">
            <v>1036206423.41</v>
          </cell>
          <cell r="M372">
            <v>1225172280.77052</v>
          </cell>
          <cell r="N372">
            <v>1379855306.82423</v>
          </cell>
          <cell r="O372">
            <v>1531131353.60695</v>
          </cell>
        </row>
        <row r="373">
          <cell r="A373" t="str">
            <v>Auto IrelandANR YTD</v>
          </cell>
          <cell r="B373">
            <v>1129611494.26999</v>
          </cell>
          <cell r="C373">
            <v>1079321361.1799901</v>
          </cell>
          <cell r="D373">
            <v>1059986493.63499</v>
          </cell>
          <cell r="E373">
            <v>1037802760.44999</v>
          </cell>
          <cell r="F373">
            <v>1037802760.44999</v>
          </cell>
          <cell r="G373">
            <v>981422984.34919703</v>
          </cell>
          <cell r="H373">
            <v>988848871.940238</v>
          </cell>
          <cell r="I373">
            <v>1000164808.05905</v>
          </cell>
          <cell r="J373">
            <v>1015424174.66017</v>
          </cell>
          <cell r="K373">
            <v>1015424174.66017</v>
          </cell>
          <cell r="L373">
            <v>954698102.70500004</v>
          </cell>
          <cell r="M373">
            <v>449404688.44512397</v>
          </cell>
          <cell r="N373">
            <v>505050780.85730702</v>
          </cell>
          <cell r="O373">
            <v>568947283.13733995</v>
          </cell>
        </row>
        <row r="374">
          <cell r="A374" t="str">
            <v>Auto IrelandASA YTD</v>
          </cell>
          <cell r="B374">
            <v>1135181046.21999</v>
          </cell>
          <cell r="C374">
            <v>1083034395.8133299</v>
          </cell>
          <cell r="D374">
            <v>1062771269.60999</v>
          </cell>
          <cell r="E374">
            <v>1040067422.7819901</v>
          </cell>
          <cell r="F374">
            <v>1040067422.7819901</v>
          </cell>
          <cell r="G374">
            <v>981515088.22919703</v>
          </cell>
          <cell r="H374">
            <v>988910274.52690494</v>
          </cell>
          <cell r="I374">
            <v>1000210859.99905</v>
          </cell>
          <cell r="J374">
            <v>1015461016.21217</v>
          </cell>
          <cell r="K374">
            <v>1015461016.21217</v>
          </cell>
          <cell r="L374">
            <v>954888728.22500002</v>
          </cell>
          <cell r="M374">
            <v>463804688.44512397</v>
          </cell>
          <cell r="N374">
            <v>514050780.85730702</v>
          </cell>
          <cell r="O374">
            <v>572947283.13733995</v>
          </cell>
        </row>
        <row r="375">
          <cell r="A375" t="str">
            <v>Auto IrelandANI YTD incl Asia - 5 pt</v>
          </cell>
          <cell r="B375">
            <v>1403191396.15499</v>
          </cell>
          <cell r="C375">
            <v>1286009174.76999</v>
          </cell>
          <cell r="D375">
            <v>1232464659.5774901</v>
          </cell>
          <cell r="E375">
            <v>1188562554.6139901</v>
          </cell>
          <cell r="F375">
            <v>1188562554.6139901</v>
          </cell>
          <cell r="G375">
            <v>1044430939.79555</v>
          </cell>
          <cell r="H375">
            <v>1050586722.44644</v>
          </cell>
          <cell r="I375">
            <v>1061099955.37844</v>
          </cell>
          <cell r="J375">
            <v>1075794781.8482201</v>
          </cell>
          <cell r="K375">
            <v>1075794781.8482201</v>
          </cell>
          <cell r="L375">
            <v>1024580279.085</v>
          </cell>
          <cell r="M375">
            <v>470360272.620197</v>
          </cell>
          <cell r="N375">
            <v>521005517.51894999</v>
          </cell>
          <cell r="O375">
            <v>582197332.086236</v>
          </cell>
        </row>
        <row r="376">
          <cell r="A376" t="str">
            <v>Auto IrelandOff Balance Sheet Assets</v>
          </cell>
          <cell r="B376">
            <v>0</v>
          </cell>
          <cell r="C376">
            <v>0</v>
          </cell>
          <cell r="D376">
            <v>0</v>
          </cell>
          <cell r="E376">
            <v>0</v>
          </cell>
          <cell r="F376">
            <v>0</v>
          </cell>
          <cell r="G376">
            <v>0</v>
          </cell>
          <cell r="H376">
            <v>0</v>
          </cell>
          <cell r="I376">
            <v>0</v>
          </cell>
          <cell r="J376">
            <v>0</v>
          </cell>
          <cell r="K376">
            <v>0</v>
          </cell>
          <cell r="L376">
            <v>0</v>
          </cell>
          <cell r="M376">
            <v>30000000</v>
          </cell>
          <cell r="N376">
            <v>15000000</v>
          </cell>
          <cell r="O376">
            <v>5000000</v>
          </cell>
        </row>
        <row r="377">
          <cell r="A377" t="str">
            <v>Auto IrelandJV Receivables</v>
          </cell>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row>
        <row r="378">
          <cell r="A378" t="str">
            <v>Auto Ireland30+ DELINQUENCY $</v>
          </cell>
          <cell r="B378">
            <v>21734195.91</v>
          </cell>
          <cell r="C378">
            <v>17498629.48</v>
          </cell>
          <cell r="D378">
            <v>19020739.280000001</v>
          </cell>
          <cell r="E378">
            <v>19369234.359999999</v>
          </cell>
          <cell r="F378">
            <v>19369234.359999999</v>
          </cell>
          <cell r="G378">
            <v>20571623.441381</v>
          </cell>
          <cell r="H378">
            <v>20375663.286695998</v>
          </cell>
          <cell r="I378">
            <v>21009890.835023001</v>
          </cell>
          <cell r="J378">
            <v>21887407.698305</v>
          </cell>
          <cell r="K378">
            <v>21887407.698305</v>
          </cell>
          <cell r="L378">
            <v>21958619.27</v>
          </cell>
          <cell r="M378">
            <v>19561662.234946001</v>
          </cell>
          <cell r="N378">
            <v>23618729.530326001</v>
          </cell>
          <cell r="O378">
            <v>28313556.942869</v>
          </cell>
        </row>
        <row r="379">
          <cell r="A379" t="str">
            <v>Auto Ireland90+ DELINQUENCY $</v>
          </cell>
          <cell r="B379">
            <v>5553230.6699999999</v>
          </cell>
          <cell r="C379">
            <v>4906157.8</v>
          </cell>
          <cell r="D379">
            <v>4991868.2300000004</v>
          </cell>
          <cell r="E379">
            <v>5126528.82</v>
          </cell>
          <cell r="F379">
            <v>5126528.82</v>
          </cell>
          <cell r="G379">
            <v>5445594.6976730004</v>
          </cell>
          <cell r="H379">
            <v>5398099.1523900004</v>
          </cell>
          <cell r="I379">
            <v>5574764.8541139998</v>
          </cell>
          <cell r="J379">
            <v>5816377.5689300001</v>
          </cell>
          <cell r="K379">
            <v>5816377.5689300001</v>
          </cell>
          <cell r="L379">
            <v>6444159.2999999998</v>
          </cell>
          <cell r="M379">
            <v>5773706.4746319996</v>
          </cell>
          <cell r="N379">
            <v>7066259.2447290001</v>
          </cell>
          <cell r="O379">
            <v>8952903.3811440002</v>
          </cell>
        </row>
        <row r="380">
          <cell r="A380" t="str">
            <v>Auto IrelandTemporary Staff</v>
          </cell>
          <cell r="B380">
            <v>0</v>
          </cell>
          <cell r="C380">
            <v>74.5</v>
          </cell>
          <cell r="D380">
            <v>58.5</v>
          </cell>
          <cell r="E380">
            <v>59.5</v>
          </cell>
          <cell r="F380">
            <v>59.5</v>
          </cell>
          <cell r="G380">
            <v>47</v>
          </cell>
          <cell r="H380">
            <v>39</v>
          </cell>
          <cell r="I380">
            <v>28</v>
          </cell>
          <cell r="J380">
            <v>23</v>
          </cell>
          <cell r="K380">
            <v>23</v>
          </cell>
          <cell r="L380">
            <v>41</v>
          </cell>
          <cell r="M380">
            <v>6</v>
          </cell>
          <cell r="N380">
            <v>6</v>
          </cell>
          <cell r="O380">
            <v>6</v>
          </cell>
        </row>
        <row r="381">
          <cell r="A381" t="str">
            <v>Auto IrelandContractors</v>
          </cell>
          <cell r="B381">
            <v>0</v>
          </cell>
          <cell r="C381">
            <v>21.5</v>
          </cell>
          <cell r="D381">
            <v>16</v>
          </cell>
          <cell r="E381">
            <v>19</v>
          </cell>
          <cell r="F381">
            <v>19</v>
          </cell>
          <cell r="G381">
            <v>4</v>
          </cell>
          <cell r="H381">
            <v>1</v>
          </cell>
          <cell r="I381">
            <v>1</v>
          </cell>
          <cell r="J381">
            <v>1</v>
          </cell>
          <cell r="K381">
            <v>1</v>
          </cell>
          <cell r="L381">
            <v>15</v>
          </cell>
          <cell r="M381">
            <v>2</v>
          </cell>
          <cell r="N381">
            <v>2</v>
          </cell>
          <cell r="O381">
            <v>2</v>
          </cell>
        </row>
        <row r="382">
          <cell r="A382" t="str">
            <v>Auto IrelandOutsourced to LCC</v>
          </cell>
          <cell r="B382">
            <v>0</v>
          </cell>
          <cell r="C382">
            <v>0</v>
          </cell>
          <cell r="D382">
            <v>0</v>
          </cell>
          <cell r="E382">
            <v>0</v>
          </cell>
          <cell r="F382">
            <v>0</v>
          </cell>
          <cell r="G382">
            <v>15</v>
          </cell>
          <cell r="H382">
            <v>22</v>
          </cell>
          <cell r="I382">
            <v>22</v>
          </cell>
          <cell r="J382">
            <v>22</v>
          </cell>
          <cell r="K382">
            <v>22</v>
          </cell>
          <cell r="L382">
            <v>16</v>
          </cell>
          <cell r="M382">
            <v>20</v>
          </cell>
          <cell r="N382">
            <v>20</v>
          </cell>
          <cell r="O382">
            <v>20</v>
          </cell>
        </row>
        <row r="383">
          <cell r="A383" t="str">
            <v>Auto IrelandTotal Headcount</v>
          </cell>
          <cell r="B383">
            <v>463.5</v>
          </cell>
          <cell r="C383">
            <v>431.5</v>
          </cell>
          <cell r="D383">
            <v>392.5</v>
          </cell>
          <cell r="E383">
            <v>347</v>
          </cell>
          <cell r="F383">
            <v>347</v>
          </cell>
          <cell r="G383">
            <v>354.5</v>
          </cell>
          <cell r="H383">
            <v>346</v>
          </cell>
          <cell r="I383">
            <v>340</v>
          </cell>
          <cell r="J383">
            <v>327</v>
          </cell>
          <cell r="K383">
            <v>327</v>
          </cell>
          <cell r="L383">
            <v>347.5</v>
          </cell>
          <cell r="M383">
            <v>287</v>
          </cell>
          <cell r="N383">
            <v>272</v>
          </cell>
          <cell r="O383">
            <v>272</v>
          </cell>
        </row>
        <row r="384">
          <cell r="A384" t="str">
            <v>Auto IrelandTotal Workforce</v>
          </cell>
          <cell r="B384">
            <v>463.5</v>
          </cell>
          <cell r="C384">
            <v>527.5</v>
          </cell>
          <cell r="D384">
            <v>467</v>
          </cell>
          <cell r="E384">
            <v>425.5</v>
          </cell>
          <cell r="F384">
            <v>425.5</v>
          </cell>
          <cell r="G384">
            <v>420.5</v>
          </cell>
          <cell r="H384">
            <v>408</v>
          </cell>
          <cell r="I384">
            <v>391</v>
          </cell>
          <cell r="J384">
            <v>373</v>
          </cell>
          <cell r="K384">
            <v>373</v>
          </cell>
          <cell r="L384">
            <v>419.5</v>
          </cell>
          <cell r="M384">
            <v>315</v>
          </cell>
          <cell r="N384">
            <v>300</v>
          </cell>
          <cell r="O384">
            <v>300</v>
          </cell>
        </row>
        <row r="385">
          <cell r="A385" t="str">
            <v>Auto IrelandTotal Earned Revenue</v>
          </cell>
          <cell r="B385">
            <v>-24448290.109999999</v>
          </cell>
          <cell r="C385">
            <v>-25981282.010000002</v>
          </cell>
          <cell r="D385">
            <v>-17462908.02</v>
          </cell>
          <cell r="E385">
            <v>-19867287.870000001</v>
          </cell>
          <cell r="F385">
            <v>-87759768.010000005</v>
          </cell>
          <cell r="G385">
            <v>-21072097.299580999</v>
          </cell>
          <cell r="H385">
            <v>-21760298.010150999</v>
          </cell>
          <cell r="I385">
            <v>-22226416.497815002</v>
          </cell>
          <cell r="J385">
            <v>-21770290.877110999</v>
          </cell>
          <cell r="K385">
            <v>-86829102.684658006</v>
          </cell>
          <cell r="L385">
            <v>-19589292.649999999</v>
          </cell>
          <cell r="M385">
            <v>-100829437.161705</v>
          </cell>
          <cell r="N385">
            <v>-115468372.009756</v>
          </cell>
          <cell r="O385">
            <v>-134147320.472074</v>
          </cell>
        </row>
        <row r="386">
          <cell r="A386" t="str">
            <v>Auto IrelandOrdinary Gains - PreTax</v>
          </cell>
          <cell r="B386">
            <v>0</v>
          </cell>
          <cell r="C386">
            <v>0</v>
          </cell>
          <cell r="D386">
            <v>0</v>
          </cell>
          <cell r="E386">
            <v>0</v>
          </cell>
          <cell r="F386">
            <v>0</v>
          </cell>
          <cell r="G386">
            <v>0</v>
          </cell>
          <cell r="H386">
            <v>0</v>
          </cell>
          <cell r="I386">
            <v>0</v>
          </cell>
          <cell r="J386">
            <v>-9622695.1871320009</v>
          </cell>
          <cell r="K386">
            <v>-9622695.1871320009</v>
          </cell>
          <cell r="L386">
            <v>0</v>
          </cell>
          <cell r="M386">
            <v>-8115300</v>
          </cell>
          <cell r="N386">
            <v>-4147820</v>
          </cell>
          <cell r="O386">
            <v>0</v>
          </cell>
        </row>
        <row r="387">
          <cell r="A387" t="str">
            <v>Auto IrelandOrdinary Gains - AfterTax</v>
          </cell>
          <cell r="B387">
            <v>0</v>
          </cell>
          <cell r="C387">
            <v>0</v>
          </cell>
          <cell r="D387">
            <v>0</v>
          </cell>
          <cell r="E387">
            <v>0</v>
          </cell>
          <cell r="F387">
            <v>0</v>
          </cell>
          <cell r="G387">
            <v>0</v>
          </cell>
          <cell r="H387">
            <v>0</v>
          </cell>
          <cell r="I387">
            <v>0</v>
          </cell>
          <cell r="J387">
            <v>-6254751.8716360005</v>
          </cell>
          <cell r="K387">
            <v>-6254751.8716360005</v>
          </cell>
          <cell r="L387">
            <v>0</v>
          </cell>
          <cell r="M387">
            <v>-5274945</v>
          </cell>
          <cell r="N387">
            <v>-2696083</v>
          </cell>
          <cell r="O387">
            <v>0</v>
          </cell>
        </row>
        <row r="388">
          <cell r="A388" t="str">
            <v>Auto IrelandTotal Volume</v>
          </cell>
          <cell r="B388">
            <v>144542684.81</v>
          </cell>
          <cell r="C388">
            <v>126344812.06999999</v>
          </cell>
          <cell r="D388">
            <v>94682202.010000005</v>
          </cell>
          <cell r="E388">
            <v>61619125.170000002</v>
          </cell>
          <cell r="F388">
            <v>427188824.06</v>
          </cell>
          <cell r="G388">
            <v>158256420.843631</v>
          </cell>
          <cell r="H388">
            <v>118250687.594514</v>
          </cell>
          <cell r="I388">
            <v>119076588.976795</v>
          </cell>
          <cell r="J388">
            <v>98565005.500407994</v>
          </cell>
          <cell r="K388">
            <v>494148702.91534799</v>
          </cell>
          <cell r="L388">
            <v>130948223.42</v>
          </cell>
          <cell r="M388">
            <v>552876777.28844094</v>
          </cell>
          <cell r="N388">
            <v>637226023.21587002</v>
          </cell>
          <cell r="O388">
            <v>714639408.34916794</v>
          </cell>
        </row>
        <row r="389">
          <cell r="A389" t="str">
            <v>Auto IrelandTOTAL # ACTIVE ACCOUNTS</v>
          </cell>
          <cell r="B389">
            <v>153306</v>
          </cell>
          <cell r="C389">
            <v>156067</v>
          </cell>
          <cell r="D389">
            <v>149317.82</v>
          </cell>
          <cell r="E389">
            <v>154674</v>
          </cell>
          <cell r="F389">
            <v>154674</v>
          </cell>
          <cell r="G389">
            <v>160849.96840099999</v>
          </cell>
          <cell r="H389">
            <v>159955.67245700001</v>
          </cell>
          <cell r="I389">
            <v>167112.76529800001</v>
          </cell>
          <cell r="J389">
            <v>176373.36125300001</v>
          </cell>
          <cell r="K389">
            <v>176373.36125300001</v>
          </cell>
          <cell r="L389">
            <v>0</v>
          </cell>
          <cell r="M389">
            <v>181596.09520499999</v>
          </cell>
          <cell r="N389">
            <v>215682.54478500001</v>
          </cell>
          <cell r="O389">
            <v>258102.47079399999</v>
          </cell>
        </row>
        <row r="390">
          <cell r="A390" t="str">
            <v>Auto ItalyTOTAL FINANCING RECEIVABLES</v>
          </cell>
          <cell r="B390">
            <v>850225162.69000006</v>
          </cell>
          <cell r="C390">
            <v>850239593.71000004</v>
          </cell>
          <cell r="D390">
            <v>907828018.12</v>
          </cell>
          <cell r="E390">
            <v>910359554.75</v>
          </cell>
          <cell r="F390">
            <v>910359554.75</v>
          </cell>
          <cell r="G390">
            <v>938816960.54505301</v>
          </cell>
          <cell r="H390">
            <v>983889227.09728098</v>
          </cell>
          <cell r="I390">
            <v>995995417.42834699</v>
          </cell>
          <cell r="J390">
            <v>1037646733.2204</v>
          </cell>
          <cell r="K390">
            <v>1037646733.2204</v>
          </cell>
          <cell r="L390">
            <v>915328186.73000002</v>
          </cell>
          <cell r="M390">
            <v>1098951000</v>
          </cell>
          <cell r="N390">
            <v>1284166000</v>
          </cell>
          <cell r="O390">
            <v>1432920000</v>
          </cell>
        </row>
        <row r="391">
          <cell r="A391" t="str">
            <v>Auto ItalyRECEIVABLE RESERVES</v>
          </cell>
          <cell r="B391">
            <v>-16061381.33</v>
          </cell>
          <cell r="C391">
            <v>-15791480.73</v>
          </cell>
          <cell r="D391">
            <v>-17154974.379999999</v>
          </cell>
          <cell r="E391">
            <v>-19871068.309999999</v>
          </cell>
          <cell r="F391">
            <v>-19871068.309999999</v>
          </cell>
          <cell r="G391">
            <v>-19282634.554398</v>
          </cell>
          <cell r="H391">
            <v>-19160842.927515</v>
          </cell>
          <cell r="I391">
            <v>-18862764.220221002</v>
          </cell>
          <cell r="J391">
            <v>-19407388.642338999</v>
          </cell>
          <cell r="K391">
            <v>-19407388.642338999</v>
          </cell>
          <cell r="L391">
            <v>-19216581.350000001</v>
          </cell>
          <cell r="M391">
            <v>-14249000</v>
          </cell>
          <cell r="N391">
            <v>-13457000</v>
          </cell>
          <cell r="O391">
            <v>-14485000</v>
          </cell>
        </row>
        <row r="392">
          <cell r="A392" t="str">
            <v>Auto ItalyCASH</v>
          </cell>
          <cell r="B392">
            <v>-14853632.73</v>
          </cell>
          <cell r="C392">
            <v>-13244806.83</v>
          </cell>
          <cell r="D392">
            <v>1071784.69</v>
          </cell>
          <cell r="E392">
            <v>10972660.130000001</v>
          </cell>
          <cell r="F392">
            <v>10972660.130000001</v>
          </cell>
          <cell r="G392">
            <v>46527.648566999997</v>
          </cell>
          <cell r="H392">
            <v>46527.648566999997</v>
          </cell>
          <cell r="I392">
            <v>46527.648566999997</v>
          </cell>
          <cell r="J392">
            <v>46527.648566999997</v>
          </cell>
          <cell r="K392">
            <v>46527.648566999997</v>
          </cell>
          <cell r="L392">
            <v>-0.3</v>
          </cell>
          <cell r="M392">
            <v>466000</v>
          </cell>
          <cell r="N392">
            <v>466000</v>
          </cell>
          <cell r="O392">
            <v>466000</v>
          </cell>
        </row>
        <row r="393">
          <cell r="A393" t="str">
            <v>Auto ItalyINVESTMENT SECURITIES</v>
          </cell>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row>
        <row r="394">
          <cell r="A394" t="str">
            <v>Auto ItalyINV IN NON CONSOL AFFILIATES</v>
          </cell>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row>
        <row r="395">
          <cell r="A395" t="str">
            <v>Auto ItalyINVESTMENT IN JOINT VENTURE</v>
          </cell>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row>
        <row r="396">
          <cell r="A396" t="str">
            <v>Auto ItalyALL OTHER RECEIVABLES (NON-FINANCING)</v>
          </cell>
          <cell r="B396">
            <v>116356061.48</v>
          </cell>
          <cell r="C396">
            <v>43355914.130000003</v>
          </cell>
          <cell r="D396">
            <v>49966239.25</v>
          </cell>
          <cell r="E396">
            <v>44262304.57</v>
          </cell>
          <cell r="F396">
            <v>44262304.57</v>
          </cell>
          <cell r="G396">
            <v>55458519.575025998</v>
          </cell>
          <cell r="H396">
            <v>61832819.048169002</v>
          </cell>
          <cell r="I396">
            <v>52042604.720841996</v>
          </cell>
          <cell r="J396">
            <v>56265433.141808003</v>
          </cell>
          <cell r="K396">
            <v>56265433.141808003</v>
          </cell>
          <cell r="L396">
            <v>41293874.350000001</v>
          </cell>
          <cell r="M396">
            <v>33009000</v>
          </cell>
          <cell r="N396">
            <v>22605000</v>
          </cell>
          <cell r="O396">
            <v>11757000</v>
          </cell>
        </row>
        <row r="397">
          <cell r="A397" t="str">
            <v>Auto ItalyELTO (NET)</v>
          </cell>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row>
        <row r="398">
          <cell r="A398" t="str">
            <v>Auto ItalyGOODWILL</v>
          </cell>
          <cell r="B398">
            <v>12639260.58</v>
          </cell>
          <cell r="C398">
            <v>11791656.33</v>
          </cell>
          <cell r="D398">
            <v>12194121.77</v>
          </cell>
          <cell r="E398">
            <v>11616471.539999999</v>
          </cell>
          <cell r="F398">
            <v>11616471.539999999</v>
          </cell>
          <cell r="G398">
            <v>11616473.161460999</v>
          </cell>
          <cell r="H398">
            <v>11616473.161460999</v>
          </cell>
          <cell r="I398">
            <v>11616473.161460999</v>
          </cell>
          <cell r="J398">
            <v>11616473.161460999</v>
          </cell>
          <cell r="K398">
            <v>11616473.161460999</v>
          </cell>
          <cell r="L398">
            <v>11372795.779999999</v>
          </cell>
          <cell r="M398">
            <v>10362000</v>
          </cell>
          <cell r="N398">
            <v>8953000</v>
          </cell>
          <cell r="O398">
            <v>7545000</v>
          </cell>
        </row>
        <row r="399">
          <cell r="A399" t="str">
            <v>Auto ItalyOTHER ASSETS</v>
          </cell>
          <cell r="B399">
            <v>4659485.93</v>
          </cell>
          <cell r="C399">
            <v>4731348.1100000003</v>
          </cell>
          <cell r="D399">
            <v>4884259.38</v>
          </cell>
          <cell r="E399">
            <v>4122953.76</v>
          </cell>
          <cell r="F399">
            <v>4122953.76</v>
          </cell>
          <cell r="G399">
            <v>9375321.1861739997</v>
          </cell>
          <cell r="H399">
            <v>9375321.1861739997</v>
          </cell>
          <cell r="I399">
            <v>9375321.1861739997</v>
          </cell>
          <cell r="J399">
            <v>9375321.1861739997</v>
          </cell>
          <cell r="K399">
            <v>9375321.1861739997</v>
          </cell>
          <cell r="L399">
            <v>4252328.6500000004</v>
          </cell>
          <cell r="M399">
            <v>3588000</v>
          </cell>
          <cell r="N399">
            <v>2129000</v>
          </cell>
          <cell r="O399">
            <v>959000</v>
          </cell>
        </row>
        <row r="400">
          <cell r="A400" t="str">
            <v>Auto ItalyACCOUNTS PAYABLE</v>
          </cell>
          <cell r="B400">
            <v>393821.51</v>
          </cell>
          <cell r="C400">
            <v>-1210120.98</v>
          </cell>
          <cell r="D400">
            <v>-2915938.77</v>
          </cell>
          <cell r="E400">
            <v>-5606628.8600000003</v>
          </cell>
          <cell r="F400">
            <v>-5606628.8600000003</v>
          </cell>
          <cell r="G400">
            <v>-10491984.751773</v>
          </cell>
          <cell r="H400">
            <v>-10491984.751773</v>
          </cell>
          <cell r="I400">
            <v>-10491984.751773</v>
          </cell>
          <cell r="J400">
            <v>-10491984.751773</v>
          </cell>
          <cell r="K400">
            <v>-10491984.751773</v>
          </cell>
          <cell r="L400">
            <v>1485294.6</v>
          </cell>
          <cell r="M400">
            <v>-8382000</v>
          </cell>
          <cell r="N400">
            <v>-8615000</v>
          </cell>
          <cell r="O400">
            <v>-9314000</v>
          </cell>
        </row>
        <row r="401">
          <cell r="A401" t="str">
            <v>Auto ItalyDEFERRED INCOME TAXES</v>
          </cell>
          <cell r="B401">
            <v>4374370</v>
          </cell>
          <cell r="C401">
            <v>4374370</v>
          </cell>
          <cell r="D401">
            <v>4374370</v>
          </cell>
          <cell r="E401">
            <v>4374370</v>
          </cell>
          <cell r="F401">
            <v>4374370</v>
          </cell>
          <cell r="G401">
            <v>4373598.9652620004</v>
          </cell>
          <cell r="H401">
            <v>4373598.9652620004</v>
          </cell>
          <cell r="I401">
            <v>4373598.9652620004</v>
          </cell>
          <cell r="J401">
            <v>4373598.9652620004</v>
          </cell>
          <cell r="K401">
            <v>4373598.9652620004</v>
          </cell>
          <cell r="L401">
            <v>4374370</v>
          </cell>
          <cell r="M401">
            <v>4564000</v>
          </cell>
          <cell r="N401">
            <v>4564000</v>
          </cell>
          <cell r="O401">
            <v>4564000</v>
          </cell>
        </row>
        <row r="402">
          <cell r="A402" t="str">
            <v>Auto ItalyWRITE-OFF (MEMO)</v>
          </cell>
          <cell r="B402">
            <v>6156092.9900000002</v>
          </cell>
          <cell r="C402">
            <v>9539688.9700000007</v>
          </cell>
          <cell r="D402">
            <v>12039805.91</v>
          </cell>
          <cell r="E402">
            <v>10426450.939999999</v>
          </cell>
          <cell r="F402">
            <v>10426450.939999999</v>
          </cell>
          <cell r="G402">
            <v>4047830.1060899999</v>
          </cell>
          <cell r="H402">
            <v>7902591.087328</v>
          </cell>
          <cell r="I402">
            <v>11173594.209643001</v>
          </cell>
          <cell r="J402">
            <v>14416154.934575001</v>
          </cell>
          <cell r="K402">
            <v>14416154.934575001</v>
          </cell>
          <cell r="L402">
            <v>2896071.37</v>
          </cell>
          <cell r="M402">
            <v>12886000</v>
          </cell>
          <cell r="N402">
            <v>14711000</v>
          </cell>
          <cell r="O402">
            <v>14083000</v>
          </cell>
        </row>
        <row r="403">
          <cell r="A403" t="str">
            <v>Auto ItalyINSURANCE RESERVES AND ANNUITY BENEFITS</v>
          </cell>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row>
        <row r="404">
          <cell r="A404" t="str">
            <v>Auto ItalyALL OTHER NON DEBT LIABILITIES</v>
          </cell>
          <cell r="B404">
            <v>-20159915.420000002</v>
          </cell>
          <cell r="C404">
            <v>-26104170.280000001</v>
          </cell>
          <cell r="D404">
            <v>-25771565.039999999</v>
          </cell>
          <cell r="E404">
            <v>-12713446.35</v>
          </cell>
          <cell r="F404">
            <v>-12713446.35</v>
          </cell>
          <cell r="G404">
            <v>-20006888.883646999</v>
          </cell>
          <cell r="H404">
            <v>-20006888.883646999</v>
          </cell>
          <cell r="I404">
            <v>-20006888.883646999</v>
          </cell>
          <cell r="J404">
            <v>-20006888.883646999</v>
          </cell>
          <cell r="K404">
            <v>-20006888.883646999</v>
          </cell>
          <cell r="L404">
            <v>-16288588.970000001</v>
          </cell>
          <cell r="M404">
            <v>-20956000</v>
          </cell>
          <cell r="N404">
            <v>-20956000</v>
          </cell>
          <cell r="O404">
            <v>-23750000</v>
          </cell>
        </row>
        <row r="405">
          <cell r="A405" t="str">
            <v>Auto ItalyMINORITY INTEREST (BS)</v>
          </cell>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row>
        <row r="406">
          <cell r="A406" t="str">
            <v>Auto ItalyASIA PACIFIC ENI DIVIDEND</v>
          </cell>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row>
        <row r="407">
          <cell r="A407" t="str">
            <v>Auto ItalyFINANCING INCOME</v>
          </cell>
          <cell r="B407">
            <v>-14746119.99</v>
          </cell>
          <cell r="C407">
            <v>-13493336.32</v>
          </cell>
          <cell r="D407">
            <v>-14519423.5</v>
          </cell>
          <cell r="E407">
            <v>-17174772.460000001</v>
          </cell>
          <cell r="F407">
            <v>-59933652.270000003</v>
          </cell>
          <cell r="G407">
            <v>-16588805.851675</v>
          </cell>
          <cell r="H407">
            <v>-17453029.716609001</v>
          </cell>
          <cell r="I407">
            <v>-17456844.713457</v>
          </cell>
          <cell r="J407">
            <v>-18040605.949928001</v>
          </cell>
          <cell r="K407">
            <v>-69539286.231668994</v>
          </cell>
          <cell r="L407">
            <v>-15227245.9</v>
          </cell>
          <cell r="M407">
            <v>-74767000</v>
          </cell>
          <cell r="N407">
            <v>-89141000</v>
          </cell>
          <cell r="O407">
            <v>-101380000</v>
          </cell>
        </row>
        <row r="408">
          <cell r="A408" t="str">
            <v>Auto ItalyINSURANCE PREMIUM INCOME</v>
          </cell>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row>
        <row r="409">
          <cell r="A409" t="str">
            <v>Auto ItalyINSURANCE INCOME (COMMISSIONS)</v>
          </cell>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row>
        <row r="410">
          <cell r="A410" t="str">
            <v>Auto ItalySUNDRY INCOME</v>
          </cell>
          <cell r="B410">
            <v>-1194199.1200000001</v>
          </cell>
          <cell r="C410">
            <v>-708157.79</v>
          </cell>
          <cell r="D410">
            <v>-3947454.64</v>
          </cell>
          <cell r="E410">
            <v>1573483.24</v>
          </cell>
          <cell r="F410">
            <v>-4276328.3099999996</v>
          </cell>
          <cell r="G410">
            <v>-888794.524599</v>
          </cell>
          <cell r="H410">
            <v>-1780844.8492719999</v>
          </cell>
          <cell r="I410">
            <v>-1745866.5024349999</v>
          </cell>
          <cell r="J410">
            <v>-1876730.2607809999</v>
          </cell>
          <cell r="K410">
            <v>-6292236.1370869996</v>
          </cell>
          <cell r="L410">
            <v>-1687640.93</v>
          </cell>
          <cell r="M410">
            <v>-8544000</v>
          </cell>
          <cell r="N410">
            <v>-9454000</v>
          </cell>
          <cell r="O410">
            <v>-11831000</v>
          </cell>
        </row>
        <row r="411">
          <cell r="A411" t="str">
            <v>Auto ItalyINTEREST EXPENSE</v>
          </cell>
          <cell r="B411">
            <v>8994252.4299999997</v>
          </cell>
          <cell r="C411">
            <v>8808409.8499999996</v>
          </cell>
          <cell r="D411">
            <v>9867259.7599999998</v>
          </cell>
          <cell r="E411">
            <v>10503065.57</v>
          </cell>
          <cell r="F411">
            <v>38172987.609999999</v>
          </cell>
          <cell r="G411">
            <v>9842812.4730009995</v>
          </cell>
          <cell r="H411">
            <v>9972744.1140330005</v>
          </cell>
          <cell r="I411">
            <v>10086947.541087</v>
          </cell>
          <cell r="J411">
            <v>10294132.101625999</v>
          </cell>
          <cell r="K411">
            <v>40196636.229746997</v>
          </cell>
          <cell r="L411">
            <v>9829101.7799999993</v>
          </cell>
          <cell r="M411">
            <v>45163000</v>
          </cell>
          <cell r="N411">
            <v>52187000</v>
          </cell>
          <cell r="O411">
            <v>58100000</v>
          </cell>
        </row>
        <row r="412">
          <cell r="A412" t="str">
            <v>Auto ItalyINTEREST EXPENSE REDUCTIONS / BUS SHARING</v>
          </cell>
          <cell r="B412">
            <v>-570000</v>
          </cell>
          <cell r="C412">
            <v>-667666.81999999995</v>
          </cell>
          <cell r="D412">
            <v>-805519.66</v>
          </cell>
          <cell r="E412">
            <v>-941918.73</v>
          </cell>
          <cell r="F412">
            <v>-2985105.21</v>
          </cell>
          <cell r="G412">
            <v>-791169.78814299998</v>
          </cell>
          <cell r="H412">
            <v>-791169.78814299998</v>
          </cell>
          <cell r="I412">
            <v>-791169.78814299998</v>
          </cell>
          <cell r="J412">
            <v>-791169.78814299998</v>
          </cell>
          <cell r="K412">
            <v>-3164679.1525719999</v>
          </cell>
          <cell r="L412">
            <v>-676183.55</v>
          </cell>
          <cell r="M412">
            <v>0</v>
          </cell>
          <cell r="N412">
            <v>0</v>
          </cell>
          <cell r="O412">
            <v>0</v>
          </cell>
        </row>
        <row r="413">
          <cell r="A413" t="str">
            <v>Auto ItalyALLOCATED COST OF PREFERRED EQUITY</v>
          </cell>
          <cell r="B413">
            <v>112846.57</v>
          </cell>
          <cell r="C413">
            <v>87579.94</v>
          </cell>
          <cell r="D413">
            <v>83424.570000000007</v>
          </cell>
          <cell r="E413">
            <v>84048.24</v>
          </cell>
          <cell r="F413">
            <v>367899.32</v>
          </cell>
          <cell r="G413">
            <v>123244.922745</v>
          </cell>
          <cell r="H413">
            <v>129692.86664199999</v>
          </cell>
          <cell r="I413">
            <v>135187.302635</v>
          </cell>
          <cell r="J413">
            <v>142057.99416100001</v>
          </cell>
          <cell r="K413">
            <v>530183.086182</v>
          </cell>
          <cell r="L413">
            <v>61263.09</v>
          </cell>
          <cell r="M413">
            <v>0</v>
          </cell>
          <cell r="N413">
            <v>0</v>
          </cell>
          <cell r="O413">
            <v>0</v>
          </cell>
        </row>
        <row r="414">
          <cell r="A414" t="str">
            <v>Auto ItalySALARIES &amp; BENEFITS</v>
          </cell>
          <cell r="B414">
            <v>3047800.59</v>
          </cell>
          <cell r="C414">
            <v>2861219.45</v>
          </cell>
          <cell r="D414">
            <v>2504400.5499999998</v>
          </cell>
          <cell r="E414">
            <v>3186436.7</v>
          </cell>
          <cell r="F414">
            <v>11599857.289999999</v>
          </cell>
          <cell r="G414">
            <v>2558740.7991590002</v>
          </cell>
          <cell r="H414">
            <v>2558740.7991590002</v>
          </cell>
          <cell r="I414">
            <v>2651796.0833029998</v>
          </cell>
          <cell r="J414">
            <v>2605268.4412309998</v>
          </cell>
          <cell r="K414">
            <v>10374546.122851999</v>
          </cell>
          <cell r="L414">
            <v>2769304.39</v>
          </cell>
          <cell r="M414">
            <v>10331000</v>
          </cell>
          <cell r="N414">
            <v>10592000</v>
          </cell>
          <cell r="O414">
            <v>10953000</v>
          </cell>
        </row>
        <row r="415">
          <cell r="A415" t="str">
            <v>Auto ItalyLOSSES ON OTHER ASSETS</v>
          </cell>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row>
        <row r="416">
          <cell r="A416" t="str">
            <v>Auto ItalyCOST OF GOODS SOLD</v>
          </cell>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row>
        <row r="417">
          <cell r="A417" t="str">
            <v>Auto ItalyCOST OF GOODS SOLD - DISTRIBUTION</v>
          </cell>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row>
        <row r="418">
          <cell r="A418" t="str">
            <v>Auto ItalyPOSTAGE</v>
          </cell>
          <cell r="B418">
            <v>191844.89</v>
          </cell>
          <cell r="C418">
            <v>154173.26</v>
          </cell>
          <cell r="D418">
            <v>155851.84</v>
          </cell>
          <cell r="E418">
            <v>187189.99</v>
          </cell>
          <cell r="F418">
            <v>689059.98</v>
          </cell>
          <cell r="G418">
            <v>162000</v>
          </cell>
          <cell r="H418">
            <v>162000</v>
          </cell>
          <cell r="I418">
            <v>162000</v>
          </cell>
          <cell r="J418">
            <v>162000</v>
          </cell>
          <cell r="K418">
            <v>648000</v>
          </cell>
          <cell r="L418">
            <v>146972.57</v>
          </cell>
          <cell r="M418">
            <v>666000</v>
          </cell>
          <cell r="N418">
            <v>726000</v>
          </cell>
          <cell r="O418">
            <v>802000</v>
          </cell>
        </row>
        <row r="419">
          <cell r="A419" t="str">
            <v>Auto ItalyTELEPHONE</v>
          </cell>
          <cell r="B419">
            <v>164835.6</v>
          </cell>
          <cell r="C419">
            <v>132649.53</v>
          </cell>
          <cell r="D419">
            <v>117393.01</v>
          </cell>
          <cell r="E419">
            <v>102345.96</v>
          </cell>
          <cell r="F419">
            <v>517224.1</v>
          </cell>
          <cell r="G419">
            <v>135500</v>
          </cell>
          <cell r="H419">
            <v>135500</v>
          </cell>
          <cell r="I419">
            <v>135500</v>
          </cell>
          <cell r="J419">
            <v>135500</v>
          </cell>
          <cell r="K419">
            <v>542000</v>
          </cell>
          <cell r="L419">
            <v>167877.27</v>
          </cell>
          <cell r="M419">
            <v>577000</v>
          </cell>
          <cell r="N419">
            <v>491000</v>
          </cell>
          <cell r="O419">
            <v>470000</v>
          </cell>
        </row>
        <row r="420">
          <cell r="A420" t="str">
            <v>Auto ItalyCUSTOMER SERVICE / COLLECTIONS</v>
          </cell>
          <cell r="B420">
            <v>165316.87</v>
          </cell>
          <cell r="C420">
            <v>196110.98</v>
          </cell>
          <cell r="D420">
            <v>113111.83</v>
          </cell>
          <cell r="E420">
            <v>129898.53</v>
          </cell>
          <cell r="F420">
            <v>604438.21</v>
          </cell>
          <cell r="G420">
            <v>155750</v>
          </cell>
          <cell r="H420">
            <v>155750</v>
          </cell>
          <cell r="I420">
            <v>155750</v>
          </cell>
          <cell r="J420">
            <v>155750</v>
          </cell>
          <cell r="K420">
            <v>623000</v>
          </cell>
          <cell r="L420">
            <v>83911.56</v>
          </cell>
          <cell r="M420">
            <v>673000</v>
          </cell>
          <cell r="N420">
            <v>723000</v>
          </cell>
          <cell r="O420">
            <v>782000</v>
          </cell>
        </row>
        <row r="421">
          <cell r="A421" t="str">
            <v>Auto ItalySTATIONARY - OFFICE SUPPLIES</v>
          </cell>
          <cell r="B421">
            <v>73294.92</v>
          </cell>
          <cell r="C421">
            <v>94074.61</v>
          </cell>
          <cell r="D421">
            <v>50683.93</v>
          </cell>
          <cell r="E421">
            <v>127352.88</v>
          </cell>
          <cell r="F421">
            <v>345406.34</v>
          </cell>
          <cell r="G421">
            <v>82250</v>
          </cell>
          <cell r="H421">
            <v>82250</v>
          </cell>
          <cell r="I421">
            <v>82250</v>
          </cell>
          <cell r="J421">
            <v>82250</v>
          </cell>
          <cell r="K421">
            <v>329000</v>
          </cell>
          <cell r="L421">
            <v>129832.74</v>
          </cell>
          <cell r="M421">
            <v>343000</v>
          </cell>
          <cell r="N421">
            <v>361000</v>
          </cell>
          <cell r="O421">
            <v>389000</v>
          </cell>
        </row>
        <row r="422">
          <cell r="A422" t="str">
            <v>Auto ItalyT&amp;L</v>
          </cell>
          <cell r="B422">
            <v>227797.06</v>
          </cell>
          <cell r="C422">
            <v>171612.46</v>
          </cell>
          <cell r="D422">
            <v>246269.21</v>
          </cell>
          <cell r="E422">
            <v>306590.98</v>
          </cell>
          <cell r="F422">
            <v>952269.71</v>
          </cell>
          <cell r="G422">
            <v>127951.015698</v>
          </cell>
          <cell r="H422">
            <v>127951.015698</v>
          </cell>
          <cell r="I422">
            <v>127951.015698</v>
          </cell>
          <cell r="J422">
            <v>127951.015698</v>
          </cell>
          <cell r="K422">
            <v>511804.06279400003</v>
          </cell>
          <cell r="L422">
            <v>58495.48</v>
          </cell>
          <cell r="M422">
            <v>509000</v>
          </cell>
          <cell r="N422">
            <v>519000</v>
          </cell>
          <cell r="O422">
            <v>522000</v>
          </cell>
        </row>
        <row r="423">
          <cell r="A423" t="str">
            <v>Auto ItalyRENTAL - BLDG/FACILITIES</v>
          </cell>
          <cell r="B423">
            <v>212004.68</v>
          </cell>
          <cell r="C423">
            <v>188455.83</v>
          </cell>
          <cell r="D423">
            <v>183731.56</v>
          </cell>
          <cell r="E423">
            <v>266090.84000000003</v>
          </cell>
          <cell r="F423">
            <v>850282.91</v>
          </cell>
          <cell r="G423">
            <v>178000</v>
          </cell>
          <cell r="H423">
            <v>178000</v>
          </cell>
          <cell r="I423">
            <v>178000</v>
          </cell>
          <cell r="J423">
            <v>178000</v>
          </cell>
          <cell r="K423">
            <v>712000</v>
          </cell>
          <cell r="L423">
            <v>135433.48000000001</v>
          </cell>
          <cell r="M423">
            <v>714000</v>
          </cell>
          <cell r="N423">
            <v>728000</v>
          </cell>
          <cell r="O423">
            <v>742000</v>
          </cell>
        </row>
        <row r="424">
          <cell r="A424" t="str">
            <v>Auto ItalyRENTAL - FURNITURE/EQUIP</v>
          </cell>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row>
        <row r="425">
          <cell r="A425" t="str">
            <v>Auto ItalyRENTAL - COMPUTERS</v>
          </cell>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row>
        <row r="426">
          <cell r="A426" t="str">
            <v>Auto ItalyLEASE IN - LEASE OUT</v>
          </cell>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row>
        <row r="427">
          <cell r="A427" t="str">
            <v>Auto ItalyFURNITURE / EQUIPMENT / COMPUTER EXP</v>
          </cell>
          <cell r="B427">
            <v>412000.71</v>
          </cell>
          <cell r="C427">
            <v>91007.56</v>
          </cell>
          <cell r="D427">
            <v>-438226.69</v>
          </cell>
          <cell r="E427">
            <v>23087</v>
          </cell>
          <cell r="F427">
            <v>87868.58</v>
          </cell>
          <cell r="G427">
            <v>63000</v>
          </cell>
          <cell r="H427">
            <v>63000</v>
          </cell>
          <cell r="I427">
            <v>63000</v>
          </cell>
          <cell r="J427">
            <v>63000</v>
          </cell>
          <cell r="K427">
            <v>252000</v>
          </cell>
          <cell r="L427">
            <v>14856.33</v>
          </cell>
          <cell r="M427">
            <v>296000</v>
          </cell>
          <cell r="N427">
            <v>300000</v>
          </cell>
          <cell r="O427">
            <v>305000</v>
          </cell>
        </row>
        <row r="428">
          <cell r="A428" t="str">
            <v>Auto ItalySOFTWARE EXPENSE</v>
          </cell>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row>
        <row r="429">
          <cell r="A429" t="str">
            <v>Auto ItalyAMORTIZATION OF INTANGIBLES</v>
          </cell>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row>
        <row r="430">
          <cell r="A430" t="str">
            <v>Auto ItalyELTO MAINTENANCE</v>
          </cell>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row>
        <row r="431">
          <cell r="A431" t="str">
            <v>Auto ItalyELTO OTHER</v>
          </cell>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row>
        <row r="432">
          <cell r="A432" t="str">
            <v>Auto ItalyLEGAL</v>
          </cell>
          <cell r="B432">
            <v>445512.4</v>
          </cell>
          <cell r="C432">
            <v>374348.09</v>
          </cell>
          <cell r="D432">
            <v>22821.56</v>
          </cell>
          <cell r="E432">
            <v>232836.63</v>
          </cell>
          <cell r="F432">
            <v>1075518.68</v>
          </cell>
          <cell r="G432">
            <v>237000</v>
          </cell>
          <cell r="H432">
            <v>237000</v>
          </cell>
          <cell r="I432">
            <v>237000</v>
          </cell>
          <cell r="J432">
            <v>237000</v>
          </cell>
          <cell r="K432">
            <v>948000</v>
          </cell>
          <cell r="L432">
            <v>213341.46</v>
          </cell>
          <cell r="M432">
            <v>1145000</v>
          </cell>
          <cell r="N432">
            <v>1270000</v>
          </cell>
          <cell r="O432">
            <v>1443000</v>
          </cell>
        </row>
        <row r="433">
          <cell r="A433" t="str">
            <v>Auto ItalyADVERTISING</v>
          </cell>
          <cell r="B433">
            <v>-13546.27</v>
          </cell>
          <cell r="C433">
            <v>113331.76</v>
          </cell>
          <cell r="D433">
            <v>62991.97</v>
          </cell>
          <cell r="E433">
            <v>31882.75</v>
          </cell>
          <cell r="F433">
            <v>194660.21</v>
          </cell>
          <cell r="G433">
            <v>78166.438681</v>
          </cell>
          <cell r="H433">
            <v>78166.438681</v>
          </cell>
          <cell r="I433">
            <v>78166.438681</v>
          </cell>
          <cell r="J433">
            <v>78166.438681</v>
          </cell>
          <cell r="K433">
            <v>312665.75472500001</v>
          </cell>
          <cell r="L433">
            <v>-10376.89</v>
          </cell>
          <cell r="M433">
            <v>699000</v>
          </cell>
          <cell r="N433">
            <v>830000</v>
          </cell>
          <cell r="O433">
            <v>928000</v>
          </cell>
        </row>
        <row r="434">
          <cell r="A434" t="str">
            <v>Auto ItalySALES PROMOTIONS</v>
          </cell>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row>
        <row r="435">
          <cell r="A435" t="str">
            <v>Auto ItalyDIRECT MAIL</v>
          </cell>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row>
        <row r="436">
          <cell r="A436" t="str">
            <v>Auto ItalyDATA PROCESSING</v>
          </cell>
          <cell r="B436">
            <v>-398935.87</v>
          </cell>
          <cell r="C436">
            <v>349312</v>
          </cell>
          <cell r="D436">
            <v>658735.34</v>
          </cell>
          <cell r="E436">
            <v>160034.68</v>
          </cell>
          <cell r="F436">
            <v>769146.15</v>
          </cell>
          <cell r="G436">
            <v>107500</v>
          </cell>
          <cell r="H436">
            <v>107500</v>
          </cell>
          <cell r="I436">
            <v>107500</v>
          </cell>
          <cell r="J436">
            <v>107500</v>
          </cell>
          <cell r="K436">
            <v>430000</v>
          </cell>
          <cell r="L436">
            <v>-114766.88</v>
          </cell>
          <cell r="M436">
            <v>815000</v>
          </cell>
          <cell r="N436">
            <v>680000</v>
          </cell>
          <cell r="O436">
            <v>680000</v>
          </cell>
        </row>
        <row r="437">
          <cell r="A437" t="str">
            <v>Auto ItalyCONSULTING</v>
          </cell>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row>
        <row r="438">
          <cell r="A438" t="str">
            <v>Auto ItalyTEMP SERVICES</v>
          </cell>
          <cell r="B438">
            <v>938557.05</v>
          </cell>
          <cell r="C438">
            <v>-716592.48</v>
          </cell>
          <cell r="D438">
            <v>1963578.76</v>
          </cell>
          <cell r="E438">
            <v>1358992.51</v>
          </cell>
          <cell r="F438">
            <v>3544535.84</v>
          </cell>
          <cell r="G438">
            <v>810247.69222900004</v>
          </cell>
          <cell r="H438">
            <v>810247.69222900004</v>
          </cell>
          <cell r="I438">
            <v>856775.334301</v>
          </cell>
          <cell r="J438">
            <v>833511.51326499996</v>
          </cell>
          <cell r="K438">
            <v>3310782.232024</v>
          </cell>
          <cell r="L438">
            <v>509392.87</v>
          </cell>
          <cell r="M438">
            <v>3605000</v>
          </cell>
          <cell r="N438">
            <v>3332000</v>
          </cell>
          <cell r="O438">
            <v>3342000</v>
          </cell>
        </row>
        <row r="439">
          <cell r="A439" t="str">
            <v>Auto ItalyGDC CHARGES</v>
          </cell>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row>
        <row r="440">
          <cell r="A440" t="str">
            <v>Auto ItalyTRAINING AND EDUCATION</v>
          </cell>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row>
        <row r="441">
          <cell r="A441" t="str">
            <v>Auto ItalyOUTSIDE SERVICES  AND FEES</v>
          </cell>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row>
        <row r="442">
          <cell r="A442" t="str">
            <v>Auto ItalySTATE, FOREIGN, LOCAL TAXES</v>
          </cell>
          <cell r="B442">
            <v>322550.40999999997</v>
          </cell>
          <cell r="C442">
            <v>287448.33</v>
          </cell>
          <cell r="D442">
            <v>270127.33</v>
          </cell>
          <cell r="E442">
            <v>289052.08</v>
          </cell>
          <cell r="F442">
            <v>1169178.1499999999</v>
          </cell>
          <cell r="G442">
            <v>278875.85856199998</v>
          </cell>
          <cell r="H442">
            <v>278875.85856199998</v>
          </cell>
          <cell r="I442">
            <v>278875.85856199998</v>
          </cell>
          <cell r="J442">
            <v>278875.85856199998</v>
          </cell>
          <cell r="K442">
            <v>1115503.4342459999</v>
          </cell>
          <cell r="L442">
            <v>254873.58</v>
          </cell>
          <cell r="M442">
            <v>1462000</v>
          </cell>
          <cell r="N442">
            <v>1620000</v>
          </cell>
          <cell r="O442">
            <v>1782000</v>
          </cell>
        </row>
        <row r="443">
          <cell r="A443" t="str">
            <v>Auto ItalyS/L TAX - INSURANCE PREMIUMS</v>
          </cell>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row>
        <row r="444">
          <cell r="A444" t="str">
            <v>Auto ItalySATELLITE LEASE EXPENSE</v>
          </cell>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row>
        <row r="445">
          <cell r="A445" t="str">
            <v>Auto ItalyBUSINESS SHARE EXPENSE</v>
          </cell>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row>
        <row r="446">
          <cell r="A446" t="str">
            <v>Auto ItalyINSURANCE AFFILIATE EXPENSE</v>
          </cell>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row>
        <row r="447">
          <cell r="A447" t="str">
            <v>Auto ItalyOTHER FACILITY EXPENSE</v>
          </cell>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row>
        <row r="448">
          <cell r="A448" t="str">
            <v>Auto ItalyGROSS OP &amp; ADMIN BUS SHARE</v>
          </cell>
          <cell r="B448">
            <v>-515000</v>
          </cell>
          <cell r="C448">
            <v>-486929.83</v>
          </cell>
          <cell r="D448">
            <v>-488249.29</v>
          </cell>
          <cell r="E448">
            <v>-513533.31</v>
          </cell>
          <cell r="F448">
            <v>-2003712.43</v>
          </cell>
          <cell r="G448">
            <v>-381000</v>
          </cell>
          <cell r="H448">
            <v>-381000</v>
          </cell>
          <cell r="I448">
            <v>-381000</v>
          </cell>
          <cell r="J448">
            <v>-381000</v>
          </cell>
          <cell r="K448">
            <v>-1524000</v>
          </cell>
          <cell r="L448">
            <v>-353626.66</v>
          </cell>
          <cell r="M448">
            <v>-1730000</v>
          </cell>
          <cell r="N448">
            <v>-1737000</v>
          </cell>
          <cell r="O448">
            <v>-1801000</v>
          </cell>
        </row>
        <row r="449">
          <cell r="A449" t="str">
            <v>Auto ItalyOTHER EXPENSE</v>
          </cell>
          <cell r="B449">
            <v>79073.13</v>
          </cell>
          <cell r="C449">
            <v>-186305.41</v>
          </cell>
          <cell r="D449">
            <v>293453.23</v>
          </cell>
          <cell r="E449">
            <v>-17524.59</v>
          </cell>
          <cell r="F449">
            <v>168696.36</v>
          </cell>
          <cell r="G449">
            <v>67000</v>
          </cell>
          <cell r="H449">
            <v>67000</v>
          </cell>
          <cell r="I449">
            <v>67000</v>
          </cell>
          <cell r="J449">
            <v>67000</v>
          </cell>
          <cell r="K449">
            <v>268000</v>
          </cell>
          <cell r="L449">
            <v>-203093.42</v>
          </cell>
          <cell r="M449">
            <v>264000</v>
          </cell>
          <cell r="N449">
            <v>293000</v>
          </cell>
          <cell r="O449">
            <v>351000</v>
          </cell>
        </row>
        <row r="450">
          <cell r="A450" t="str">
            <v>Auto ItalyGECC INTERCO EXPENSES EXCL GECIS</v>
          </cell>
          <cell r="B450">
            <v>-267592.24</v>
          </cell>
          <cell r="C450">
            <v>276614.94</v>
          </cell>
          <cell r="D450">
            <v>692339.14</v>
          </cell>
          <cell r="E450">
            <v>239498.44</v>
          </cell>
          <cell r="F450">
            <v>940860.28</v>
          </cell>
          <cell r="G450">
            <v>5583.3170490000002</v>
          </cell>
          <cell r="H450">
            <v>5583.3170490000002</v>
          </cell>
          <cell r="I450">
            <v>5583.3170490000002</v>
          </cell>
          <cell r="J450">
            <v>5583.3170490000002</v>
          </cell>
          <cell r="K450">
            <v>22333.268195000001</v>
          </cell>
          <cell r="L450">
            <v>-0.01</v>
          </cell>
          <cell r="M450">
            <v>0</v>
          </cell>
          <cell r="N450">
            <v>0</v>
          </cell>
          <cell r="O450">
            <v>0</v>
          </cell>
        </row>
        <row r="451">
          <cell r="A451" t="str">
            <v>Auto ItalyGECIS INTERCO CHARGES</v>
          </cell>
          <cell r="B451">
            <v>0</v>
          </cell>
          <cell r="C451">
            <v>0</v>
          </cell>
          <cell r="D451">
            <v>0</v>
          </cell>
          <cell r="E451">
            <v>0</v>
          </cell>
          <cell r="F451">
            <v>0</v>
          </cell>
          <cell r="G451">
            <v>0</v>
          </cell>
          <cell r="H451">
            <v>0</v>
          </cell>
          <cell r="I451">
            <v>0</v>
          </cell>
          <cell r="J451">
            <v>0</v>
          </cell>
          <cell r="K451">
            <v>0</v>
          </cell>
          <cell r="L451">
            <v>0</v>
          </cell>
          <cell r="M451">
            <v>22000</v>
          </cell>
          <cell r="N451">
            <v>22000</v>
          </cell>
          <cell r="O451">
            <v>22000</v>
          </cell>
        </row>
        <row r="452">
          <cell r="A452" t="str">
            <v>Auto ItalyLOSS ADJUSTED EXPENSE</v>
          </cell>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row>
        <row r="453">
          <cell r="A453" t="str">
            <v>Auto ItalyALL OTHER EXPENSES</v>
          </cell>
          <cell r="B453">
            <v>-0.01</v>
          </cell>
          <cell r="C453">
            <v>0</v>
          </cell>
          <cell r="D453">
            <v>0.01</v>
          </cell>
          <cell r="E453">
            <v>0</v>
          </cell>
          <cell r="F453">
            <v>0</v>
          </cell>
          <cell r="G453">
            <v>-275000</v>
          </cell>
          <cell r="H453">
            <v>-275000</v>
          </cell>
          <cell r="I453">
            <v>-275000</v>
          </cell>
          <cell r="J453">
            <v>-275000</v>
          </cell>
          <cell r="K453">
            <v>-1100000</v>
          </cell>
          <cell r="L453">
            <v>0</v>
          </cell>
          <cell r="M453">
            <v>0</v>
          </cell>
          <cell r="N453">
            <v>0</v>
          </cell>
          <cell r="O453">
            <v>0</v>
          </cell>
        </row>
        <row r="454">
          <cell r="A454" t="str">
            <v>Auto ItalyASSESSMENTS</v>
          </cell>
          <cell r="B454">
            <v>544875.99</v>
          </cell>
          <cell r="C454">
            <v>631930.26</v>
          </cell>
          <cell r="D454">
            <v>500483.07</v>
          </cell>
          <cell r="E454">
            <v>-624324.6</v>
          </cell>
          <cell r="F454">
            <v>1052964.72</v>
          </cell>
          <cell r="G454">
            <v>576907.97762999998</v>
          </cell>
          <cell r="H454">
            <v>576907.97762999998</v>
          </cell>
          <cell r="I454">
            <v>576907.97762999998</v>
          </cell>
          <cell r="J454">
            <v>576907.97762999998</v>
          </cell>
          <cell r="K454">
            <v>2307631.9105179999</v>
          </cell>
          <cell r="L454">
            <v>503651.85</v>
          </cell>
          <cell r="M454">
            <v>2367000</v>
          </cell>
          <cell r="N454">
            <v>2741000</v>
          </cell>
          <cell r="O454">
            <v>3028000</v>
          </cell>
        </row>
        <row r="455">
          <cell r="A455" t="str">
            <v>Auto ItalyFAS 91</v>
          </cell>
          <cell r="B455">
            <v>-1920708.02</v>
          </cell>
          <cell r="C455">
            <v>-1061056.69</v>
          </cell>
          <cell r="D455">
            <v>-1433163.73</v>
          </cell>
          <cell r="E455">
            <v>-1438851.05</v>
          </cell>
          <cell r="F455">
            <v>-5853779.4900000002</v>
          </cell>
          <cell r="G455">
            <v>-1057956.6920710001</v>
          </cell>
          <cell r="H455">
            <v>-1057956.6920710001</v>
          </cell>
          <cell r="I455">
            <v>-1057956.6920710001</v>
          </cell>
          <cell r="J455">
            <v>-1057956.6920710001</v>
          </cell>
          <cell r="K455">
            <v>-4231826.7682830002</v>
          </cell>
          <cell r="L455">
            <v>-1024722.18</v>
          </cell>
          <cell r="M455">
            <v>-5273000</v>
          </cell>
          <cell r="N455">
            <v>-5291000</v>
          </cell>
          <cell r="O455">
            <v>-5298000</v>
          </cell>
        </row>
        <row r="456">
          <cell r="A456" t="str">
            <v>Auto ItalyGOODWILL AMORTIZATION</v>
          </cell>
          <cell r="B456">
            <v>319170.65000000002</v>
          </cell>
          <cell r="C456">
            <v>386051.07</v>
          </cell>
          <cell r="D456">
            <v>346004.14</v>
          </cell>
          <cell r="E456">
            <v>352710.36</v>
          </cell>
          <cell r="F456">
            <v>1403936.22</v>
          </cell>
          <cell r="G456">
            <v>0</v>
          </cell>
          <cell r="H456">
            <v>0</v>
          </cell>
          <cell r="I456">
            <v>0</v>
          </cell>
          <cell r="J456">
            <v>0</v>
          </cell>
          <cell r="K456">
            <v>0</v>
          </cell>
          <cell r="L456">
            <v>0</v>
          </cell>
          <cell r="M456">
            <v>1422000</v>
          </cell>
          <cell r="N456">
            <v>1422000</v>
          </cell>
          <cell r="O456">
            <v>1422000</v>
          </cell>
        </row>
        <row r="457">
          <cell r="A457" t="str">
            <v>Auto ItalyDEPRECIATION EXPENSE</v>
          </cell>
          <cell r="B457">
            <v>346402.24</v>
          </cell>
          <cell r="C457">
            <v>476288.2</v>
          </cell>
          <cell r="D457">
            <v>734724.31</v>
          </cell>
          <cell r="E457">
            <v>704692.17</v>
          </cell>
          <cell r="F457">
            <v>2262106.92</v>
          </cell>
          <cell r="G457">
            <v>689250</v>
          </cell>
          <cell r="H457">
            <v>689250</v>
          </cell>
          <cell r="I457">
            <v>689250</v>
          </cell>
          <cell r="J457">
            <v>689250</v>
          </cell>
          <cell r="K457">
            <v>2757000</v>
          </cell>
          <cell r="L457">
            <v>575952.04</v>
          </cell>
          <cell r="M457">
            <v>2723000</v>
          </cell>
          <cell r="N457">
            <v>2778000</v>
          </cell>
          <cell r="O457">
            <v>2951000</v>
          </cell>
        </row>
        <row r="458">
          <cell r="A458" t="str">
            <v>Auto ItalyELTO AMORTIZATION</v>
          </cell>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row>
        <row r="459">
          <cell r="A459" t="str">
            <v>Auto ItalyINSURANCE LOSSES AND BENEFITS</v>
          </cell>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row>
        <row r="460">
          <cell r="A460" t="str">
            <v>Auto ItalyWRITE OFFS</v>
          </cell>
          <cell r="B460">
            <v>2320417.41</v>
          </cell>
          <cell r="C460">
            <v>1446855.52</v>
          </cell>
          <cell r="D460">
            <v>1135347.68</v>
          </cell>
          <cell r="E460">
            <v>958578.87</v>
          </cell>
          <cell r="F460">
            <v>5861199.4800000004</v>
          </cell>
          <cell r="G460">
            <v>3231224.960581</v>
          </cell>
          <cell r="H460">
            <v>3436429.2126219999</v>
          </cell>
          <cell r="I460">
            <v>2832249.6882580002</v>
          </cell>
          <cell r="J460">
            <v>3277225.4545499999</v>
          </cell>
          <cell r="K460">
            <v>12777129.316011</v>
          </cell>
          <cell r="L460">
            <v>1063898.93</v>
          </cell>
          <cell r="M460">
            <v>11999000</v>
          </cell>
          <cell r="N460">
            <v>13817000</v>
          </cell>
          <cell r="O460">
            <v>15103000</v>
          </cell>
        </row>
        <row r="461">
          <cell r="A461" t="str">
            <v>Auto ItalyRESERVE CHANGE</v>
          </cell>
          <cell r="B461">
            <v>2168883.37</v>
          </cell>
          <cell r="C461">
            <v>2186320.17</v>
          </cell>
          <cell r="D461">
            <v>2048684.91</v>
          </cell>
          <cell r="E461">
            <v>303975.40000000002</v>
          </cell>
          <cell r="F461">
            <v>6707863.8499999996</v>
          </cell>
          <cell r="G461">
            <v>0</v>
          </cell>
          <cell r="H461">
            <v>0</v>
          </cell>
          <cell r="I461">
            <v>0</v>
          </cell>
          <cell r="J461">
            <v>0</v>
          </cell>
          <cell r="K461">
            <v>0</v>
          </cell>
          <cell r="L461">
            <v>1637919.43</v>
          </cell>
          <cell r="M461">
            <v>0</v>
          </cell>
          <cell r="N461">
            <v>0</v>
          </cell>
          <cell r="O461">
            <v>0</v>
          </cell>
        </row>
        <row r="462">
          <cell r="A462" t="str">
            <v>Auto ItalyMINORITY INTEREST</v>
          </cell>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row>
        <row r="463">
          <cell r="A463" t="str">
            <v>Auto ItalyINCOME TAXES</v>
          </cell>
          <cell r="B463">
            <v>-714964.69</v>
          </cell>
          <cell r="C463">
            <v>-648399.43000000005</v>
          </cell>
          <cell r="D463">
            <v>106723.27</v>
          </cell>
          <cell r="E463">
            <v>-471094.69</v>
          </cell>
          <cell r="F463">
            <v>-1727735.54</v>
          </cell>
          <cell r="G463">
            <v>277602.47470100003</v>
          </cell>
          <cell r="H463">
            <v>772744.09812400001</v>
          </cell>
          <cell r="I463">
            <v>882551.48291300004</v>
          </cell>
          <cell r="J463">
            <v>926436.38676200004</v>
          </cell>
          <cell r="K463">
            <v>2859334.4424990001</v>
          </cell>
          <cell r="L463">
            <v>500187.38</v>
          </cell>
          <cell r="M463">
            <v>-5945288.2199999997</v>
          </cell>
          <cell r="N463">
            <v>-5678462.79</v>
          </cell>
          <cell r="O463">
            <v>-5290449.49</v>
          </cell>
        </row>
        <row r="464">
          <cell r="A464" t="str">
            <v>Auto ItalyCUMULATIVE TRANSITION ADJUSTMENT</v>
          </cell>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row>
        <row r="465">
          <cell r="A465" t="str">
            <v>Auto ItalyASIA PACIFIC NI DIVIDEND</v>
          </cell>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row>
        <row r="466">
          <cell r="A466" t="str">
            <v>Auto ItalyNet Income</v>
          </cell>
          <cell r="B466">
            <v>746370.76</v>
          </cell>
          <cell r="C466">
            <v>1345349.04</v>
          </cell>
          <cell r="D466">
            <v>526103.47</v>
          </cell>
          <cell r="E466">
            <v>-60175.61</v>
          </cell>
          <cell r="F466">
            <v>2557647.66</v>
          </cell>
          <cell r="G466">
            <v>-194118.926454</v>
          </cell>
          <cell r="H466">
            <v>-1113667.655667</v>
          </cell>
          <cell r="I466">
            <v>-1317595.6559890001</v>
          </cell>
          <cell r="J466">
            <v>-1399096.1917089999</v>
          </cell>
          <cell r="K466">
            <v>-4024478.4298200002</v>
          </cell>
          <cell r="L466">
            <v>-641390.18999999994</v>
          </cell>
          <cell r="M466">
            <v>-10464288.220000001</v>
          </cell>
          <cell r="N466">
            <v>-15869462.789999999</v>
          </cell>
          <cell r="O466">
            <v>-21483449.489999998</v>
          </cell>
        </row>
        <row r="467">
          <cell r="A467" t="str">
            <v>Auto ItalySubPart F</v>
          </cell>
          <cell r="B467">
            <v>0</v>
          </cell>
          <cell r="C467">
            <v>0</v>
          </cell>
          <cell r="D467">
            <v>0</v>
          </cell>
          <cell r="E467">
            <v>0</v>
          </cell>
          <cell r="F467">
            <v>0</v>
          </cell>
          <cell r="G467">
            <v>0</v>
          </cell>
          <cell r="H467">
            <v>0</v>
          </cell>
          <cell r="I467">
            <v>0</v>
          </cell>
          <cell r="J467">
            <v>0</v>
          </cell>
          <cell r="K467">
            <v>0</v>
          </cell>
          <cell r="L467">
            <v>0</v>
          </cell>
          <cell r="M467">
            <v>7519288.2199999997</v>
          </cell>
          <cell r="N467">
            <v>8660462.7899999991</v>
          </cell>
          <cell r="O467">
            <v>9814449.4900000002</v>
          </cell>
        </row>
        <row r="468">
          <cell r="A468" t="str">
            <v>Auto ItalyAssets</v>
          </cell>
          <cell r="B468">
            <v>952964956.62</v>
          </cell>
          <cell r="C468">
            <v>881082224.72000003</v>
          </cell>
          <cell r="D468">
            <v>958789448.83000004</v>
          </cell>
          <cell r="E468">
            <v>961462876.44000006</v>
          </cell>
          <cell r="F468">
            <v>961462876.44000006</v>
          </cell>
          <cell r="G468">
            <v>996031167.56188297</v>
          </cell>
          <cell r="H468">
            <v>1047599525.21413</v>
          </cell>
          <cell r="I468">
            <v>1050213579.9251699</v>
          </cell>
          <cell r="J468">
            <v>1095543099.7160699</v>
          </cell>
          <cell r="K468">
            <v>1095543099.7160699</v>
          </cell>
          <cell r="L468">
            <v>953030603.86000001</v>
          </cell>
          <cell r="M468">
            <v>1132127000</v>
          </cell>
          <cell r="N468">
            <v>1304862000</v>
          </cell>
          <cell r="O468">
            <v>1439162000</v>
          </cell>
        </row>
        <row r="469">
          <cell r="A469" t="str">
            <v>Auto ItalyEnding Net Investment (ENI) incl Asia</v>
          </cell>
          <cell r="B469">
            <v>937573232.71000004</v>
          </cell>
          <cell r="C469">
            <v>858142303.46000004</v>
          </cell>
          <cell r="D469">
            <v>934476315.01999998</v>
          </cell>
          <cell r="E469">
            <v>947517171.23000002</v>
          </cell>
          <cell r="F469">
            <v>947517171.23000002</v>
          </cell>
          <cell r="G469">
            <v>969905892.89172602</v>
          </cell>
          <cell r="H469">
            <v>1021474250.54397</v>
          </cell>
          <cell r="I469">
            <v>1024088305.25501</v>
          </cell>
          <cell r="J469">
            <v>1069417825.04591</v>
          </cell>
          <cell r="K469">
            <v>1069417825.04591</v>
          </cell>
          <cell r="L469">
            <v>942601679.49000001</v>
          </cell>
          <cell r="M469">
            <v>1107353000</v>
          </cell>
          <cell r="N469">
            <v>1279855000</v>
          </cell>
          <cell r="O469">
            <v>1410662000</v>
          </cell>
        </row>
        <row r="470">
          <cell r="A470" t="str">
            <v>Auto ItalyANR YTD</v>
          </cell>
          <cell r="B470">
            <v>829913530.48000002</v>
          </cell>
          <cell r="C470">
            <v>836688884.88999999</v>
          </cell>
          <cell r="D470">
            <v>854473668.19749999</v>
          </cell>
          <cell r="E470">
            <v>865650845.50800002</v>
          </cell>
          <cell r="F470">
            <v>865650845.50800002</v>
          </cell>
          <cell r="G470">
            <v>924588257.64752603</v>
          </cell>
          <cell r="H470">
            <v>944355247.46411097</v>
          </cell>
          <cell r="I470">
            <v>957265289.95517004</v>
          </cell>
          <cell r="J470">
            <v>973341578.608217</v>
          </cell>
          <cell r="K470">
            <v>973341578.608217</v>
          </cell>
          <cell r="L470">
            <v>912843870.74000001</v>
          </cell>
          <cell r="M470">
            <v>404191400</v>
          </cell>
          <cell r="N470">
            <v>476623400</v>
          </cell>
          <cell r="O470">
            <v>543417200</v>
          </cell>
        </row>
        <row r="471">
          <cell r="A471" t="str">
            <v>Auto ItalyASA YTD</v>
          </cell>
          <cell r="B471">
            <v>829913530.48000002</v>
          </cell>
          <cell r="C471">
            <v>836688884.88999999</v>
          </cell>
          <cell r="D471">
            <v>854473668.19749999</v>
          </cell>
          <cell r="E471">
            <v>865650845.50800002</v>
          </cell>
          <cell r="F471">
            <v>865650845.50800002</v>
          </cell>
          <cell r="G471">
            <v>924588257.64752603</v>
          </cell>
          <cell r="H471">
            <v>944355247.46411097</v>
          </cell>
          <cell r="I471">
            <v>957265289.95517004</v>
          </cell>
          <cell r="J471">
            <v>973341578.608217</v>
          </cell>
          <cell r="K471">
            <v>973341578.608217</v>
          </cell>
          <cell r="L471">
            <v>912843870.74000001</v>
          </cell>
          <cell r="M471">
            <v>404191400</v>
          </cell>
          <cell r="N471">
            <v>476623400</v>
          </cell>
          <cell r="O471">
            <v>543417200</v>
          </cell>
        </row>
        <row r="472">
          <cell r="A472" t="str">
            <v>Auto ItalyANI YTD incl Asia - 5 pt</v>
          </cell>
          <cell r="B472">
            <v>865821029.77499998</v>
          </cell>
          <cell r="C472">
            <v>863261454.33666694</v>
          </cell>
          <cell r="D472">
            <v>881065169.50750005</v>
          </cell>
          <cell r="E472">
            <v>894355569.852</v>
          </cell>
          <cell r="F472">
            <v>894355569.852</v>
          </cell>
          <cell r="G472">
            <v>958711532.06086302</v>
          </cell>
          <cell r="H472">
            <v>979632438.22190201</v>
          </cell>
          <cell r="I472">
            <v>990746404.98017895</v>
          </cell>
          <cell r="J472">
            <v>1006480688.99332</v>
          </cell>
          <cell r="K472">
            <v>1006480688.99332</v>
          </cell>
          <cell r="L472">
            <v>945059425.36000001</v>
          </cell>
          <cell r="M472">
            <v>409919400</v>
          </cell>
          <cell r="N472">
            <v>477441600</v>
          </cell>
          <cell r="O472">
            <v>538103400</v>
          </cell>
        </row>
        <row r="473">
          <cell r="A473" t="str">
            <v>Auto ItalyOff Balance Sheet Assets</v>
          </cell>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row>
        <row r="474">
          <cell r="A474" t="str">
            <v>Auto ItalyJV Receivables</v>
          </cell>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row>
        <row r="475">
          <cell r="A475" t="str">
            <v>Auto Italy30+ DELINQUENCY $</v>
          </cell>
          <cell r="B475">
            <v>0</v>
          </cell>
          <cell r="C475">
            <v>0</v>
          </cell>
          <cell r="D475">
            <v>0</v>
          </cell>
          <cell r="E475">
            <v>0</v>
          </cell>
          <cell r="F475">
            <v>0</v>
          </cell>
          <cell r="G475">
            <v>23585263.962163001</v>
          </cell>
          <cell r="H475">
            <v>23250448.852476001</v>
          </cell>
          <cell r="I475">
            <v>25788618.195946001</v>
          </cell>
          <cell r="J475">
            <v>25080582.022622999</v>
          </cell>
          <cell r="K475">
            <v>25080582.022622999</v>
          </cell>
          <cell r="L475">
            <v>27592000</v>
          </cell>
          <cell r="M475">
            <v>20358231.621998999</v>
          </cell>
          <cell r="N475">
            <v>23504955.258312002</v>
          </cell>
          <cell r="O475">
            <v>26369985.733545002</v>
          </cell>
        </row>
        <row r="476">
          <cell r="A476" t="str">
            <v>Auto Italy90+ DELINQUENCY $</v>
          </cell>
          <cell r="B476">
            <v>0</v>
          </cell>
          <cell r="C476">
            <v>0</v>
          </cell>
          <cell r="D476">
            <v>0</v>
          </cell>
          <cell r="E476">
            <v>0</v>
          </cell>
          <cell r="F476">
            <v>0</v>
          </cell>
          <cell r="G476">
            <v>5103564.3341899998</v>
          </cell>
          <cell r="H476">
            <v>5311349.6339499997</v>
          </cell>
          <cell r="I476">
            <v>6362268.0130169997</v>
          </cell>
          <cell r="J476">
            <v>6816136.8153820001</v>
          </cell>
          <cell r="K476">
            <v>6816136.8153820001</v>
          </cell>
          <cell r="L476">
            <v>7163000</v>
          </cell>
          <cell r="M476">
            <v>5445185.4718209999</v>
          </cell>
          <cell r="N476">
            <v>5952099.319844</v>
          </cell>
          <cell r="O476">
            <v>6689214.0796069996</v>
          </cell>
        </row>
        <row r="477">
          <cell r="A477" t="str">
            <v>Auto ItalyTemporary Staff</v>
          </cell>
          <cell r="B477">
            <v>0</v>
          </cell>
          <cell r="C477">
            <v>26</v>
          </cell>
          <cell r="D477">
            <v>22</v>
          </cell>
          <cell r="E477">
            <v>22</v>
          </cell>
          <cell r="F477">
            <v>22</v>
          </cell>
          <cell r="G477">
            <v>9</v>
          </cell>
          <cell r="H477">
            <v>9</v>
          </cell>
          <cell r="I477">
            <v>7</v>
          </cell>
          <cell r="J477">
            <v>7</v>
          </cell>
          <cell r="K477">
            <v>7</v>
          </cell>
          <cell r="L477">
            <v>15</v>
          </cell>
          <cell r="M477">
            <v>12</v>
          </cell>
          <cell r="N477">
            <v>10</v>
          </cell>
          <cell r="O477">
            <v>8</v>
          </cell>
        </row>
        <row r="478">
          <cell r="A478" t="str">
            <v>Auto ItalyContractors</v>
          </cell>
          <cell r="B478">
            <v>0</v>
          </cell>
          <cell r="C478">
            <v>29</v>
          </cell>
          <cell r="D478">
            <v>29</v>
          </cell>
          <cell r="E478">
            <v>28</v>
          </cell>
          <cell r="F478">
            <v>28</v>
          </cell>
          <cell r="G478">
            <v>28</v>
          </cell>
          <cell r="H478">
            <v>28</v>
          </cell>
          <cell r="I478">
            <v>28</v>
          </cell>
          <cell r="J478">
            <v>28</v>
          </cell>
          <cell r="K478">
            <v>28</v>
          </cell>
          <cell r="L478">
            <v>24</v>
          </cell>
          <cell r="M478">
            <v>20</v>
          </cell>
          <cell r="N478">
            <v>15</v>
          </cell>
          <cell r="O478">
            <v>15</v>
          </cell>
        </row>
        <row r="479">
          <cell r="A479" t="str">
            <v>Auto ItalyOutsourced to LCC</v>
          </cell>
          <cell r="B479">
            <v>0</v>
          </cell>
          <cell r="C479">
            <v>0</v>
          </cell>
          <cell r="D479">
            <v>0</v>
          </cell>
          <cell r="E479">
            <v>0</v>
          </cell>
          <cell r="F479">
            <v>0</v>
          </cell>
          <cell r="G479">
            <v>0</v>
          </cell>
          <cell r="H479">
            <v>0</v>
          </cell>
          <cell r="I479">
            <v>0</v>
          </cell>
          <cell r="J479">
            <v>0</v>
          </cell>
          <cell r="K479">
            <v>0</v>
          </cell>
          <cell r="L479">
            <v>1</v>
          </cell>
          <cell r="M479">
            <v>0</v>
          </cell>
          <cell r="N479">
            <v>0</v>
          </cell>
          <cell r="O479">
            <v>0</v>
          </cell>
        </row>
        <row r="480">
          <cell r="A480" t="str">
            <v>Auto ItalyTotal Headcount</v>
          </cell>
          <cell r="B480">
            <v>228.5</v>
          </cell>
          <cell r="C480">
            <v>221.5</v>
          </cell>
          <cell r="D480">
            <v>208</v>
          </cell>
          <cell r="E480">
            <v>187.5</v>
          </cell>
          <cell r="F480">
            <v>187.5</v>
          </cell>
          <cell r="G480">
            <v>193</v>
          </cell>
          <cell r="H480">
            <v>194</v>
          </cell>
          <cell r="I480">
            <v>193</v>
          </cell>
          <cell r="J480">
            <v>192</v>
          </cell>
          <cell r="K480">
            <v>192</v>
          </cell>
          <cell r="L480">
            <v>180</v>
          </cell>
          <cell r="M480">
            <v>186</v>
          </cell>
          <cell r="N480">
            <v>186</v>
          </cell>
          <cell r="O480">
            <v>186</v>
          </cell>
        </row>
        <row r="481">
          <cell r="A481" t="str">
            <v>Auto ItalyTotal Workforce</v>
          </cell>
          <cell r="B481">
            <v>228.5</v>
          </cell>
          <cell r="C481">
            <v>276.5</v>
          </cell>
          <cell r="D481">
            <v>259</v>
          </cell>
          <cell r="E481">
            <v>237.5</v>
          </cell>
          <cell r="F481">
            <v>237.5</v>
          </cell>
          <cell r="G481">
            <v>230</v>
          </cell>
          <cell r="H481">
            <v>231</v>
          </cell>
          <cell r="I481">
            <v>228</v>
          </cell>
          <cell r="J481">
            <v>227</v>
          </cell>
          <cell r="K481">
            <v>227</v>
          </cell>
          <cell r="L481">
            <v>220</v>
          </cell>
          <cell r="M481">
            <v>218</v>
          </cell>
          <cell r="N481">
            <v>211</v>
          </cell>
          <cell r="O481">
            <v>209</v>
          </cell>
        </row>
        <row r="482">
          <cell r="A482" t="str">
            <v>Auto ItalyTotal Earned Revenue</v>
          </cell>
          <cell r="B482">
            <v>-15940319.109999999</v>
          </cell>
          <cell r="C482">
            <v>-14201494.109999999</v>
          </cell>
          <cell r="D482">
            <v>-18466878.140000001</v>
          </cell>
          <cell r="E482">
            <v>-15601289.220000001</v>
          </cell>
          <cell r="F482">
            <v>-64209980.579999998</v>
          </cell>
          <cell r="G482">
            <v>-17477600.376274001</v>
          </cell>
          <cell r="H482">
            <v>-19233874.565880001</v>
          </cell>
          <cell r="I482">
            <v>-19202711.215891998</v>
          </cell>
          <cell r="J482">
            <v>-19917336.210708998</v>
          </cell>
          <cell r="K482">
            <v>-75831522.368755996</v>
          </cell>
          <cell r="L482">
            <v>-16914886.829999998</v>
          </cell>
          <cell r="M482">
            <v>-83311000</v>
          </cell>
          <cell r="N482">
            <v>-98595000</v>
          </cell>
          <cell r="O482">
            <v>-113211000</v>
          </cell>
        </row>
        <row r="483">
          <cell r="A483" t="str">
            <v>Auto ItalyOrdinary Gains - PreTax</v>
          </cell>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row>
        <row r="484">
          <cell r="A484" t="str">
            <v>Auto ItalyOrdinary Gains - AfterTax</v>
          </cell>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row>
        <row r="485">
          <cell r="A485" t="str">
            <v>Auto ItalyTotal Volume</v>
          </cell>
          <cell r="B485">
            <v>153200438</v>
          </cell>
          <cell r="C485">
            <v>-3929060</v>
          </cell>
          <cell r="D485">
            <v>-32068515</v>
          </cell>
          <cell r="E485">
            <v>25434058</v>
          </cell>
          <cell r="F485">
            <v>142636921</v>
          </cell>
          <cell r="G485">
            <v>158455890.19158199</v>
          </cell>
          <cell r="H485">
            <v>173586039.271348</v>
          </cell>
          <cell r="I485">
            <v>142829779.26054701</v>
          </cell>
          <cell r="J485">
            <v>174192710.99276301</v>
          </cell>
          <cell r="K485">
            <v>649064419.71624005</v>
          </cell>
          <cell r="L485">
            <v>135638257.13999999</v>
          </cell>
          <cell r="M485">
            <v>697221000</v>
          </cell>
          <cell r="N485">
            <v>803582000</v>
          </cell>
          <cell r="O485">
            <v>881201000</v>
          </cell>
        </row>
        <row r="486">
          <cell r="A486" t="str">
            <v>Auto ItalyTOTAL # ACTIVE ACCOUNTS</v>
          </cell>
          <cell r="B486">
            <v>0</v>
          </cell>
          <cell r="C486">
            <v>0</v>
          </cell>
          <cell r="D486">
            <v>0</v>
          </cell>
          <cell r="E486">
            <v>0</v>
          </cell>
          <cell r="F486">
            <v>0</v>
          </cell>
          <cell r="G486">
            <v>132771.63959599999</v>
          </cell>
          <cell r="H486">
            <v>136900.77892000001</v>
          </cell>
          <cell r="I486">
            <v>140761.77859</v>
          </cell>
          <cell r="J486">
            <v>146113.46231999999</v>
          </cell>
          <cell r="K486">
            <v>146113.46231999999</v>
          </cell>
          <cell r="L486">
            <v>0</v>
          </cell>
          <cell r="M486">
            <v>153347.43556499999</v>
          </cell>
          <cell r="N486">
            <v>192932.61720400001</v>
          </cell>
          <cell r="O486">
            <v>226658.73462999999</v>
          </cell>
        </row>
        <row r="487">
          <cell r="A487" t="str">
            <v>Auto PortugalTOTAL FINANCING RECEIVABLES</v>
          </cell>
          <cell r="B487">
            <v>352626211.43000001</v>
          </cell>
          <cell r="C487">
            <v>347713252.82999998</v>
          </cell>
          <cell r="D487">
            <v>393166425.58999997</v>
          </cell>
          <cell r="E487">
            <v>399909695.85000002</v>
          </cell>
          <cell r="F487">
            <v>399909695.85000002</v>
          </cell>
          <cell r="G487">
            <v>392833235.87628502</v>
          </cell>
          <cell r="H487">
            <v>399076240.02703702</v>
          </cell>
          <cell r="I487">
            <v>410629347.749138</v>
          </cell>
          <cell r="J487">
            <v>419658011.31408399</v>
          </cell>
          <cell r="K487">
            <v>419658011.31408399</v>
          </cell>
          <cell r="L487">
            <v>403470709.41000003</v>
          </cell>
          <cell r="M487">
            <v>515246387.73758602</v>
          </cell>
          <cell r="N487">
            <v>600476462.630844</v>
          </cell>
          <cell r="O487">
            <v>678560083.20106196</v>
          </cell>
        </row>
        <row r="488">
          <cell r="A488" t="str">
            <v>Auto PortugalRECEIVABLE RESERVES</v>
          </cell>
          <cell r="B488">
            <v>-4406504.33</v>
          </cell>
          <cell r="C488">
            <v>-4417427.09</v>
          </cell>
          <cell r="D488">
            <v>-4445541.59</v>
          </cell>
          <cell r="E488">
            <v>-11903319.779999999</v>
          </cell>
          <cell r="F488">
            <v>-11903319.779999999</v>
          </cell>
          <cell r="G488">
            <v>-10602136.690755</v>
          </cell>
          <cell r="H488">
            <v>-10278506.207102999</v>
          </cell>
          <cell r="I488">
            <v>-10053138.471534001</v>
          </cell>
          <cell r="J488">
            <v>-10935246.179624001</v>
          </cell>
          <cell r="K488">
            <v>-10935246.179624001</v>
          </cell>
          <cell r="L488">
            <v>-10661775.810000001</v>
          </cell>
          <cell r="M488">
            <v>-6390526.0481280005</v>
          </cell>
          <cell r="N488">
            <v>-8428076.6947099995</v>
          </cell>
          <cell r="O488">
            <v>-10625790.165321</v>
          </cell>
        </row>
        <row r="489">
          <cell r="A489" t="str">
            <v>Auto PortugalCASH</v>
          </cell>
          <cell r="B489">
            <v>14107283.73</v>
          </cell>
          <cell r="C489">
            <v>7891788.9299999997</v>
          </cell>
          <cell r="D489">
            <v>8571571.0500000007</v>
          </cell>
          <cell r="E489">
            <v>13123146.970000001</v>
          </cell>
          <cell r="F489">
            <v>13123146.970000001</v>
          </cell>
          <cell r="G489">
            <v>4623461.6093119998</v>
          </cell>
          <cell r="H489">
            <v>4623461.6093119998</v>
          </cell>
          <cell r="I489">
            <v>4623461.6093119998</v>
          </cell>
          <cell r="J489">
            <v>4623461.6093119998</v>
          </cell>
          <cell r="K489">
            <v>4623461.6093119998</v>
          </cell>
          <cell r="L489">
            <v>6477846.1600000001</v>
          </cell>
          <cell r="M489">
            <v>2676108.1561480002</v>
          </cell>
          <cell r="N489">
            <v>2676108.1561480002</v>
          </cell>
          <cell r="O489">
            <v>2676108.1561480002</v>
          </cell>
        </row>
        <row r="490">
          <cell r="A490" t="str">
            <v>Auto PortugalINVESTMENT SECURITIES</v>
          </cell>
          <cell r="B490">
            <v>241958.75</v>
          </cell>
          <cell r="C490">
            <v>232515.06</v>
          </cell>
          <cell r="D490">
            <v>240739.68</v>
          </cell>
          <cell r="E490">
            <v>236058.28</v>
          </cell>
          <cell r="F490">
            <v>236058.28</v>
          </cell>
          <cell r="G490">
            <v>232282.73932200001</v>
          </cell>
          <cell r="H490">
            <v>232282.73932200001</v>
          </cell>
          <cell r="I490">
            <v>232282.73932200001</v>
          </cell>
          <cell r="J490">
            <v>232282.73932200001</v>
          </cell>
          <cell r="K490">
            <v>232282.73932200001</v>
          </cell>
          <cell r="L490">
            <v>193677.37</v>
          </cell>
          <cell r="M490">
            <v>315327.606302</v>
          </cell>
          <cell r="N490">
            <v>315327.606302</v>
          </cell>
          <cell r="O490">
            <v>315327.606302</v>
          </cell>
        </row>
        <row r="491">
          <cell r="A491" t="str">
            <v>Auto PortugalINV IN NON CONSOL AFFILIATES</v>
          </cell>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row>
        <row r="492">
          <cell r="A492" t="str">
            <v>Auto PortugalINVESTMENT IN JOINT VENTURE</v>
          </cell>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row>
        <row r="493">
          <cell r="A493" t="str">
            <v>Auto PortugalALL OTHER RECEIVABLES (NON-FINANCING)</v>
          </cell>
          <cell r="B493">
            <v>13878418.470000001</v>
          </cell>
          <cell r="C493">
            <v>8848114.9900000002</v>
          </cell>
          <cell r="D493">
            <v>11766515.35</v>
          </cell>
          <cell r="E493">
            <v>9699068.8000000007</v>
          </cell>
          <cell r="F493">
            <v>9699068.8000000007</v>
          </cell>
          <cell r="G493">
            <v>10397547.346906999</v>
          </cell>
          <cell r="H493">
            <v>10397547.346906999</v>
          </cell>
          <cell r="I493">
            <v>10397547.346906999</v>
          </cell>
          <cell r="J493">
            <v>10397547.346906999</v>
          </cell>
          <cell r="K493">
            <v>10397547.346906999</v>
          </cell>
          <cell r="L493">
            <v>11729844.720000001</v>
          </cell>
          <cell r="M493">
            <v>13954721.932123</v>
          </cell>
          <cell r="N493">
            <v>13954721.932123</v>
          </cell>
          <cell r="O493">
            <v>13954721.932123</v>
          </cell>
        </row>
        <row r="494">
          <cell r="A494" t="str">
            <v>Auto PortugalELTO (NET)</v>
          </cell>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row>
        <row r="495">
          <cell r="A495" t="str">
            <v>Auto PortugalGOODWILL</v>
          </cell>
          <cell r="B495">
            <v>54153237.829999998</v>
          </cell>
          <cell r="C495">
            <v>51399809.93</v>
          </cell>
          <cell r="D495">
            <v>54312603.32</v>
          </cell>
          <cell r="E495">
            <v>52630043.969999999</v>
          </cell>
          <cell r="F495">
            <v>52630043.969999999</v>
          </cell>
          <cell r="G495">
            <v>51802454.407494999</v>
          </cell>
          <cell r="H495">
            <v>51802454.407494999</v>
          </cell>
          <cell r="I495">
            <v>51802454.407494999</v>
          </cell>
          <cell r="J495">
            <v>51802454.407494999</v>
          </cell>
          <cell r="K495">
            <v>51802454.407494999</v>
          </cell>
          <cell r="L495">
            <v>51453675.869999997</v>
          </cell>
          <cell r="M495">
            <v>50069617.433472998</v>
          </cell>
          <cell r="N495">
            <v>47566131.368574999</v>
          </cell>
          <cell r="O495">
            <v>45062645.303677998</v>
          </cell>
        </row>
        <row r="496">
          <cell r="A496" t="str">
            <v>Auto PortugalOTHER ASSETS</v>
          </cell>
          <cell r="B496">
            <v>12773546.02</v>
          </cell>
          <cell r="C496">
            <v>10506474.890000001</v>
          </cell>
          <cell r="D496">
            <v>12038004.85</v>
          </cell>
          <cell r="E496">
            <v>9411951.7400000002</v>
          </cell>
          <cell r="F496">
            <v>9411951.7400000002</v>
          </cell>
          <cell r="G496">
            <v>9259499.2237069998</v>
          </cell>
          <cell r="H496">
            <v>8373635.5600539995</v>
          </cell>
          <cell r="I496">
            <v>8645640.7533330005</v>
          </cell>
          <cell r="J496">
            <v>8594658.2238480002</v>
          </cell>
          <cell r="K496">
            <v>8594658.2238480002</v>
          </cell>
          <cell r="L496">
            <v>1107437.18</v>
          </cell>
          <cell r="M496">
            <v>18036802.617959</v>
          </cell>
          <cell r="N496">
            <v>17767073.903863002</v>
          </cell>
          <cell r="O496">
            <v>17679111.403159998</v>
          </cell>
        </row>
        <row r="497">
          <cell r="A497" t="str">
            <v>Auto PortugalACCOUNTS PAYABLE</v>
          </cell>
          <cell r="B497">
            <v>-8877946.4100000001</v>
          </cell>
          <cell r="C497">
            <v>-8421091.7699999996</v>
          </cell>
          <cell r="D497">
            <v>-10455707.73</v>
          </cell>
          <cell r="E497">
            <v>-6222704.0499999998</v>
          </cell>
          <cell r="F497">
            <v>-6222704.0499999998</v>
          </cell>
          <cell r="G497">
            <v>-1517654.5578640001</v>
          </cell>
          <cell r="H497">
            <v>-1356265.1620420001</v>
          </cell>
          <cell r="I497">
            <v>-1290336.5874119999</v>
          </cell>
          <cell r="J497">
            <v>-1097346.4114719999</v>
          </cell>
          <cell r="K497">
            <v>-1097346.4114719999</v>
          </cell>
          <cell r="L497">
            <v>3300056.82</v>
          </cell>
          <cell r="M497">
            <v>-16593591.512595</v>
          </cell>
          <cell r="N497">
            <v>-16485528.696870999</v>
          </cell>
          <cell r="O497">
            <v>-16788305.061471</v>
          </cell>
        </row>
        <row r="498">
          <cell r="A498" t="str">
            <v>Auto PortugalDEFERRED INCOME TAXES</v>
          </cell>
          <cell r="B498">
            <v>-4033471.25</v>
          </cell>
          <cell r="C498">
            <v>-4555730.74</v>
          </cell>
          <cell r="D498">
            <v>-4838529.92</v>
          </cell>
          <cell r="E498">
            <v>-347734.98</v>
          </cell>
          <cell r="F498">
            <v>-347734.98</v>
          </cell>
          <cell r="G498">
            <v>-4934182.573233</v>
          </cell>
          <cell r="H498">
            <v>-5691261.5049599996</v>
          </cell>
          <cell r="I498">
            <v>-6767193.8508390002</v>
          </cell>
          <cell r="J498">
            <v>-7519429.7233210001</v>
          </cell>
          <cell r="K498">
            <v>-7519429.7233210001</v>
          </cell>
          <cell r="L498">
            <v>-3488573.58</v>
          </cell>
          <cell r="M498">
            <v>-9200215.5210560001</v>
          </cell>
          <cell r="N498">
            <v>-13442675.421445001</v>
          </cell>
          <cell r="O498">
            <v>-19414254.033727001</v>
          </cell>
        </row>
        <row r="499">
          <cell r="A499" t="str">
            <v>Auto PortugalWRITE-OFF (MEMO)</v>
          </cell>
          <cell r="B499">
            <v>730965</v>
          </cell>
          <cell r="C499">
            <v>1724018.26</v>
          </cell>
          <cell r="D499">
            <v>3126889.25</v>
          </cell>
          <cell r="E499">
            <v>5042431.1399999997</v>
          </cell>
          <cell r="F499">
            <v>5042431.1399999997</v>
          </cell>
          <cell r="G499">
            <v>2056324.3855699999</v>
          </cell>
          <cell r="H499">
            <v>3279883.7394119999</v>
          </cell>
          <cell r="I499">
            <v>4473385.3585719997</v>
          </cell>
          <cell r="J499">
            <v>5705626.2662180001</v>
          </cell>
          <cell r="K499">
            <v>5705626.2662180001</v>
          </cell>
          <cell r="L499">
            <v>2135176.1</v>
          </cell>
          <cell r="M499">
            <v>4446121.4822979998</v>
          </cell>
          <cell r="N499">
            <v>6365615.9976530001</v>
          </cell>
          <cell r="O499">
            <v>8009775.2155539999</v>
          </cell>
        </row>
        <row r="500">
          <cell r="A500" t="str">
            <v>Auto PortugalINSURANCE RESERVES AND ANNUITY BENEFITS</v>
          </cell>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row>
        <row r="501">
          <cell r="A501" t="str">
            <v>Auto PortugalALL OTHER NON DEBT LIABILITIES</v>
          </cell>
          <cell r="B501">
            <v>-11487492.73</v>
          </cell>
          <cell r="C501">
            <v>-1195250.1599999999</v>
          </cell>
          <cell r="D501">
            <v>-3282665.88</v>
          </cell>
          <cell r="E501">
            <v>-7650498.0599999996</v>
          </cell>
          <cell r="F501">
            <v>-7650498.0599999996</v>
          </cell>
          <cell r="G501">
            <v>-3250291.6692249998</v>
          </cell>
          <cell r="H501">
            <v>-3250291.6692249998</v>
          </cell>
          <cell r="I501">
            <v>-3250291.6692249998</v>
          </cell>
          <cell r="J501">
            <v>-3250291.6692249998</v>
          </cell>
          <cell r="K501">
            <v>-3250291.6692249998</v>
          </cell>
          <cell r="L501">
            <v>-14239952.92</v>
          </cell>
          <cell r="M501">
            <v>-2572401.1908049998</v>
          </cell>
          <cell r="N501">
            <v>-2572401.1908049998</v>
          </cell>
          <cell r="O501">
            <v>-2572401.1908049998</v>
          </cell>
        </row>
        <row r="502">
          <cell r="A502" t="str">
            <v>Auto PortugalMINORITY INTEREST (BS)</v>
          </cell>
          <cell r="B502">
            <v>-665173.85</v>
          </cell>
          <cell r="C502">
            <v>-673133.2</v>
          </cell>
          <cell r="D502">
            <v>-720420.48</v>
          </cell>
          <cell r="E502">
            <v>-368523.41</v>
          </cell>
          <cell r="F502">
            <v>-368523.41</v>
          </cell>
          <cell r="G502">
            <v>-696211.86712099996</v>
          </cell>
          <cell r="H502">
            <v>-763661.41410399997</v>
          </cell>
          <cell r="I502">
            <v>-860664.70562799997</v>
          </cell>
          <cell r="J502">
            <v>-927484.67633499997</v>
          </cell>
          <cell r="K502">
            <v>-927484.67633499997</v>
          </cell>
          <cell r="L502">
            <v>-688011.87</v>
          </cell>
          <cell r="M502">
            <v>-1153291.9441460001</v>
          </cell>
          <cell r="N502">
            <v>-1613847.026296</v>
          </cell>
          <cell r="O502">
            <v>-2233228.3199860002</v>
          </cell>
        </row>
        <row r="503">
          <cell r="A503" t="str">
            <v>Auto PortugalASIA PACIFIC ENI DIVIDEND</v>
          </cell>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row>
        <row r="504">
          <cell r="A504" t="str">
            <v>Auto PortugalFINANCING INCOME</v>
          </cell>
          <cell r="B504">
            <v>-8013185.0099999998</v>
          </cell>
          <cell r="C504">
            <v>-8182033.1200000001</v>
          </cell>
          <cell r="D504">
            <v>-7880729.6100000003</v>
          </cell>
          <cell r="E504">
            <v>-8308195.25</v>
          </cell>
          <cell r="F504">
            <v>-32384142.989999998</v>
          </cell>
          <cell r="G504">
            <v>-8626575.4267159998</v>
          </cell>
          <cell r="H504">
            <v>-8662735.187384</v>
          </cell>
          <cell r="I504">
            <v>-8954674.1978789996</v>
          </cell>
          <cell r="J504">
            <v>-9222901.3888089992</v>
          </cell>
          <cell r="K504">
            <v>-35466886.200787999</v>
          </cell>
          <cell r="L504">
            <v>-8678391.9700000007</v>
          </cell>
          <cell r="M504">
            <v>-42782642.392246999</v>
          </cell>
          <cell r="N504">
            <v>-51928653.141983002</v>
          </cell>
          <cell r="O504">
            <v>-61291812.608453996</v>
          </cell>
        </row>
        <row r="505">
          <cell r="A505" t="str">
            <v>Auto PortugalINSURANCE PREMIUM INCOME</v>
          </cell>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row>
        <row r="506">
          <cell r="A506" t="str">
            <v>Auto PortugalINSURANCE INCOME (COMMISSIONS)</v>
          </cell>
          <cell r="B506">
            <v>-105947.46</v>
          </cell>
          <cell r="C506">
            <v>-239548.69</v>
          </cell>
          <cell r="D506">
            <v>-238899.27</v>
          </cell>
          <cell r="E506">
            <v>130281.78</v>
          </cell>
          <cell r="F506">
            <v>-454113.64</v>
          </cell>
          <cell r="G506">
            <v>-42105.632506000002</v>
          </cell>
          <cell r="H506">
            <v>-36842.428441999997</v>
          </cell>
          <cell r="I506">
            <v>-29824.823025000002</v>
          </cell>
          <cell r="J506">
            <v>-23684.418283999999</v>
          </cell>
          <cell r="K506">
            <v>-132457.302257</v>
          </cell>
          <cell r="L506">
            <v>9600.4599999999991</v>
          </cell>
          <cell r="M506">
            <v>-666728.29551700002</v>
          </cell>
          <cell r="N506">
            <v>-451001.17127300001</v>
          </cell>
          <cell r="O506">
            <v>-243860.54919200001</v>
          </cell>
        </row>
        <row r="507">
          <cell r="A507" t="str">
            <v>Auto PortugalSUNDRY INCOME</v>
          </cell>
          <cell r="B507">
            <v>-1290305.21</v>
          </cell>
          <cell r="C507">
            <v>-1695147.62</v>
          </cell>
          <cell r="D507">
            <v>-1664873.57</v>
          </cell>
          <cell r="E507">
            <v>808997.59</v>
          </cell>
          <cell r="F507">
            <v>-3841328.81</v>
          </cell>
          <cell r="G507">
            <v>-415207.54106299998</v>
          </cell>
          <cell r="H507">
            <v>-1403834.2098010001</v>
          </cell>
          <cell r="I507">
            <v>-1995935.787973</v>
          </cell>
          <cell r="J507">
            <v>-670181.65662499995</v>
          </cell>
          <cell r="K507">
            <v>-4485159.1954610003</v>
          </cell>
          <cell r="L507">
            <v>-461016.36</v>
          </cell>
          <cell r="M507">
            <v>-6280961.2744800001</v>
          </cell>
          <cell r="N507">
            <v>-7477075.6347549995</v>
          </cell>
          <cell r="O507">
            <v>-8543816.8150830008</v>
          </cell>
        </row>
        <row r="508">
          <cell r="A508" t="str">
            <v>Auto PortugalINTEREST EXPENSE</v>
          </cell>
          <cell r="B508">
            <v>4629178.1399999997</v>
          </cell>
          <cell r="C508">
            <v>5001819.6399999997</v>
          </cell>
          <cell r="D508">
            <v>4658866.7699999996</v>
          </cell>
          <cell r="E508">
            <v>4788719.5199999996</v>
          </cell>
          <cell r="F508">
            <v>19078584.07</v>
          </cell>
          <cell r="G508">
            <v>4638811.1196029996</v>
          </cell>
          <cell r="H508">
            <v>4680401.0494339997</v>
          </cell>
          <cell r="I508">
            <v>4694987.1637380002</v>
          </cell>
          <cell r="J508">
            <v>4813612.4646500004</v>
          </cell>
          <cell r="K508">
            <v>18827811.797425002</v>
          </cell>
          <cell r="L508">
            <v>4416569.91</v>
          </cell>
          <cell r="M508">
            <v>21609267.533785999</v>
          </cell>
          <cell r="N508">
            <v>25101987.986705001</v>
          </cell>
          <cell r="O508">
            <v>28263384.110362001</v>
          </cell>
        </row>
        <row r="509">
          <cell r="A509" t="str">
            <v>Auto PortugalINTEREST EXPENSE REDUCTIONS / BUS SHARING</v>
          </cell>
          <cell r="B509">
            <v>-295284</v>
          </cell>
          <cell r="C509">
            <v>-342139</v>
          </cell>
          <cell r="D509">
            <v>-331818</v>
          </cell>
          <cell r="E509">
            <v>-358350</v>
          </cell>
          <cell r="F509">
            <v>-1327591</v>
          </cell>
          <cell r="G509">
            <v>-327272.94506300002</v>
          </cell>
          <cell r="H509">
            <v>-336947.54281900002</v>
          </cell>
          <cell r="I509">
            <v>-345387.03355599998</v>
          </cell>
          <cell r="J509">
            <v>-361126.82919199998</v>
          </cell>
          <cell r="K509">
            <v>-1370734.35063</v>
          </cell>
          <cell r="L509">
            <v>-327278</v>
          </cell>
          <cell r="M509">
            <v>0</v>
          </cell>
          <cell r="N509">
            <v>0</v>
          </cell>
          <cell r="O509">
            <v>0</v>
          </cell>
        </row>
        <row r="510">
          <cell r="A510" t="str">
            <v>Auto PortugalALLOCATED COST OF PREFERRED EQUITY</v>
          </cell>
          <cell r="B510">
            <v>56314</v>
          </cell>
          <cell r="C510">
            <v>47217</v>
          </cell>
          <cell r="D510">
            <v>40273</v>
          </cell>
          <cell r="E510">
            <v>41365</v>
          </cell>
          <cell r="F510">
            <v>185169</v>
          </cell>
          <cell r="G510">
            <v>-79677</v>
          </cell>
          <cell r="H510">
            <v>-81784</v>
          </cell>
          <cell r="I510">
            <v>-83230</v>
          </cell>
          <cell r="J510">
            <v>-86766</v>
          </cell>
          <cell r="K510">
            <v>-331457</v>
          </cell>
          <cell r="L510">
            <v>29460</v>
          </cell>
          <cell r="M510">
            <v>0</v>
          </cell>
          <cell r="N510">
            <v>0</v>
          </cell>
          <cell r="O510">
            <v>0</v>
          </cell>
        </row>
        <row r="511">
          <cell r="A511" t="str">
            <v>Auto PortugalSALARIES &amp; BENEFITS</v>
          </cell>
          <cell r="B511">
            <v>1359555.12</v>
          </cell>
          <cell r="C511">
            <v>1206294.6100000001</v>
          </cell>
          <cell r="D511">
            <v>1362219.57</v>
          </cell>
          <cell r="E511">
            <v>1707090.99</v>
          </cell>
          <cell r="F511">
            <v>5635160.29</v>
          </cell>
          <cell r="G511">
            <v>1347622.5248990001</v>
          </cell>
          <cell r="H511">
            <v>1339084.963798</v>
          </cell>
          <cell r="I511">
            <v>1406478.9634489999</v>
          </cell>
          <cell r="J511">
            <v>1386251.191532</v>
          </cell>
          <cell r="K511">
            <v>5479437.6436790004</v>
          </cell>
          <cell r="L511">
            <v>1535491.42</v>
          </cell>
          <cell r="M511">
            <v>5317949.0166649995</v>
          </cell>
          <cell r="N511">
            <v>5794415.4822749998</v>
          </cell>
          <cell r="O511">
            <v>6220254.1627599997</v>
          </cell>
        </row>
        <row r="512">
          <cell r="A512" t="str">
            <v>Auto PortugalLOSSES ON OTHER ASSETS</v>
          </cell>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row>
        <row r="513">
          <cell r="A513" t="str">
            <v>Auto PortugalCOST OF GOODS SOLD</v>
          </cell>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row>
        <row r="514">
          <cell r="A514" t="str">
            <v>Auto PortugalCOST OF GOODS SOLD - DISTRIBUTION</v>
          </cell>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row>
        <row r="515">
          <cell r="A515" t="str">
            <v>Auto PortugalPOSTAGE</v>
          </cell>
          <cell r="B515">
            <v>50467.13</v>
          </cell>
          <cell r="C515">
            <v>86114.559999999998</v>
          </cell>
          <cell r="D515">
            <v>41658.339999999997</v>
          </cell>
          <cell r="E515">
            <v>89211.31</v>
          </cell>
          <cell r="F515">
            <v>267451.34000000003</v>
          </cell>
          <cell r="G515">
            <v>53409.806047999999</v>
          </cell>
          <cell r="H515">
            <v>53655.269271999998</v>
          </cell>
          <cell r="I515">
            <v>53995.570559</v>
          </cell>
          <cell r="J515">
            <v>53995.570559</v>
          </cell>
          <cell r="K515">
            <v>215056.216438</v>
          </cell>
          <cell r="L515">
            <v>64317.08</v>
          </cell>
          <cell r="M515">
            <v>395668.21296199999</v>
          </cell>
          <cell r="N515">
            <v>471228.91384200001</v>
          </cell>
          <cell r="O515">
            <v>541392.42180100002</v>
          </cell>
        </row>
        <row r="516">
          <cell r="A516" t="str">
            <v>Auto PortugalTELEPHONE</v>
          </cell>
          <cell r="B516">
            <v>77977.990000000005</v>
          </cell>
          <cell r="C516">
            <v>61541.69</v>
          </cell>
          <cell r="D516">
            <v>64300.75</v>
          </cell>
          <cell r="E516">
            <v>136572.22</v>
          </cell>
          <cell r="F516">
            <v>340392.65</v>
          </cell>
          <cell r="G516">
            <v>86448.126738000006</v>
          </cell>
          <cell r="H516">
            <v>86448.126738000006</v>
          </cell>
          <cell r="I516">
            <v>86448.126738000006</v>
          </cell>
          <cell r="J516">
            <v>86448.126738000006</v>
          </cell>
          <cell r="K516">
            <v>345792.50695200003</v>
          </cell>
          <cell r="L516">
            <v>79888.42</v>
          </cell>
          <cell r="M516">
            <v>303861.96139399998</v>
          </cell>
          <cell r="N516">
            <v>334625.96103800001</v>
          </cell>
          <cell r="O516">
            <v>335705.399622</v>
          </cell>
        </row>
        <row r="517">
          <cell r="A517" t="str">
            <v>Auto PortugalCUSTOMER SERVICE / COLLECTIONS</v>
          </cell>
          <cell r="B517">
            <v>139973.75</v>
          </cell>
          <cell r="C517">
            <v>11970.21</v>
          </cell>
          <cell r="D517">
            <v>80473.179999999993</v>
          </cell>
          <cell r="E517">
            <v>186632.52</v>
          </cell>
          <cell r="F517">
            <v>419049.66</v>
          </cell>
          <cell r="G517">
            <v>88209.972005000003</v>
          </cell>
          <cell r="H517">
            <v>85707.993524999998</v>
          </cell>
          <cell r="I517">
            <v>93517.423181999999</v>
          </cell>
          <cell r="J517">
            <v>97670.516124000002</v>
          </cell>
          <cell r="K517">
            <v>365105.904836</v>
          </cell>
          <cell r="L517">
            <v>90403.43</v>
          </cell>
          <cell r="M517">
            <v>842598.50929800002</v>
          </cell>
          <cell r="N517">
            <v>1095677.3874880001</v>
          </cell>
          <cell r="O517">
            <v>1377857.6779420001</v>
          </cell>
        </row>
        <row r="518">
          <cell r="A518" t="str">
            <v>Auto PortugalSTATIONARY - OFFICE SUPPLIES</v>
          </cell>
          <cell r="B518">
            <v>31186.79</v>
          </cell>
          <cell r="C518">
            <v>111196.47</v>
          </cell>
          <cell r="D518">
            <v>77981.850000000006</v>
          </cell>
          <cell r="E518">
            <v>67860.800000000003</v>
          </cell>
          <cell r="F518">
            <v>288225.90999999997</v>
          </cell>
          <cell r="G518">
            <v>62179.492803000001</v>
          </cell>
          <cell r="H518">
            <v>62372.476951999997</v>
          </cell>
          <cell r="I518">
            <v>62745.287238999997</v>
          </cell>
          <cell r="J518">
            <v>63129.501135999999</v>
          </cell>
          <cell r="K518">
            <v>250426.75812899999</v>
          </cell>
          <cell r="L518">
            <v>62131.88</v>
          </cell>
          <cell r="M518">
            <v>260297.61920799999</v>
          </cell>
          <cell r="N518">
            <v>303583.10642600001</v>
          </cell>
          <cell r="O518">
            <v>357600.01223400002</v>
          </cell>
        </row>
        <row r="519">
          <cell r="A519" t="str">
            <v>Auto PortugalT&amp;L</v>
          </cell>
          <cell r="B519">
            <v>103426.04</v>
          </cell>
          <cell r="C519">
            <v>280246.49</v>
          </cell>
          <cell r="D519">
            <v>123927.3</v>
          </cell>
          <cell r="E519">
            <v>236635.51999999999</v>
          </cell>
          <cell r="F519">
            <v>744235.35</v>
          </cell>
          <cell r="G519">
            <v>166286.238262</v>
          </cell>
          <cell r="H519">
            <v>178653.46481899999</v>
          </cell>
          <cell r="I519">
            <v>174375.91797099999</v>
          </cell>
          <cell r="J519">
            <v>158777.151858</v>
          </cell>
          <cell r="K519">
            <v>678092.77291000006</v>
          </cell>
          <cell r="L519">
            <v>176448.58</v>
          </cell>
          <cell r="M519">
            <v>718096.51800100005</v>
          </cell>
          <cell r="N519">
            <v>831437.56932000001</v>
          </cell>
          <cell r="O519">
            <v>917144.99288899999</v>
          </cell>
        </row>
        <row r="520">
          <cell r="A520" t="str">
            <v>Auto PortugalRENTAL - BLDG/FACILITIES</v>
          </cell>
          <cell r="B520">
            <v>175952.93</v>
          </cell>
          <cell r="C520">
            <v>214811.65</v>
          </cell>
          <cell r="D520">
            <v>182874.52</v>
          </cell>
          <cell r="E520">
            <v>195013.26</v>
          </cell>
          <cell r="F520">
            <v>768652.36</v>
          </cell>
          <cell r="G520">
            <v>182712.12905399999</v>
          </cell>
          <cell r="H520">
            <v>90606.057948000001</v>
          </cell>
          <cell r="I520">
            <v>90606.057948000001</v>
          </cell>
          <cell r="J520">
            <v>90606.057948000001</v>
          </cell>
          <cell r="K520">
            <v>454530.30289699999</v>
          </cell>
          <cell r="L520">
            <v>186735.63</v>
          </cell>
          <cell r="M520">
            <v>781513.53481099999</v>
          </cell>
          <cell r="N520">
            <v>798784.55215400003</v>
          </cell>
          <cell r="O520">
            <v>814760.24319800001</v>
          </cell>
        </row>
        <row r="521">
          <cell r="A521" t="str">
            <v>Auto PortugalRENTAL - FURNITURE/EQUIP</v>
          </cell>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row>
        <row r="522">
          <cell r="A522" t="str">
            <v>Auto PortugalRENTAL - COMPUTERS</v>
          </cell>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row>
        <row r="523">
          <cell r="A523" t="str">
            <v>Auto PortugalLEASE IN - LEASE OUT</v>
          </cell>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row>
        <row r="524">
          <cell r="A524" t="str">
            <v>Auto PortugalFURNITURE / EQUIPMENT / COMPUTER EXP</v>
          </cell>
          <cell r="B524">
            <v>38085.93</v>
          </cell>
          <cell r="C524">
            <v>-90091.89</v>
          </cell>
          <cell r="D524">
            <v>0</v>
          </cell>
          <cell r="E524">
            <v>0</v>
          </cell>
          <cell r="F524">
            <v>-52005.96</v>
          </cell>
          <cell r="G524">
            <v>0</v>
          </cell>
          <cell r="H524">
            <v>0</v>
          </cell>
          <cell r="I524">
            <v>0</v>
          </cell>
          <cell r="J524">
            <v>0</v>
          </cell>
          <cell r="K524">
            <v>0</v>
          </cell>
          <cell r="L524">
            <v>0</v>
          </cell>
          <cell r="M524">
            <v>0</v>
          </cell>
          <cell r="N524">
            <v>0</v>
          </cell>
          <cell r="O524">
            <v>0</v>
          </cell>
        </row>
        <row r="525">
          <cell r="A525" t="str">
            <v>Auto PortugalSOFTWARE EXPENSE</v>
          </cell>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row>
        <row r="526">
          <cell r="A526" t="str">
            <v>Auto PortugalAMORTIZATION OF INTANGIBLES</v>
          </cell>
          <cell r="B526">
            <v>71758.759999999995</v>
          </cell>
          <cell r="C526">
            <v>123468.73</v>
          </cell>
          <cell r="D526">
            <v>114635.04</v>
          </cell>
          <cell r="E526">
            <v>246874.32</v>
          </cell>
          <cell r="F526">
            <v>556736.85</v>
          </cell>
          <cell r="G526">
            <v>319518.86765799997</v>
          </cell>
          <cell r="H526">
            <v>112022.49402699999</v>
          </cell>
          <cell r="I526">
            <v>66513.488714000006</v>
          </cell>
          <cell r="J526">
            <v>57074.809428</v>
          </cell>
          <cell r="K526">
            <v>555129.659828</v>
          </cell>
          <cell r="L526">
            <v>297791.15999999997</v>
          </cell>
          <cell r="M526">
            <v>457115.75409599999</v>
          </cell>
          <cell r="N526">
            <v>342644.79044399998</v>
          </cell>
          <cell r="O526">
            <v>375261.07671400002</v>
          </cell>
        </row>
        <row r="527">
          <cell r="A527" t="str">
            <v>Auto PortugalELTO MAINTENANCE</v>
          </cell>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row>
        <row r="528">
          <cell r="A528" t="str">
            <v>Auto PortugalELTO OTHER</v>
          </cell>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row>
        <row r="529">
          <cell r="A529" t="str">
            <v>Auto PortugalLEGAL</v>
          </cell>
          <cell r="B529">
            <v>13385.89</v>
          </cell>
          <cell r="C529">
            <v>-6756.35</v>
          </cell>
          <cell r="D529">
            <v>10000.379999999999</v>
          </cell>
          <cell r="E529">
            <v>5106.24</v>
          </cell>
          <cell r="F529">
            <v>21736.16</v>
          </cell>
          <cell r="G529">
            <v>28001.813612000002</v>
          </cell>
          <cell r="H529">
            <v>2625.2752220000002</v>
          </cell>
          <cell r="I529">
            <v>2625.2752220000002</v>
          </cell>
          <cell r="J529">
            <v>2625.2752220000002</v>
          </cell>
          <cell r="K529">
            <v>35877.639278000002</v>
          </cell>
          <cell r="L529">
            <v>27728.89</v>
          </cell>
          <cell r="M529">
            <v>26985.964599999999</v>
          </cell>
          <cell r="N529">
            <v>26985.964599999999</v>
          </cell>
          <cell r="O529">
            <v>26985.964599999999</v>
          </cell>
        </row>
        <row r="530">
          <cell r="A530" t="str">
            <v>Auto PortugalADVERTISING</v>
          </cell>
          <cell r="B530">
            <v>19731.29</v>
          </cell>
          <cell r="C530">
            <v>76286.39</v>
          </cell>
          <cell r="D530">
            <v>13392.05</v>
          </cell>
          <cell r="E530">
            <v>28795.52</v>
          </cell>
          <cell r="F530">
            <v>138205.25</v>
          </cell>
          <cell r="G530">
            <v>49368.854113000001</v>
          </cell>
          <cell r="H530">
            <v>49368.854113000001</v>
          </cell>
          <cell r="I530">
            <v>49395.170133</v>
          </cell>
          <cell r="J530">
            <v>49395.170133</v>
          </cell>
          <cell r="K530">
            <v>197528.048492</v>
          </cell>
          <cell r="L530">
            <v>33448.06</v>
          </cell>
          <cell r="M530">
            <v>125862.538894</v>
          </cell>
          <cell r="N530">
            <v>145238.461476</v>
          </cell>
          <cell r="O530">
            <v>163642.889333</v>
          </cell>
        </row>
        <row r="531">
          <cell r="A531" t="str">
            <v>Auto PortugalSALES PROMOTIONS</v>
          </cell>
          <cell r="B531">
            <v>59455.32</v>
          </cell>
          <cell r="C531">
            <v>29848.93</v>
          </cell>
          <cell r="D531">
            <v>44380.91</v>
          </cell>
          <cell r="E531">
            <v>141837.92000000001</v>
          </cell>
          <cell r="F531">
            <v>275523.08</v>
          </cell>
          <cell r="G531">
            <v>25938.824025000002</v>
          </cell>
          <cell r="H531">
            <v>35219.607190000002</v>
          </cell>
          <cell r="I531">
            <v>35263.467223</v>
          </cell>
          <cell r="J531">
            <v>66790.059561999995</v>
          </cell>
          <cell r="K531">
            <v>163211.95800000001</v>
          </cell>
          <cell r="L531">
            <v>80393.83</v>
          </cell>
          <cell r="M531">
            <v>351735.06259400002</v>
          </cell>
          <cell r="N531">
            <v>465112.09519899997</v>
          </cell>
          <cell r="O531">
            <v>470441.82320799999</v>
          </cell>
        </row>
        <row r="532">
          <cell r="A532" t="str">
            <v>Auto PortugalDIRECT MAIL</v>
          </cell>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row>
        <row r="533">
          <cell r="A533" t="str">
            <v>Auto PortugalDATA PROCESSING</v>
          </cell>
          <cell r="B533">
            <v>157662.67000000001</v>
          </cell>
          <cell r="C533">
            <v>306395.08</v>
          </cell>
          <cell r="D533">
            <v>144821.71</v>
          </cell>
          <cell r="E533">
            <v>344429.74</v>
          </cell>
          <cell r="F533">
            <v>953309.2</v>
          </cell>
          <cell r="G533">
            <v>278115.93084099999</v>
          </cell>
          <cell r="H533">
            <v>305847.45480200002</v>
          </cell>
          <cell r="I533">
            <v>289822.20896700001</v>
          </cell>
          <cell r="J533">
            <v>207145.82584100001</v>
          </cell>
          <cell r="K533">
            <v>1080931.4204510001</v>
          </cell>
          <cell r="L533">
            <v>234019.96</v>
          </cell>
          <cell r="M533">
            <v>1432838.7834910001</v>
          </cell>
          <cell r="N533">
            <v>1465854.2995209999</v>
          </cell>
          <cell r="O533">
            <v>1308633.065341</v>
          </cell>
        </row>
        <row r="534">
          <cell r="A534" t="str">
            <v>Auto PortugalCONSULTING</v>
          </cell>
          <cell r="B534">
            <v>34831.42</v>
          </cell>
          <cell r="C534">
            <v>130676.68</v>
          </cell>
          <cell r="D534">
            <v>218618.57</v>
          </cell>
          <cell r="E534">
            <v>92542.51</v>
          </cell>
          <cell r="F534">
            <v>476669.18</v>
          </cell>
          <cell r="G534">
            <v>82511.154746</v>
          </cell>
          <cell r="H534">
            <v>82511.154746</v>
          </cell>
          <cell r="I534">
            <v>82511.154746</v>
          </cell>
          <cell r="J534">
            <v>82511.154746</v>
          </cell>
          <cell r="K534">
            <v>330044.61898500001</v>
          </cell>
          <cell r="L534">
            <v>63202.400000000001</v>
          </cell>
          <cell r="M534">
            <v>241884.19602999999</v>
          </cell>
          <cell r="N534">
            <v>261368.06247100001</v>
          </cell>
          <cell r="O534">
            <v>255970.86955100001</v>
          </cell>
        </row>
        <row r="535">
          <cell r="A535" t="str">
            <v>Auto PortugalTEMP SERVICES</v>
          </cell>
          <cell r="B535">
            <v>15086.13</v>
          </cell>
          <cell r="C535">
            <v>65245.56</v>
          </cell>
          <cell r="D535">
            <v>27121.78</v>
          </cell>
          <cell r="E535">
            <v>44881.34</v>
          </cell>
          <cell r="F535">
            <v>152334.81</v>
          </cell>
          <cell r="G535">
            <v>64697.398852999999</v>
          </cell>
          <cell r="H535">
            <v>50757.170303999999</v>
          </cell>
          <cell r="I535">
            <v>38368.983336999998</v>
          </cell>
          <cell r="J535">
            <v>29224.885633000002</v>
          </cell>
          <cell r="K535">
            <v>183048.43812800001</v>
          </cell>
          <cell r="L535">
            <v>239992.85</v>
          </cell>
          <cell r="M535">
            <v>208511.55314100001</v>
          </cell>
          <cell r="N535">
            <v>204036.38067799999</v>
          </cell>
          <cell r="O535">
            <v>212231.11859500001</v>
          </cell>
        </row>
        <row r="536">
          <cell r="A536" t="str">
            <v>Auto PortugalGDC CHARGES</v>
          </cell>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row>
        <row r="537">
          <cell r="A537" t="str">
            <v>Auto PortugalTRAINING AND EDUCATION</v>
          </cell>
          <cell r="B537">
            <v>0</v>
          </cell>
          <cell r="C537">
            <v>0</v>
          </cell>
          <cell r="D537">
            <v>0</v>
          </cell>
          <cell r="E537">
            <v>0</v>
          </cell>
          <cell r="F537">
            <v>0</v>
          </cell>
          <cell r="G537">
            <v>47269.274292000002</v>
          </cell>
          <cell r="H537">
            <v>31304.221967000001</v>
          </cell>
          <cell r="I537">
            <v>29769.120782000002</v>
          </cell>
          <cell r="J537">
            <v>31304.221967000001</v>
          </cell>
          <cell r="K537">
            <v>139646.839007</v>
          </cell>
          <cell r="L537">
            <v>0</v>
          </cell>
          <cell r="M537">
            <v>175408.76989900001</v>
          </cell>
          <cell r="N537">
            <v>228031.400868</v>
          </cell>
          <cell r="O537">
            <v>296440.82112899999</v>
          </cell>
        </row>
        <row r="538">
          <cell r="A538" t="str">
            <v>Auto PortugalOUTSIDE SERVICES  AND FEES</v>
          </cell>
          <cell r="B538">
            <v>81578.45</v>
          </cell>
          <cell r="C538">
            <v>367964.93</v>
          </cell>
          <cell r="D538">
            <v>380891.94</v>
          </cell>
          <cell r="E538">
            <v>564726.97</v>
          </cell>
          <cell r="F538">
            <v>1395162.29</v>
          </cell>
          <cell r="G538">
            <v>449922.55535799998</v>
          </cell>
          <cell r="H538">
            <v>365162.17627699999</v>
          </cell>
          <cell r="I538">
            <v>338180.62564599997</v>
          </cell>
          <cell r="J538">
            <v>288575.36468499998</v>
          </cell>
          <cell r="K538">
            <v>1441840.721967</v>
          </cell>
          <cell r="L538">
            <v>341328.55</v>
          </cell>
          <cell r="M538">
            <v>860024.49803300004</v>
          </cell>
          <cell r="N538">
            <v>1082171.9956380001</v>
          </cell>
          <cell r="O538">
            <v>1092260.5265500001</v>
          </cell>
        </row>
        <row r="539">
          <cell r="A539" t="str">
            <v>Auto PortugalSTATE, FOREIGN, LOCAL TAXES</v>
          </cell>
          <cell r="B539">
            <v>14750.3</v>
          </cell>
          <cell r="C539">
            <v>124511.8</v>
          </cell>
          <cell r="D539">
            <v>25590.76</v>
          </cell>
          <cell r="E539">
            <v>109617.60000000001</v>
          </cell>
          <cell r="F539">
            <v>274470.46000000002</v>
          </cell>
          <cell r="G539">
            <v>138363.344296</v>
          </cell>
          <cell r="H539">
            <v>81436.408479999998</v>
          </cell>
          <cell r="I539">
            <v>81652.243631999998</v>
          </cell>
          <cell r="J539">
            <v>81813.232938000001</v>
          </cell>
          <cell r="K539">
            <v>383265.22934700001</v>
          </cell>
          <cell r="L539">
            <v>140987.20000000001</v>
          </cell>
          <cell r="M539">
            <v>445268.415897</v>
          </cell>
          <cell r="N539">
            <v>489795.25748700002</v>
          </cell>
          <cell r="O539">
            <v>538774.78323499998</v>
          </cell>
        </row>
        <row r="540">
          <cell r="A540" t="str">
            <v>Auto PortugalS/L TAX - INSURANCE PREMIUMS</v>
          </cell>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row>
        <row r="541">
          <cell r="A541" t="str">
            <v>Auto PortugalSATELLITE LEASE EXPENSE</v>
          </cell>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row>
        <row r="542">
          <cell r="A542" t="str">
            <v>Auto PortugalBUSINESS SHARE EXPENSE</v>
          </cell>
          <cell r="B542">
            <v>-40167</v>
          </cell>
          <cell r="C542">
            <v>-40656</v>
          </cell>
          <cell r="D542">
            <v>-42490</v>
          </cell>
          <cell r="E542">
            <v>-44685</v>
          </cell>
          <cell r="F542">
            <v>-167998</v>
          </cell>
          <cell r="G542">
            <v>588.20950300000004</v>
          </cell>
          <cell r="H542">
            <v>-1426.2488209999999</v>
          </cell>
          <cell r="I542">
            <v>-2461.0555789999999</v>
          </cell>
          <cell r="J542">
            <v>-3333.6727569999998</v>
          </cell>
          <cell r="K542">
            <v>-6632.7676540000002</v>
          </cell>
          <cell r="L542">
            <v>588</v>
          </cell>
          <cell r="M542">
            <v>-185371.84633</v>
          </cell>
          <cell r="N542">
            <v>-187019.94244499999</v>
          </cell>
          <cell r="O542">
            <v>-175680.39767100001</v>
          </cell>
        </row>
        <row r="543">
          <cell r="A543" t="str">
            <v>Auto PortugalINSURANCE AFFILIATE EXPENSE</v>
          </cell>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row>
        <row r="544">
          <cell r="A544" t="str">
            <v>Auto PortugalOTHER FACILITY EXPENSE</v>
          </cell>
          <cell r="B544">
            <v>47861.599999999999</v>
          </cell>
          <cell r="C544">
            <v>59590.21</v>
          </cell>
          <cell r="D544">
            <v>62309.64</v>
          </cell>
          <cell r="E544">
            <v>103720.75</v>
          </cell>
          <cell r="F544">
            <v>273482.2</v>
          </cell>
          <cell r="G544">
            <v>67739.853908999998</v>
          </cell>
          <cell r="H544">
            <v>69052.491467999993</v>
          </cell>
          <cell r="I544">
            <v>69052.491467999993</v>
          </cell>
          <cell r="J544">
            <v>69052.491467999993</v>
          </cell>
          <cell r="K544">
            <v>274897.32831399998</v>
          </cell>
          <cell r="L544">
            <v>65860.97</v>
          </cell>
          <cell r="M544">
            <v>181669.51368599999</v>
          </cell>
          <cell r="N544">
            <v>185285.632942</v>
          </cell>
          <cell r="O544">
            <v>189063.66798599999</v>
          </cell>
        </row>
        <row r="545">
          <cell r="A545" t="str">
            <v>Auto PortugalGROSS OP &amp; ADMIN BUS SHARE</v>
          </cell>
          <cell r="B545">
            <v>-128450</v>
          </cell>
          <cell r="C545">
            <v>-143045</v>
          </cell>
          <cell r="D545">
            <v>-171033</v>
          </cell>
          <cell r="E545">
            <v>-238840</v>
          </cell>
          <cell r="F545">
            <v>-681368</v>
          </cell>
          <cell r="G545">
            <v>-225356.988694</v>
          </cell>
          <cell r="H545">
            <v>-180701.44376600001</v>
          </cell>
          <cell r="I545">
            <v>-181064.25221000001</v>
          </cell>
          <cell r="J545">
            <v>-166202.30655000001</v>
          </cell>
          <cell r="K545">
            <v>-753324.99121899996</v>
          </cell>
          <cell r="L545">
            <v>-225345</v>
          </cell>
          <cell r="M545">
            <v>-787876.71362399997</v>
          </cell>
          <cell r="N545">
            <v>-882978.96051100001</v>
          </cell>
          <cell r="O545">
            <v>-988579.90706500004</v>
          </cell>
        </row>
        <row r="546">
          <cell r="A546" t="str">
            <v>Auto PortugalOTHER EXPENSE</v>
          </cell>
          <cell r="B546">
            <v>44823.15</v>
          </cell>
          <cell r="C546">
            <v>134132.5</v>
          </cell>
          <cell r="D546">
            <v>49158.35</v>
          </cell>
          <cell r="E546">
            <v>204391.79</v>
          </cell>
          <cell r="F546">
            <v>432505.79</v>
          </cell>
          <cell r="G546">
            <v>8750.9170620000004</v>
          </cell>
          <cell r="H546">
            <v>8750.9170620000004</v>
          </cell>
          <cell r="I546">
            <v>8750.9170620000004</v>
          </cell>
          <cell r="J546">
            <v>8750.9170620000004</v>
          </cell>
          <cell r="K546">
            <v>35003.668247000001</v>
          </cell>
          <cell r="L546">
            <v>46840.35</v>
          </cell>
          <cell r="M546">
            <v>35981.286133000001</v>
          </cell>
          <cell r="N546">
            <v>35981.286133000001</v>
          </cell>
          <cell r="O546">
            <v>35981.286133000001</v>
          </cell>
        </row>
        <row r="547">
          <cell r="A547" t="str">
            <v>Auto PortugalGECC INTERCO EXPENSES EXCL GECIS</v>
          </cell>
          <cell r="B547">
            <v>127180.76</v>
          </cell>
          <cell r="C547">
            <v>118522.88</v>
          </cell>
          <cell r="D547">
            <v>459191.34</v>
          </cell>
          <cell r="E547">
            <v>-82674.679999999993</v>
          </cell>
          <cell r="F547">
            <v>622220.30000000005</v>
          </cell>
          <cell r="G547">
            <v>16846.101881999999</v>
          </cell>
          <cell r="H547">
            <v>17187.339305000001</v>
          </cell>
          <cell r="I547">
            <v>17727.376812999999</v>
          </cell>
          <cell r="J547">
            <v>18199.331647999999</v>
          </cell>
          <cell r="K547">
            <v>69960.149648000006</v>
          </cell>
          <cell r="L547">
            <v>-139014.69</v>
          </cell>
          <cell r="M547">
            <v>675517.599025</v>
          </cell>
          <cell r="N547">
            <v>797076.68139000004</v>
          </cell>
          <cell r="O547">
            <v>913258.86114299996</v>
          </cell>
        </row>
        <row r="548">
          <cell r="A548" t="str">
            <v>Auto PortugalGECIS INTERCO CHARGES</v>
          </cell>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row>
        <row r="549">
          <cell r="A549" t="str">
            <v>Auto PortugalLOSS ADJUSTED EXPENSE</v>
          </cell>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row>
        <row r="550">
          <cell r="A550" t="str">
            <v>Auto PortugalALL OTHER EXPENSES</v>
          </cell>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row>
        <row r="551">
          <cell r="A551" t="str">
            <v>Auto PortugalASSESSMENTS</v>
          </cell>
          <cell r="B551">
            <v>339710.24</v>
          </cell>
          <cell r="C551">
            <v>261419.75</v>
          </cell>
          <cell r="D551">
            <v>176354.42</v>
          </cell>
          <cell r="E551">
            <v>174402.79</v>
          </cell>
          <cell r="F551">
            <v>951887.2</v>
          </cell>
          <cell r="G551">
            <v>334779.03322400001</v>
          </cell>
          <cell r="H551">
            <v>334779.01032</v>
          </cell>
          <cell r="I551">
            <v>334778.99005299999</v>
          </cell>
          <cell r="J551">
            <v>334778.96563400002</v>
          </cell>
          <cell r="K551">
            <v>1339115.999232</v>
          </cell>
          <cell r="L551">
            <v>275658.05</v>
          </cell>
          <cell r="M551">
            <v>1440061.684381</v>
          </cell>
          <cell r="N551">
            <v>1659032.1699039999</v>
          </cell>
          <cell r="O551">
            <v>1849909.9143459999</v>
          </cell>
        </row>
        <row r="552">
          <cell r="A552" t="str">
            <v>Auto PortugalFAS 91</v>
          </cell>
          <cell r="B552">
            <v>-464688.67</v>
          </cell>
          <cell r="C552">
            <v>-464686.56</v>
          </cell>
          <cell r="D552">
            <v>-434602.57</v>
          </cell>
          <cell r="E552">
            <v>-356536.43</v>
          </cell>
          <cell r="F552">
            <v>-1720514.23</v>
          </cell>
          <cell r="G552">
            <v>-294713.05848800001</v>
          </cell>
          <cell r="H552">
            <v>-333025.11254900001</v>
          </cell>
          <cell r="I552">
            <v>-363461.956939</v>
          </cell>
          <cell r="J552">
            <v>-352060.551485</v>
          </cell>
          <cell r="K552">
            <v>-1343260.679461</v>
          </cell>
          <cell r="L552">
            <v>-323288.23</v>
          </cell>
          <cell r="M552">
            <v>-2107255.9568019998</v>
          </cell>
          <cell r="N552">
            <v>-2440377.0880419998</v>
          </cell>
          <cell r="O552">
            <v>-2763799.2027639998</v>
          </cell>
        </row>
        <row r="553">
          <cell r="A553" t="str">
            <v>Auto PortugalGOODWILL AMORTIZATION</v>
          </cell>
          <cell r="B553">
            <v>630961.57999999996</v>
          </cell>
          <cell r="C553">
            <v>626195.4</v>
          </cell>
          <cell r="D553">
            <v>599447.05000000005</v>
          </cell>
          <cell r="E553">
            <v>630534.48</v>
          </cell>
          <cell r="F553">
            <v>2487138.5099999998</v>
          </cell>
          <cell r="G553">
            <v>0</v>
          </cell>
          <cell r="H553">
            <v>0</v>
          </cell>
          <cell r="I553">
            <v>0</v>
          </cell>
          <cell r="J553">
            <v>0</v>
          </cell>
          <cell r="K553">
            <v>0</v>
          </cell>
          <cell r="L553">
            <v>-6.21</v>
          </cell>
          <cell r="M553">
            <v>2503486.0648980001</v>
          </cell>
          <cell r="N553">
            <v>2503486.0648980001</v>
          </cell>
          <cell r="O553">
            <v>2503486.0648980001</v>
          </cell>
        </row>
        <row r="554">
          <cell r="A554" t="str">
            <v>Auto PortugalDEPRECIATION EXPENSE</v>
          </cell>
          <cell r="B554">
            <v>217471.68</v>
          </cell>
          <cell r="C554">
            <v>156756.28</v>
          </cell>
          <cell r="D554">
            <v>164930.6</v>
          </cell>
          <cell r="E554">
            <v>150961.60999999999</v>
          </cell>
          <cell r="F554">
            <v>690120.17</v>
          </cell>
          <cell r="G554">
            <v>227037.34785399999</v>
          </cell>
          <cell r="H554">
            <v>137335.317347</v>
          </cell>
          <cell r="I554">
            <v>130800.44824</v>
          </cell>
          <cell r="J554">
            <v>122431.95378</v>
          </cell>
          <cell r="K554">
            <v>617605.06722199998</v>
          </cell>
          <cell r="L554">
            <v>229646.28</v>
          </cell>
          <cell r="M554">
            <v>629639.52448300004</v>
          </cell>
          <cell r="N554">
            <v>466803.215647</v>
          </cell>
          <cell r="O554">
            <v>297397.32365199999</v>
          </cell>
        </row>
        <row r="555">
          <cell r="A555" t="str">
            <v>Auto PortugalELTO AMORTIZATION</v>
          </cell>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row>
        <row r="556">
          <cell r="A556" t="str">
            <v>Auto PortugalINSURANCE LOSSES AND BENEFITS</v>
          </cell>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row>
        <row r="557">
          <cell r="A557" t="str">
            <v>Auto PortugalWRITE OFFS</v>
          </cell>
          <cell r="B557">
            <v>645067.81999999995</v>
          </cell>
          <cell r="C557">
            <v>934444.15</v>
          </cell>
          <cell r="D557">
            <v>893841.08</v>
          </cell>
          <cell r="E557">
            <v>7414505.1100000003</v>
          </cell>
          <cell r="F557">
            <v>9887858.1600000001</v>
          </cell>
          <cell r="G557">
            <v>882446.56649799994</v>
          </cell>
          <cell r="H557">
            <v>744419.17220999999</v>
          </cell>
          <cell r="I557">
            <v>806544.28755300003</v>
          </cell>
          <cell r="J557">
            <v>729712.10210699996</v>
          </cell>
          <cell r="K557">
            <v>3163122.1283689998</v>
          </cell>
          <cell r="L557">
            <v>646339.72</v>
          </cell>
          <cell r="M557">
            <v>4810767.1057850001</v>
          </cell>
          <cell r="N557">
            <v>7012870.9826849997</v>
          </cell>
          <cell r="O557">
            <v>8586281.8489180002</v>
          </cell>
        </row>
        <row r="558">
          <cell r="A558" t="str">
            <v>Auto PortugalRESERVE CHANGE</v>
          </cell>
          <cell r="B558">
            <v>27120.880000000001</v>
          </cell>
          <cell r="C558">
            <v>-135160.60999999999</v>
          </cell>
          <cell r="D558">
            <v>212235.23</v>
          </cell>
          <cell r="E558">
            <v>1463602.32</v>
          </cell>
          <cell r="F558">
            <v>1567797.82</v>
          </cell>
          <cell r="G558">
            <v>0</v>
          </cell>
          <cell r="H558">
            <v>0</v>
          </cell>
          <cell r="I558">
            <v>0</v>
          </cell>
          <cell r="J558">
            <v>0</v>
          </cell>
          <cell r="K558">
            <v>0</v>
          </cell>
          <cell r="L558">
            <v>390904.86</v>
          </cell>
          <cell r="M558">
            <v>0</v>
          </cell>
          <cell r="N558">
            <v>0</v>
          </cell>
          <cell r="O558">
            <v>0</v>
          </cell>
        </row>
        <row r="559">
          <cell r="A559" t="str">
            <v>Auto PortugalMINORITY INTEREST</v>
          </cell>
          <cell r="B559">
            <v>58313.07</v>
          </cell>
          <cell r="C559">
            <v>40295.39</v>
          </cell>
          <cell r="D559">
            <v>47289.95</v>
          </cell>
          <cell r="E559">
            <v>-351897.98</v>
          </cell>
          <cell r="F559">
            <v>-205999.57</v>
          </cell>
          <cell r="G559">
            <v>11248.922974999999</v>
          </cell>
          <cell r="H559">
            <v>67449.546982999993</v>
          </cell>
          <cell r="I559">
            <v>97003.291524</v>
          </cell>
          <cell r="J559">
            <v>66819.970707</v>
          </cell>
          <cell r="K559">
            <v>242521.73218799999</v>
          </cell>
          <cell r="L559">
            <v>53602.86</v>
          </cell>
          <cell r="M559">
            <v>345381.99112000002</v>
          </cell>
          <cell r="N559">
            <v>460555.08214999997</v>
          </cell>
          <cell r="O559">
            <v>619381.29368899995</v>
          </cell>
        </row>
        <row r="560">
          <cell r="A560" t="str">
            <v>Auto PortugalINCOME TAXES</v>
          </cell>
          <cell r="B560">
            <v>298823.90000000002</v>
          </cell>
          <cell r="C560">
            <v>310959</v>
          </cell>
          <cell r="D560">
            <v>219728.09</v>
          </cell>
          <cell r="E560">
            <v>-3636489.48</v>
          </cell>
          <cell r="F560">
            <v>-2806978.49</v>
          </cell>
          <cell r="G560">
            <v>154870.99099699999</v>
          </cell>
          <cell r="H560">
            <v>739136.98116800003</v>
          </cell>
          <cell r="I560">
            <v>1046770.012063</v>
          </cell>
          <cell r="J560">
            <v>713529.58178100002</v>
          </cell>
          <cell r="K560">
            <v>2654307.5660089999</v>
          </cell>
          <cell r="L560">
            <v>118119.96</v>
          </cell>
          <cell r="M560">
            <v>2917645.642953</v>
          </cell>
          <cell r="N560">
            <v>4083603.6635130001</v>
          </cell>
          <cell r="O560">
            <v>5781036.2633490004</v>
          </cell>
        </row>
        <row r="561">
          <cell r="A561" t="str">
            <v>Auto PortugalCUMULATIVE TRANSITION ADJUSTMENT</v>
          </cell>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row>
        <row r="562">
          <cell r="A562" t="str">
            <v>Auto PortugalASIA PACIFIC NI DIVIDEND</v>
          </cell>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row>
        <row r="563">
          <cell r="A563" t="str">
            <v>Auto PortugalNet Income</v>
          </cell>
          <cell r="B563">
            <v>-770334.62</v>
          </cell>
          <cell r="C563">
            <v>-451338.86</v>
          </cell>
          <cell r="D563">
            <v>-267931.84999999998</v>
          </cell>
          <cell r="E563">
            <v>6731642.7000000002</v>
          </cell>
          <cell r="F563">
            <v>5242037.37</v>
          </cell>
          <cell r="G563">
            <v>-197213.221418</v>
          </cell>
          <cell r="H563">
            <v>-1226001.1781059999</v>
          </cell>
          <cell r="I563">
            <v>-1767355.0431570001</v>
          </cell>
          <cell r="J563">
            <v>-1176030.928814</v>
          </cell>
          <cell r="K563">
            <v>-4366600.3714950001</v>
          </cell>
          <cell r="L563">
            <v>-216839.7</v>
          </cell>
          <cell r="M563">
            <v>-4715797.6237359997</v>
          </cell>
          <cell r="N563">
            <v>-6719431.4921159996</v>
          </cell>
          <cell r="O563">
            <v>-9663010.9970500004</v>
          </cell>
        </row>
        <row r="564">
          <cell r="A564" t="str">
            <v>Auto PortugalSubPart F</v>
          </cell>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row>
        <row r="565">
          <cell r="A565" t="str">
            <v>Auto PortugalAssets</v>
          </cell>
          <cell r="B565">
            <v>443374151.89999998</v>
          </cell>
          <cell r="C565">
            <v>422174529.54000002</v>
          </cell>
          <cell r="D565">
            <v>475650318.25</v>
          </cell>
          <cell r="E565">
            <v>473106645.82999998</v>
          </cell>
          <cell r="F565">
            <v>473106645.82999998</v>
          </cell>
          <cell r="G565">
            <v>458546344.51227301</v>
          </cell>
          <cell r="H565">
            <v>464227115.483024</v>
          </cell>
          <cell r="I565">
            <v>476277596.133973</v>
          </cell>
          <cell r="J565">
            <v>484373169.461344</v>
          </cell>
          <cell r="K565">
            <v>484373169.461344</v>
          </cell>
          <cell r="L565">
            <v>463771414.89999998</v>
          </cell>
          <cell r="M565">
            <v>593908439.43546295</v>
          </cell>
          <cell r="N565">
            <v>674327748.90314496</v>
          </cell>
          <cell r="O565">
            <v>747622207.43715203</v>
          </cell>
        </row>
        <row r="566">
          <cell r="A566" t="str">
            <v>Auto PortugalEnding Net Investment (ENI) incl Asia</v>
          </cell>
          <cell r="B566">
            <v>418310067.66000003</v>
          </cell>
          <cell r="C566">
            <v>407329323.67000002</v>
          </cell>
          <cell r="D566">
            <v>456352994.24000001</v>
          </cell>
          <cell r="E566">
            <v>458517185.32999998</v>
          </cell>
          <cell r="F566">
            <v>458517185.32999998</v>
          </cell>
          <cell r="G566">
            <v>448148003.84482902</v>
          </cell>
          <cell r="H566">
            <v>453165635.73269302</v>
          </cell>
          <cell r="I566">
            <v>464109109.32086903</v>
          </cell>
          <cell r="J566">
            <v>471578616.98098999</v>
          </cell>
          <cell r="K566">
            <v>471578616.98098999</v>
          </cell>
          <cell r="L566">
            <v>448654933.35000002</v>
          </cell>
          <cell r="M566">
            <v>564388939.26686001</v>
          </cell>
          <cell r="N566">
            <v>640213296.56772804</v>
          </cell>
          <cell r="O566">
            <v>706614018.83116305</v>
          </cell>
        </row>
        <row r="567">
          <cell r="A567" t="str">
            <v>Auto PortugalANR YTD</v>
          </cell>
          <cell r="B567">
            <v>349439160.02499998</v>
          </cell>
          <cell r="C567">
            <v>348863857.62666702</v>
          </cell>
          <cell r="D567">
            <v>359939499.61750001</v>
          </cell>
          <cell r="E567">
            <v>367933538.86400002</v>
          </cell>
          <cell r="F567">
            <v>367933538.86400002</v>
          </cell>
          <cell r="G567">
            <v>396371465.86314201</v>
          </cell>
          <cell r="H567">
            <v>397273057.25110698</v>
          </cell>
          <cell r="I567">
            <v>400612129.875615</v>
          </cell>
          <cell r="J567">
            <v>404421306.16330898</v>
          </cell>
          <cell r="K567">
            <v>404421306.16330898</v>
          </cell>
          <cell r="L567">
            <v>401690202.63</v>
          </cell>
          <cell r="M567">
            <v>189151207.91047901</v>
          </cell>
          <cell r="N567">
            <v>223144570.073686</v>
          </cell>
          <cell r="O567">
            <v>255807309.166381</v>
          </cell>
        </row>
        <row r="568">
          <cell r="A568" t="str">
            <v>Auto PortugalASA YTD</v>
          </cell>
          <cell r="B568">
            <v>349439160.02499998</v>
          </cell>
          <cell r="C568">
            <v>348863857.62666702</v>
          </cell>
          <cell r="D568">
            <v>359939499.61750001</v>
          </cell>
          <cell r="E568">
            <v>367933538.86400002</v>
          </cell>
          <cell r="F568">
            <v>367933538.86400002</v>
          </cell>
          <cell r="G568">
            <v>396371465.86314201</v>
          </cell>
          <cell r="H568">
            <v>397273057.25110698</v>
          </cell>
          <cell r="I568">
            <v>400612129.875615</v>
          </cell>
          <cell r="J568">
            <v>404421306.16330898</v>
          </cell>
          <cell r="K568">
            <v>404421306.16330898</v>
          </cell>
          <cell r="L568">
            <v>401690202.63</v>
          </cell>
          <cell r="M568">
            <v>189151207.91047901</v>
          </cell>
          <cell r="N568">
            <v>223144570.073686</v>
          </cell>
          <cell r="O568">
            <v>255807309.166381</v>
          </cell>
        </row>
        <row r="569">
          <cell r="A569" t="str">
            <v>Auto PortugalANI YTD incl Asia - 5 pt</v>
          </cell>
          <cell r="B569">
            <v>410454357.36500001</v>
          </cell>
          <cell r="C569">
            <v>409412679.466667</v>
          </cell>
          <cell r="D569">
            <v>421147758.16000003</v>
          </cell>
          <cell r="E569">
            <v>428621643.59399998</v>
          </cell>
          <cell r="F569">
            <v>428621643.59399998</v>
          </cell>
          <cell r="G569">
            <v>453332594.58741403</v>
          </cell>
          <cell r="H569">
            <v>453276941.63584101</v>
          </cell>
          <cell r="I569">
            <v>455984983.55709797</v>
          </cell>
          <cell r="J569">
            <v>459103710.24187601</v>
          </cell>
          <cell r="K569">
            <v>459103710.24187601</v>
          </cell>
          <cell r="L569">
            <v>453586059.33999997</v>
          </cell>
          <cell r="M569">
            <v>209075647.04070801</v>
          </cell>
          <cell r="N569">
            <v>240920447.16691801</v>
          </cell>
          <cell r="O569">
            <v>269365463.07977802</v>
          </cell>
        </row>
        <row r="570">
          <cell r="A570" t="str">
            <v>Auto PortugalOff Balance Sheet Assets</v>
          </cell>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row>
        <row r="571">
          <cell r="A571" t="str">
            <v>Auto PortugalJV Receivables</v>
          </cell>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row>
        <row r="572">
          <cell r="A572" t="str">
            <v>Auto Portugal30+ DELINQUENCY $</v>
          </cell>
          <cell r="B572">
            <v>11954028.550000001</v>
          </cell>
          <cell r="C572">
            <v>13734673.449999999</v>
          </cell>
          <cell r="D572">
            <v>14250146.289999999</v>
          </cell>
          <cell r="E572">
            <v>13670864.85</v>
          </cell>
          <cell r="F572">
            <v>13670864.85</v>
          </cell>
          <cell r="G572">
            <v>12125534.648817999</v>
          </cell>
          <cell r="H572">
            <v>12194576.304643</v>
          </cell>
          <cell r="I572">
            <v>12535815.413546</v>
          </cell>
          <cell r="J572">
            <v>12952939.773945</v>
          </cell>
          <cell r="K572">
            <v>12952939.773945</v>
          </cell>
          <cell r="L572">
            <v>23584000</v>
          </cell>
          <cell r="M572">
            <v>22407483.154256001</v>
          </cell>
          <cell r="N572">
            <v>29350721.939196002</v>
          </cell>
          <cell r="O572">
            <v>36614474.484636001</v>
          </cell>
        </row>
        <row r="573">
          <cell r="A573" t="str">
            <v>Auto Portugal90+ DELINQUENCY $</v>
          </cell>
          <cell r="B573">
            <v>3103110.66</v>
          </cell>
          <cell r="C573">
            <v>3233733.25</v>
          </cell>
          <cell r="D573">
            <v>3415663.5</v>
          </cell>
          <cell r="E573">
            <v>4317271.97</v>
          </cell>
          <cell r="F573">
            <v>4317271.97</v>
          </cell>
          <cell r="G573">
            <v>3089653.0558819999</v>
          </cell>
          <cell r="H573">
            <v>3061143.1300300001</v>
          </cell>
          <cell r="I573">
            <v>3117163.2781770001</v>
          </cell>
          <cell r="J573">
            <v>3246173.302997</v>
          </cell>
          <cell r="K573">
            <v>3246173.302997</v>
          </cell>
          <cell r="L573">
            <v>5216000</v>
          </cell>
          <cell r="M573">
            <v>4930722.0424370002</v>
          </cell>
          <cell r="N573">
            <v>6351871.5641569998</v>
          </cell>
          <cell r="O573">
            <v>7831972.0066600004</v>
          </cell>
        </row>
        <row r="574">
          <cell r="A574" t="str">
            <v>Auto PortugalTemporary Staff</v>
          </cell>
          <cell r="B574">
            <v>0</v>
          </cell>
          <cell r="C574">
            <v>20</v>
          </cell>
          <cell r="D574">
            <v>22.7</v>
          </cell>
          <cell r="E574">
            <v>19</v>
          </cell>
          <cell r="F574">
            <v>19</v>
          </cell>
          <cell r="G574">
            <v>21.5</v>
          </cell>
          <cell r="H574">
            <v>13.5</v>
          </cell>
          <cell r="I574">
            <v>13.5</v>
          </cell>
          <cell r="J574">
            <v>11.5</v>
          </cell>
          <cell r="K574">
            <v>11.5</v>
          </cell>
          <cell r="L574">
            <v>9</v>
          </cell>
          <cell r="M574">
            <v>9</v>
          </cell>
          <cell r="N574">
            <v>9</v>
          </cell>
          <cell r="O574">
            <v>9</v>
          </cell>
        </row>
        <row r="575">
          <cell r="A575" t="str">
            <v>Auto PortugalContractors</v>
          </cell>
          <cell r="B575">
            <v>0</v>
          </cell>
          <cell r="C575">
            <v>35.5</v>
          </cell>
          <cell r="D575">
            <v>31.5</v>
          </cell>
          <cell r="E575">
            <v>31.5</v>
          </cell>
          <cell r="F575">
            <v>31.5</v>
          </cell>
          <cell r="G575">
            <v>53</v>
          </cell>
          <cell r="H575">
            <v>51</v>
          </cell>
          <cell r="I575">
            <v>46.5</v>
          </cell>
          <cell r="J575">
            <v>44</v>
          </cell>
          <cell r="K575">
            <v>44</v>
          </cell>
          <cell r="L575">
            <v>58.5</v>
          </cell>
          <cell r="M575">
            <v>31</v>
          </cell>
          <cell r="N575">
            <v>41</v>
          </cell>
          <cell r="O575">
            <v>51</v>
          </cell>
        </row>
        <row r="576">
          <cell r="A576" t="str">
            <v>Auto PortugalOutsourced to LCC</v>
          </cell>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row>
        <row r="577">
          <cell r="A577" t="str">
            <v>Auto PortugalTotal Headcount</v>
          </cell>
          <cell r="B577">
            <v>179</v>
          </cell>
          <cell r="C577">
            <v>168</v>
          </cell>
          <cell r="D577">
            <v>169</v>
          </cell>
          <cell r="E577">
            <v>172</v>
          </cell>
          <cell r="F577">
            <v>172</v>
          </cell>
          <cell r="G577">
            <v>172</v>
          </cell>
          <cell r="H577">
            <v>172</v>
          </cell>
          <cell r="I577">
            <v>172</v>
          </cell>
          <cell r="J577">
            <v>172</v>
          </cell>
          <cell r="K577">
            <v>172</v>
          </cell>
          <cell r="L577">
            <v>172</v>
          </cell>
          <cell r="M577">
            <v>184</v>
          </cell>
          <cell r="N577">
            <v>197</v>
          </cell>
          <cell r="O577">
            <v>205</v>
          </cell>
        </row>
        <row r="578">
          <cell r="A578" t="str">
            <v>Auto PortugalTotal Workforce</v>
          </cell>
          <cell r="B578">
            <v>179</v>
          </cell>
          <cell r="C578">
            <v>223.5</v>
          </cell>
          <cell r="D578">
            <v>223.2</v>
          </cell>
          <cell r="E578">
            <v>222.5</v>
          </cell>
          <cell r="F578">
            <v>222.5</v>
          </cell>
          <cell r="G578">
            <v>246.5</v>
          </cell>
          <cell r="H578">
            <v>236.5</v>
          </cell>
          <cell r="I578">
            <v>232</v>
          </cell>
          <cell r="J578">
            <v>227.5</v>
          </cell>
          <cell r="K578">
            <v>227.5</v>
          </cell>
          <cell r="L578">
            <v>239.5</v>
          </cell>
          <cell r="M578">
            <v>224</v>
          </cell>
          <cell r="N578">
            <v>247</v>
          </cell>
          <cell r="O578">
            <v>265</v>
          </cell>
        </row>
        <row r="579">
          <cell r="A579" t="str">
            <v>Auto PortugalTotal Earned Revenue</v>
          </cell>
          <cell r="B579">
            <v>-9409437.6799999997</v>
          </cell>
          <cell r="C579">
            <v>-10116729.43</v>
          </cell>
          <cell r="D579">
            <v>-9784502.4499999993</v>
          </cell>
          <cell r="E579">
            <v>-7368915.8799999999</v>
          </cell>
          <cell r="F579">
            <v>-36679585.439999998</v>
          </cell>
          <cell r="G579">
            <v>-9083888.6002840009</v>
          </cell>
          <cell r="H579">
            <v>-10103411.825626999</v>
          </cell>
          <cell r="I579">
            <v>-10980434.808877001</v>
          </cell>
          <cell r="J579">
            <v>-9916767.4637180008</v>
          </cell>
          <cell r="K579">
            <v>-40084502.698505998</v>
          </cell>
          <cell r="L579">
            <v>-9129807.8699999992</v>
          </cell>
          <cell r="M579">
            <v>-49730331.962242998</v>
          </cell>
          <cell r="N579">
            <v>-59856729.948009998</v>
          </cell>
          <cell r="O579">
            <v>-70079489.972728997</v>
          </cell>
        </row>
        <row r="580">
          <cell r="A580" t="str">
            <v>Auto PortugalOrdinary Gains - PreTax</v>
          </cell>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row>
        <row r="581">
          <cell r="A581" t="str">
            <v>Auto PortugalOrdinary Gains - AfterTax</v>
          </cell>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row>
        <row r="582">
          <cell r="A582" t="str">
            <v>Auto PortugalTotal Volume</v>
          </cell>
          <cell r="B582">
            <v>48645000</v>
          </cell>
          <cell r="C582">
            <v>51589640</v>
          </cell>
          <cell r="D582">
            <v>54725295</v>
          </cell>
          <cell r="E582">
            <v>57216061.43</v>
          </cell>
          <cell r="F582">
            <v>212175996.43000001</v>
          </cell>
          <cell r="G582">
            <v>42662051.128105</v>
          </cell>
          <cell r="H582">
            <v>47833125.214204997</v>
          </cell>
          <cell r="I582">
            <v>53075712.699763</v>
          </cell>
          <cell r="J582">
            <v>50390769.324932002</v>
          </cell>
          <cell r="K582">
            <v>193961658.367006</v>
          </cell>
          <cell r="L582">
            <v>47191257.770000003</v>
          </cell>
          <cell r="M582">
            <v>266941498.05900201</v>
          </cell>
          <cell r="N582">
            <v>311630020.974841</v>
          </cell>
          <cell r="O582">
            <v>354899958.27542597</v>
          </cell>
        </row>
        <row r="583">
          <cell r="A583" t="str">
            <v>Auto PortugalTOTAL # ACTIVE ACCOUNTS</v>
          </cell>
          <cell r="B583">
            <v>63446</v>
          </cell>
          <cell r="C583">
            <v>66917</v>
          </cell>
          <cell r="D583">
            <v>64763.82</v>
          </cell>
          <cell r="E583">
            <v>68958.98</v>
          </cell>
          <cell r="F583">
            <v>68958.98</v>
          </cell>
          <cell r="G583">
            <v>68952.261121999996</v>
          </cell>
          <cell r="H583">
            <v>68403.243839000002</v>
          </cell>
          <cell r="I583">
            <v>72978.118619000001</v>
          </cell>
          <cell r="J583">
            <v>78838.551890999996</v>
          </cell>
          <cell r="K583">
            <v>78838.551890999996</v>
          </cell>
          <cell r="L583">
            <v>0</v>
          </cell>
          <cell r="M583">
            <v>99481.050577000002</v>
          </cell>
          <cell r="N583">
            <v>130189.103932</v>
          </cell>
          <cell r="O583">
            <v>172749.19497000001</v>
          </cell>
        </row>
        <row r="584">
          <cell r="A584" t="str">
            <v>Auto SpainTOTAL FINANCING RECEIVABLES</v>
          </cell>
          <cell r="B584">
            <v>419810439.94</v>
          </cell>
          <cell r="C584">
            <v>404007853.99000001</v>
          </cell>
          <cell r="D584">
            <v>443134177.87</v>
          </cell>
          <cell r="E584">
            <v>435332387.16000003</v>
          </cell>
          <cell r="F584">
            <v>435332387.16000003</v>
          </cell>
          <cell r="G584">
            <v>434859366.016895</v>
          </cell>
          <cell r="H584">
            <v>449293518.38270998</v>
          </cell>
          <cell r="I584">
            <v>456791386.555906</v>
          </cell>
          <cell r="J584">
            <v>480208741.36213797</v>
          </cell>
          <cell r="K584">
            <v>480208741.36213797</v>
          </cell>
          <cell r="L584">
            <v>417379656.05000001</v>
          </cell>
          <cell r="M584">
            <v>526717583.81388599</v>
          </cell>
          <cell r="N584">
            <v>628757486.71534503</v>
          </cell>
          <cell r="O584">
            <v>767035456.72396696</v>
          </cell>
        </row>
        <row r="585">
          <cell r="A585" t="str">
            <v>Auto SpainRECEIVABLE RESERVES</v>
          </cell>
          <cell r="B585">
            <v>-2880418.62</v>
          </cell>
          <cell r="C585">
            <v>-2680746.89</v>
          </cell>
          <cell r="D585">
            <v>-2391752.08</v>
          </cell>
          <cell r="E585">
            <v>-3640154.28</v>
          </cell>
          <cell r="F585">
            <v>-3640154.28</v>
          </cell>
          <cell r="G585">
            <v>-3876883.299871</v>
          </cell>
          <cell r="H585">
            <v>-4346732.1904349998</v>
          </cell>
          <cell r="I585">
            <v>-4694222.4106869996</v>
          </cell>
          <cell r="J585">
            <v>-5102544.8697840003</v>
          </cell>
          <cell r="K585">
            <v>-5102544.8697840003</v>
          </cell>
          <cell r="L585">
            <v>-4084026.79</v>
          </cell>
          <cell r="M585">
            <v>-3933681.4312089998</v>
          </cell>
          <cell r="N585">
            <v>-6485889.8475660002</v>
          </cell>
          <cell r="O585">
            <v>-9801128.5916639995</v>
          </cell>
        </row>
        <row r="586">
          <cell r="A586" t="str">
            <v>Auto SpainCASH</v>
          </cell>
          <cell r="B586">
            <v>4209255.59</v>
          </cell>
          <cell r="C586">
            <v>10923555.24</v>
          </cell>
          <cell r="D586">
            <v>17226086.149999999</v>
          </cell>
          <cell r="E586">
            <v>34052754.850000001</v>
          </cell>
          <cell r="F586">
            <v>34052754.850000001</v>
          </cell>
          <cell r="G586">
            <v>9978.9667420000005</v>
          </cell>
          <cell r="H586">
            <v>9978.9667420000005</v>
          </cell>
          <cell r="I586">
            <v>9978.9667420000005</v>
          </cell>
          <cell r="J586">
            <v>9978.9667420000005</v>
          </cell>
          <cell r="K586">
            <v>9978.9667420000005</v>
          </cell>
          <cell r="L586">
            <v>35890331.369999997</v>
          </cell>
          <cell r="M586">
            <v>126999.56871399999</v>
          </cell>
          <cell r="N586">
            <v>126999.56871399999</v>
          </cell>
          <cell r="O586">
            <v>126999.56871399999</v>
          </cell>
        </row>
        <row r="587">
          <cell r="A587" t="str">
            <v>Auto SpainINVESTMENT SECURITIES</v>
          </cell>
          <cell r="B587">
            <v>1134.73</v>
          </cell>
          <cell r="C587">
            <v>1089.55</v>
          </cell>
          <cell r="D587">
            <v>1164.8499999999999</v>
          </cell>
          <cell r="E587">
            <v>-4282.54</v>
          </cell>
          <cell r="F587">
            <v>-4282.54</v>
          </cell>
          <cell r="G587">
            <v>-4273.9914559999997</v>
          </cell>
          <cell r="H587">
            <v>-4273.9914559999997</v>
          </cell>
          <cell r="I587">
            <v>-4273.9914559999997</v>
          </cell>
          <cell r="J587">
            <v>-4273.9914559999997</v>
          </cell>
          <cell r="K587">
            <v>-4273.9914559999997</v>
          </cell>
          <cell r="L587">
            <v>323913.03000000003</v>
          </cell>
          <cell r="M587">
            <v>1135</v>
          </cell>
          <cell r="N587">
            <v>1135</v>
          </cell>
          <cell r="O587">
            <v>1135</v>
          </cell>
        </row>
        <row r="588">
          <cell r="A588" t="str">
            <v>Auto SpainINV IN NON CONSOL AFFILIATES</v>
          </cell>
          <cell r="B588">
            <v>0</v>
          </cell>
          <cell r="C588">
            <v>1624331.3</v>
          </cell>
          <cell r="D588">
            <v>1432046.69</v>
          </cell>
          <cell r="E588">
            <v>25877.31</v>
          </cell>
          <cell r="F588">
            <v>25877.31</v>
          </cell>
          <cell r="G588">
            <v>0</v>
          </cell>
          <cell r="H588">
            <v>0</v>
          </cell>
          <cell r="I588">
            <v>0</v>
          </cell>
          <cell r="J588">
            <v>0</v>
          </cell>
          <cell r="K588">
            <v>0</v>
          </cell>
          <cell r="L588">
            <v>3166.06</v>
          </cell>
          <cell r="M588">
            <v>0</v>
          </cell>
          <cell r="N588">
            <v>0</v>
          </cell>
          <cell r="O588">
            <v>0</v>
          </cell>
        </row>
        <row r="589">
          <cell r="A589" t="str">
            <v>Auto SpainINVESTMENT IN JOINT VENTURE</v>
          </cell>
          <cell r="B589">
            <v>0</v>
          </cell>
          <cell r="C589">
            <v>0</v>
          </cell>
          <cell r="D589">
            <v>0</v>
          </cell>
          <cell r="E589">
            <v>0</v>
          </cell>
          <cell r="F589">
            <v>0</v>
          </cell>
          <cell r="G589">
            <v>0</v>
          </cell>
          <cell r="H589">
            <v>0</v>
          </cell>
          <cell r="I589">
            <v>0</v>
          </cell>
          <cell r="J589">
            <v>0</v>
          </cell>
          <cell r="K589">
            <v>0</v>
          </cell>
          <cell r="L589">
            <v>0</v>
          </cell>
          <cell r="M589">
            <v>2164080</v>
          </cell>
          <cell r="N589">
            <v>2164080</v>
          </cell>
          <cell r="O589">
            <v>2164080</v>
          </cell>
        </row>
        <row r="590">
          <cell r="A590" t="str">
            <v>Auto SpainALL OTHER RECEIVABLES (NON-FINANCING)</v>
          </cell>
          <cell r="B590">
            <v>6304164.6799999997</v>
          </cell>
          <cell r="C590">
            <v>5726594.2599999998</v>
          </cell>
          <cell r="D590">
            <v>4694109.29</v>
          </cell>
          <cell r="E590">
            <v>6284205.04</v>
          </cell>
          <cell r="F590">
            <v>6284205.04</v>
          </cell>
          <cell r="G590">
            <v>7291400.6943659997</v>
          </cell>
          <cell r="H590">
            <v>8111658.6108630002</v>
          </cell>
          <cell r="I590">
            <v>8766275.7851160001</v>
          </cell>
          <cell r="J590">
            <v>9474851.9905190002</v>
          </cell>
          <cell r="K590">
            <v>9474851.9905190002</v>
          </cell>
          <cell r="L590">
            <v>4161619.11</v>
          </cell>
          <cell r="M590">
            <v>5451984.3007760001</v>
          </cell>
          <cell r="N590">
            <v>2910234.2775599998</v>
          </cell>
          <cell r="O590">
            <v>-491725.08226200001</v>
          </cell>
        </row>
        <row r="591">
          <cell r="A591" t="str">
            <v>Auto SpainELTO (NET)</v>
          </cell>
          <cell r="B591">
            <v>-439603.66</v>
          </cell>
          <cell r="C591">
            <v>-3975384.07</v>
          </cell>
          <cell r="D591">
            <v>-2110922.37</v>
          </cell>
          <cell r="E591">
            <v>-2436498.71</v>
          </cell>
          <cell r="F591">
            <v>-2436498.71</v>
          </cell>
          <cell r="G591">
            <v>0</v>
          </cell>
          <cell r="H591">
            <v>0</v>
          </cell>
          <cell r="I591">
            <v>0</v>
          </cell>
          <cell r="J591">
            <v>0</v>
          </cell>
          <cell r="K591">
            <v>0</v>
          </cell>
          <cell r="L591">
            <v>0</v>
          </cell>
          <cell r="M591">
            <v>0</v>
          </cell>
          <cell r="N591">
            <v>0</v>
          </cell>
          <cell r="O591">
            <v>0</v>
          </cell>
        </row>
        <row r="592">
          <cell r="A592" t="str">
            <v>Auto SpainGOODWILL</v>
          </cell>
          <cell r="B592">
            <v>7443003.3700000001</v>
          </cell>
          <cell r="C592">
            <v>6382768.7000000002</v>
          </cell>
          <cell r="D592">
            <v>6706038.7999999998</v>
          </cell>
          <cell r="E592">
            <v>6463612.9400000004</v>
          </cell>
          <cell r="F592">
            <v>6463612.9400000004</v>
          </cell>
          <cell r="G592">
            <v>6450017.9161170004</v>
          </cell>
          <cell r="H592">
            <v>6450017.9161170004</v>
          </cell>
          <cell r="I592">
            <v>6450017.9161170004</v>
          </cell>
          <cell r="J592">
            <v>6450017.9161170004</v>
          </cell>
          <cell r="K592">
            <v>6450017.9161170004</v>
          </cell>
          <cell r="L592">
            <v>6256254.6799999997</v>
          </cell>
          <cell r="M592">
            <v>6654637.7338359999</v>
          </cell>
          <cell r="N592">
            <v>6202115.6007540002</v>
          </cell>
          <cell r="O592">
            <v>5749593.4676719997</v>
          </cell>
        </row>
        <row r="593">
          <cell r="A593" t="str">
            <v>Auto SpainOTHER ASSETS</v>
          </cell>
          <cell r="B593">
            <v>5143937.43</v>
          </cell>
          <cell r="C593">
            <v>3729652.36</v>
          </cell>
          <cell r="D593">
            <v>3848644.89</v>
          </cell>
          <cell r="E593">
            <v>4801057.8600000003</v>
          </cell>
          <cell r="F593">
            <v>4801057.8600000003</v>
          </cell>
          <cell r="G593">
            <v>4826835</v>
          </cell>
          <cell r="H593">
            <v>4826835</v>
          </cell>
          <cell r="I593">
            <v>4826835</v>
          </cell>
          <cell r="J593">
            <v>4826835</v>
          </cell>
          <cell r="K593">
            <v>4826835</v>
          </cell>
          <cell r="L593">
            <v>5570084.0800000001</v>
          </cell>
          <cell r="M593">
            <v>3471220</v>
          </cell>
          <cell r="N593">
            <v>3471220</v>
          </cell>
          <cell r="O593">
            <v>3471220</v>
          </cell>
        </row>
        <row r="594">
          <cell r="A594" t="str">
            <v>Auto SpainACCOUNTS PAYABLE</v>
          </cell>
          <cell r="B594">
            <v>-21428151.789999999</v>
          </cell>
          <cell r="C594">
            <v>-20856557.27</v>
          </cell>
          <cell r="D594">
            <v>-21797270.140000001</v>
          </cell>
          <cell r="E594">
            <v>-14263958.470000001</v>
          </cell>
          <cell r="F594">
            <v>-14263958.470000001</v>
          </cell>
          <cell r="G594">
            <v>-14054068.253210999</v>
          </cell>
          <cell r="H594">
            <v>-14103178.332219999</v>
          </cell>
          <cell r="I594">
            <v>-14016962.488429001</v>
          </cell>
          <cell r="J594">
            <v>-14167729.663478</v>
          </cell>
          <cell r="K594">
            <v>-14167729.663478</v>
          </cell>
          <cell r="L594">
            <v>-8704325.3499999996</v>
          </cell>
          <cell r="M594">
            <v>-14961225.957366001</v>
          </cell>
          <cell r="N594">
            <v>-14918769.374201</v>
          </cell>
          <cell r="O594">
            <v>-14823019.793013999</v>
          </cell>
        </row>
        <row r="595">
          <cell r="A595" t="str">
            <v>Auto SpainDEFERRED INCOME TAXES</v>
          </cell>
          <cell r="B595">
            <v>7162874.9199999999</v>
          </cell>
          <cell r="C595">
            <v>3905810.16</v>
          </cell>
          <cell r="D595">
            <v>2417982.7000000002</v>
          </cell>
          <cell r="E595">
            <v>2390464.7400000002</v>
          </cell>
          <cell r="F595">
            <v>2390464.7400000002</v>
          </cell>
          <cell r="G595">
            <v>2385437.0733289998</v>
          </cell>
          <cell r="H595">
            <v>2385437.0733289998</v>
          </cell>
          <cell r="I595">
            <v>2385437.0733289998</v>
          </cell>
          <cell r="J595">
            <v>2385437.0733289998</v>
          </cell>
          <cell r="K595">
            <v>2385437.0733289998</v>
          </cell>
          <cell r="L595">
            <v>2399295.87</v>
          </cell>
          <cell r="M595">
            <v>-248311</v>
          </cell>
          <cell r="N595">
            <v>-248311</v>
          </cell>
          <cell r="O595">
            <v>-248311</v>
          </cell>
        </row>
        <row r="596">
          <cell r="A596" t="str">
            <v>Auto SpainWRITE-OFF (MEMO)</v>
          </cell>
          <cell r="B596">
            <v>388419.98</v>
          </cell>
          <cell r="C596">
            <v>1220325.75</v>
          </cell>
          <cell r="D596">
            <v>1928400.32</v>
          </cell>
          <cell r="E596">
            <v>1991122.37</v>
          </cell>
          <cell r="F596">
            <v>1991122.37</v>
          </cell>
          <cell r="G596">
            <v>2940531.09418</v>
          </cell>
          <cell r="H596">
            <v>3661245.5438250001</v>
          </cell>
          <cell r="I596">
            <v>4410330.4840219999</v>
          </cell>
          <cell r="J596">
            <v>5174878.6884700004</v>
          </cell>
          <cell r="K596">
            <v>5174878.6884700004</v>
          </cell>
          <cell r="L596">
            <v>272334.15000000002</v>
          </cell>
          <cell r="M596">
            <v>6356763.8840439999</v>
          </cell>
          <cell r="N596">
            <v>9951986.8375509996</v>
          </cell>
          <cell r="O596">
            <v>14309735.038930999</v>
          </cell>
        </row>
        <row r="597">
          <cell r="A597" t="str">
            <v>Auto SpainINSURANCE RESERVES AND ANNUITY BENEFITS</v>
          </cell>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row>
        <row r="598">
          <cell r="A598" t="str">
            <v>Auto SpainALL OTHER NON DEBT LIABILITIES</v>
          </cell>
          <cell r="B598">
            <v>3495999.76</v>
          </cell>
          <cell r="C598">
            <v>3005735.57</v>
          </cell>
          <cell r="D598">
            <v>6206013.54</v>
          </cell>
          <cell r="E598">
            <v>1000753.61</v>
          </cell>
          <cell r="F598">
            <v>1000753.61</v>
          </cell>
          <cell r="G598">
            <v>736196.68167199998</v>
          </cell>
          <cell r="H598">
            <v>536196.68167199998</v>
          </cell>
          <cell r="I598">
            <v>336196.68167199998</v>
          </cell>
          <cell r="J598">
            <v>136196.68167200001</v>
          </cell>
          <cell r="K598">
            <v>136196.68167200001</v>
          </cell>
          <cell r="L598">
            <v>2233621.41</v>
          </cell>
          <cell r="M598">
            <v>-4217504</v>
          </cell>
          <cell r="N598">
            <v>-5017504</v>
          </cell>
          <cell r="O598">
            <v>-5817504</v>
          </cell>
        </row>
        <row r="599">
          <cell r="A599" t="str">
            <v>Auto SpainMINORITY INTEREST (BS)</v>
          </cell>
          <cell r="B599">
            <v>-1206352.83</v>
          </cell>
          <cell r="C599">
            <v>-50187.51</v>
          </cell>
          <cell r="D599">
            <v>-3329.17</v>
          </cell>
          <cell r="E599">
            <v>-3329.17</v>
          </cell>
          <cell r="F599">
            <v>-3329.17</v>
          </cell>
          <cell r="G599">
            <v>0</v>
          </cell>
          <cell r="H599">
            <v>0</v>
          </cell>
          <cell r="I599">
            <v>0</v>
          </cell>
          <cell r="J599">
            <v>0</v>
          </cell>
          <cell r="K599">
            <v>0</v>
          </cell>
          <cell r="L599">
            <v>-319.08999999999997</v>
          </cell>
          <cell r="M599">
            <v>0</v>
          </cell>
          <cell r="N599">
            <v>0</v>
          </cell>
          <cell r="O599">
            <v>0</v>
          </cell>
        </row>
        <row r="600">
          <cell r="A600" t="str">
            <v>Auto SpainASIA PACIFIC ENI DIVIDEND</v>
          </cell>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row>
        <row r="601">
          <cell r="A601" t="str">
            <v>Auto SpainFINANCING INCOME</v>
          </cell>
          <cell r="B601">
            <v>-8221647.4299999997</v>
          </cell>
          <cell r="C601">
            <v>-8012914.6699999999</v>
          </cell>
          <cell r="D601">
            <v>-7868846.3799999999</v>
          </cell>
          <cell r="E601">
            <v>-8316113.5599999996</v>
          </cell>
          <cell r="F601">
            <v>-32419522.039999999</v>
          </cell>
          <cell r="G601">
            <v>-7797214.0980850002</v>
          </cell>
          <cell r="H601">
            <v>-7976065.6583399996</v>
          </cell>
          <cell r="I601">
            <v>-8327370.2324480005</v>
          </cell>
          <cell r="J601">
            <v>-8589204.5753899999</v>
          </cell>
          <cell r="K601">
            <v>-32689854.564263001</v>
          </cell>
          <cell r="L601">
            <v>-7659167.1399999997</v>
          </cell>
          <cell r="M601">
            <v>-40257092.215608999</v>
          </cell>
          <cell r="N601">
            <v>-49565621.761612996</v>
          </cell>
          <cell r="O601">
            <v>-61768356.644712999</v>
          </cell>
        </row>
        <row r="602">
          <cell r="A602" t="str">
            <v>Auto SpainINSURANCE PREMIUM INCOME</v>
          </cell>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row>
        <row r="603">
          <cell r="A603" t="str">
            <v>Auto SpainINSURANCE INCOME (COMMISSIONS)</v>
          </cell>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row>
        <row r="604">
          <cell r="A604" t="str">
            <v>Auto SpainSUNDRY INCOME</v>
          </cell>
          <cell r="B604">
            <v>-90987.35</v>
          </cell>
          <cell r="C604">
            <v>-816050.09</v>
          </cell>
          <cell r="D604">
            <v>13963.23</v>
          </cell>
          <cell r="E604">
            <v>742100.21</v>
          </cell>
          <cell r="F604">
            <v>-150974</v>
          </cell>
          <cell r="G604">
            <v>-582125.84293100005</v>
          </cell>
          <cell r="H604">
            <v>-627370.27507500001</v>
          </cell>
          <cell r="I604">
            <v>-657543.93914100004</v>
          </cell>
          <cell r="J604">
            <v>-679569.95733100001</v>
          </cell>
          <cell r="K604">
            <v>-2546610.0144790001</v>
          </cell>
          <cell r="L604">
            <v>-520744.45</v>
          </cell>
          <cell r="M604">
            <v>-2085533.867871</v>
          </cell>
          <cell r="N604">
            <v>-2475444.9419439998</v>
          </cell>
          <cell r="O604">
            <v>-2869413.064518</v>
          </cell>
        </row>
        <row r="605">
          <cell r="A605" t="str">
            <v>Auto SpainINTEREST EXPENSE</v>
          </cell>
          <cell r="B605">
            <v>4965780.71</v>
          </cell>
          <cell r="C605">
            <v>5114530.8499999996</v>
          </cell>
          <cell r="D605">
            <v>6261070.54</v>
          </cell>
          <cell r="E605">
            <v>3343528.77</v>
          </cell>
          <cell r="F605">
            <v>19684910.870000001</v>
          </cell>
          <cell r="G605">
            <v>3986711.911421</v>
          </cell>
          <cell r="H605">
            <v>4011757.001931</v>
          </cell>
          <cell r="I605">
            <v>4111240.9849</v>
          </cell>
          <cell r="J605">
            <v>4205687.8050610004</v>
          </cell>
          <cell r="K605">
            <v>16315397.703313001</v>
          </cell>
          <cell r="L605">
            <v>4559230.8099999996</v>
          </cell>
          <cell r="M605">
            <v>19960856.972922001</v>
          </cell>
          <cell r="N605">
            <v>23491775.576939002</v>
          </cell>
          <cell r="O605">
            <v>28259374.212292001</v>
          </cell>
        </row>
        <row r="606">
          <cell r="A606" t="str">
            <v>Auto SpainINTEREST EXPENSE REDUCTIONS / BUS SHARING</v>
          </cell>
          <cell r="B606">
            <v>-526646.94999999995</v>
          </cell>
          <cell r="C606">
            <v>-774939.89</v>
          </cell>
          <cell r="D606">
            <v>-2413208.71</v>
          </cell>
          <cell r="E606">
            <v>934772.47</v>
          </cell>
          <cell r="F606">
            <v>-2780023.08</v>
          </cell>
          <cell r="G606">
            <v>0</v>
          </cell>
          <cell r="H606">
            <v>0</v>
          </cell>
          <cell r="I606">
            <v>0</v>
          </cell>
          <cell r="J606">
            <v>0</v>
          </cell>
          <cell r="K606">
            <v>0</v>
          </cell>
          <cell r="L606">
            <v>-687630.6</v>
          </cell>
          <cell r="M606">
            <v>0</v>
          </cell>
          <cell r="N606">
            <v>0</v>
          </cell>
          <cell r="O606">
            <v>0</v>
          </cell>
        </row>
        <row r="607">
          <cell r="A607" t="str">
            <v>Auto SpainALLOCATED COST OF PREFERRED EQUITY</v>
          </cell>
          <cell r="B607">
            <v>61885.86</v>
          </cell>
          <cell r="C607">
            <v>47863.99</v>
          </cell>
          <cell r="D607">
            <v>41242.410000000003</v>
          </cell>
          <cell r="E607">
            <v>41322.61</v>
          </cell>
          <cell r="F607">
            <v>192314.87</v>
          </cell>
          <cell r="G607">
            <v>75283.777971000003</v>
          </cell>
          <cell r="H607">
            <v>75432.674786000003</v>
          </cell>
          <cell r="I607">
            <v>76451.761178000001</v>
          </cell>
          <cell r="J607">
            <v>77894.346701999995</v>
          </cell>
          <cell r="K607">
            <v>305062.56063700002</v>
          </cell>
          <cell r="L607">
            <v>28591.79</v>
          </cell>
          <cell r="M607">
            <v>311577.38680699997</v>
          </cell>
          <cell r="N607">
            <v>311577.38680699997</v>
          </cell>
          <cell r="O607">
            <v>311577.38680699997</v>
          </cell>
        </row>
        <row r="608">
          <cell r="A608" t="str">
            <v>Auto SpainSALARIES &amp; BENEFITS</v>
          </cell>
          <cell r="B608">
            <v>2047931.96</v>
          </cell>
          <cell r="C608">
            <v>1976254.2</v>
          </cell>
          <cell r="D608">
            <v>1979176.95</v>
          </cell>
          <cell r="E608">
            <v>1913089.61</v>
          </cell>
          <cell r="F608">
            <v>7916452.7199999997</v>
          </cell>
          <cell r="G608">
            <v>1849346.2563199999</v>
          </cell>
          <cell r="H608">
            <v>1849346.2563199999</v>
          </cell>
          <cell r="I608">
            <v>1849346.2563199999</v>
          </cell>
          <cell r="J608">
            <v>1849346.2563199999</v>
          </cell>
          <cell r="K608">
            <v>7397385.0252790004</v>
          </cell>
          <cell r="L608">
            <v>2024897.57</v>
          </cell>
          <cell r="M608">
            <v>8483520.1061700005</v>
          </cell>
          <cell r="N608">
            <v>9498751.2772039995</v>
          </cell>
          <cell r="O608">
            <v>10538496.436539</v>
          </cell>
        </row>
        <row r="609">
          <cell r="A609" t="str">
            <v>Auto SpainLOSSES ON OTHER ASSETS</v>
          </cell>
          <cell r="B609">
            <v>0</v>
          </cell>
          <cell r="C609">
            <v>2805.53</v>
          </cell>
          <cell r="D609">
            <v>-1098.94</v>
          </cell>
          <cell r="E609">
            <v>6427.6</v>
          </cell>
          <cell r="F609">
            <v>8134.19</v>
          </cell>
          <cell r="G609">
            <v>0</v>
          </cell>
          <cell r="H609">
            <v>0</v>
          </cell>
          <cell r="I609">
            <v>0</v>
          </cell>
          <cell r="J609">
            <v>0</v>
          </cell>
          <cell r="K609">
            <v>0</v>
          </cell>
          <cell r="L609">
            <v>1139.43</v>
          </cell>
          <cell r="M609">
            <v>0</v>
          </cell>
          <cell r="N609">
            <v>0</v>
          </cell>
          <cell r="O609">
            <v>0</v>
          </cell>
        </row>
        <row r="610">
          <cell r="A610" t="str">
            <v>Auto SpainCOST OF GOODS SOLD</v>
          </cell>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row>
        <row r="611">
          <cell r="A611" t="str">
            <v>Auto SpainCOST OF GOODS SOLD - DISTRIBUTION</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row>
        <row r="612">
          <cell r="A612" t="str">
            <v>Auto SpainPOSTAGE</v>
          </cell>
          <cell r="B612">
            <v>95657.05</v>
          </cell>
          <cell r="C612">
            <v>44425.74</v>
          </cell>
          <cell r="D612">
            <v>60384.67</v>
          </cell>
          <cell r="E612">
            <v>57094.94</v>
          </cell>
          <cell r="F612">
            <v>257562.4</v>
          </cell>
          <cell r="G612">
            <v>99679.173760999998</v>
          </cell>
          <cell r="H612">
            <v>99679.173760999998</v>
          </cell>
          <cell r="I612">
            <v>99679.173760999998</v>
          </cell>
          <cell r="J612">
            <v>99679.173760999998</v>
          </cell>
          <cell r="K612">
            <v>398716.69504299999</v>
          </cell>
          <cell r="L612">
            <v>88233.56</v>
          </cell>
          <cell r="M612">
            <v>277695.37231300003</v>
          </cell>
          <cell r="N612">
            <v>330860.45081200002</v>
          </cell>
          <cell r="O612">
            <v>394563.58517199999</v>
          </cell>
        </row>
        <row r="613">
          <cell r="A613" t="str">
            <v>Auto SpainTELEPHONE</v>
          </cell>
          <cell r="B613">
            <v>-67887.960000000006</v>
          </cell>
          <cell r="C613">
            <v>74153.539999999994</v>
          </cell>
          <cell r="D613">
            <v>67153.289999999994</v>
          </cell>
          <cell r="E613">
            <v>-8239</v>
          </cell>
          <cell r="F613">
            <v>65179.87</v>
          </cell>
          <cell r="G613">
            <v>77086.350338000004</v>
          </cell>
          <cell r="H613">
            <v>77086.350338000004</v>
          </cell>
          <cell r="I613">
            <v>77086.350338000004</v>
          </cell>
          <cell r="J613">
            <v>77086.350338000004</v>
          </cell>
          <cell r="K613">
            <v>308345.40135200002</v>
          </cell>
          <cell r="L613">
            <v>130095.88</v>
          </cell>
          <cell r="M613">
            <v>466324.79664299998</v>
          </cell>
          <cell r="N613">
            <v>559589.75597099995</v>
          </cell>
          <cell r="O613">
            <v>671507.70716500003</v>
          </cell>
        </row>
        <row r="614">
          <cell r="A614" t="str">
            <v>Auto SpainCUSTOMER SERVICE / COLLECTIONS</v>
          </cell>
          <cell r="B614">
            <v>65595.66</v>
          </cell>
          <cell r="C614">
            <v>71692.320000000007</v>
          </cell>
          <cell r="D614">
            <v>70327.09</v>
          </cell>
          <cell r="E614">
            <v>123367.85</v>
          </cell>
          <cell r="F614">
            <v>330982.92</v>
          </cell>
          <cell r="G614">
            <v>97925.048555999994</v>
          </cell>
          <cell r="H614">
            <v>97925.048555999994</v>
          </cell>
          <cell r="I614">
            <v>97925.048555999994</v>
          </cell>
          <cell r="J614">
            <v>97925.048555999994</v>
          </cell>
          <cell r="K614">
            <v>391700.19422399998</v>
          </cell>
          <cell r="L614">
            <v>118873.07</v>
          </cell>
          <cell r="M614">
            <v>379524.99314899999</v>
          </cell>
          <cell r="N614">
            <v>451133.410386</v>
          </cell>
          <cell r="O614">
            <v>537063.51107000001</v>
          </cell>
        </row>
        <row r="615">
          <cell r="A615" t="str">
            <v>Auto SpainSTATIONARY - OFFICE SUPPLIES</v>
          </cell>
          <cell r="B615">
            <v>10148.49</v>
          </cell>
          <cell r="C615">
            <v>222568.26</v>
          </cell>
          <cell r="D615">
            <v>17533.55</v>
          </cell>
          <cell r="E615">
            <v>20875.810000000001</v>
          </cell>
          <cell r="F615">
            <v>271126.11</v>
          </cell>
          <cell r="G615">
            <v>23393.021113999999</v>
          </cell>
          <cell r="H615">
            <v>23393.021113999999</v>
          </cell>
          <cell r="I615">
            <v>23393.021113999999</v>
          </cell>
          <cell r="J615">
            <v>23393.021113999999</v>
          </cell>
          <cell r="K615">
            <v>93572.084455000004</v>
          </cell>
          <cell r="L615">
            <v>35014.720000000001</v>
          </cell>
          <cell r="M615">
            <v>109597.60459</v>
          </cell>
          <cell r="N615">
            <v>124757.136125</v>
          </cell>
          <cell r="O615">
            <v>142678.17439100001</v>
          </cell>
        </row>
        <row r="616">
          <cell r="A616" t="str">
            <v>Auto SpainT&amp;L</v>
          </cell>
          <cell r="B616">
            <v>208852.45</v>
          </cell>
          <cell r="C616">
            <v>216691.82</v>
          </cell>
          <cell r="D616">
            <v>202835.34</v>
          </cell>
          <cell r="E616">
            <v>204610.09</v>
          </cell>
          <cell r="F616">
            <v>832989.7</v>
          </cell>
          <cell r="G616">
            <v>188456.11666500001</v>
          </cell>
          <cell r="H616">
            <v>188456.11666500001</v>
          </cell>
          <cell r="I616">
            <v>188456.11666500001</v>
          </cell>
          <cell r="J616">
            <v>188456.11666500001</v>
          </cell>
          <cell r="K616">
            <v>753824.46666100004</v>
          </cell>
          <cell r="L616">
            <v>189251.6</v>
          </cell>
          <cell r="M616">
            <v>643010.20571400004</v>
          </cell>
          <cell r="N616">
            <v>759329.846334</v>
          </cell>
          <cell r="O616">
            <v>898422.11905600003</v>
          </cell>
        </row>
        <row r="617">
          <cell r="A617" t="str">
            <v>Auto SpainRENTAL - BLDG/FACILITIES</v>
          </cell>
          <cell r="B617">
            <v>139770.78</v>
          </cell>
          <cell r="C617">
            <v>160575.06</v>
          </cell>
          <cell r="D617">
            <v>139627.94</v>
          </cell>
          <cell r="E617">
            <v>156887.38</v>
          </cell>
          <cell r="F617">
            <v>596861.16</v>
          </cell>
          <cell r="G617">
            <v>124377.331892</v>
          </cell>
          <cell r="H617">
            <v>124377.331892</v>
          </cell>
          <cell r="I617">
            <v>124377.331892</v>
          </cell>
          <cell r="J617">
            <v>124377.331892</v>
          </cell>
          <cell r="K617">
            <v>497509.32756800001</v>
          </cell>
          <cell r="L617">
            <v>138569.4</v>
          </cell>
          <cell r="M617">
            <v>617239.48769500002</v>
          </cell>
          <cell r="N617">
            <v>648596.53633999999</v>
          </cell>
          <cell r="O617">
            <v>682541.36075700005</v>
          </cell>
        </row>
        <row r="618">
          <cell r="A618" t="str">
            <v>Auto SpainRENTAL - FURNITURE/EQUIP</v>
          </cell>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row>
        <row r="619">
          <cell r="A619" t="str">
            <v>Auto SpainRENTAL - COMPUTERS</v>
          </cell>
          <cell r="B619">
            <v>5773.06</v>
          </cell>
          <cell r="C619">
            <v>23001.73</v>
          </cell>
          <cell r="D619">
            <v>0</v>
          </cell>
          <cell r="E619">
            <v>0</v>
          </cell>
          <cell r="F619">
            <v>28774.79</v>
          </cell>
          <cell r="G619">
            <v>0</v>
          </cell>
          <cell r="H619">
            <v>0</v>
          </cell>
          <cell r="I619">
            <v>0</v>
          </cell>
          <cell r="J619">
            <v>0</v>
          </cell>
          <cell r="K619">
            <v>0</v>
          </cell>
          <cell r="L619">
            <v>0</v>
          </cell>
          <cell r="M619">
            <v>0</v>
          </cell>
          <cell r="N619">
            <v>0</v>
          </cell>
          <cell r="O619">
            <v>0</v>
          </cell>
        </row>
        <row r="620">
          <cell r="A620" t="str">
            <v>Auto SpainLEASE IN - LEASE OUT</v>
          </cell>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row>
        <row r="621">
          <cell r="A621" t="str">
            <v>Auto SpainFURNITURE / EQUIPMENT / COMPUTER EXP</v>
          </cell>
          <cell r="B621">
            <v>-50618.68</v>
          </cell>
          <cell r="C621">
            <v>75836.289999999994</v>
          </cell>
          <cell r="D621">
            <v>-10731.72</v>
          </cell>
          <cell r="E621">
            <v>-88342</v>
          </cell>
          <cell r="F621">
            <v>-73856.11</v>
          </cell>
          <cell r="G621">
            <v>4151.4410809999999</v>
          </cell>
          <cell r="H621">
            <v>4151.4410809999999</v>
          </cell>
          <cell r="I621">
            <v>274421.71135100001</v>
          </cell>
          <cell r="J621">
            <v>4151.4410809999999</v>
          </cell>
          <cell r="K621">
            <v>286876.03459499998</v>
          </cell>
          <cell r="L621">
            <v>574.03</v>
          </cell>
          <cell r="M621">
            <v>25475.230243000002</v>
          </cell>
          <cell r="N621">
            <v>26494.239452999998</v>
          </cell>
          <cell r="O621">
            <v>27554.009031000001</v>
          </cell>
        </row>
        <row r="622">
          <cell r="A622" t="str">
            <v>Auto SpainSOFTWARE EXPENSE</v>
          </cell>
          <cell r="B622">
            <v>0</v>
          </cell>
          <cell r="C622">
            <v>0</v>
          </cell>
          <cell r="D622">
            <v>0</v>
          </cell>
          <cell r="E622">
            <v>41672.18</v>
          </cell>
          <cell r="F622">
            <v>41672.18</v>
          </cell>
          <cell r="G622">
            <v>0</v>
          </cell>
          <cell r="H622">
            <v>0</v>
          </cell>
          <cell r="I622">
            <v>0</v>
          </cell>
          <cell r="J622">
            <v>0</v>
          </cell>
          <cell r="K622">
            <v>0</v>
          </cell>
          <cell r="L622">
            <v>0</v>
          </cell>
          <cell r="M622">
            <v>0</v>
          </cell>
          <cell r="N622">
            <v>0</v>
          </cell>
          <cell r="O622">
            <v>0</v>
          </cell>
        </row>
        <row r="623">
          <cell r="A623" t="str">
            <v>Auto SpainAMORTIZATION OF INTANGIBLES</v>
          </cell>
          <cell r="B623">
            <v>0</v>
          </cell>
          <cell r="C623">
            <v>48580.39</v>
          </cell>
          <cell r="D623">
            <v>17100.830000000002</v>
          </cell>
          <cell r="E623">
            <v>1617.4</v>
          </cell>
          <cell r="F623">
            <v>67298.62</v>
          </cell>
          <cell r="G623">
            <v>32915.727027000001</v>
          </cell>
          <cell r="H623">
            <v>32915.727027000001</v>
          </cell>
          <cell r="I623">
            <v>32915.727027000001</v>
          </cell>
          <cell r="J623">
            <v>32915.727027000001</v>
          </cell>
          <cell r="K623">
            <v>131662.908108</v>
          </cell>
          <cell r="L623">
            <v>10276.82</v>
          </cell>
          <cell r="M623">
            <v>0</v>
          </cell>
          <cell r="N623">
            <v>0</v>
          </cell>
          <cell r="O623">
            <v>0</v>
          </cell>
        </row>
        <row r="624">
          <cell r="A624" t="str">
            <v>Auto SpainELTO MAINTENANCE</v>
          </cell>
          <cell r="B624">
            <v>105198.94</v>
          </cell>
          <cell r="C624">
            <v>89439.2</v>
          </cell>
          <cell r="D624">
            <v>71197.279999999999</v>
          </cell>
          <cell r="E624">
            <v>97156.15</v>
          </cell>
          <cell r="F624">
            <v>362991.57</v>
          </cell>
          <cell r="G624">
            <v>0</v>
          </cell>
          <cell r="H624">
            <v>0</v>
          </cell>
          <cell r="I624">
            <v>0</v>
          </cell>
          <cell r="J624">
            <v>0</v>
          </cell>
          <cell r="K624">
            <v>0</v>
          </cell>
          <cell r="L624">
            <v>107890.23</v>
          </cell>
          <cell r="M624">
            <v>0</v>
          </cell>
          <cell r="N624">
            <v>0</v>
          </cell>
          <cell r="O624">
            <v>0</v>
          </cell>
        </row>
        <row r="625">
          <cell r="A625" t="str">
            <v>Auto SpainELTO OTHER</v>
          </cell>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row>
        <row r="626">
          <cell r="A626" t="str">
            <v>Auto SpainLEGAL</v>
          </cell>
          <cell r="B626">
            <v>3387.43</v>
          </cell>
          <cell r="C626">
            <v>3684.63</v>
          </cell>
          <cell r="D626">
            <v>433.78</v>
          </cell>
          <cell r="E626">
            <v>2911.85</v>
          </cell>
          <cell r="F626">
            <v>10417.69</v>
          </cell>
          <cell r="G626">
            <v>35.764757000000003</v>
          </cell>
          <cell r="H626">
            <v>35.764757000000003</v>
          </cell>
          <cell r="I626">
            <v>35.764757000000003</v>
          </cell>
          <cell r="J626">
            <v>35.764757000000003</v>
          </cell>
          <cell r="K626">
            <v>143.05902699999999</v>
          </cell>
          <cell r="L626">
            <v>593.25</v>
          </cell>
          <cell r="M626">
            <v>788.51825099999996</v>
          </cell>
          <cell r="N626">
            <v>820.05898100000002</v>
          </cell>
          <cell r="O626">
            <v>852.86134100000004</v>
          </cell>
        </row>
        <row r="627">
          <cell r="A627" t="str">
            <v>Auto SpainADVERTISING</v>
          </cell>
          <cell r="B627">
            <v>32592.06</v>
          </cell>
          <cell r="C627">
            <v>235231.49</v>
          </cell>
          <cell r="D627">
            <v>10000.299999999999</v>
          </cell>
          <cell r="E627">
            <v>-39947.269999999997</v>
          </cell>
          <cell r="F627">
            <v>237876.58</v>
          </cell>
          <cell r="G627">
            <v>26595.495494999999</v>
          </cell>
          <cell r="H627">
            <v>26595.495494999999</v>
          </cell>
          <cell r="I627">
            <v>26595.495494999999</v>
          </cell>
          <cell r="J627">
            <v>26595.495494999999</v>
          </cell>
          <cell r="K627">
            <v>106381.981982</v>
          </cell>
          <cell r="L627">
            <v>-1060.6500000000001</v>
          </cell>
          <cell r="M627">
            <v>116574.257618</v>
          </cell>
          <cell r="N627">
            <v>121237.227923</v>
          </cell>
          <cell r="O627">
            <v>126086.717039</v>
          </cell>
        </row>
        <row r="628">
          <cell r="A628" t="str">
            <v>Auto SpainSALES PROMOTIONS</v>
          </cell>
          <cell r="B628">
            <v>11170.57</v>
          </cell>
          <cell r="C628">
            <v>14663.42</v>
          </cell>
          <cell r="D628">
            <v>9565.39</v>
          </cell>
          <cell r="E628">
            <v>13946.78</v>
          </cell>
          <cell r="F628">
            <v>49346.16</v>
          </cell>
          <cell r="G628">
            <v>0</v>
          </cell>
          <cell r="H628">
            <v>0</v>
          </cell>
          <cell r="I628">
            <v>0</v>
          </cell>
          <cell r="J628">
            <v>0</v>
          </cell>
          <cell r="K628">
            <v>0</v>
          </cell>
          <cell r="L628">
            <v>12383.5</v>
          </cell>
          <cell r="M628">
            <v>0</v>
          </cell>
          <cell r="N628">
            <v>0</v>
          </cell>
          <cell r="O628">
            <v>0</v>
          </cell>
        </row>
        <row r="629">
          <cell r="A629" t="str">
            <v>Auto SpainDIRECT MAIL</v>
          </cell>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row>
        <row r="630">
          <cell r="A630" t="str">
            <v>Auto SpainDATA PROCESSING</v>
          </cell>
          <cell r="B630">
            <v>269240.78000000003</v>
          </cell>
          <cell r="C630">
            <v>293950.37</v>
          </cell>
          <cell r="D630">
            <v>265081.36</v>
          </cell>
          <cell r="E630">
            <v>329905.95</v>
          </cell>
          <cell r="F630">
            <v>1158178.46</v>
          </cell>
          <cell r="G630">
            <v>332211.89247899997</v>
          </cell>
          <cell r="H630">
            <v>332211.89247899997</v>
          </cell>
          <cell r="I630">
            <v>332211.89247899997</v>
          </cell>
          <cell r="J630">
            <v>332211.89247899997</v>
          </cell>
          <cell r="K630">
            <v>1328847.5699159999</v>
          </cell>
          <cell r="L630">
            <v>278624.51</v>
          </cell>
          <cell r="M630">
            <v>1198739.1232060001</v>
          </cell>
          <cell r="N630">
            <v>1430945.7770720001</v>
          </cell>
          <cell r="O630">
            <v>1672440.6970929999</v>
          </cell>
        </row>
        <row r="631">
          <cell r="A631" t="str">
            <v>Auto SpainCONSULTING</v>
          </cell>
          <cell r="B631">
            <v>69955.31</v>
          </cell>
          <cell r="C631">
            <v>58572.95</v>
          </cell>
          <cell r="D631">
            <v>166146.69</v>
          </cell>
          <cell r="E631">
            <v>181571.84</v>
          </cell>
          <cell r="F631">
            <v>476246.79</v>
          </cell>
          <cell r="G631">
            <v>27429.973677999998</v>
          </cell>
          <cell r="H631">
            <v>27429.973677999998</v>
          </cell>
          <cell r="I631">
            <v>27429.973677999998</v>
          </cell>
          <cell r="J631">
            <v>27429.973677999998</v>
          </cell>
          <cell r="K631">
            <v>109719.894713</v>
          </cell>
          <cell r="L631">
            <v>58226.09</v>
          </cell>
          <cell r="M631">
            <v>297064.94394899998</v>
          </cell>
          <cell r="N631">
            <v>309503.1507</v>
          </cell>
          <cell r="O631">
            <v>322189.47543699999</v>
          </cell>
        </row>
        <row r="632">
          <cell r="A632" t="str">
            <v>Auto SpainTEMP SERVICES</v>
          </cell>
          <cell r="B632">
            <v>33627.379999999997</v>
          </cell>
          <cell r="C632">
            <v>1251.71</v>
          </cell>
          <cell r="D632">
            <v>-8215.6299999999992</v>
          </cell>
          <cell r="E632">
            <v>3228.15</v>
          </cell>
          <cell r="F632">
            <v>29891.61</v>
          </cell>
          <cell r="G632">
            <v>0</v>
          </cell>
          <cell r="H632">
            <v>0</v>
          </cell>
          <cell r="I632">
            <v>0</v>
          </cell>
          <cell r="J632">
            <v>0</v>
          </cell>
          <cell r="K632">
            <v>0</v>
          </cell>
          <cell r="L632">
            <v>-856.21</v>
          </cell>
          <cell r="M632">
            <v>161920.42637900001</v>
          </cell>
          <cell r="N632">
            <v>181479.142742</v>
          </cell>
          <cell r="O632">
            <v>201504.946405</v>
          </cell>
        </row>
        <row r="633">
          <cell r="A633" t="str">
            <v>Auto SpainGDC CHARGES</v>
          </cell>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row>
        <row r="634">
          <cell r="A634" t="str">
            <v>Auto SpainTRAINING AND EDUCATION</v>
          </cell>
          <cell r="B634">
            <v>54407.85</v>
          </cell>
          <cell r="C634">
            <v>39799.230000000003</v>
          </cell>
          <cell r="D634">
            <v>55639.33</v>
          </cell>
          <cell r="E634">
            <v>44631.199999999997</v>
          </cell>
          <cell r="F634">
            <v>194477.61</v>
          </cell>
          <cell r="G634">
            <v>33464.322610000003</v>
          </cell>
          <cell r="H634">
            <v>33464.322610000003</v>
          </cell>
          <cell r="I634">
            <v>33464.322610000003</v>
          </cell>
          <cell r="J634">
            <v>33464.322610000003</v>
          </cell>
          <cell r="K634">
            <v>133857.290438</v>
          </cell>
          <cell r="L634">
            <v>17155.32</v>
          </cell>
          <cell r="M634">
            <v>140844.991564</v>
          </cell>
          <cell r="N634">
            <v>146478.79122700001</v>
          </cell>
          <cell r="O634">
            <v>152337.94287599999</v>
          </cell>
        </row>
        <row r="635">
          <cell r="A635" t="str">
            <v>Auto SpainOUTSIDE SERVICES  AND FEES</v>
          </cell>
          <cell r="B635">
            <v>21415.67</v>
          </cell>
          <cell r="C635">
            <v>16878.37</v>
          </cell>
          <cell r="D635">
            <v>13668.66</v>
          </cell>
          <cell r="E635">
            <v>16800.71</v>
          </cell>
          <cell r="F635">
            <v>68763.41</v>
          </cell>
          <cell r="G635">
            <v>13426.030269999999</v>
          </cell>
          <cell r="H635">
            <v>13426.030269999999</v>
          </cell>
          <cell r="I635">
            <v>13426.030269999999</v>
          </cell>
          <cell r="J635">
            <v>13426.030269999999</v>
          </cell>
          <cell r="K635">
            <v>53704.121080999998</v>
          </cell>
          <cell r="L635">
            <v>10313.61</v>
          </cell>
          <cell r="M635">
            <v>60665.679833000002</v>
          </cell>
          <cell r="N635">
            <v>63092.307027000003</v>
          </cell>
          <cell r="O635">
            <v>65615.999307999999</v>
          </cell>
        </row>
        <row r="636">
          <cell r="A636" t="str">
            <v>Auto SpainSTATE, FOREIGN, LOCAL TAXES</v>
          </cell>
          <cell r="B636">
            <v>3034.58</v>
          </cell>
          <cell r="C636">
            <v>156775.64000000001</v>
          </cell>
          <cell r="D636">
            <v>168451.44</v>
          </cell>
          <cell r="E636">
            <v>160677.31</v>
          </cell>
          <cell r="F636">
            <v>488938.97</v>
          </cell>
          <cell r="G636">
            <v>143866.14434200001</v>
          </cell>
          <cell r="H636">
            <v>143866.14434200001</v>
          </cell>
          <cell r="I636">
            <v>143866.14434200001</v>
          </cell>
          <cell r="J636">
            <v>143866.14434200001</v>
          </cell>
          <cell r="K636">
            <v>575464.57736999996</v>
          </cell>
          <cell r="L636">
            <v>176714.29</v>
          </cell>
          <cell r="M636">
            <v>408737.35897100001</v>
          </cell>
          <cell r="N636">
            <v>474160.74011800002</v>
          </cell>
          <cell r="O636">
            <v>552015.83386799996</v>
          </cell>
        </row>
        <row r="637">
          <cell r="A637" t="str">
            <v>Auto SpainS/L TAX - INSURANCE PREMIUMS</v>
          </cell>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row>
        <row r="638">
          <cell r="A638" t="str">
            <v>Auto SpainSATELLITE LEASE EXPENSE</v>
          </cell>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row>
        <row r="639">
          <cell r="A639" t="str">
            <v>Auto SpainBUSINESS SHARE EXPENSE</v>
          </cell>
          <cell r="B639">
            <v>-1405865</v>
          </cell>
          <cell r="C639">
            <v>-2208542.19</v>
          </cell>
          <cell r="D639">
            <v>-2183489.69</v>
          </cell>
          <cell r="E639">
            <v>-2276095.89</v>
          </cell>
          <cell r="F639">
            <v>-8073992.7699999996</v>
          </cell>
          <cell r="G639">
            <v>-1846172.1891890001</v>
          </cell>
          <cell r="H639">
            <v>-1846172.1891890001</v>
          </cell>
          <cell r="I639">
            <v>-1846172.1891890001</v>
          </cell>
          <cell r="J639">
            <v>-1846172.1891890001</v>
          </cell>
          <cell r="K639">
            <v>-7384688.7567570005</v>
          </cell>
          <cell r="L639">
            <v>-2145615.9500000002</v>
          </cell>
          <cell r="M639">
            <v>0</v>
          </cell>
          <cell r="N639">
            <v>0</v>
          </cell>
          <cell r="O639">
            <v>0</v>
          </cell>
        </row>
        <row r="640">
          <cell r="A640" t="str">
            <v>Auto SpainINSURANCE AFFILIATE EXPENSE</v>
          </cell>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row>
        <row r="641">
          <cell r="A641" t="str">
            <v>Auto SpainOTHER FACILITY EXPENSE</v>
          </cell>
          <cell r="B641">
            <v>14656.52</v>
          </cell>
          <cell r="C641">
            <v>4798.46</v>
          </cell>
          <cell r="D641">
            <v>56116.61</v>
          </cell>
          <cell r="E641">
            <v>81200.399999999994</v>
          </cell>
          <cell r="F641">
            <v>156771.99</v>
          </cell>
          <cell r="G641">
            <v>58537.813158999998</v>
          </cell>
          <cell r="H641">
            <v>58537.813158999998</v>
          </cell>
          <cell r="I641">
            <v>58537.813158999998</v>
          </cell>
          <cell r="J641">
            <v>58537.813158999998</v>
          </cell>
          <cell r="K641">
            <v>234151.25263500001</v>
          </cell>
          <cell r="L641">
            <v>42475.83</v>
          </cell>
          <cell r="M641">
            <v>219172.54530600001</v>
          </cell>
          <cell r="N641">
            <v>227939.44711800001</v>
          </cell>
          <cell r="O641">
            <v>237057.02500299999</v>
          </cell>
        </row>
        <row r="642">
          <cell r="A642" t="str">
            <v>Auto SpainGROSS OP &amp; ADMIN BUS SHARE</v>
          </cell>
          <cell r="B642">
            <v>-466336</v>
          </cell>
          <cell r="C642">
            <v>-518163.22</v>
          </cell>
          <cell r="D642">
            <v>-458221.59</v>
          </cell>
          <cell r="E642">
            <v>-337612.69</v>
          </cell>
          <cell r="F642">
            <v>-1780333.5</v>
          </cell>
          <cell r="G642">
            <v>-367209.742661</v>
          </cell>
          <cell r="H642">
            <v>-367209.742661</v>
          </cell>
          <cell r="I642">
            <v>-367209.742661</v>
          </cell>
          <cell r="J642">
            <v>-367209.742661</v>
          </cell>
          <cell r="K642">
            <v>-1468838.970645</v>
          </cell>
          <cell r="L642">
            <v>-527295.59</v>
          </cell>
          <cell r="M642">
            <v>-2452926.3189360001</v>
          </cell>
          <cell r="N642">
            <v>-2791016.0602489999</v>
          </cell>
          <cell r="O642">
            <v>-3146569.9468649998</v>
          </cell>
        </row>
        <row r="643">
          <cell r="A643" t="str">
            <v>Auto SpainOTHER EXPENSE</v>
          </cell>
          <cell r="B643">
            <v>15008.14</v>
          </cell>
          <cell r="C643">
            <v>-131442.13</v>
          </cell>
          <cell r="D643">
            <v>183475.32</v>
          </cell>
          <cell r="E643">
            <v>-309.38</v>
          </cell>
          <cell r="F643">
            <v>66731.95</v>
          </cell>
          <cell r="G643">
            <v>67.571892000000005</v>
          </cell>
          <cell r="H643">
            <v>67.571892000000005</v>
          </cell>
          <cell r="I643">
            <v>67.571892000000005</v>
          </cell>
          <cell r="J643">
            <v>67.571892000000005</v>
          </cell>
          <cell r="K643">
            <v>270.28756800000002</v>
          </cell>
          <cell r="L643">
            <v>-2559.9899999999998</v>
          </cell>
          <cell r="M643">
            <v>0</v>
          </cell>
          <cell r="N643">
            <v>0</v>
          </cell>
          <cell r="O643">
            <v>0</v>
          </cell>
        </row>
        <row r="644">
          <cell r="A644" t="str">
            <v>Auto SpainGECC INTERCO EXPENSES EXCL GECIS</v>
          </cell>
          <cell r="B644">
            <v>1843.2</v>
          </cell>
          <cell r="C644">
            <v>-30355.27</v>
          </cell>
          <cell r="D644">
            <v>0</v>
          </cell>
          <cell r="E644">
            <v>-0.02</v>
          </cell>
          <cell r="F644">
            <v>-28512.09</v>
          </cell>
          <cell r="G644">
            <v>0</v>
          </cell>
          <cell r="H644">
            <v>0</v>
          </cell>
          <cell r="I644">
            <v>0</v>
          </cell>
          <cell r="J644">
            <v>0</v>
          </cell>
          <cell r="K644">
            <v>0</v>
          </cell>
          <cell r="L644">
            <v>0</v>
          </cell>
          <cell r="M644">
            <v>0</v>
          </cell>
          <cell r="N644">
            <v>0</v>
          </cell>
          <cell r="O644">
            <v>0</v>
          </cell>
        </row>
        <row r="645">
          <cell r="A645" t="str">
            <v>Auto SpainGECIS INTERCO CHARGES</v>
          </cell>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row>
        <row r="646">
          <cell r="A646" t="str">
            <v>Auto SpainLOSS ADJUSTED EXPENSE</v>
          </cell>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row>
        <row r="647">
          <cell r="A647" t="str">
            <v>Auto SpainALL OTHER EXPENSES</v>
          </cell>
          <cell r="B647">
            <v>0.01</v>
          </cell>
          <cell r="C647">
            <v>16.63</v>
          </cell>
          <cell r="D647">
            <v>-16.63</v>
          </cell>
          <cell r="E647">
            <v>-0.02</v>
          </cell>
          <cell r="F647">
            <v>-0.01</v>
          </cell>
          <cell r="G647">
            <v>0</v>
          </cell>
          <cell r="H647">
            <v>0</v>
          </cell>
          <cell r="I647">
            <v>0</v>
          </cell>
          <cell r="J647">
            <v>0</v>
          </cell>
          <cell r="K647">
            <v>0</v>
          </cell>
          <cell r="L647">
            <v>0</v>
          </cell>
          <cell r="M647">
            <v>0</v>
          </cell>
          <cell r="N647">
            <v>0</v>
          </cell>
          <cell r="O647">
            <v>0</v>
          </cell>
        </row>
        <row r="648">
          <cell r="A648" t="str">
            <v>Auto SpainASSESSMENTS</v>
          </cell>
          <cell r="B648">
            <v>303639.15000000002</v>
          </cell>
          <cell r="C648">
            <v>229613.99</v>
          </cell>
          <cell r="D648">
            <v>269673.09999999998</v>
          </cell>
          <cell r="E648">
            <v>237108.67</v>
          </cell>
          <cell r="F648">
            <v>1040034.91</v>
          </cell>
          <cell r="G648">
            <v>288356.81685200002</v>
          </cell>
          <cell r="H648">
            <v>288356.81685200002</v>
          </cell>
          <cell r="I648">
            <v>288356.81685200002</v>
          </cell>
          <cell r="J648">
            <v>288356.81685200002</v>
          </cell>
          <cell r="K648">
            <v>1153427.2674080001</v>
          </cell>
          <cell r="L648">
            <v>248852.19</v>
          </cell>
          <cell r="M648">
            <v>1254246.07904</v>
          </cell>
          <cell r="N648">
            <v>1422737.143712</v>
          </cell>
          <cell r="O648">
            <v>1765936.8349899999</v>
          </cell>
        </row>
        <row r="649">
          <cell r="A649" t="str">
            <v>Auto SpainFAS 91</v>
          </cell>
          <cell r="B649">
            <v>-460853.9</v>
          </cell>
          <cell r="C649">
            <v>-334519.18</v>
          </cell>
          <cell r="D649">
            <v>-471714.96</v>
          </cell>
          <cell r="E649">
            <v>-564391.88</v>
          </cell>
          <cell r="F649">
            <v>-1831479.92</v>
          </cell>
          <cell r="G649">
            <v>-560487.88260100002</v>
          </cell>
          <cell r="H649">
            <v>-560487.88260100002</v>
          </cell>
          <cell r="I649">
            <v>-560487.88260100002</v>
          </cell>
          <cell r="J649">
            <v>-560487.88260100002</v>
          </cell>
          <cell r="K649">
            <v>-2241951.5304029998</v>
          </cell>
          <cell r="L649">
            <v>-608902.47</v>
          </cell>
          <cell r="M649">
            <v>-2053449.8027949999</v>
          </cell>
          <cell r="N649">
            <v>-2276454.910747</v>
          </cell>
          <cell r="O649">
            <v>-2480500.7390100001</v>
          </cell>
        </row>
        <row r="650">
          <cell r="A650" t="str">
            <v>Auto SpainGOODWILL AMORTIZATION</v>
          </cell>
          <cell r="B650">
            <v>114048.26</v>
          </cell>
          <cell r="C650">
            <v>164908.59</v>
          </cell>
          <cell r="D650">
            <v>106426.65</v>
          </cell>
          <cell r="E650">
            <v>113933.36</v>
          </cell>
          <cell r="F650">
            <v>499316.86</v>
          </cell>
          <cell r="G650">
            <v>0</v>
          </cell>
          <cell r="H650">
            <v>0</v>
          </cell>
          <cell r="I650">
            <v>0</v>
          </cell>
          <cell r="J650">
            <v>0</v>
          </cell>
          <cell r="K650">
            <v>0</v>
          </cell>
          <cell r="L650">
            <v>0</v>
          </cell>
          <cell r="M650">
            <v>452495.89183799998</v>
          </cell>
          <cell r="N650">
            <v>452495.89183799998</v>
          </cell>
          <cell r="O650">
            <v>452495.89183799998</v>
          </cell>
        </row>
        <row r="651">
          <cell r="A651" t="str">
            <v>Auto SpainDEPRECIATION EXPENSE</v>
          </cell>
          <cell r="B651">
            <v>184340.31</v>
          </cell>
          <cell r="C651">
            <v>157363.04999999999</v>
          </cell>
          <cell r="D651">
            <v>78126.22</v>
          </cell>
          <cell r="E651">
            <v>71050.44</v>
          </cell>
          <cell r="F651">
            <v>490880.02</v>
          </cell>
          <cell r="G651">
            <v>94209.764297999995</v>
          </cell>
          <cell r="H651">
            <v>146209.76429799999</v>
          </cell>
          <cell r="I651">
            <v>146209.76429799999</v>
          </cell>
          <cell r="J651">
            <v>146209.76429799999</v>
          </cell>
          <cell r="K651">
            <v>532839.05719099997</v>
          </cell>
          <cell r="L651">
            <v>114130.45</v>
          </cell>
          <cell r="M651">
            <v>795595.96588599996</v>
          </cell>
          <cell r="N651">
            <v>814925.91218700004</v>
          </cell>
          <cell r="O651">
            <v>802513.09946900001</v>
          </cell>
        </row>
        <row r="652">
          <cell r="A652" t="str">
            <v>Auto SpainELTO AMORTIZATION</v>
          </cell>
          <cell r="B652">
            <v>1300985.96</v>
          </cell>
          <cell r="C652">
            <v>2142360.7999999998</v>
          </cell>
          <cell r="D652">
            <v>2112292.66</v>
          </cell>
          <cell r="E652">
            <v>2155361.7799999998</v>
          </cell>
          <cell r="F652">
            <v>7711001.2000000002</v>
          </cell>
          <cell r="G652">
            <v>1846172.1891890001</v>
          </cell>
          <cell r="H652">
            <v>1846172.1891890001</v>
          </cell>
          <cell r="I652">
            <v>1846172.1891890001</v>
          </cell>
          <cell r="J652">
            <v>1846172.1891890001</v>
          </cell>
          <cell r="K652">
            <v>7384688.7567570005</v>
          </cell>
          <cell r="L652">
            <v>2037725.72</v>
          </cell>
          <cell r="M652">
            <v>0</v>
          </cell>
          <cell r="N652">
            <v>0</v>
          </cell>
          <cell r="O652">
            <v>0</v>
          </cell>
        </row>
        <row r="653">
          <cell r="A653" t="str">
            <v>Auto SpainINSURANCE LOSSES AND BENEFITS</v>
          </cell>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row>
        <row r="654">
          <cell r="A654" t="str">
            <v>Auto SpainWRITE OFFS</v>
          </cell>
          <cell r="B654">
            <v>451691.06</v>
          </cell>
          <cell r="C654">
            <v>505683.39</v>
          </cell>
          <cell r="D654">
            <v>352180.08</v>
          </cell>
          <cell r="E654">
            <v>1270532.17</v>
          </cell>
          <cell r="F654">
            <v>2580086.7000000002</v>
          </cell>
          <cell r="G654">
            <v>657501.89180900005</v>
          </cell>
          <cell r="H654">
            <v>798216.66230900004</v>
          </cell>
          <cell r="I654">
            <v>709399.69547200005</v>
          </cell>
          <cell r="J654">
            <v>671485.97056499997</v>
          </cell>
          <cell r="K654">
            <v>2836604.2201550002</v>
          </cell>
          <cell r="L654">
            <v>695562.55</v>
          </cell>
          <cell r="M654">
            <v>4760451.0997519996</v>
          </cell>
          <cell r="N654">
            <v>6147431.369864</v>
          </cell>
          <cell r="O654">
            <v>7672986.9454770004</v>
          </cell>
        </row>
        <row r="655">
          <cell r="A655" t="str">
            <v>Auto SpainRESERVE CHANGE</v>
          </cell>
          <cell r="B655">
            <v>45930.48</v>
          </cell>
          <cell r="C655">
            <v>74545.990000000005</v>
          </cell>
          <cell r="D655">
            <v>62635.15</v>
          </cell>
          <cell r="E655">
            <v>92612.69</v>
          </cell>
          <cell r="F655">
            <v>275724.31</v>
          </cell>
          <cell r="G655">
            <v>0</v>
          </cell>
          <cell r="H655">
            <v>0</v>
          </cell>
          <cell r="I655">
            <v>0</v>
          </cell>
          <cell r="J655">
            <v>0</v>
          </cell>
          <cell r="K655">
            <v>0</v>
          </cell>
          <cell r="L655">
            <v>85785.58</v>
          </cell>
          <cell r="M655">
            <v>0</v>
          </cell>
          <cell r="N655">
            <v>0</v>
          </cell>
          <cell r="O655">
            <v>0</v>
          </cell>
        </row>
        <row r="656">
          <cell r="A656" t="str">
            <v>Auto SpainMINORITY INTEREST</v>
          </cell>
          <cell r="B656">
            <v>231942.19</v>
          </cell>
          <cell r="C656">
            <v>-414263.45</v>
          </cell>
          <cell r="D656">
            <v>-46858.34</v>
          </cell>
          <cell r="E656">
            <v>0</v>
          </cell>
          <cell r="F656">
            <v>-229179.6</v>
          </cell>
          <cell r="G656">
            <v>0</v>
          </cell>
          <cell r="H656">
            <v>0</v>
          </cell>
          <cell r="I656">
            <v>0</v>
          </cell>
          <cell r="J656">
            <v>0</v>
          </cell>
          <cell r="K656">
            <v>0</v>
          </cell>
          <cell r="L656">
            <v>0</v>
          </cell>
          <cell r="M656">
            <v>204555.0932</v>
          </cell>
          <cell r="N656">
            <v>18029.059871000001</v>
          </cell>
          <cell r="O656">
            <v>-226887.44257399999</v>
          </cell>
        </row>
        <row r="657">
          <cell r="A657" t="str">
            <v>Auto SpainINCOME TAXES</v>
          </cell>
          <cell r="B657">
            <v>255899.11</v>
          </cell>
          <cell r="C657">
            <v>248592.05</v>
          </cell>
          <cell r="D657">
            <v>318793.38</v>
          </cell>
          <cell r="E657">
            <v>287643.46000000002</v>
          </cell>
          <cell r="F657">
            <v>1110928</v>
          </cell>
          <cell r="G657">
            <v>392354.90182799997</v>
          </cell>
          <cell r="H657">
            <v>394619.42968200002</v>
          </cell>
          <cell r="I657">
            <v>431044.43241100002</v>
          </cell>
          <cell r="J657">
            <v>612637.14434</v>
          </cell>
          <cell r="K657">
            <v>1830655.9082609999</v>
          </cell>
          <cell r="L657">
            <v>317514.84000000003</v>
          </cell>
          <cell r="M657">
            <v>2043516.0432569999</v>
          </cell>
          <cell r="N657">
            <v>3249463.3257490001</v>
          </cell>
          <cell r="O657">
            <v>4921071.1619020002</v>
          </cell>
        </row>
        <row r="658">
          <cell r="A658" t="str">
            <v>Auto SpainCUMULATIVE TRANSITION ADJUSTMENT</v>
          </cell>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row>
        <row r="659">
          <cell r="A659" t="str">
            <v>Auto SpainASIA PACIFIC NI DIVIDEND</v>
          </cell>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row>
        <row r="660">
          <cell r="A660" t="str">
            <v>Auto SpainNet Income</v>
          </cell>
          <cell r="B660">
            <v>-165432.29</v>
          </cell>
          <cell r="C660">
            <v>-724080.41</v>
          </cell>
          <cell r="D660">
            <v>-292083.34999999998</v>
          </cell>
          <cell r="E660">
            <v>1116588.1200000001</v>
          </cell>
          <cell r="F660">
            <v>-65007.93</v>
          </cell>
          <cell r="G660">
            <v>-679653.026664</v>
          </cell>
          <cell r="H660">
            <v>-683575.73338300001</v>
          </cell>
          <cell r="I660">
            <v>-746672.59603400005</v>
          </cell>
          <cell r="J660">
            <v>-1061234.83473</v>
          </cell>
          <cell r="K660">
            <v>-3171136.1908120001</v>
          </cell>
          <cell r="L660">
            <v>-625136.41</v>
          </cell>
          <cell r="M660">
            <v>-3458812.0309120002</v>
          </cell>
          <cell r="N660">
            <v>-5844932.7120549995</v>
          </cell>
          <cell r="O660">
            <v>-9082843.9033550005</v>
          </cell>
        </row>
        <row r="661">
          <cell r="A661" t="str">
            <v>Auto SpainSubPart F</v>
          </cell>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row>
        <row r="662">
          <cell r="A662" t="str">
            <v>Auto SpainAssets</v>
          </cell>
          <cell r="B662">
            <v>439591913.45999998</v>
          </cell>
          <cell r="C662">
            <v>425739714.44</v>
          </cell>
          <cell r="D662">
            <v>472539594.08999997</v>
          </cell>
          <cell r="E662">
            <v>480878959.63</v>
          </cell>
          <cell r="F662">
            <v>480878959.63</v>
          </cell>
          <cell r="G662">
            <v>449556441.30279303</v>
          </cell>
          <cell r="H662">
            <v>464341002.69454098</v>
          </cell>
          <cell r="I662">
            <v>472145997.82173902</v>
          </cell>
          <cell r="J662">
            <v>495863606.37427598</v>
          </cell>
          <cell r="K662">
            <v>495863606.37427598</v>
          </cell>
          <cell r="L662">
            <v>465500997.58999997</v>
          </cell>
          <cell r="M662">
            <v>540653958.98600197</v>
          </cell>
          <cell r="N662">
            <v>637147381.31480598</v>
          </cell>
          <cell r="O662">
            <v>768255631.08642697</v>
          </cell>
        </row>
        <row r="663">
          <cell r="A663" t="str">
            <v>Auto SpainEnding Net Investment (ENI) incl Asia</v>
          </cell>
          <cell r="B663">
            <v>427616283.51999998</v>
          </cell>
          <cell r="C663">
            <v>411744515.38999999</v>
          </cell>
          <cell r="D663">
            <v>459362991.01999998</v>
          </cell>
          <cell r="E663">
            <v>470002890.33999997</v>
          </cell>
          <cell r="F663">
            <v>470002890.33999997</v>
          </cell>
          <cell r="G663">
            <v>438624006.80458301</v>
          </cell>
          <cell r="H663">
            <v>453159458.11732298</v>
          </cell>
          <cell r="I663">
            <v>460850669.08831102</v>
          </cell>
          <cell r="J663">
            <v>484217510.46579897</v>
          </cell>
          <cell r="K663">
            <v>484217510.46579897</v>
          </cell>
          <cell r="L663">
            <v>461429270.43000001</v>
          </cell>
          <cell r="M663">
            <v>521226918.02863598</v>
          </cell>
          <cell r="N663">
            <v>616962796.94060504</v>
          </cell>
          <cell r="O663">
            <v>747366796.29341304</v>
          </cell>
        </row>
        <row r="664">
          <cell r="A664" t="str">
            <v>Auto SpainANR YTD</v>
          </cell>
          <cell r="B664">
            <v>421484354.53500003</v>
          </cell>
          <cell r="C664">
            <v>415658854.353333</v>
          </cell>
          <cell r="D664">
            <v>422527685.23250002</v>
          </cell>
          <cell r="E664">
            <v>425088625.61799997</v>
          </cell>
          <cell r="F664">
            <v>425088625.61799997</v>
          </cell>
          <cell r="G664">
            <v>435095876.58844799</v>
          </cell>
          <cell r="H664">
            <v>439828423.85320199</v>
          </cell>
          <cell r="I664">
            <v>444069164.52887797</v>
          </cell>
          <cell r="J664">
            <v>451297079.89552999</v>
          </cell>
          <cell r="K664">
            <v>451297079.89552999</v>
          </cell>
          <cell r="L664">
            <v>426356021.60500002</v>
          </cell>
          <cell r="M664">
            <v>196686418.96277699</v>
          </cell>
          <cell r="N664">
            <v>231095014.10584599</v>
          </cell>
          <cell r="O664">
            <v>279158588.68786198</v>
          </cell>
        </row>
        <row r="665">
          <cell r="A665" t="str">
            <v>Auto SpainASA YTD</v>
          </cell>
          <cell r="B665">
            <v>422469896.72000003</v>
          </cell>
          <cell r="C665">
            <v>414990754.45333302</v>
          </cell>
          <cell r="D665">
            <v>421498879.71499997</v>
          </cell>
          <cell r="E665">
            <v>423778281.46200001</v>
          </cell>
          <cell r="F665">
            <v>423778281.46200001</v>
          </cell>
          <cell r="G665">
            <v>433877627.23344803</v>
          </cell>
          <cell r="H665">
            <v>439016257.61653501</v>
          </cell>
          <cell r="I665">
            <v>443460039.85137802</v>
          </cell>
          <cell r="J665">
            <v>450809780.15353</v>
          </cell>
          <cell r="K665">
            <v>450809780.15353</v>
          </cell>
          <cell r="L665">
            <v>425137772.25</v>
          </cell>
          <cell r="M665">
            <v>196686418.96277699</v>
          </cell>
          <cell r="N665">
            <v>231095014.10584599</v>
          </cell>
          <cell r="O665">
            <v>279158588.68786198</v>
          </cell>
        </row>
        <row r="666">
          <cell r="A666" t="str">
            <v>Auto SpainANI YTD incl Asia - 5 pt</v>
          </cell>
          <cell r="B666">
            <v>429841314.89999998</v>
          </cell>
          <cell r="C666">
            <v>423809048.396667</v>
          </cell>
          <cell r="D666">
            <v>432697534.05250001</v>
          </cell>
          <cell r="E666">
            <v>440158605.31</v>
          </cell>
          <cell r="F666">
            <v>440158605.31</v>
          </cell>
          <cell r="G666">
            <v>454313448.57229197</v>
          </cell>
          <cell r="H666">
            <v>453928785.08730203</v>
          </cell>
          <cell r="I666">
            <v>455659256.08755398</v>
          </cell>
          <cell r="J666">
            <v>461370906.96320301</v>
          </cell>
          <cell r="K666">
            <v>461370906.96320301</v>
          </cell>
          <cell r="L666">
            <v>465716080.38499999</v>
          </cell>
          <cell r="M666">
            <v>195454925.405727</v>
          </cell>
          <cell r="N666">
            <v>227637942.993848</v>
          </cell>
          <cell r="O666">
            <v>272865918.64680398</v>
          </cell>
        </row>
        <row r="667">
          <cell r="A667" t="str">
            <v>Auto SpainOff Balance Sheet Assets</v>
          </cell>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row>
        <row r="668">
          <cell r="A668" t="str">
            <v>Auto SpainJV Receivables</v>
          </cell>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row>
        <row r="669">
          <cell r="A669" t="str">
            <v>Auto Spain30+ DELINQUENCY $</v>
          </cell>
          <cell r="B669">
            <v>8396208.8000000007</v>
          </cell>
          <cell r="C669">
            <v>8847772</v>
          </cell>
          <cell r="D669">
            <v>8846559.8000000007</v>
          </cell>
          <cell r="E669">
            <v>9359646.3200000003</v>
          </cell>
          <cell r="F669">
            <v>9359646.3200000003</v>
          </cell>
          <cell r="G669">
            <v>10219195.101397</v>
          </cell>
          <cell r="H669">
            <v>10558397.681994</v>
          </cell>
          <cell r="I669">
            <v>10734597.584063999</v>
          </cell>
          <cell r="J669">
            <v>11284905.422010001</v>
          </cell>
          <cell r="K669">
            <v>11284905.422010001</v>
          </cell>
          <cell r="L669">
            <v>9314000</v>
          </cell>
          <cell r="M669">
            <v>10376336.401133999</v>
          </cell>
          <cell r="N669">
            <v>12323646.739621</v>
          </cell>
          <cell r="O669">
            <v>15110598.497462001</v>
          </cell>
        </row>
        <row r="670">
          <cell r="A670" t="str">
            <v>Auto Spain90+ DELINQUENCY $</v>
          </cell>
          <cell r="B670">
            <v>2183014.29</v>
          </cell>
          <cell r="C670">
            <v>2545249.48</v>
          </cell>
          <cell r="D670">
            <v>2624338.31</v>
          </cell>
          <cell r="E670">
            <v>2742594.04</v>
          </cell>
          <cell r="F670">
            <v>2742594.04</v>
          </cell>
          <cell r="G670">
            <v>3044015.5621179999</v>
          </cell>
          <cell r="H670">
            <v>3145054.6286789998</v>
          </cell>
          <cell r="I670">
            <v>3197539.7058910001</v>
          </cell>
          <cell r="J670">
            <v>3361461.1895349999</v>
          </cell>
          <cell r="K670">
            <v>3361461.1895349999</v>
          </cell>
          <cell r="L670">
            <v>2576000</v>
          </cell>
          <cell r="M670">
            <v>3002290.2277390002</v>
          </cell>
          <cell r="N670">
            <v>3521041.9256059998</v>
          </cell>
          <cell r="O670">
            <v>4295398.5576539999</v>
          </cell>
        </row>
        <row r="671">
          <cell r="A671" t="str">
            <v>Auto SpainTemporary Staff</v>
          </cell>
          <cell r="B671">
            <v>0</v>
          </cell>
          <cell r="C671">
            <v>17</v>
          </cell>
          <cell r="D671">
            <v>16</v>
          </cell>
          <cell r="E671">
            <v>18</v>
          </cell>
          <cell r="F671">
            <v>18</v>
          </cell>
          <cell r="G671">
            <v>18</v>
          </cell>
          <cell r="H671">
            <v>18</v>
          </cell>
          <cell r="I671">
            <v>18</v>
          </cell>
          <cell r="J671">
            <v>18</v>
          </cell>
          <cell r="K671">
            <v>18</v>
          </cell>
          <cell r="L671">
            <v>21</v>
          </cell>
          <cell r="M671">
            <v>14</v>
          </cell>
          <cell r="N671">
            <v>14</v>
          </cell>
          <cell r="O671">
            <v>14</v>
          </cell>
        </row>
        <row r="672">
          <cell r="A672" t="str">
            <v>Auto SpainContractors</v>
          </cell>
          <cell r="B672">
            <v>0</v>
          </cell>
          <cell r="C672">
            <v>16</v>
          </cell>
          <cell r="D672">
            <v>16</v>
          </cell>
          <cell r="E672">
            <v>18</v>
          </cell>
          <cell r="F672">
            <v>18</v>
          </cell>
          <cell r="G672">
            <v>18</v>
          </cell>
          <cell r="H672">
            <v>18</v>
          </cell>
          <cell r="I672">
            <v>18</v>
          </cell>
          <cell r="J672">
            <v>16</v>
          </cell>
          <cell r="K672">
            <v>16</v>
          </cell>
          <cell r="L672">
            <v>15</v>
          </cell>
          <cell r="M672">
            <v>13</v>
          </cell>
          <cell r="N672">
            <v>13</v>
          </cell>
          <cell r="O672">
            <v>13</v>
          </cell>
        </row>
        <row r="673">
          <cell r="A673" t="str">
            <v>Auto SpainOutsourced to LCC</v>
          </cell>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row>
        <row r="674">
          <cell r="A674" t="str">
            <v>Auto SpainTotal Headcount</v>
          </cell>
          <cell r="B674">
            <v>176</v>
          </cell>
          <cell r="C674">
            <v>179</v>
          </cell>
          <cell r="D674">
            <v>173</v>
          </cell>
          <cell r="E674">
            <v>166</v>
          </cell>
          <cell r="F674">
            <v>166</v>
          </cell>
          <cell r="G674">
            <v>170</v>
          </cell>
          <cell r="H674">
            <v>170</v>
          </cell>
          <cell r="I674">
            <v>167.38709700000001</v>
          </cell>
          <cell r="J674">
            <v>164</v>
          </cell>
          <cell r="K674">
            <v>164</v>
          </cell>
          <cell r="L674">
            <v>163.5</v>
          </cell>
          <cell r="M674">
            <v>192.40287599999999</v>
          </cell>
          <cell r="N674">
            <v>204.069106</v>
          </cell>
          <cell r="O674">
            <v>216.492853</v>
          </cell>
        </row>
        <row r="675">
          <cell r="A675" t="str">
            <v>Auto SpainTotal Workforce</v>
          </cell>
          <cell r="B675">
            <v>176</v>
          </cell>
          <cell r="C675">
            <v>212</v>
          </cell>
          <cell r="D675">
            <v>205</v>
          </cell>
          <cell r="E675">
            <v>202</v>
          </cell>
          <cell r="F675">
            <v>202</v>
          </cell>
          <cell r="G675">
            <v>206</v>
          </cell>
          <cell r="H675">
            <v>206</v>
          </cell>
          <cell r="I675">
            <v>203.38709700000001</v>
          </cell>
          <cell r="J675">
            <v>198</v>
          </cell>
          <cell r="K675">
            <v>198</v>
          </cell>
          <cell r="L675">
            <v>199.5</v>
          </cell>
          <cell r="M675">
            <v>219.40287599999999</v>
          </cell>
          <cell r="N675">
            <v>231.069106</v>
          </cell>
          <cell r="O675">
            <v>243.492853</v>
          </cell>
        </row>
        <row r="676">
          <cell r="A676" t="str">
            <v>Auto SpainTotal Earned Revenue</v>
          </cell>
          <cell r="B676">
            <v>-8312634.7800000003</v>
          </cell>
          <cell r="C676">
            <v>-8828964.7599999998</v>
          </cell>
          <cell r="D676">
            <v>-7854883.1500000004</v>
          </cell>
          <cell r="E676">
            <v>-7574013.3499999996</v>
          </cell>
          <cell r="F676">
            <v>-32570496.039999999</v>
          </cell>
          <cell r="G676">
            <v>-8379339.9410159998</v>
          </cell>
          <cell r="H676">
            <v>-8603435.9334149994</v>
          </cell>
          <cell r="I676">
            <v>-8984914.1715900004</v>
          </cell>
          <cell r="J676">
            <v>-9268774.5327209998</v>
          </cell>
          <cell r="K676">
            <v>-35236464.578741997</v>
          </cell>
          <cell r="L676">
            <v>-8179911.5899999999</v>
          </cell>
          <cell r="M676">
            <v>-42342626.08348</v>
          </cell>
          <cell r="N676">
            <v>-52041066.703557998</v>
          </cell>
          <cell r="O676">
            <v>-64637769.709232002</v>
          </cell>
        </row>
        <row r="677">
          <cell r="A677" t="str">
            <v>Auto SpainOrdinary Gains - PreTax</v>
          </cell>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row>
        <row r="678">
          <cell r="A678" t="str">
            <v>Auto SpainOrdinary Gains - AfterTax</v>
          </cell>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row>
        <row r="679">
          <cell r="A679" t="str">
            <v>Auto SpainTotal Volume</v>
          </cell>
          <cell r="B679">
            <v>42207615.780000001</v>
          </cell>
          <cell r="C679">
            <v>49611723.460000001</v>
          </cell>
          <cell r="D679">
            <v>45545790.520000003</v>
          </cell>
          <cell r="E679">
            <v>50349964.240000002</v>
          </cell>
          <cell r="F679">
            <v>187715094</v>
          </cell>
          <cell r="G679">
            <v>51043818.408142999</v>
          </cell>
          <cell r="H679">
            <v>65933183.701233998</v>
          </cell>
          <cell r="I679">
            <v>60978960.540109001</v>
          </cell>
          <cell r="J679">
            <v>78169947.979378</v>
          </cell>
          <cell r="K679">
            <v>256125910.62886301</v>
          </cell>
          <cell r="L679">
            <v>43718312.979999997</v>
          </cell>
          <cell r="M679">
            <v>293857432.40483701</v>
          </cell>
          <cell r="N679">
            <v>360054632.52818203</v>
          </cell>
          <cell r="O679">
            <v>437126557.54285902</v>
          </cell>
        </row>
        <row r="680">
          <cell r="A680" t="str">
            <v>Auto SpainTOTAL # ACTIVE ACCOUNTS</v>
          </cell>
          <cell r="B680">
            <v>67728</v>
          </cell>
          <cell r="C680">
            <v>68589</v>
          </cell>
          <cell r="D680">
            <v>70024.820000000007</v>
          </cell>
          <cell r="E680">
            <v>69289.58</v>
          </cell>
          <cell r="F680">
            <v>69289.58</v>
          </cell>
          <cell r="G680">
            <v>71689.655434</v>
          </cell>
          <cell r="H680">
            <v>75312.061354000005</v>
          </cell>
          <cell r="I680">
            <v>77514.414820999998</v>
          </cell>
          <cell r="J680">
            <v>80412.341006000002</v>
          </cell>
          <cell r="K680">
            <v>80412.341006000002</v>
          </cell>
          <cell r="L680">
            <v>0</v>
          </cell>
          <cell r="M680">
            <v>100118.32455799999</v>
          </cell>
          <cell r="N680">
            <v>131912.55048599999</v>
          </cell>
          <cell r="O680">
            <v>176680.92236699999</v>
          </cell>
        </row>
        <row r="681">
          <cell r="A681" t="str">
            <v>Auto UKTOTAL FINANCING RECEIVABLES</v>
          </cell>
          <cell r="B681">
            <v>2243770841.0500002</v>
          </cell>
          <cell r="C681">
            <v>2309916549.2600002</v>
          </cell>
          <cell r="D681">
            <v>2400462089.4400001</v>
          </cell>
          <cell r="E681">
            <v>2938479266.1599898</v>
          </cell>
          <cell r="F681">
            <v>2938479266.1599898</v>
          </cell>
          <cell r="G681">
            <v>2982731955.0882101</v>
          </cell>
          <cell r="H681">
            <v>2968734820.3649001</v>
          </cell>
          <cell r="I681">
            <v>2963307346.7936902</v>
          </cell>
          <cell r="J681">
            <v>2890794898.57868</v>
          </cell>
          <cell r="K681">
            <v>2890794898.57868</v>
          </cell>
          <cell r="L681">
            <v>2846896955.4499998</v>
          </cell>
          <cell r="M681">
            <v>2506084124.7523899</v>
          </cell>
          <cell r="N681">
            <v>2552196072.64783</v>
          </cell>
          <cell r="O681">
            <v>2628761954.82726</v>
          </cell>
        </row>
        <row r="682">
          <cell r="A682" t="str">
            <v>Auto UKRECEIVABLE RESERVES</v>
          </cell>
          <cell r="B682">
            <v>-45207485.700000003</v>
          </cell>
          <cell r="C682">
            <v>-52765283.030000001</v>
          </cell>
          <cell r="D682">
            <v>-59319349.609999999</v>
          </cell>
          <cell r="E682">
            <v>-51610926.200000003</v>
          </cell>
          <cell r="F682">
            <v>-51610926.200000003</v>
          </cell>
          <cell r="G682">
            <v>-65513176.880052999</v>
          </cell>
          <cell r="H682">
            <v>-67895477.164509997</v>
          </cell>
          <cell r="I682">
            <v>-70664053.420972005</v>
          </cell>
          <cell r="J682">
            <v>-71882861.051213995</v>
          </cell>
          <cell r="K682">
            <v>-71882861.051213995</v>
          </cell>
          <cell r="L682">
            <v>-44337558.93</v>
          </cell>
          <cell r="M682">
            <v>-55025823.119106002</v>
          </cell>
          <cell r="N682">
            <v>-56646486.786192</v>
          </cell>
          <cell r="O682">
            <v>-59755995.314544998</v>
          </cell>
        </row>
        <row r="683">
          <cell r="A683" t="str">
            <v>Auto UKCASH</v>
          </cell>
          <cell r="B683">
            <v>-8336759.0899999999</v>
          </cell>
          <cell r="C683">
            <v>-2037444.83</v>
          </cell>
          <cell r="D683">
            <v>8257268.5899999999</v>
          </cell>
          <cell r="E683">
            <v>13650952.42</v>
          </cell>
          <cell r="F683">
            <v>13650952.42</v>
          </cell>
          <cell r="G683">
            <v>5062406.8446000004</v>
          </cell>
          <cell r="H683">
            <v>5025647.3483999996</v>
          </cell>
          <cell r="I683">
            <v>4989581.4276000001</v>
          </cell>
          <cell r="J683">
            <v>4957676.9592000004</v>
          </cell>
          <cell r="K683">
            <v>4957676.9592000004</v>
          </cell>
          <cell r="L683">
            <v>-5102835.49</v>
          </cell>
          <cell r="M683">
            <v>3672937.4825180001</v>
          </cell>
          <cell r="N683">
            <v>3854297.3978340002</v>
          </cell>
          <cell r="O683">
            <v>4126035.601241</v>
          </cell>
        </row>
        <row r="684">
          <cell r="A684" t="str">
            <v>Auto UKINVESTMENT SECURITIES</v>
          </cell>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row>
        <row r="685">
          <cell r="A685" t="str">
            <v>Auto UKINV IN NON CONSOL AFFILIATES</v>
          </cell>
          <cell r="B685">
            <v>975000</v>
          </cell>
          <cell r="C685">
            <v>2164000</v>
          </cell>
          <cell r="D685">
            <v>3261000</v>
          </cell>
          <cell r="E685">
            <v>0</v>
          </cell>
          <cell r="F685">
            <v>0</v>
          </cell>
          <cell r="G685">
            <v>0</v>
          </cell>
          <cell r="H685">
            <v>0</v>
          </cell>
          <cell r="I685">
            <v>0</v>
          </cell>
          <cell r="J685">
            <v>0</v>
          </cell>
          <cell r="K685">
            <v>0</v>
          </cell>
          <cell r="L685">
            <v>0</v>
          </cell>
          <cell r="M685">
            <v>0</v>
          </cell>
          <cell r="N685">
            <v>0</v>
          </cell>
          <cell r="O685">
            <v>0</v>
          </cell>
        </row>
        <row r="686">
          <cell r="A686" t="str">
            <v>Auto UKINVESTMENT IN JOINT VENTURE</v>
          </cell>
          <cell r="B686">
            <v>0</v>
          </cell>
          <cell r="C686">
            <v>0</v>
          </cell>
          <cell r="D686">
            <v>0</v>
          </cell>
          <cell r="E686">
            <v>17216000</v>
          </cell>
          <cell r="F686">
            <v>17216000</v>
          </cell>
          <cell r="G686">
            <v>0</v>
          </cell>
          <cell r="H686">
            <v>0</v>
          </cell>
          <cell r="I686">
            <v>0</v>
          </cell>
          <cell r="J686">
            <v>0</v>
          </cell>
          <cell r="K686">
            <v>0</v>
          </cell>
          <cell r="L686">
            <v>19037712</v>
          </cell>
          <cell r="M686">
            <v>0</v>
          </cell>
          <cell r="N686">
            <v>0</v>
          </cell>
          <cell r="O686">
            <v>0</v>
          </cell>
        </row>
        <row r="687">
          <cell r="A687" t="str">
            <v>Auto UKALL OTHER RECEIVABLES (NON-FINANCING)</v>
          </cell>
          <cell r="B687">
            <v>15277696.48</v>
          </cell>
          <cell r="C687">
            <v>33402745.190000001</v>
          </cell>
          <cell r="D687">
            <v>27588107.949999999</v>
          </cell>
          <cell r="E687">
            <v>24948155.030000001</v>
          </cell>
          <cell r="F687">
            <v>24948155.030000001</v>
          </cell>
          <cell r="G687">
            <v>45424442.041332997</v>
          </cell>
          <cell r="H687">
            <v>45094602.962761998</v>
          </cell>
          <cell r="I687">
            <v>44770987.264940001</v>
          </cell>
          <cell r="J687">
            <v>44484711.836841002</v>
          </cell>
          <cell r="K687">
            <v>44484711.836841002</v>
          </cell>
          <cell r="L687">
            <v>25450985.699999999</v>
          </cell>
          <cell r="M687">
            <v>21085150.232843</v>
          </cell>
          <cell r="N687">
            <v>29217364.552581001</v>
          </cell>
          <cell r="O687">
            <v>43695722.227798</v>
          </cell>
        </row>
        <row r="688">
          <cell r="A688" t="str">
            <v>Auto UKELTO (NET)</v>
          </cell>
          <cell r="B688">
            <v>0</v>
          </cell>
          <cell r="C688">
            <v>0</v>
          </cell>
          <cell r="D688">
            <v>4558497</v>
          </cell>
          <cell r="E688">
            <v>3881923</v>
          </cell>
          <cell r="F688">
            <v>3881923</v>
          </cell>
          <cell r="G688">
            <v>0</v>
          </cell>
          <cell r="H688">
            <v>0</v>
          </cell>
          <cell r="I688">
            <v>0</v>
          </cell>
          <cell r="J688">
            <v>0</v>
          </cell>
          <cell r="K688">
            <v>0</v>
          </cell>
          <cell r="L688">
            <v>3245710</v>
          </cell>
          <cell r="M688">
            <v>0</v>
          </cell>
          <cell r="N688">
            <v>0</v>
          </cell>
          <cell r="O688">
            <v>0</v>
          </cell>
        </row>
        <row r="689">
          <cell r="A689" t="str">
            <v>Auto UKGOODWILL</v>
          </cell>
          <cell r="B689">
            <v>221256288.11000001</v>
          </cell>
          <cell r="C689">
            <v>221754955.71000001</v>
          </cell>
          <cell r="D689">
            <v>221350762.44999999</v>
          </cell>
          <cell r="E689">
            <v>216150968.63</v>
          </cell>
          <cell r="F689">
            <v>216150968.63</v>
          </cell>
          <cell r="G689">
            <v>216576472.5054</v>
          </cell>
          <cell r="H689">
            <v>215003852.55160001</v>
          </cell>
          <cell r="I689">
            <v>213460904.6724</v>
          </cell>
          <cell r="J689">
            <v>212095989.24079999</v>
          </cell>
          <cell r="K689">
            <v>212095989.24079999</v>
          </cell>
          <cell r="L689">
            <v>211619034.53</v>
          </cell>
          <cell r="M689">
            <v>205280044.61132401</v>
          </cell>
          <cell r="N689">
            <v>194215257.333204</v>
          </cell>
          <cell r="O689">
            <v>183150470.05508399</v>
          </cell>
        </row>
        <row r="690">
          <cell r="A690" t="str">
            <v>Auto UKOTHER ASSETS</v>
          </cell>
          <cell r="B690">
            <v>143056438.97999999</v>
          </cell>
          <cell r="C690">
            <v>139227280.09999999</v>
          </cell>
          <cell r="D690">
            <v>152868518.19</v>
          </cell>
          <cell r="E690">
            <v>148136948.43000001</v>
          </cell>
          <cell r="F690">
            <v>148136948.43000001</v>
          </cell>
          <cell r="G690">
            <v>150770526.23234099</v>
          </cell>
          <cell r="H690">
            <v>158642886.204799</v>
          </cell>
          <cell r="I690">
            <v>164785987.551723</v>
          </cell>
          <cell r="J690">
            <v>161552070.916673</v>
          </cell>
          <cell r="K690">
            <v>161552070.916673</v>
          </cell>
          <cell r="L690">
            <v>143578533.5</v>
          </cell>
          <cell r="M690">
            <v>163432293.14895499</v>
          </cell>
          <cell r="N690">
            <v>163890230.08936</v>
          </cell>
          <cell r="O690">
            <v>163890230.08936</v>
          </cell>
        </row>
        <row r="691">
          <cell r="A691" t="str">
            <v>Auto UKACCOUNTS PAYABLE</v>
          </cell>
          <cell r="B691">
            <v>-16756936.710000001</v>
          </cell>
          <cell r="C691">
            <v>-24097373.739999998</v>
          </cell>
          <cell r="D691">
            <v>-57841070.630000003</v>
          </cell>
          <cell r="E691">
            <v>-35155347.270000003</v>
          </cell>
          <cell r="F691">
            <v>-35155347.270000003</v>
          </cell>
          <cell r="G691">
            <v>-21015049.226018</v>
          </cell>
          <cell r="H691">
            <v>-20854842.978659</v>
          </cell>
          <cell r="I691">
            <v>-20700638.551413</v>
          </cell>
          <cell r="J691">
            <v>-20567393.534526002</v>
          </cell>
          <cell r="K691">
            <v>-20567393.534526002</v>
          </cell>
          <cell r="L691">
            <v>-28907094.600000001</v>
          </cell>
          <cell r="M691">
            <v>9439027.7269860003</v>
          </cell>
          <cell r="N691">
            <v>11070662.602050999</v>
          </cell>
          <cell r="O691">
            <v>8606452.2718219999</v>
          </cell>
        </row>
        <row r="692">
          <cell r="A692" t="str">
            <v>Auto UKDEFERRED INCOME TAXES</v>
          </cell>
          <cell r="B692">
            <v>4278978.7699999996</v>
          </cell>
          <cell r="C692">
            <v>4283922.17</v>
          </cell>
          <cell r="D692">
            <v>4273296.17</v>
          </cell>
          <cell r="E692">
            <v>4275975.7699999996</v>
          </cell>
          <cell r="F692">
            <v>4275975.7699999996</v>
          </cell>
          <cell r="G692">
            <v>4169025.3023999999</v>
          </cell>
          <cell r="H692">
            <v>4138752.8895999999</v>
          </cell>
          <cell r="I692">
            <v>4109051.6543999999</v>
          </cell>
          <cell r="J692">
            <v>4082777.4848000002</v>
          </cell>
          <cell r="K692">
            <v>4082777.4848000002</v>
          </cell>
          <cell r="L692">
            <v>4280672.7699999996</v>
          </cell>
          <cell r="M692">
            <v>2268523.2684709998</v>
          </cell>
          <cell r="N692">
            <v>2380536.9332340001</v>
          </cell>
          <cell r="O692">
            <v>2548371.1096379999</v>
          </cell>
        </row>
        <row r="693">
          <cell r="A693" t="str">
            <v>Auto UKWRITE-OFF (MEMO)</v>
          </cell>
          <cell r="B693">
            <v>10729148.470000001</v>
          </cell>
          <cell r="C693">
            <v>20551072.390000001</v>
          </cell>
          <cell r="D693">
            <v>28767299.210000001</v>
          </cell>
          <cell r="E693">
            <v>34925566.490000002</v>
          </cell>
          <cell r="F693">
            <v>34925566.490000002</v>
          </cell>
          <cell r="G693">
            <v>11349708.512399999</v>
          </cell>
          <cell r="H693">
            <v>21811134.055199999</v>
          </cell>
          <cell r="I693">
            <v>31951654.013999999</v>
          </cell>
          <cell r="J693">
            <v>41635833.0348</v>
          </cell>
          <cell r="K693">
            <v>41635833.0348</v>
          </cell>
          <cell r="L693">
            <v>8654841.5800000001</v>
          </cell>
          <cell r="M693">
            <v>43221728.869000003</v>
          </cell>
          <cell r="N693">
            <v>51933499.248000003</v>
          </cell>
          <cell r="O693">
            <v>54481504.259999998</v>
          </cell>
        </row>
        <row r="694">
          <cell r="A694" t="str">
            <v>Auto UKINSURANCE RESERVES AND ANNUITY BENEFITS</v>
          </cell>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row>
        <row r="695">
          <cell r="A695" t="str">
            <v>Auto UKALL OTHER NON DEBT LIABILITIES</v>
          </cell>
          <cell r="B695">
            <v>-15735950.4</v>
          </cell>
          <cell r="C695">
            <v>-15246171.619999999</v>
          </cell>
          <cell r="D695">
            <v>-13032696.85</v>
          </cell>
          <cell r="E695">
            <v>-27418918.82</v>
          </cell>
          <cell r="F695">
            <v>-27418918.82</v>
          </cell>
          <cell r="G695">
            <v>-10374445.95796</v>
          </cell>
          <cell r="H695">
            <v>-25801311.969368</v>
          </cell>
          <cell r="I695">
            <v>-11077429.558228999</v>
          </cell>
          <cell r="J695">
            <v>-22279521.794004999</v>
          </cell>
          <cell r="K695">
            <v>-22279521.794004999</v>
          </cell>
          <cell r="L695">
            <v>-41304214.530000001</v>
          </cell>
          <cell r="M695">
            <v>-37217146.903903998</v>
          </cell>
          <cell r="N695">
            <v>-30917556.916793998</v>
          </cell>
          <cell r="O695">
            <v>-40928401.654216997</v>
          </cell>
        </row>
        <row r="696">
          <cell r="A696" t="str">
            <v>Auto UKMINORITY INTEREST (BS)</v>
          </cell>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row>
        <row r="697">
          <cell r="A697" t="str">
            <v>Auto UKASIA PACIFIC ENI DIVIDEND</v>
          </cell>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row>
        <row r="698">
          <cell r="A698" t="str">
            <v>Auto UKFINANCING INCOME</v>
          </cell>
          <cell r="B698">
            <v>-56404950.090000004</v>
          </cell>
          <cell r="C698">
            <v>-59636476.310000002</v>
          </cell>
          <cell r="D698">
            <v>-63061772.020000003</v>
          </cell>
          <cell r="E698">
            <v>-57924913.899999999</v>
          </cell>
          <cell r="F698">
            <v>-237028112.31999999</v>
          </cell>
          <cell r="G698">
            <v>-53668609.766981997</v>
          </cell>
          <cell r="H698">
            <v>-55884083.190036997</v>
          </cell>
          <cell r="I698">
            <v>-54189836.907918997</v>
          </cell>
          <cell r="J698">
            <v>-52735548.133927003</v>
          </cell>
          <cell r="K698">
            <v>-216478077.99886501</v>
          </cell>
          <cell r="L698">
            <v>-51735904.219999999</v>
          </cell>
          <cell r="M698">
            <v>-253504169.56005901</v>
          </cell>
          <cell r="N698">
            <v>-263759361.045645</v>
          </cell>
          <cell r="O698">
            <v>-265998723.893089</v>
          </cell>
        </row>
        <row r="699">
          <cell r="A699" t="str">
            <v>Auto UKINSURANCE PREMIUM INCOME</v>
          </cell>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row>
        <row r="700">
          <cell r="A700" t="str">
            <v>Auto UKINSURANCE INCOME (COMMISSIONS)</v>
          </cell>
          <cell r="B700">
            <v>-1577735.8</v>
          </cell>
          <cell r="C700">
            <v>-1871066.81</v>
          </cell>
          <cell r="D700">
            <v>-1602176.73</v>
          </cell>
          <cell r="E700">
            <v>-5109687.68</v>
          </cell>
          <cell r="F700">
            <v>-10160667.02</v>
          </cell>
          <cell r="G700">
            <v>-3496222.4280699999</v>
          </cell>
          <cell r="H700">
            <v>-3413859.305472</v>
          </cell>
          <cell r="I700">
            <v>-3261136.9591080002</v>
          </cell>
          <cell r="J700">
            <v>-2712607.6580949998</v>
          </cell>
          <cell r="K700">
            <v>-12883826.350745</v>
          </cell>
          <cell r="L700">
            <v>-3799808.29</v>
          </cell>
          <cell r="M700">
            <v>-12944645.817328</v>
          </cell>
          <cell r="N700">
            <v>-12657533.434775</v>
          </cell>
          <cell r="O700">
            <v>-11805241.068655999</v>
          </cell>
        </row>
        <row r="701">
          <cell r="A701" t="str">
            <v>Auto UKSUNDRY INCOME</v>
          </cell>
          <cell r="B701">
            <v>-3161850.08</v>
          </cell>
          <cell r="C701">
            <v>-3575637.2</v>
          </cell>
          <cell r="D701">
            <v>-1724962.07</v>
          </cell>
          <cell r="E701">
            <v>-4149001.8</v>
          </cell>
          <cell r="F701">
            <v>-12611451.15</v>
          </cell>
          <cell r="G701">
            <v>-11180276.764799999</v>
          </cell>
          <cell r="H701">
            <v>-10891151.022</v>
          </cell>
          <cell r="I701">
            <v>-11317526.218800001</v>
          </cell>
          <cell r="J701">
            <v>-10899067.3968</v>
          </cell>
          <cell r="K701">
            <v>-44288021.402400002</v>
          </cell>
          <cell r="L701">
            <v>-8812847.9499999993</v>
          </cell>
          <cell r="M701">
            <v>-13609018.353957999</v>
          </cell>
          <cell r="N701">
            <v>-14601844.298965</v>
          </cell>
          <cell r="O701">
            <v>-16268580.345962999</v>
          </cell>
        </row>
        <row r="702">
          <cell r="A702" t="str">
            <v>Auto UKINTEREST EXPENSE</v>
          </cell>
          <cell r="B702">
            <v>35229198</v>
          </cell>
          <cell r="C702">
            <v>34563824.520000003</v>
          </cell>
          <cell r="D702">
            <v>33030590.120000001</v>
          </cell>
          <cell r="E702">
            <v>36924656.57</v>
          </cell>
          <cell r="F702">
            <v>139748269.21000001</v>
          </cell>
          <cell r="G702">
            <v>38831924.379345998</v>
          </cell>
          <cell r="H702">
            <v>38933959.619508997</v>
          </cell>
          <cell r="I702">
            <v>38606912.071337998</v>
          </cell>
          <cell r="J702">
            <v>39153110.685699001</v>
          </cell>
          <cell r="K702">
            <v>155525906.75589201</v>
          </cell>
          <cell r="L702">
            <v>35619127.399999999</v>
          </cell>
          <cell r="M702">
            <v>142781467.707131</v>
          </cell>
          <cell r="N702">
            <v>142153622.15066099</v>
          </cell>
          <cell r="O702">
            <v>143139136.42267799</v>
          </cell>
        </row>
        <row r="703">
          <cell r="A703" t="str">
            <v>Auto UKINTEREST EXPENSE REDUCTIONS / BUS SHARING</v>
          </cell>
          <cell r="B703">
            <v>0</v>
          </cell>
          <cell r="C703">
            <v>0</v>
          </cell>
          <cell r="D703">
            <v>5406255</v>
          </cell>
          <cell r="E703">
            <v>1540830</v>
          </cell>
          <cell r="F703">
            <v>6947085</v>
          </cell>
          <cell r="G703">
            <v>0</v>
          </cell>
          <cell r="H703">
            <v>0</v>
          </cell>
          <cell r="I703">
            <v>0</v>
          </cell>
          <cell r="J703">
            <v>0</v>
          </cell>
          <cell r="K703">
            <v>0</v>
          </cell>
          <cell r="L703">
            <v>1145846</v>
          </cell>
          <cell r="M703">
            <v>0</v>
          </cell>
          <cell r="N703">
            <v>0</v>
          </cell>
          <cell r="O703">
            <v>0</v>
          </cell>
        </row>
        <row r="704">
          <cell r="A704" t="str">
            <v>Auto UKALLOCATED COST OF PREFERRED EQUITY</v>
          </cell>
          <cell r="B704">
            <v>330798</v>
          </cell>
          <cell r="C704">
            <v>272028.12</v>
          </cell>
          <cell r="D704">
            <v>223312.42</v>
          </cell>
          <cell r="E704">
            <v>152539.96</v>
          </cell>
          <cell r="F704">
            <v>978678.5</v>
          </cell>
          <cell r="G704">
            <v>573830.94704999996</v>
          </cell>
          <cell r="H704">
            <v>580578.26445699995</v>
          </cell>
          <cell r="I704">
            <v>577962.18579100003</v>
          </cell>
          <cell r="J704">
            <v>588129.47821299999</v>
          </cell>
          <cell r="K704">
            <v>2320500.8755100002</v>
          </cell>
          <cell r="L704">
            <v>186664.55</v>
          </cell>
          <cell r="M704">
            <v>2045448.485379</v>
          </cell>
          <cell r="N704">
            <v>2117241.4861289999</v>
          </cell>
          <cell r="O704">
            <v>2155843.015288</v>
          </cell>
        </row>
        <row r="705">
          <cell r="A705" t="str">
            <v>Auto UKSALARIES &amp; BENEFITS</v>
          </cell>
          <cell r="B705">
            <v>6792270.4800000004</v>
          </cell>
          <cell r="C705">
            <v>6131156.6299999999</v>
          </cell>
          <cell r="D705">
            <v>6302733.2300000004</v>
          </cell>
          <cell r="E705">
            <v>6836718.0099999998</v>
          </cell>
          <cell r="F705">
            <v>26062878.350000001</v>
          </cell>
          <cell r="G705">
            <v>5090606.7040060004</v>
          </cell>
          <cell r="H705">
            <v>5056162.8187330002</v>
          </cell>
          <cell r="I705">
            <v>5056496.1008580001</v>
          </cell>
          <cell r="J705">
            <v>5049219.5551789999</v>
          </cell>
          <cell r="K705">
            <v>20252485.178775001</v>
          </cell>
          <cell r="L705">
            <v>5826075</v>
          </cell>
          <cell r="M705">
            <v>23480576.895716999</v>
          </cell>
          <cell r="N705">
            <v>24238628.956023</v>
          </cell>
          <cell r="O705">
            <v>25264564.035482001</v>
          </cell>
        </row>
        <row r="706">
          <cell r="A706" t="str">
            <v>Auto UKLOSSES ON OTHER ASSETS</v>
          </cell>
          <cell r="B706">
            <v>48823.39</v>
          </cell>
          <cell r="C706">
            <v>320034.15000000002</v>
          </cell>
          <cell r="D706">
            <v>575819.07999999996</v>
          </cell>
          <cell r="E706">
            <v>-79910.539999999994</v>
          </cell>
          <cell r="F706">
            <v>864766.08</v>
          </cell>
          <cell r="G706">
            <v>255453.3216</v>
          </cell>
          <cell r="H706">
            <v>258885.08799999999</v>
          </cell>
          <cell r="I706">
            <v>257821.44959999999</v>
          </cell>
          <cell r="J706">
            <v>255623.91680000001</v>
          </cell>
          <cell r="K706">
            <v>1027783.776</v>
          </cell>
          <cell r="L706">
            <v>9343880.7599999998</v>
          </cell>
          <cell r="M706">
            <v>1511004.780699</v>
          </cell>
          <cell r="N706">
            <v>1647734.6454650001</v>
          </cell>
          <cell r="O706">
            <v>1756109.876952</v>
          </cell>
        </row>
        <row r="707">
          <cell r="A707" t="str">
            <v>Auto UKCOST OF GOODS SOLD</v>
          </cell>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row>
        <row r="708">
          <cell r="A708" t="str">
            <v>Auto UKCOST OF GOODS SOLD - DISTRIBUTION</v>
          </cell>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row>
        <row r="709">
          <cell r="A709" t="str">
            <v>Auto UKPOSTAGE</v>
          </cell>
          <cell r="B709">
            <v>81966.78</v>
          </cell>
          <cell r="C709">
            <v>77392.850000000006</v>
          </cell>
          <cell r="D709">
            <v>113453.04</v>
          </cell>
          <cell r="E709">
            <v>149935.76999999999</v>
          </cell>
          <cell r="F709">
            <v>422748.44</v>
          </cell>
          <cell r="G709">
            <v>84276.443700000003</v>
          </cell>
          <cell r="H709">
            <v>83664.489799999996</v>
          </cell>
          <cell r="I709">
            <v>83064.082200000004</v>
          </cell>
          <cell r="J709">
            <v>82532.952399999995</v>
          </cell>
          <cell r="K709">
            <v>333537.9681</v>
          </cell>
          <cell r="L709">
            <v>184848.07</v>
          </cell>
          <cell r="M709">
            <v>328399.86459999997</v>
          </cell>
          <cell r="N709">
            <v>338251.86053800001</v>
          </cell>
          <cell r="O709">
            <v>348400.372859</v>
          </cell>
        </row>
        <row r="710">
          <cell r="A710" t="str">
            <v>Auto UKTELEPHONE</v>
          </cell>
          <cell r="B710">
            <v>692897.79</v>
          </cell>
          <cell r="C710">
            <v>258227.83</v>
          </cell>
          <cell r="D710">
            <v>404182.05</v>
          </cell>
          <cell r="E710">
            <v>802810.97</v>
          </cell>
          <cell r="F710">
            <v>2158118.64</v>
          </cell>
          <cell r="G710">
            <v>482292.20197400003</v>
          </cell>
          <cell r="H710">
            <v>478790.14871899999</v>
          </cell>
          <cell r="I710">
            <v>475354.17194099998</v>
          </cell>
          <cell r="J710">
            <v>472314.65402199997</v>
          </cell>
          <cell r="K710">
            <v>1908751.1766560001</v>
          </cell>
          <cell r="L710">
            <v>402536.5</v>
          </cell>
          <cell r="M710">
            <v>2414518.0738530001</v>
          </cell>
          <cell r="N710">
            <v>2486108.888669</v>
          </cell>
          <cell r="O710">
            <v>2562485.012015</v>
          </cell>
        </row>
        <row r="711">
          <cell r="A711" t="str">
            <v>Auto UKCUSTOMER SERVICE / COLLECTIONS</v>
          </cell>
          <cell r="B711">
            <v>728649.6</v>
          </cell>
          <cell r="C711">
            <v>-125771.42</v>
          </cell>
          <cell r="D711">
            <v>238129.91</v>
          </cell>
          <cell r="E711">
            <v>604659.84</v>
          </cell>
          <cell r="F711">
            <v>1445667.93</v>
          </cell>
          <cell r="G711">
            <v>256776.26535</v>
          </cell>
          <cell r="H711">
            <v>254911.7439</v>
          </cell>
          <cell r="I711">
            <v>253082.40210000001</v>
          </cell>
          <cell r="J711">
            <v>251464.13819999999</v>
          </cell>
          <cell r="K711">
            <v>1016234.54955</v>
          </cell>
          <cell r="L711">
            <v>548095.9</v>
          </cell>
          <cell r="M711">
            <v>1000579.6053000001</v>
          </cell>
          <cell r="N711">
            <v>1030596.993459</v>
          </cell>
          <cell r="O711">
            <v>1061517.817572</v>
          </cell>
        </row>
        <row r="712">
          <cell r="A712" t="str">
            <v>Auto UKSTATIONARY - OFFICE SUPPLIES</v>
          </cell>
          <cell r="B712">
            <v>124898.99</v>
          </cell>
          <cell r="C712">
            <v>103451.87</v>
          </cell>
          <cell r="D712">
            <v>112709.78</v>
          </cell>
          <cell r="E712">
            <v>119097.74</v>
          </cell>
          <cell r="F712">
            <v>460158.38</v>
          </cell>
          <cell r="G712">
            <v>130305.39750000001</v>
          </cell>
          <cell r="H712">
            <v>129359.215</v>
          </cell>
          <cell r="I712">
            <v>128430.88499999999</v>
          </cell>
          <cell r="J712">
            <v>127609.67</v>
          </cell>
          <cell r="K712">
            <v>515705.16749999998</v>
          </cell>
          <cell r="L712">
            <v>155835.91</v>
          </cell>
          <cell r="M712">
            <v>507760.80499999999</v>
          </cell>
          <cell r="N712">
            <v>505416.47314999998</v>
          </cell>
          <cell r="O712">
            <v>520580.18323999998</v>
          </cell>
        </row>
        <row r="713">
          <cell r="A713" t="str">
            <v>Auto UKT&amp;L</v>
          </cell>
          <cell r="B713">
            <v>328896.88</v>
          </cell>
          <cell r="C713">
            <v>207506.6</v>
          </cell>
          <cell r="D713">
            <v>227542.08</v>
          </cell>
          <cell r="E713">
            <v>270652.67</v>
          </cell>
          <cell r="F713">
            <v>1034598.23</v>
          </cell>
          <cell r="G713">
            <v>348782.180957</v>
          </cell>
          <cell r="H713">
            <v>281035.57983399997</v>
          </cell>
          <cell r="I713">
            <v>246645.76363900001</v>
          </cell>
          <cell r="J713">
            <v>245068.65700499999</v>
          </cell>
          <cell r="K713">
            <v>1121532.1814349999</v>
          </cell>
          <cell r="L713">
            <v>-279887.96000000002</v>
          </cell>
          <cell r="M713">
            <v>1103120.8889939999</v>
          </cell>
          <cell r="N713">
            <v>1136479.026263</v>
          </cell>
          <cell r="O713">
            <v>1170648.8590170001</v>
          </cell>
        </row>
        <row r="714">
          <cell r="A714" t="str">
            <v>Auto UKRENTAL - BLDG/FACILITIES</v>
          </cell>
          <cell r="B714">
            <v>500696.59</v>
          </cell>
          <cell r="C714">
            <v>305145.73</v>
          </cell>
          <cell r="D714">
            <v>349569.71</v>
          </cell>
          <cell r="E714">
            <v>3056049.96</v>
          </cell>
          <cell r="F714">
            <v>4211461.99</v>
          </cell>
          <cell r="G714">
            <v>312392.134494</v>
          </cell>
          <cell r="H714">
            <v>310123.77127600001</v>
          </cell>
          <cell r="I714">
            <v>307898.20736399997</v>
          </cell>
          <cell r="J714">
            <v>305929.43928799999</v>
          </cell>
          <cell r="K714">
            <v>1236343.5524220001</v>
          </cell>
          <cell r="L714">
            <v>321410.53000000003</v>
          </cell>
          <cell r="M714">
            <v>1198842.6438279999</v>
          </cell>
          <cell r="N714">
            <v>1244396.4801749999</v>
          </cell>
          <cell r="O714">
            <v>1291321.3543159999</v>
          </cell>
        </row>
        <row r="715">
          <cell r="A715" t="str">
            <v>Auto UKRENTAL - FURNITURE/EQUIP</v>
          </cell>
          <cell r="B715">
            <v>166756.07999999999</v>
          </cell>
          <cell r="C715">
            <v>147403.82999999999</v>
          </cell>
          <cell r="D715">
            <v>96910.41</v>
          </cell>
          <cell r="E715">
            <v>188349.6</v>
          </cell>
          <cell r="F715">
            <v>599419.92000000004</v>
          </cell>
          <cell r="G715">
            <v>120543.93386999999</v>
          </cell>
          <cell r="H715">
            <v>119668.63198000001</v>
          </cell>
          <cell r="I715">
            <v>118809.84522</v>
          </cell>
          <cell r="J715">
            <v>118050.14924</v>
          </cell>
          <cell r="K715">
            <v>477072.56030999997</v>
          </cell>
          <cell r="L715">
            <v>153690.92000000001</v>
          </cell>
          <cell r="M715">
            <v>453106.94222000003</v>
          </cell>
          <cell r="N715">
            <v>468747.97448700003</v>
          </cell>
          <cell r="O715">
            <v>484859.756268</v>
          </cell>
        </row>
        <row r="716">
          <cell r="A716" t="str">
            <v>Auto UKRENTAL - COMPUTERS</v>
          </cell>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row>
        <row r="717">
          <cell r="A717" t="str">
            <v>Auto UKLEASE IN - LEASE OUT</v>
          </cell>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row>
        <row r="718">
          <cell r="A718" t="str">
            <v>Auto UKFURNITURE / EQUIPMENT / COMPUTER EXP</v>
          </cell>
          <cell r="B718">
            <v>913782.38</v>
          </cell>
          <cell r="C718">
            <v>738422.28</v>
          </cell>
          <cell r="D718">
            <v>1008111.31</v>
          </cell>
          <cell r="E718">
            <v>1137427.54</v>
          </cell>
          <cell r="F718">
            <v>3797743.51</v>
          </cell>
          <cell r="G718">
            <v>816299.86148099997</v>
          </cell>
          <cell r="H718">
            <v>810372.48887400003</v>
          </cell>
          <cell r="I718">
            <v>804556.95348599995</v>
          </cell>
          <cell r="J718">
            <v>799412.44141199999</v>
          </cell>
          <cell r="K718">
            <v>3230641.7452529999</v>
          </cell>
          <cell r="L718">
            <v>1238924.5</v>
          </cell>
          <cell r="M718">
            <v>2608063.6795979999</v>
          </cell>
          <cell r="N718">
            <v>2692551.4531860002</v>
          </cell>
          <cell r="O718">
            <v>2779682.3147169999</v>
          </cell>
        </row>
        <row r="719">
          <cell r="A719" t="str">
            <v>Auto UKSOFTWARE EXPENSE</v>
          </cell>
          <cell r="B719">
            <v>0</v>
          </cell>
          <cell r="C719">
            <v>0</v>
          </cell>
          <cell r="D719">
            <v>0</v>
          </cell>
          <cell r="E719">
            <v>0</v>
          </cell>
          <cell r="F719">
            <v>0</v>
          </cell>
          <cell r="G719">
            <v>66447.176399999997</v>
          </cell>
          <cell r="H719">
            <v>65964.685599999997</v>
          </cell>
          <cell r="I719">
            <v>65491.2984</v>
          </cell>
          <cell r="J719">
            <v>65072.532800000001</v>
          </cell>
          <cell r="K719">
            <v>262975.69319999998</v>
          </cell>
          <cell r="L719">
            <v>0</v>
          </cell>
          <cell r="M719">
            <v>258924.5912</v>
          </cell>
          <cell r="N719">
            <v>271869.96750000003</v>
          </cell>
          <cell r="O719">
            <v>285463.82140000002</v>
          </cell>
        </row>
        <row r="720">
          <cell r="A720" t="str">
            <v>Auto UKAMORTIZATION OF INTANGIBLES</v>
          </cell>
          <cell r="B720">
            <v>24407.95</v>
          </cell>
          <cell r="C720">
            <v>56620.08</v>
          </cell>
          <cell r="D720">
            <v>57386.09</v>
          </cell>
          <cell r="E720">
            <v>62856.42</v>
          </cell>
          <cell r="F720">
            <v>201270.54</v>
          </cell>
          <cell r="G720">
            <v>0</v>
          </cell>
          <cell r="H720">
            <v>0</v>
          </cell>
          <cell r="I720">
            <v>0</v>
          </cell>
          <cell r="J720">
            <v>0</v>
          </cell>
          <cell r="K720">
            <v>0</v>
          </cell>
          <cell r="L720">
            <v>51368.95</v>
          </cell>
          <cell r="M720">
            <v>0</v>
          </cell>
          <cell r="N720">
            <v>0</v>
          </cell>
          <cell r="O720">
            <v>0</v>
          </cell>
        </row>
        <row r="721">
          <cell r="A721" t="str">
            <v>Auto UKELTO MAINTENANCE</v>
          </cell>
          <cell r="B721">
            <v>64071.040000000001</v>
          </cell>
          <cell r="C721">
            <v>63180.67</v>
          </cell>
          <cell r="D721">
            <v>62062.239999999998</v>
          </cell>
          <cell r="E721">
            <v>-52485.13</v>
          </cell>
          <cell r="F721">
            <v>136828.82</v>
          </cell>
          <cell r="G721">
            <v>67645.190466</v>
          </cell>
          <cell r="H721">
            <v>67154.000564000002</v>
          </cell>
          <cell r="I721">
            <v>66672.078395999997</v>
          </cell>
          <cell r="J721">
            <v>66245.762631999998</v>
          </cell>
          <cell r="K721">
            <v>267717.03205799998</v>
          </cell>
          <cell r="L721">
            <v>24422.07</v>
          </cell>
          <cell r="M721">
            <v>263592.89042800001</v>
          </cell>
          <cell r="N721">
            <v>271500.67714099999</v>
          </cell>
          <cell r="O721">
            <v>279646.46520099998</v>
          </cell>
        </row>
        <row r="722">
          <cell r="A722" t="str">
            <v>Auto UKELTO OTHER</v>
          </cell>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row>
        <row r="723">
          <cell r="A723" t="str">
            <v>Auto UKLEGAL</v>
          </cell>
          <cell r="B723">
            <v>-277230.44</v>
          </cell>
          <cell r="C723">
            <v>429719.6</v>
          </cell>
          <cell r="D723">
            <v>37637.86</v>
          </cell>
          <cell r="E723">
            <v>214589.13</v>
          </cell>
          <cell r="F723">
            <v>404716.15</v>
          </cell>
          <cell r="G723">
            <v>52625.79</v>
          </cell>
          <cell r="H723">
            <v>52243.66</v>
          </cell>
          <cell r="I723">
            <v>51868.74</v>
          </cell>
          <cell r="J723">
            <v>51537.08</v>
          </cell>
          <cell r="K723">
            <v>208275.27</v>
          </cell>
          <cell r="L723">
            <v>283687.21000000002</v>
          </cell>
          <cell r="M723">
            <v>205066.82</v>
          </cell>
          <cell r="N723">
            <v>211218.82459999999</v>
          </cell>
          <cell r="O723">
            <v>217555.98662000001</v>
          </cell>
        </row>
        <row r="724">
          <cell r="A724" t="str">
            <v>Auto UKADVERTISING</v>
          </cell>
          <cell r="B724">
            <v>67229.73</v>
          </cell>
          <cell r="C724">
            <v>70760.38</v>
          </cell>
          <cell r="D724">
            <v>62211.5</v>
          </cell>
          <cell r="E724">
            <v>149941.44</v>
          </cell>
          <cell r="F724">
            <v>350143.05</v>
          </cell>
          <cell r="G724">
            <v>41651.378550000001</v>
          </cell>
          <cell r="H724">
            <v>41348.936699999998</v>
          </cell>
          <cell r="I724">
            <v>41052.201300000001</v>
          </cell>
          <cell r="J724">
            <v>40789.704599999997</v>
          </cell>
          <cell r="K724">
            <v>164842.22115</v>
          </cell>
          <cell r="L724">
            <v>-34643.96</v>
          </cell>
          <cell r="M724">
            <v>162302.85089999999</v>
          </cell>
          <cell r="N724">
            <v>187559.16202700001</v>
          </cell>
          <cell r="O724">
            <v>193804.69672199999</v>
          </cell>
        </row>
        <row r="725">
          <cell r="A725" t="str">
            <v>Auto UKSALES PROMOTIONS</v>
          </cell>
          <cell r="B725">
            <v>114293.52</v>
          </cell>
          <cell r="C725">
            <v>133378.94</v>
          </cell>
          <cell r="D725">
            <v>109778.98</v>
          </cell>
          <cell r="E725">
            <v>169420.95</v>
          </cell>
          <cell r="F725">
            <v>526872.39</v>
          </cell>
          <cell r="G725">
            <v>134991.55987200001</v>
          </cell>
          <cell r="H725">
            <v>148503.349888</v>
          </cell>
          <cell r="I725">
            <v>150315.234432</v>
          </cell>
          <cell r="J725">
            <v>143635.68614400001</v>
          </cell>
          <cell r="K725">
            <v>577445.83033599996</v>
          </cell>
          <cell r="L725">
            <v>117754.56</v>
          </cell>
          <cell r="M725">
            <v>568684.36537599994</v>
          </cell>
          <cell r="N725">
            <v>586252.58603699994</v>
          </cell>
          <cell r="O725">
            <v>596310.68999999994</v>
          </cell>
        </row>
        <row r="726">
          <cell r="A726" t="str">
            <v>Auto UKDIRECT MAIL</v>
          </cell>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row>
        <row r="727">
          <cell r="A727" t="str">
            <v>Auto UKDATA PROCESSING</v>
          </cell>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row>
        <row r="728">
          <cell r="A728" t="str">
            <v>Auto UKCONSULTING</v>
          </cell>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row>
        <row r="729">
          <cell r="A729" t="str">
            <v>Auto UKTEMP SERVICES</v>
          </cell>
          <cell r="B729">
            <v>140318.10999999999</v>
          </cell>
          <cell r="C729">
            <v>138295.09</v>
          </cell>
          <cell r="D729">
            <v>161322.67000000001</v>
          </cell>
          <cell r="E729">
            <v>135171.67000000001</v>
          </cell>
          <cell r="F729">
            <v>575107.54</v>
          </cell>
          <cell r="G729">
            <v>199932.0183</v>
          </cell>
          <cell r="H729">
            <v>198480.25820000001</v>
          </cell>
          <cell r="I729">
            <v>197055.8898</v>
          </cell>
          <cell r="J729">
            <v>195795.87160000001</v>
          </cell>
          <cell r="K729">
            <v>791264.0379</v>
          </cell>
          <cell r="L729">
            <v>231731.73</v>
          </cell>
          <cell r="M729">
            <v>779074.73140000005</v>
          </cell>
          <cell r="N729">
            <v>840033.07634200004</v>
          </cell>
          <cell r="O729">
            <v>873035.85627700004</v>
          </cell>
        </row>
        <row r="730">
          <cell r="A730" t="str">
            <v>Auto UKGDC CHARGES</v>
          </cell>
          <cell r="B730">
            <v>0</v>
          </cell>
          <cell r="C730">
            <v>0</v>
          </cell>
          <cell r="D730">
            <v>285275.02</v>
          </cell>
          <cell r="E730">
            <v>528401.41</v>
          </cell>
          <cell r="F730">
            <v>813676.43</v>
          </cell>
          <cell r="G730">
            <v>452764.26899999997</v>
          </cell>
          <cell r="H730">
            <v>449476.62599999999</v>
          </cell>
          <cell r="I730">
            <v>446251.01400000002</v>
          </cell>
          <cell r="J730">
            <v>443397.58799999999</v>
          </cell>
          <cell r="K730">
            <v>1791889.497</v>
          </cell>
          <cell r="L730">
            <v>366934.39</v>
          </cell>
          <cell r="M730">
            <v>1542461.0120310001</v>
          </cell>
          <cell r="N730">
            <v>1644078.139252</v>
          </cell>
          <cell r="O730">
            <v>1670186.1230289999</v>
          </cell>
        </row>
        <row r="731">
          <cell r="A731" t="str">
            <v>Auto UKTRAINING AND EDUCATION</v>
          </cell>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row>
        <row r="732">
          <cell r="A732" t="str">
            <v>Auto UKOUTSIDE SERVICES  AND FEES</v>
          </cell>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row>
        <row r="733">
          <cell r="A733" t="str">
            <v>Auto UKSTATE, FOREIGN, LOCAL TAXES</v>
          </cell>
          <cell r="B733">
            <v>719706.41</v>
          </cell>
          <cell r="C733">
            <v>934812.44</v>
          </cell>
          <cell r="D733">
            <v>362149.74</v>
          </cell>
          <cell r="E733">
            <v>1006791.23</v>
          </cell>
          <cell r="F733">
            <v>3023459.82</v>
          </cell>
          <cell r="G733">
            <v>648046.62861799996</v>
          </cell>
          <cell r="H733">
            <v>635730.65905899997</v>
          </cell>
          <cell r="I733">
            <v>626626.12701299996</v>
          </cell>
          <cell r="J733">
            <v>621738.70972599997</v>
          </cell>
          <cell r="K733">
            <v>2532142.1244160002</v>
          </cell>
          <cell r="L733">
            <v>-1146029.3400000001</v>
          </cell>
          <cell r="M733">
            <v>3001964.3271690002</v>
          </cell>
          <cell r="N733">
            <v>3072758.4026080002</v>
          </cell>
          <cell r="O733">
            <v>3123951.505142</v>
          </cell>
        </row>
        <row r="734">
          <cell r="A734" t="str">
            <v>Auto UKS/L TAX - INSURANCE PREMIUMS</v>
          </cell>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row>
        <row r="735">
          <cell r="A735" t="str">
            <v>Auto UKSATELLITE LEASE EXPENSE</v>
          </cell>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row>
        <row r="736">
          <cell r="A736" t="str">
            <v>Auto UKBUSINESS SHARE EXPENSE</v>
          </cell>
          <cell r="B736">
            <v>0</v>
          </cell>
          <cell r="C736">
            <v>0</v>
          </cell>
          <cell r="D736">
            <v>47013</v>
          </cell>
          <cell r="E736">
            <v>-1131</v>
          </cell>
          <cell r="F736">
            <v>45882</v>
          </cell>
          <cell r="G736">
            <v>0</v>
          </cell>
          <cell r="H736">
            <v>0</v>
          </cell>
          <cell r="I736">
            <v>0</v>
          </cell>
          <cell r="J736">
            <v>0</v>
          </cell>
          <cell r="K736">
            <v>0</v>
          </cell>
          <cell r="L736">
            <v>53724</v>
          </cell>
          <cell r="M736">
            <v>0</v>
          </cell>
          <cell r="N736">
            <v>0</v>
          </cell>
          <cell r="O736">
            <v>0</v>
          </cell>
        </row>
        <row r="737">
          <cell r="A737" t="str">
            <v>Auto UKINSURANCE AFFILIATE EXPENSE</v>
          </cell>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row>
        <row r="738">
          <cell r="A738" t="str">
            <v>Auto UKOTHER FACILITY EXPENSE</v>
          </cell>
          <cell r="B738">
            <v>386856.64</v>
          </cell>
          <cell r="C738">
            <v>447659.12</v>
          </cell>
          <cell r="D738">
            <v>359083.63</v>
          </cell>
          <cell r="E738">
            <v>891389.8</v>
          </cell>
          <cell r="F738">
            <v>2084989.19</v>
          </cell>
          <cell r="G738">
            <v>398238.08216400002</v>
          </cell>
          <cell r="H738">
            <v>395346.368456</v>
          </cell>
          <cell r="I738">
            <v>392509.21538399998</v>
          </cell>
          <cell r="J738">
            <v>389999.42612800002</v>
          </cell>
          <cell r="K738">
            <v>1576093.092132</v>
          </cell>
          <cell r="L738">
            <v>435574.37</v>
          </cell>
          <cell r="M738">
            <v>1541980.598209</v>
          </cell>
          <cell r="N738">
            <v>1595696.3430019999</v>
          </cell>
          <cell r="O738">
            <v>1651028.7453960001</v>
          </cell>
        </row>
        <row r="739">
          <cell r="A739" t="str">
            <v>Auto UKGROSS OP &amp; ADMIN BUS SHARE</v>
          </cell>
          <cell r="B739">
            <v>0</v>
          </cell>
          <cell r="C739">
            <v>0</v>
          </cell>
          <cell r="D739">
            <v>1154447</v>
          </cell>
          <cell r="E739">
            <v>350211.28</v>
          </cell>
          <cell r="F739">
            <v>1504658.28</v>
          </cell>
          <cell r="G739">
            <v>0</v>
          </cell>
          <cell r="H739">
            <v>0</v>
          </cell>
          <cell r="I739">
            <v>0</v>
          </cell>
          <cell r="J739">
            <v>0</v>
          </cell>
          <cell r="K739">
            <v>0</v>
          </cell>
          <cell r="L739">
            <v>177143.48</v>
          </cell>
          <cell r="M739">
            <v>0</v>
          </cell>
          <cell r="N739">
            <v>0</v>
          </cell>
          <cell r="O739">
            <v>0</v>
          </cell>
        </row>
        <row r="740">
          <cell r="A740" t="str">
            <v>Auto UKOTHER EXPENSE</v>
          </cell>
          <cell r="B740">
            <v>-93216.25</v>
          </cell>
          <cell r="C740">
            <v>183193.84</v>
          </cell>
          <cell r="D740">
            <v>305175.38</v>
          </cell>
          <cell r="E740">
            <v>218368.65</v>
          </cell>
          <cell r="F740">
            <v>613521.62</v>
          </cell>
          <cell r="G740">
            <v>198408.64079800001</v>
          </cell>
          <cell r="H740">
            <v>196967.94235200001</v>
          </cell>
          <cell r="I740">
            <v>195554.42689500001</v>
          </cell>
          <cell r="J740">
            <v>194304.00937499999</v>
          </cell>
          <cell r="K740">
            <v>785235.01942000003</v>
          </cell>
          <cell r="L740">
            <v>71266.47</v>
          </cell>
          <cell r="M740">
            <v>702027.90066599997</v>
          </cell>
          <cell r="N740">
            <v>725227.74673699995</v>
          </cell>
          <cell r="O740">
            <v>802448.73100000003</v>
          </cell>
        </row>
        <row r="741">
          <cell r="A741" t="str">
            <v>Auto UKGECC INTERCO EXPENSES EXCL GECIS</v>
          </cell>
          <cell r="B741">
            <v>0</v>
          </cell>
          <cell r="C741">
            <v>0</v>
          </cell>
          <cell r="D741">
            <v>0</v>
          </cell>
          <cell r="E741">
            <v>444436.44</v>
          </cell>
          <cell r="F741">
            <v>444436.44</v>
          </cell>
          <cell r="G741">
            <v>0</v>
          </cell>
          <cell r="H741">
            <v>0</v>
          </cell>
          <cell r="I741">
            <v>0</v>
          </cell>
          <cell r="J741">
            <v>0</v>
          </cell>
          <cell r="K741">
            <v>0</v>
          </cell>
          <cell r="L741">
            <v>406904.64</v>
          </cell>
          <cell r="M741">
            <v>0</v>
          </cell>
          <cell r="N741">
            <v>0</v>
          </cell>
          <cell r="O741">
            <v>0</v>
          </cell>
        </row>
        <row r="742">
          <cell r="A742" t="str">
            <v>Auto UKGECIS INTERCO CHARGES</v>
          </cell>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row>
        <row r="743">
          <cell r="A743" t="str">
            <v>Auto UKLOSS ADJUSTED EXPENSE</v>
          </cell>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row>
        <row r="744">
          <cell r="A744" t="str">
            <v>Auto UKALL OTHER EXPENSES</v>
          </cell>
          <cell r="B744">
            <v>0.01</v>
          </cell>
          <cell r="C744">
            <v>-0.01</v>
          </cell>
          <cell r="D744">
            <v>-0.04</v>
          </cell>
          <cell r="E744">
            <v>0.02</v>
          </cell>
          <cell r="F744">
            <v>-0.02</v>
          </cell>
          <cell r="G744">
            <v>0</v>
          </cell>
          <cell r="H744">
            <v>0</v>
          </cell>
          <cell r="I744">
            <v>0</v>
          </cell>
          <cell r="J744">
            <v>0</v>
          </cell>
          <cell r="K744">
            <v>0</v>
          </cell>
          <cell r="L744">
            <v>-0.01</v>
          </cell>
          <cell r="M744">
            <v>0</v>
          </cell>
          <cell r="N744">
            <v>0</v>
          </cell>
          <cell r="O744">
            <v>0</v>
          </cell>
        </row>
        <row r="745">
          <cell r="A745" t="str">
            <v>Auto UKASSESSMENTS</v>
          </cell>
          <cell r="B745">
            <v>2729937.55</v>
          </cell>
          <cell r="C745">
            <v>2569759.04</v>
          </cell>
          <cell r="D745">
            <v>2980947.42</v>
          </cell>
          <cell r="E745">
            <v>-2437611.9900000002</v>
          </cell>
          <cell r="F745">
            <v>5843032.0199999996</v>
          </cell>
          <cell r="G745">
            <v>2976632.459696</v>
          </cell>
          <cell r="H745">
            <v>2955018.3316839999</v>
          </cell>
          <cell r="I745">
            <v>2933812.0174070001</v>
          </cell>
          <cell r="J745">
            <v>2915052.5855470002</v>
          </cell>
          <cell r="K745">
            <v>11780515.394335</v>
          </cell>
          <cell r="L745">
            <v>-4451174.72</v>
          </cell>
          <cell r="M745">
            <v>10868307.294503</v>
          </cell>
          <cell r="N745">
            <v>10709092.393095</v>
          </cell>
          <cell r="O745">
            <v>10395264.226443</v>
          </cell>
        </row>
        <row r="746">
          <cell r="A746" t="str">
            <v>Auto UKFAS 91</v>
          </cell>
          <cell r="B746">
            <v>-1742328.49</v>
          </cell>
          <cell r="C746">
            <v>-1707533.55</v>
          </cell>
          <cell r="D746">
            <v>-4700109.0199999996</v>
          </cell>
          <cell r="E746">
            <v>394898.94</v>
          </cell>
          <cell r="F746">
            <v>-7755072.1200000001</v>
          </cell>
          <cell r="G746">
            <v>-1990847.7715159999</v>
          </cell>
          <cell r="H746">
            <v>-2033878.3705490001</v>
          </cell>
          <cell r="I746">
            <v>-2035570.0973189999</v>
          </cell>
          <cell r="J746">
            <v>-1681931.866525</v>
          </cell>
          <cell r="K746">
            <v>-7742228.1059100004</v>
          </cell>
          <cell r="L746">
            <v>-1425439.24</v>
          </cell>
          <cell r="M746">
            <v>-7743334.5142209996</v>
          </cell>
          <cell r="N746">
            <v>-8312174.5</v>
          </cell>
          <cell r="O746">
            <v>-8770801.75</v>
          </cell>
        </row>
        <row r="747">
          <cell r="A747" t="str">
            <v>Auto UKGOODWILL AMORTIZATION</v>
          </cell>
          <cell r="B747">
            <v>2775619.34</v>
          </cell>
          <cell r="C747">
            <v>2737047.96</v>
          </cell>
          <cell r="D747">
            <v>2688596.21</v>
          </cell>
          <cell r="E747">
            <v>2586348.1800000002</v>
          </cell>
          <cell r="F747">
            <v>10787611.689999999</v>
          </cell>
          <cell r="G747">
            <v>0</v>
          </cell>
          <cell r="H747">
            <v>0</v>
          </cell>
          <cell r="I747">
            <v>0</v>
          </cell>
          <cell r="J747">
            <v>0</v>
          </cell>
          <cell r="K747">
            <v>0</v>
          </cell>
          <cell r="L747">
            <v>0</v>
          </cell>
          <cell r="M747">
            <v>11064787.27812</v>
          </cell>
          <cell r="N747">
            <v>11064787.27812</v>
          </cell>
          <cell r="O747">
            <v>11064787.27812</v>
          </cell>
        </row>
        <row r="748">
          <cell r="A748" t="str">
            <v>Auto UKDEPRECIATION EXPENSE</v>
          </cell>
          <cell r="B748">
            <v>637374.69999999995</v>
          </cell>
          <cell r="C748">
            <v>575686.06000000006</v>
          </cell>
          <cell r="D748">
            <v>554703.73</v>
          </cell>
          <cell r="E748">
            <v>722213.46</v>
          </cell>
          <cell r="F748">
            <v>2489977.9500000002</v>
          </cell>
          <cell r="G748">
            <v>728648.13391199999</v>
          </cell>
          <cell r="H748">
            <v>723357.22404799995</v>
          </cell>
          <cell r="I748">
            <v>718166.14267199999</v>
          </cell>
          <cell r="J748">
            <v>713574.03222399997</v>
          </cell>
          <cell r="K748">
            <v>2883745.5328560001</v>
          </cell>
          <cell r="L748">
            <v>480390.77</v>
          </cell>
          <cell r="M748">
            <v>2839321.8556960002</v>
          </cell>
          <cell r="N748">
            <v>3031279.8898669998</v>
          </cell>
          <cell r="O748">
            <v>3089288.2069049999</v>
          </cell>
        </row>
        <row r="749">
          <cell r="A749" t="str">
            <v>Auto UKELTO AMORTIZATION</v>
          </cell>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row>
        <row r="750">
          <cell r="A750" t="str">
            <v>Auto UKINSURANCE LOSSES AND BENEFITS</v>
          </cell>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row>
        <row r="751">
          <cell r="A751" t="str">
            <v>Auto UKWRITE OFFS</v>
          </cell>
          <cell r="B751">
            <v>8858315.6400000006</v>
          </cell>
          <cell r="C751">
            <v>15666192.32</v>
          </cell>
          <cell r="D751">
            <v>12511414.560000001</v>
          </cell>
          <cell r="E751">
            <v>7642598.6900000004</v>
          </cell>
          <cell r="F751">
            <v>44678521.210000001</v>
          </cell>
          <cell r="G751">
            <v>9678575.3904490005</v>
          </cell>
          <cell r="H751">
            <v>9981118.3522079997</v>
          </cell>
          <cell r="I751">
            <v>10004141.165646</v>
          </cell>
          <cell r="J751">
            <v>8079082.5600199997</v>
          </cell>
          <cell r="K751">
            <v>37742917.468323</v>
          </cell>
          <cell r="L751">
            <v>7624609.9900000002</v>
          </cell>
          <cell r="M751">
            <v>43254404.778948002</v>
          </cell>
          <cell r="N751">
            <v>45846780.777236</v>
          </cell>
          <cell r="O751">
            <v>48409896.792531997</v>
          </cell>
        </row>
        <row r="752">
          <cell r="A752" t="str">
            <v>Auto UKRESERVE CHANGE</v>
          </cell>
          <cell r="B752">
            <v>0</v>
          </cell>
          <cell r="C752">
            <v>0</v>
          </cell>
          <cell r="D752">
            <v>777356</v>
          </cell>
          <cell r="E752">
            <v>489055</v>
          </cell>
          <cell r="F752">
            <v>1266411</v>
          </cell>
          <cell r="G752">
            <v>0</v>
          </cell>
          <cell r="H752">
            <v>0</v>
          </cell>
          <cell r="I752">
            <v>0</v>
          </cell>
          <cell r="J752">
            <v>0</v>
          </cell>
          <cell r="K752">
            <v>0</v>
          </cell>
          <cell r="L752">
            <v>120561</v>
          </cell>
          <cell r="M752">
            <v>0</v>
          </cell>
          <cell r="N752">
            <v>0</v>
          </cell>
          <cell r="O752">
            <v>0</v>
          </cell>
        </row>
        <row r="753">
          <cell r="A753" t="str">
            <v>Auto UKMINORITY INTEREST</v>
          </cell>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row>
        <row r="754">
          <cell r="A754" t="str">
            <v>Auto UKINCOME TAXES</v>
          </cell>
          <cell r="B754">
            <v>-8819489.1999999993</v>
          </cell>
          <cell r="C754">
            <v>-9092745.6199999992</v>
          </cell>
          <cell r="D754">
            <v>-8699476.0299999993</v>
          </cell>
          <cell r="E754">
            <v>-8345831.9800000004</v>
          </cell>
          <cell r="F754">
            <v>-34957542.829999998</v>
          </cell>
          <cell r="G754">
            <v>-6706007.5825319998</v>
          </cell>
          <cell r="H754">
            <v>-6356767.960775</v>
          </cell>
          <cell r="I754">
            <v>-6696984.4067500001</v>
          </cell>
          <cell r="J754">
            <v>-7329189.1586849997</v>
          </cell>
          <cell r="K754">
            <v>-27088949.108741</v>
          </cell>
          <cell r="L754">
            <v>-7510819.5999999996</v>
          </cell>
          <cell r="M754">
            <v>-28874931.666834999</v>
          </cell>
          <cell r="N754">
            <v>-31957952.285762001</v>
          </cell>
          <cell r="O754">
            <v>-35334131.869422004</v>
          </cell>
        </row>
        <row r="755">
          <cell r="A755" t="str">
            <v>Auto UKCUMULATIVE TRANSITION ADJUSTMENT</v>
          </cell>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row>
        <row r="756">
          <cell r="A756" t="str">
            <v>Auto UKASIA PACIFIC NI DIVIDEND</v>
          </cell>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row>
        <row r="757">
          <cell r="A757" t="str">
            <v>Auto UKNet Income</v>
          </cell>
          <cell r="B757">
            <v>-9619034.75</v>
          </cell>
          <cell r="C757">
            <v>-8878330.9700000007</v>
          </cell>
          <cell r="D757">
            <v>-9182616.7400000002</v>
          </cell>
          <cell r="E757">
            <v>-10310152.68</v>
          </cell>
          <cell r="F757">
            <v>-37990135.140000001</v>
          </cell>
          <cell r="G757">
            <v>-14093873.824348001</v>
          </cell>
          <cell r="H757">
            <v>-15371517.593994001</v>
          </cell>
          <cell r="I757">
            <v>-14694504.920015</v>
          </cell>
          <cell r="J757">
            <v>-13989652.927778</v>
          </cell>
          <cell r="K757">
            <v>-58149549.266134001</v>
          </cell>
          <cell r="L757">
            <v>-13623545.619999999</v>
          </cell>
          <cell r="M757">
            <v>-60190308.245437004</v>
          </cell>
          <cell r="N757">
            <v>-71170953.913377002</v>
          </cell>
          <cell r="O757">
            <v>-72989660.781937003</v>
          </cell>
        </row>
        <row r="758">
          <cell r="A758" t="str">
            <v>Auto UKSubPart F</v>
          </cell>
          <cell r="B758">
            <v>9496000</v>
          </cell>
          <cell r="C758">
            <v>9299000</v>
          </cell>
          <cell r="D758">
            <v>8512579.9004999995</v>
          </cell>
          <cell r="E758">
            <v>9048541.9995000008</v>
          </cell>
          <cell r="F758">
            <v>36356121.899999999</v>
          </cell>
          <cell r="G758">
            <v>9532275.3561119996</v>
          </cell>
          <cell r="H758">
            <v>9714282.1065480001</v>
          </cell>
          <cell r="I758">
            <v>9739550.8672889993</v>
          </cell>
          <cell r="J758">
            <v>9865474.5369199999</v>
          </cell>
          <cell r="K758">
            <v>38851582.866869003</v>
          </cell>
          <cell r="L758">
            <v>9858000</v>
          </cell>
          <cell r="M758">
            <v>40886297.391229004</v>
          </cell>
          <cell r="N758">
            <v>43572373.122837998</v>
          </cell>
          <cell r="O758">
            <v>47772514.622074999</v>
          </cell>
        </row>
        <row r="759">
          <cell r="A759" t="str">
            <v>Auto UKAssets</v>
          </cell>
          <cell r="B759">
            <v>2570792019.8299999</v>
          </cell>
          <cell r="C759">
            <v>2651662802.4000001</v>
          </cell>
          <cell r="D759">
            <v>2759026894.0100002</v>
          </cell>
          <cell r="E759">
            <v>3310853287.4699898</v>
          </cell>
          <cell r="F759">
            <v>3310853287.4699898</v>
          </cell>
          <cell r="G759">
            <v>3335052625.83183</v>
          </cell>
          <cell r="H759">
            <v>3324606332.2679501</v>
          </cell>
          <cell r="I759">
            <v>3320650754.2893801</v>
          </cell>
          <cell r="J759">
            <v>3242002486.4809799</v>
          </cell>
          <cell r="K759">
            <v>3242002486.4809799</v>
          </cell>
          <cell r="L759">
            <v>3200388536.7600002</v>
          </cell>
          <cell r="M759">
            <v>2844528727.1089201</v>
          </cell>
          <cell r="N759">
            <v>2886726735.2346201</v>
          </cell>
          <cell r="O759">
            <v>2963868417.4861999</v>
          </cell>
        </row>
        <row r="760">
          <cell r="A760" t="str">
            <v>Auto UKEnding Net Investment (ENI) incl Asia</v>
          </cell>
          <cell r="B760">
            <v>2542578111.4899998</v>
          </cell>
          <cell r="C760">
            <v>2616603179.21</v>
          </cell>
          <cell r="D760">
            <v>2692426422.6999998</v>
          </cell>
          <cell r="E760">
            <v>3252554997.1499901</v>
          </cell>
          <cell r="F760">
            <v>3252554997.1499901</v>
          </cell>
          <cell r="G760">
            <v>3307832155.9502501</v>
          </cell>
          <cell r="H760">
            <v>3282088930.2095299</v>
          </cell>
          <cell r="I760">
            <v>3292981737.8341398</v>
          </cell>
          <cell r="J760">
            <v>3203238348.6372499</v>
          </cell>
          <cell r="K760">
            <v>3203238348.6372499</v>
          </cell>
          <cell r="L760">
            <v>3134457900.4000001</v>
          </cell>
          <cell r="M760">
            <v>2819019131.20047</v>
          </cell>
          <cell r="N760">
            <v>2869260377.8531098</v>
          </cell>
          <cell r="O760">
            <v>2934094839.21345</v>
          </cell>
        </row>
        <row r="761">
          <cell r="A761" t="str">
            <v>Auto UKANR YTD</v>
          </cell>
          <cell r="B761">
            <v>2272576391.7550001</v>
          </cell>
          <cell r="C761">
            <v>2285023110.9233298</v>
          </cell>
          <cell r="D761">
            <v>2313882855.5524998</v>
          </cell>
          <cell r="E761">
            <v>2438802137.6739998</v>
          </cell>
          <cell r="F761">
            <v>2438802137.6739998</v>
          </cell>
          <cell r="G761">
            <v>2960605610.6241002</v>
          </cell>
          <cell r="H761">
            <v>2963315347.20437</v>
          </cell>
          <cell r="I761">
            <v>2963313347.1016998</v>
          </cell>
          <cell r="J761">
            <v>2948809657.3971</v>
          </cell>
          <cell r="K761">
            <v>2948809657.3971</v>
          </cell>
          <cell r="L761">
            <v>2892688110.8049998</v>
          </cell>
          <cell r="M761">
            <v>1003828996.87985</v>
          </cell>
          <cell r="N761">
            <v>1011656039.48004</v>
          </cell>
          <cell r="O761">
            <v>1036191605.49502</v>
          </cell>
        </row>
        <row r="762">
          <cell r="A762" t="str">
            <v>Auto UKASA YTD</v>
          </cell>
          <cell r="B762">
            <v>2272576391.7550001</v>
          </cell>
          <cell r="C762">
            <v>2285023110.9233298</v>
          </cell>
          <cell r="D762">
            <v>2315022479.8024998</v>
          </cell>
          <cell r="E762">
            <v>2440490221.6739998</v>
          </cell>
          <cell r="F762">
            <v>2440490221.6739998</v>
          </cell>
          <cell r="G762">
            <v>2962546572.1241002</v>
          </cell>
          <cell r="H762">
            <v>2964609321.5377002</v>
          </cell>
          <cell r="I762">
            <v>2964283827.8516998</v>
          </cell>
          <cell r="J762">
            <v>2949586041.9970999</v>
          </cell>
          <cell r="K762">
            <v>2949586041.9970999</v>
          </cell>
          <cell r="L762">
            <v>2896251927.3049998</v>
          </cell>
          <cell r="M762">
            <v>1003828996.87985</v>
          </cell>
          <cell r="N762">
            <v>1011656039.48004</v>
          </cell>
          <cell r="O762">
            <v>1036191605.49502</v>
          </cell>
        </row>
        <row r="763">
          <cell r="A763" t="str">
            <v>Auto UKANI YTD incl Asia - 5 pt</v>
          </cell>
          <cell r="B763">
            <v>2584884089.165</v>
          </cell>
          <cell r="C763">
            <v>2595457119.1799998</v>
          </cell>
          <cell r="D763">
            <v>2619699445.0599999</v>
          </cell>
          <cell r="E763">
            <v>2746270555.4780002</v>
          </cell>
          <cell r="F763">
            <v>2746270555.4780002</v>
          </cell>
          <cell r="G763">
            <v>3280193576.5501199</v>
          </cell>
          <cell r="H763">
            <v>3280825361.10326</v>
          </cell>
          <cell r="I763">
            <v>3283864455.2859802</v>
          </cell>
          <cell r="J763">
            <v>3267739233.9562302</v>
          </cell>
          <cell r="K763">
            <v>3267739233.9562302</v>
          </cell>
          <cell r="L763">
            <v>3193506448.7750001</v>
          </cell>
          <cell r="M763">
            <v>1129377227.7699201</v>
          </cell>
          <cell r="N763">
            <v>1137655901.81071</v>
          </cell>
          <cell r="O763">
            <v>1160671043.4133101</v>
          </cell>
        </row>
        <row r="764">
          <cell r="A764" t="str">
            <v>Auto UKOff Balance Sheet Assets</v>
          </cell>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row>
        <row r="765">
          <cell r="A765" t="str">
            <v>Auto UKJV Receivables</v>
          </cell>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row>
        <row r="766">
          <cell r="A766" t="str">
            <v>Auto UK30+ DELINQUENCY $</v>
          </cell>
          <cell r="B766">
            <v>49747962.829999998</v>
          </cell>
          <cell r="C766">
            <v>43274331.350000001</v>
          </cell>
          <cell r="D766">
            <v>45136649.57</v>
          </cell>
          <cell r="E766">
            <v>38823053</v>
          </cell>
          <cell r="F766">
            <v>38823053</v>
          </cell>
          <cell r="G766">
            <v>40813339.894772999</v>
          </cell>
          <cell r="H766">
            <v>38989952.652566999</v>
          </cell>
          <cell r="I766">
            <v>39351230.290914997</v>
          </cell>
          <cell r="J766">
            <v>40848356.792195998</v>
          </cell>
          <cell r="K766">
            <v>40848356.792195998</v>
          </cell>
          <cell r="L766">
            <v>38801543.960000001</v>
          </cell>
          <cell r="M766">
            <v>48618032.020195998</v>
          </cell>
          <cell r="N766">
            <v>48491725.380309001</v>
          </cell>
          <cell r="O766">
            <v>49946477.141718</v>
          </cell>
        </row>
        <row r="767">
          <cell r="A767" t="str">
            <v>Auto UK90+ DELINQUENCY $</v>
          </cell>
          <cell r="B767">
            <v>13527954.800000001</v>
          </cell>
          <cell r="C767">
            <v>11307865.48</v>
          </cell>
          <cell r="D767">
            <v>11878065.68</v>
          </cell>
          <cell r="E767">
            <v>10581730</v>
          </cell>
          <cell r="F767">
            <v>10581730</v>
          </cell>
          <cell r="G767">
            <v>10803637.305273</v>
          </cell>
          <cell r="H767">
            <v>10907153.690137001</v>
          </cell>
          <cell r="I767">
            <v>10987434.435082</v>
          </cell>
          <cell r="J767">
            <v>11205015.77561</v>
          </cell>
          <cell r="K767">
            <v>11205015.77561</v>
          </cell>
          <cell r="L767">
            <v>9954322.7899999991</v>
          </cell>
          <cell r="M767">
            <v>15788329.98594</v>
          </cell>
          <cell r="N767">
            <v>15823615.650417</v>
          </cell>
          <cell r="O767">
            <v>16298324.119929001</v>
          </cell>
        </row>
        <row r="768">
          <cell r="A768" t="str">
            <v>Auto UKTemporary Staff</v>
          </cell>
          <cell r="B768">
            <v>0</v>
          </cell>
          <cell r="C768">
            <v>144</v>
          </cell>
          <cell r="D768">
            <v>127</v>
          </cell>
          <cell r="E768">
            <v>123</v>
          </cell>
          <cell r="F768">
            <v>123</v>
          </cell>
          <cell r="G768">
            <v>76.5</v>
          </cell>
          <cell r="H768">
            <v>70.5</v>
          </cell>
          <cell r="I768">
            <v>67.5</v>
          </cell>
          <cell r="J768">
            <v>69.5</v>
          </cell>
          <cell r="K768">
            <v>69.5</v>
          </cell>
          <cell r="L768">
            <v>110</v>
          </cell>
          <cell r="M768">
            <v>43.5</v>
          </cell>
          <cell r="N768">
            <v>43.5</v>
          </cell>
          <cell r="O768">
            <v>43.5</v>
          </cell>
        </row>
        <row r="769">
          <cell r="A769" t="str">
            <v>Auto UKContractors</v>
          </cell>
          <cell r="B769">
            <v>0</v>
          </cell>
          <cell r="C769">
            <v>11</v>
          </cell>
          <cell r="D769">
            <v>8</v>
          </cell>
          <cell r="E769">
            <v>8</v>
          </cell>
          <cell r="F769">
            <v>8</v>
          </cell>
          <cell r="G769">
            <v>7</v>
          </cell>
          <cell r="H769">
            <v>7</v>
          </cell>
          <cell r="I769">
            <v>7</v>
          </cell>
          <cell r="J769">
            <v>7</v>
          </cell>
          <cell r="K769">
            <v>7</v>
          </cell>
          <cell r="L769">
            <v>8.5</v>
          </cell>
          <cell r="M769">
            <v>5</v>
          </cell>
          <cell r="N769">
            <v>5</v>
          </cell>
          <cell r="O769">
            <v>5</v>
          </cell>
        </row>
        <row r="770">
          <cell r="A770" t="str">
            <v>Auto UKOutsourced to LCC</v>
          </cell>
          <cell r="B770">
            <v>0</v>
          </cell>
          <cell r="C770">
            <v>0</v>
          </cell>
          <cell r="D770">
            <v>0</v>
          </cell>
          <cell r="E770">
            <v>0</v>
          </cell>
          <cell r="F770">
            <v>0</v>
          </cell>
          <cell r="G770">
            <v>119</v>
          </cell>
          <cell r="H770">
            <v>119</v>
          </cell>
          <cell r="I770">
            <v>119</v>
          </cell>
          <cell r="J770">
            <v>119</v>
          </cell>
          <cell r="K770">
            <v>119</v>
          </cell>
          <cell r="L770">
            <v>61</v>
          </cell>
          <cell r="M770">
            <v>102</v>
          </cell>
          <cell r="N770">
            <v>102</v>
          </cell>
          <cell r="O770">
            <v>102</v>
          </cell>
        </row>
        <row r="771">
          <cell r="A771" t="str">
            <v>Auto UKTotal Headcount</v>
          </cell>
          <cell r="B771">
            <v>491.5</v>
          </cell>
          <cell r="C771">
            <v>483</v>
          </cell>
          <cell r="D771">
            <v>482.5</v>
          </cell>
          <cell r="E771">
            <v>413</v>
          </cell>
          <cell r="F771">
            <v>413</v>
          </cell>
          <cell r="G771">
            <v>428</v>
          </cell>
          <cell r="H771">
            <v>435</v>
          </cell>
          <cell r="I771">
            <v>440</v>
          </cell>
          <cell r="J771">
            <v>438.5</v>
          </cell>
          <cell r="K771">
            <v>438.5</v>
          </cell>
          <cell r="L771">
            <v>410.5</v>
          </cell>
          <cell r="M771">
            <v>456.4</v>
          </cell>
          <cell r="N771">
            <v>456.4</v>
          </cell>
          <cell r="O771">
            <v>456.4</v>
          </cell>
        </row>
        <row r="772">
          <cell r="A772" t="str">
            <v>Auto UKTotal Workforce</v>
          </cell>
          <cell r="B772">
            <v>491.5</v>
          </cell>
          <cell r="C772">
            <v>638</v>
          </cell>
          <cell r="D772">
            <v>617.5</v>
          </cell>
          <cell r="E772">
            <v>544</v>
          </cell>
          <cell r="F772">
            <v>544</v>
          </cell>
          <cell r="G772">
            <v>630.5</v>
          </cell>
          <cell r="H772">
            <v>631.5</v>
          </cell>
          <cell r="I772">
            <v>633.5</v>
          </cell>
          <cell r="J772">
            <v>634</v>
          </cell>
          <cell r="K772">
            <v>634</v>
          </cell>
          <cell r="L772">
            <v>590</v>
          </cell>
          <cell r="M772">
            <v>606.9</v>
          </cell>
          <cell r="N772">
            <v>606.9</v>
          </cell>
          <cell r="O772">
            <v>606.9</v>
          </cell>
        </row>
        <row r="773">
          <cell r="A773" t="str">
            <v>Auto UKTotal Earned Revenue</v>
          </cell>
          <cell r="B773">
            <v>-61144535.969999999</v>
          </cell>
          <cell r="C773">
            <v>-65083180.32</v>
          </cell>
          <cell r="D773">
            <v>-66388910.82</v>
          </cell>
          <cell r="E773">
            <v>-67183603.379999995</v>
          </cell>
          <cell r="F773">
            <v>-259800230.49000001</v>
          </cell>
          <cell r="G773">
            <v>-68345108.959851995</v>
          </cell>
          <cell r="H773">
            <v>-70189093.517508999</v>
          </cell>
          <cell r="I773">
            <v>-68768500.085826993</v>
          </cell>
          <cell r="J773">
            <v>-66347223.188822001</v>
          </cell>
          <cell r="K773">
            <v>-273649925.75200999</v>
          </cell>
          <cell r="L773">
            <v>-64348560.460000001</v>
          </cell>
          <cell r="M773">
            <v>-280057833.731345</v>
          </cell>
          <cell r="N773">
            <v>-291018738.77938402</v>
          </cell>
          <cell r="O773">
            <v>-294072545.30770802</v>
          </cell>
        </row>
        <row r="774">
          <cell r="A774" t="str">
            <v>Auto UKOrdinary Gains - PreTax</v>
          </cell>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row>
        <row r="775">
          <cell r="A775" t="str">
            <v>Auto UKOrdinary Gains - AfterTax</v>
          </cell>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row>
        <row r="776">
          <cell r="A776" t="str">
            <v>Auto UKTotal Volume</v>
          </cell>
          <cell r="B776">
            <v>355679883.13</v>
          </cell>
          <cell r="C776">
            <v>346211850.08999997</v>
          </cell>
          <cell r="D776">
            <v>325213288.88999999</v>
          </cell>
          <cell r="E776">
            <v>271656999.88999999</v>
          </cell>
          <cell r="F776">
            <v>1298762022</v>
          </cell>
          <cell r="G776">
            <v>353149554.30329698</v>
          </cell>
          <cell r="H776">
            <v>361755674.10988998</v>
          </cell>
          <cell r="I776">
            <v>362094019.463736</v>
          </cell>
          <cell r="J776">
            <v>291345773.30509502</v>
          </cell>
          <cell r="K776">
            <v>1368345021.1820099</v>
          </cell>
          <cell r="L776">
            <v>320420000</v>
          </cell>
          <cell r="M776">
            <v>1548666902.8441999</v>
          </cell>
          <cell r="N776">
            <v>1662434900</v>
          </cell>
          <cell r="O776">
            <v>1754160350</v>
          </cell>
        </row>
        <row r="777">
          <cell r="A777" t="str">
            <v>Auto UKTOTAL # ACTIVE ACCOUNTS</v>
          </cell>
          <cell r="B777">
            <v>305185.23</v>
          </cell>
          <cell r="C777">
            <v>314182</v>
          </cell>
          <cell r="D777">
            <v>332216.84999999998</v>
          </cell>
          <cell r="E777">
            <v>306204</v>
          </cell>
          <cell r="F777">
            <v>306204</v>
          </cell>
          <cell r="G777">
            <v>309311.58643800003</v>
          </cell>
          <cell r="H777">
            <v>313192.87299900001</v>
          </cell>
          <cell r="I777">
            <v>316727.275922</v>
          </cell>
          <cell r="J777">
            <v>314493.26990399999</v>
          </cell>
          <cell r="K777">
            <v>314493.26990399999</v>
          </cell>
          <cell r="L777">
            <v>0</v>
          </cell>
          <cell r="M777">
            <v>314624</v>
          </cell>
          <cell r="N777">
            <v>337722</v>
          </cell>
          <cell r="O777">
            <v>356371</v>
          </cell>
        </row>
        <row r="778">
          <cell r="A778" t="str">
            <v>BrazilTOTAL FINANCING RECEIVABLES</v>
          </cell>
          <cell r="B778">
            <v>31004920.210000001</v>
          </cell>
          <cell r="C778">
            <v>43017732.219999999</v>
          </cell>
          <cell r="D778">
            <v>64362062.659999996</v>
          </cell>
          <cell r="E778">
            <v>105176608.94</v>
          </cell>
          <cell r="F778">
            <v>105176608.94</v>
          </cell>
          <cell r="G778">
            <v>144687758.72520199</v>
          </cell>
          <cell r="H778">
            <v>189721156.312987</v>
          </cell>
          <cell r="I778">
            <v>221786942.31493601</v>
          </cell>
          <cell r="J778">
            <v>227741264.023808</v>
          </cell>
          <cell r="K778">
            <v>227741264.023808</v>
          </cell>
          <cell r="L778">
            <v>131831224.04000001</v>
          </cell>
          <cell r="M778">
            <v>224128437.874062</v>
          </cell>
          <cell r="N778">
            <v>338754224.89029998</v>
          </cell>
          <cell r="O778">
            <v>424415074.81036103</v>
          </cell>
        </row>
        <row r="779">
          <cell r="A779" t="str">
            <v>BrazilRECEIVABLE RESERVES</v>
          </cell>
          <cell r="B779">
            <v>-1782515.16</v>
          </cell>
          <cell r="C779">
            <v>-3042213.81</v>
          </cell>
          <cell r="D779">
            <v>-4510879.66</v>
          </cell>
          <cell r="E779">
            <v>-7367123.6799999997</v>
          </cell>
          <cell r="F779">
            <v>-7367123.6799999997</v>
          </cell>
          <cell r="G779">
            <v>-11945830.226692</v>
          </cell>
          <cell r="H779">
            <v>-15817932.594567999</v>
          </cell>
          <cell r="I779">
            <v>-19630552.884178001</v>
          </cell>
          <cell r="J779">
            <v>-18156466.801686</v>
          </cell>
          <cell r="K779">
            <v>-18156466.801686</v>
          </cell>
          <cell r="L779">
            <v>-10858245.880000001</v>
          </cell>
          <cell r="M779">
            <v>-19993891.719663002</v>
          </cell>
          <cell r="N779">
            <v>-33490839.244631998</v>
          </cell>
          <cell r="O779">
            <v>-45250596.798726</v>
          </cell>
        </row>
        <row r="780">
          <cell r="A780" t="str">
            <v>BrazilCASH</v>
          </cell>
          <cell r="B780">
            <v>-268248.59999999998</v>
          </cell>
          <cell r="C780">
            <v>-145391.34</v>
          </cell>
          <cell r="D780">
            <v>-208351.45</v>
          </cell>
          <cell r="E780">
            <v>604666.41</v>
          </cell>
          <cell r="F780">
            <v>604666.41</v>
          </cell>
          <cell r="G780">
            <v>0</v>
          </cell>
          <cell r="H780">
            <v>0</v>
          </cell>
          <cell r="I780">
            <v>0</v>
          </cell>
          <cell r="J780">
            <v>0</v>
          </cell>
          <cell r="K780">
            <v>0</v>
          </cell>
          <cell r="L780">
            <v>3045053.37</v>
          </cell>
          <cell r="M780">
            <v>1100523</v>
          </cell>
          <cell r="N780">
            <v>1315215</v>
          </cell>
          <cell r="O780">
            <v>1402365</v>
          </cell>
        </row>
        <row r="781">
          <cell r="A781" t="str">
            <v>BrazilINVESTMENT SECURITIES</v>
          </cell>
          <cell r="B781">
            <v>558908.30000000005</v>
          </cell>
          <cell r="C781">
            <v>530616.44999999995</v>
          </cell>
          <cell r="D781">
            <v>753907.25</v>
          </cell>
          <cell r="E781">
            <v>12502246.66</v>
          </cell>
          <cell r="F781">
            <v>12502246.66</v>
          </cell>
          <cell r="G781">
            <v>0</v>
          </cell>
          <cell r="H781">
            <v>0</v>
          </cell>
          <cell r="I781">
            <v>0</v>
          </cell>
          <cell r="J781">
            <v>0</v>
          </cell>
          <cell r="K781">
            <v>0</v>
          </cell>
          <cell r="L781">
            <v>1177958.74</v>
          </cell>
          <cell r="M781">
            <v>0</v>
          </cell>
          <cell r="N781">
            <v>0</v>
          </cell>
          <cell r="O781">
            <v>0</v>
          </cell>
        </row>
        <row r="782">
          <cell r="A782" t="str">
            <v>BrazilINV IN NON CONSOL AFFILIATES</v>
          </cell>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row>
        <row r="783">
          <cell r="A783" t="str">
            <v>BrazilINVESTMENT IN JOINT VENTURE</v>
          </cell>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row>
        <row r="784">
          <cell r="A784" t="str">
            <v>BrazilALL OTHER RECEIVABLES (NON-FINANCING)</v>
          </cell>
          <cell r="B784">
            <v>-543159.13</v>
          </cell>
          <cell r="C784">
            <v>138333.04999999999</v>
          </cell>
          <cell r="D784">
            <v>-13564.96</v>
          </cell>
          <cell r="E784">
            <v>423672.93</v>
          </cell>
          <cell r="F784">
            <v>423672.93</v>
          </cell>
          <cell r="G784">
            <v>0</v>
          </cell>
          <cell r="H784">
            <v>0</v>
          </cell>
          <cell r="I784">
            <v>0</v>
          </cell>
          <cell r="J784">
            <v>0</v>
          </cell>
          <cell r="K784">
            <v>0</v>
          </cell>
          <cell r="L784">
            <v>122230.96</v>
          </cell>
          <cell r="M784">
            <v>72703.031470999995</v>
          </cell>
          <cell r="N784">
            <v>80449.379526999997</v>
          </cell>
          <cell r="O784">
            <v>89021.083927</v>
          </cell>
        </row>
        <row r="785">
          <cell r="A785" t="str">
            <v>BrazilELTO (NET)</v>
          </cell>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row>
        <row r="786">
          <cell r="A786" t="str">
            <v>BrazilGOODWILL</v>
          </cell>
          <cell r="B786">
            <v>0</v>
          </cell>
          <cell r="C786">
            <v>-0.01</v>
          </cell>
          <cell r="D786">
            <v>0</v>
          </cell>
          <cell r="E786">
            <v>0.01</v>
          </cell>
          <cell r="F786">
            <v>0.01</v>
          </cell>
          <cell r="G786">
            <v>0</v>
          </cell>
          <cell r="H786">
            <v>0</v>
          </cell>
          <cell r="I786">
            <v>0</v>
          </cell>
          <cell r="J786">
            <v>0</v>
          </cell>
          <cell r="K786">
            <v>0</v>
          </cell>
          <cell r="L786">
            <v>-0.01</v>
          </cell>
          <cell r="M786">
            <v>0</v>
          </cell>
          <cell r="N786">
            <v>0</v>
          </cell>
          <cell r="O786">
            <v>0</v>
          </cell>
        </row>
        <row r="787">
          <cell r="A787" t="str">
            <v>BrazilOTHER ASSETS</v>
          </cell>
          <cell r="B787">
            <v>1763387.89</v>
          </cell>
          <cell r="C787">
            <v>1829947.33</v>
          </cell>
          <cell r="D787">
            <v>3392504.93</v>
          </cell>
          <cell r="E787">
            <v>5770186.9000000004</v>
          </cell>
          <cell r="F787">
            <v>5770186.9000000004</v>
          </cell>
          <cell r="G787">
            <v>7519737.1681420002</v>
          </cell>
          <cell r="H787">
            <v>8102127.1746720001</v>
          </cell>
          <cell r="I787">
            <v>9532674.0373439994</v>
          </cell>
          <cell r="J787">
            <v>8745639.8984379992</v>
          </cell>
          <cell r="K787">
            <v>8745639.8984379992</v>
          </cell>
          <cell r="L787">
            <v>5606563.8099999996</v>
          </cell>
          <cell r="M787">
            <v>5646815.0899999999</v>
          </cell>
          <cell r="N787">
            <v>5689332.4649999999</v>
          </cell>
          <cell r="O787">
            <v>5737317.6524999999</v>
          </cell>
        </row>
        <row r="788">
          <cell r="A788" t="str">
            <v>BrazilACCOUNTS PAYABLE</v>
          </cell>
          <cell r="B788">
            <v>-10082287.18</v>
          </cell>
          <cell r="C788">
            <v>-7935894.6100000003</v>
          </cell>
          <cell r="D788">
            <v>-8694367.3699999992</v>
          </cell>
          <cell r="E788">
            <v>-14036612.34</v>
          </cell>
          <cell r="F788">
            <v>-14036612.34</v>
          </cell>
          <cell r="G788">
            <v>-13902109.860362999</v>
          </cell>
          <cell r="H788">
            <v>-18112162.900796</v>
          </cell>
          <cell r="I788">
            <v>-22847789.463784002</v>
          </cell>
          <cell r="J788">
            <v>-27710894.599610001</v>
          </cell>
          <cell r="K788">
            <v>-27710894.599610001</v>
          </cell>
          <cell r="L788">
            <v>-17137579.27</v>
          </cell>
          <cell r="M788">
            <v>-13946488.769902</v>
          </cell>
          <cell r="N788">
            <v>-18617663.240201</v>
          </cell>
          <cell r="O788">
            <v>-19801074.601721</v>
          </cell>
        </row>
        <row r="789">
          <cell r="A789" t="str">
            <v>BrazilDEFERRED INCOME TAXES</v>
          </cell>
          <cell r="B789">
            <v>1515.89</v>
          </cell>
          <cell r="C789">
            <v>126612.55</v>
          </cell>
          <cell r="D789">
            <v>323722.99</v>
          </cell>
          <cell r="E789">
            <v>328962.40999999997</v>
          </cell>
          <cell r="F789">
            <v>328962.40999999997</v>
          </cell>
          <cell r="G789">
            <v>0</v>
          </cell>
          <cell r="H789">
            <v>0</v>
          </cell>
          <cell r="I789">
            <v>0</v>
          </cell>
          <cell r="J789">
            <v>0</v>
          </cell>
          <cell r="K789">
            <v>0</v>
          </cell>
          <cell r="L789">
            <v>441164.83</v>
          </cell>
          <cell r="M789">
            <v>0</v>
          </cell>
          <cell r="N789">
            <v>0</v>
          </cell>
          <cell r="O789">
            <v>0</v>
          </cell>
        </row>
        <row r="790">
          <cell r="A790" t="str">
            <v>BrazilWRITE-OFF (MEMO)</v>
          </cell>
          <cell r="B790">
            <v>158724.74</v>
          </cell>
          <cell r="C790">
            <v>520891.4</v>
          </cell>
          <cell r="D790">
            <v>1889023.13</v>
          </cell>
          <cell r="E790">
            <v>4876950.22</v>
          </cell>
          <cell r="F790">
            <v>4876950.22</v>
          </cell>
          <cell r="G790">
            <v>7583439.4775970001</v>
          </cell>
          <cell r="H790">
            <v>14353073.496859999</v>
          </cell>
          <cell r="I790">
            <v>21559771.001681998</v>
          </cell>
          <cell r="J790">
            <v>33487264.283594999</v>
          </cell>
          <cell r="K790">
            <v>33487264.283594999</v>
          </cell>
          <cell r="L790">
            <v>6498911.1600000001</v>
          </cell>
          <cell r="M790">
            <v>18234259.055351</v>
          </cell>
          <cell r="N790">
            <v>40735030.485189997</v>
          </cell>
          <cell r="O790">
            <v>65051015.539240003</v>
          </cell>
        </row>
        <row r="791">
          <cell r="A791" t="str">
            <v>BrazilINSURANCE RESERVES AND ANNUITY BENEFITS</v>
          </cell>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row>
        <row r="792">
          <cell r="A792" t="str">
            <v>BrazilALL OTHER NON DEBT LIABILITIES</v>
          </cell>
          <cell r="B792">
            <v>-1705680.7</v>
          </cell>
          <cell r="C792">
            <v>-1347609.85</v>
          </cell>
          <cell r="D792">
            <v>-1188154.54</v>
          </cell>
          <cell r="E792">
            <v>-1714190.5</v>
          </cell>
          <cell r="F792">
            <v>-1714190.5</v>
          </cell>
          <cell r="G792">
            <v>0</v>
          </cell>
          <cell r="H792">
            <v>0</v>
          </cell>
          <cell r="I792">
            <v>0</v>
          </cell>
          <cell r="J792">
            <v>0</v>
          </cell>
          <cell r="K792">
            <v>0</v>
          </cell>
          <cell r="L792">
            <v>-1570084.52</v>
          </cell>
          <cell r="M792">
            <v>-2317480.1183730001</v>
          </cell>
          <cell r="N792">
            <v>-5315254.5043620002</v>
          </cell>
          <cell r="O792">
            <v>-5371306.5164069999</v>
          </cell>
        </row>
        <row r="793">
          <cell r="A793" t="str">
            <v>BrazilMINORITY INTEREST (BS)</v>
          </cell>
          <cell r="B793">
            <v>1998.13</v>
          </cell>
          <cell r="C793">
            <v>1998.13</v>
          </cell>
          <cell r="D793">
            <v>1998.13</v>
          </cell>
          <cell r="E793">
            <v>1998.13</v>
          </cell>
          <cell r="F793">
            <v>1998.13</v>
          </cell>
          <cell r="G793">
            <v>0</v>
          </cell>
          <cell r="H793">
            <v>0</v>
          </cell>
          <cell r="I793">
            <v>0</v>
          </cell>
          <cell r="J793">
            <v>0</v>
          </cell>
          <cell r="K793">
            <v>0</v>
          </cell>
          <cell r="L793">
            <v>1998.13</v>
          </cell>
          <cell r="M793">
            <v>0</v>
          </cell>
          <cell r="N793">
            <v>0</v>
          </cell>
          <cell r="O793">
            <v>0</v>
          </cell>
        </row>
        <row r="794">
          <cell r="A794" t="str">
            <v>BrazilASIA PACIFIC ENI DIVIDEND</v>
          </cell>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row>
        <row r="795">
          <cell r="A795" t="str">
            <v>BrazilFINANCING INCOME</v>
          </cell>
          <cell r="B795">
            <v>-2530420.5699999998</v>
          </cell>
          <cell r="C795">
            <v>-4130231.92</v>
          </cell>
          <cell r="D795">
            <v>-6600142.2300000004</v>
          </cell>
          <cell r="E795">
            <v>-8457185.0600000005</v>
          </cell>
          <cell r="F795">
            <v>-21717979.780000001</v>
          </cell>
          <cell r="G795">
            <v>-12387142.060758</v>
          </cell>
          <cell r="H795">
            <v>-16892319.966166001</v>
          </cell>
          <cell r="I795">
            <v>-22723927.071169</v>
          </cell>
          <cell r="J795">
            <v>-36647478.439792</v>
          </cell>
          <cell r="K795">
            <v>-88650867.537885994</v>
          </cell>
          <cell r="L795">
            <v>-11854856.68</v>
          </cell>
          <cell r="M795">
            <v>-91619219.410356</v>
          </cell>
          <cell r="N795">
            <v>-148953836.156836</v>
          </cell>
          <cell r="O795">
            <v>-194293174.242883</v>
          </cell>
        </row>
        <row r="796">
          <cell r="A796" t="str">
            <v>BrazilINSURANCE PREMIUM INCOME</v>
          </cell>
          <cell r="B796">
            <v>0</v>
          </cell>
          <cell r="C796">
            <v>0</v>
          </cell>
          <cell r="D796">
            <v>0</v>
          </cell>
          <cell r="E796">
            <v>0</v>
          </cell>
          <cell r="F796">
            <v>0</v>
          </cell>
          <cell r="G796">
            <v>0</v>
          </cell>
          <cell r="H796">
            <v>0</v>
          </cell>
          <cell r="I796">
            <v>0</v>
          </cell>
          <cell r="J796">
            <v>0</v>
          </cell>
          <cell r="K796">
            <v>0</v>
          </cell>
          <cell r="L796">
            <v>-29251.89</v>
          </cell>
          <cell r="M796">
            <v>0</v>
          </cell>
          <cell r="N796">
            <v>0</v>
          </cell>
          <cell r="O796">
            <v>0</v>
          </cell>
        </row>
        <row r="797">
          <cell r="A797" t="str">
            <v>BrazilINSURANCE INCOME (COMMISSIONS)</v>
          </cell>
          <cell r="B797">
            <v>-45.75</v>
          </cell>
          <cell r="C797">
            <v>-29.18</v>
          </cell>
          <cell r="D797">
            <v>-9.81</v>
          </cell>
          <cell r="E797">
            <v>0</v>
          </cell>
          <cell r="F797">
            <v>-84.74</v>
          </cell>
          <cell r="G797">
            <v>-24738.455866</v>
          </cell>
          <cell r="H797">
            <v>-133279.91130800001</v>
          </cell>
          <cell r="I797">
            <v>-267286.24338499998</v>
          </cell>
          <cell r="J797">
            <v>-570102.91338299995</v>
          </cell>
          <cell r="K797">
            <v>-995407.523942</v>
          </cell>
          <cell r="L797">
            <v>0</v>
          </cell>
          <cell r="M797">
            <v>0</v>
          </cell>
          <cell r="N797">
            <v>0</v>
          </cell>
          <cell r="O797">
            <v>0</v>
          </cell>
        </row>
        <row r="798">
          <cell r="A798" t="str">
            <v>BrazilSUNDRY INCOME</v>
          </cell>
          <cell r="B798">
            <v>-61637.19</v>
          </cell>
          <cell r="C798">
            <v>-180764.04</v>
          </cell>
          <cell r="D798">
            <v>-524399.42000000004</v>
          </cell>
          <cell r="E798">
            <v>-189388.05</v>
          </cell>
          <cell r="F798">
            <v>-956188.7</v>
          </cell>
          <cell r="G798">
            <v>-1373561.416644</v>
          </cell>
          <cell r="H798">
            <v>-1883555.7845050001</v>
          </cell>
          <cell r="I798">
            <v>-2929612.9547689999</v>
          </cell>
          <cell r="J798">
            <v>716797.52497699996</v>
          </cell>
          <cell r="K798">
            <v>-5469932.6309409998</v>
          </cell>
          <cell r="L798">
            <v>-1048618.6399999999</v>
          </cell>
          <cell r="M798">
            <v>-11089379.173943</v>
          </cell>
          <cell r="N798">
            <v>-18400389.943983998</v>
          </cell>
          <cell r="O798">
            <v>-24700306.013289999</v>
          </cell>
        </row>
        <row r="799">
          <cell r="A799" t="str">
            <v>BrazilINTEREST EXPENSE</v>
          </cell>
          <cell r="B799">
            <v>374774.83</v>
          </cell>
          <cell r="C799">
            <v>727708.44</v>
          </cell>
          <cell r="D799">
            <v>1475966.21</v>
          </cell>
          <cell r="E799">
            <v>2626105.5</v>
          </cell>
          <cell r="F799">
            <v>5204554.9800000004</v>
          </cell>
          <cell r="G799">
            <v>4243193.8852300001</v>
          </cell>
          <cell r="H799">
            <v>5259512.1956289997</v>
          </cell>
          <cell r="I799">
            <v>6253078.8845340004</v>
          </cell>
          <cell r="J799">
            <v>9165204.7732919995</v>
          </cell>
          <cell r="K799">
            <v>24920989.738683999</v>
          </cell>
          <cell r="L799">
            <v>4354743.07</v>
          </cell>
          <cell r="M799">
            <v>36742946.137722</v>
          </cell>
          <cell r="N799">
            <v>53946982.772683002</v>
          </cell>
          <cell r="O799">
            <v>67072971.082800001</v>
          </cell>
        </row>
        <row r="800">
          <cell r="A800" t="str">
            <v>BrazilINTEREST EXPENSE REDUCTIONS / BUS SHARING</v>
          </cell>
          <cell r="B800">
            <v>-13515.18</v>
          </cell>
          <cell r="C800">
            <v>-16484.240000000002</v>
          </cell>
          <cell r="D800">
            <v>-30803.68</v>
          </cell>
          <cell r="E800">
            <v>-114139.44</v>
          </cell>
          <cell r="F800">
            <v>-174942.54</v>
          </cell>
          <cell r="G800">
            <v>0</v>
          </cell>
          <cell r="H800">
            <v>0</v>
          </cell>
          <cell r="I800">
            <v>0</v>
          </cell>
          <cell r="J800">
            <v>0</v>
          </cell>
          <cell r="K800">
            <v>0</v>
          </cell>
          <cell r="L800">
            <v>-195269.37</v>
          </cell>
          <cell r="M800">
            <v>0</v>
          </cell>
          <cell r="N800">
            <v>0</v>
          </cell>
          <cell r="O800">
            <v>0</v>
          </cell>
        </row>
        <row r="801">
          <cell r="A801" t="str">
            <v>BrazilALLOCATED COST OF PREFERRED EQUITY</v>
          </cell>
          <cell r="B801">
            <v>1733.94</v>
          </cell>
          <cell r="C801">
            <v>2385.34</v>
          </cell>
          <cell r="D801">
            <v>3179.91</v>
          </cell>
          <cell r="E801">
            <v>3566.79</v>
          </cell>
          <cell r="F801">
            <v>10865.98</v>
          </cell>
          <cell r="G801">
            <v>0</v>
          </cell>
          <cell r="H801">
            <v>0</v>
          </cell>
          <cell r="I801">
            <v>0</v>
          </cell>
          <cell r="J801">
            <v>0</v>
          </cell>
          <cell r="K801">
            <v>0</v>
          </cell>
          <cell r="L801">
            <v>6582.54</v>
          </cell>
          <cell r="M801">
            <v>0</v>
          </cell>
          <cell r="N801">
            <v>0</v>
          </cell>
          <cell r="O801">
            <v>0</v>
          </cell>
        </row>
        <row r="802">
          <cell r="A802" t="str">
            <v>BrazilSALARIES &amp; BENEFITS</v>
          </cell>
          <cell r="B802">
            <v>1053838.25</v>
          </cell>
          <cell r="C802">
            <v>642973.24</v>
          </cell>
          <cell r="D802">
            <v>981737.22</v>
          </cell>
          <cell r="E802">
            <v>1046831.66</v>
          </cell>
          <cell r="F802">
            <v>3725380.37</v>
          </cell>
          <cell r="G802">
            <v>1465239.8539819999</v>
          </cell>
          <cell r="H802">
            <v>1257378.6331879999</v>
          </cell>
          <cell r="I802">
            <v>1229814.9668050001</v>
          </cell>
          <cell r="J802">
            <v>1663217.1054690001</v>
          </cell>
          <cell r="K802">
            <v>5615650.559444</v>
          </cell>
          <cell r="L802">
            <v>1439980.23</v>
          </cell>
          <cell r="M802">
            <v>3436191</v>
          </cell>
          <cell r="N802">
            <v>3565859</v>
          </cell>
          <cell r="O802">
            <v>3700419</v>
          </cell>
        </row>
        <row r="803">
          <cell r="A803" t="str">
            <v>BrazilLOSSES ON OTHER ASSETS</v>
          </cell>
          <cell r="B803">
            <v>27504.19</v>
          </cell>
          <cell r="C803">
            <v>3157.83</v>
          </cell>
          <cell r="D803">
            <v>9967.7099999999991</v>
          </cell>
          <cell r="E803">
            <v>43586.18</v>
          </cell>
          <cell r="F803">
            <v>84215.91</v>
          </cell>
          <cell r="G803">
            <v>0</v>
          </cell>
          <cell r="H803">
            <v>0</v>
          </cell>
          <cell r="I803">
            <v>0</v>
          </cell>
          <cell r="J803">
            <v>0</v>
          </cell>
          <cell r="K803">
            <v>0</v>
          </cell>
          <cell r="L803">
            <v>18623.98</v>
          </cell>
          <cell r="M803">
            <v>123040.524974</v>
          </cell>
          <cell r="N803">
            <v>206630.022119</v>
          </cell>
          <cell r="O803">
            <v>284768.65773799998</v>
          </cell>
        </row>
        <row r="804">
          <cell r="A804" t="str">
            <v>BrazilCOST OF GOODS SOLD</v>
          </cell>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row>
        <row r="805">
          <cell r="A805" t="str">
            <v>BrazilCOST OF GOODS SOLD - DISTRIBUTION</v>
          </cell>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row>
        <row r="806">
          <cell r="A806" t="str">
            <v>BrazilPOSTAGE</v>
          </cell>
          <cell r="B806">
            <v>166423.35</v>
          </cell>
          <cell r="C806">
            <v>164589.81</v>
          </cell>
          <cell r="D806">
            <v>117354.51</v>
          </cell>
          <cell r="E806">
            <v>216092.77</v>
          </cell>
          <cell r="F806">
            <v>664460.43999999994</v>
          </cell>
          <cell r="G806">
            <v>308432.51769900002</v>
          </cell>
          <cell r="H806">
            <v>392152.58515300002</v>
          </cell>
          <cell r="I806">
            <v>480216.41493799997</v>
          </cell>
          <cell r="J806">
            <v>756010.453125</v>
          </cell>
          <cell r="K806">
            <v>1936811.970915</v>
          </cell>
          <cell r="L806">
            <v>250068.45</v>
          </cell>
          <cell r="M806">
            <v>1129662.2341189999</v>
          </cell>
          <cell r="N806">
            <v>1897115.868704</v>
          </cell>
          <cell r="O806">
            <v>2614523.9397689998</v>
          </cell>
        </row>
        <row r="807">
          <cell r="A807" t="str">
            <v>BrazilTELEPHONE</v>
          </cell>
          <cell r="B807">
            <v>257563.8</v>
          </cell>
          <cell r="C807">
            <v>263586</v>
          </cell>
          <cell r="D807">
            <v>345196.74</v>
          </cell>
          <cell r="E807">
            <v>348107.41</v>
          </cell>
          <cell r="F807">
            <v>1214453.95</v>
          </cell>
          <cell r="G807">
            <v>574638.06637200003</v>
          </cell>
          <cell r="H807">
            <v>569277.32314400002</v>
          </cell>
          <cell r="I807">
            <v>546792.13277999999</v>
          </cell>
          <cell r="J807">
            <v>691676.59375</v>
          </cell>
          <cell r="K807">
            <v>2382384.1160459998</v>
          </cell>
          <cell r="L807">
            <v>491278.21</v>
          </cell>
          <cell r="M807">
            <v>1748313.072836</v>
          </cell>
          <cell r="N807">
            <v>2936056.7909280001</v>
          </cell>
          <cell r="O807">
            <v>4046347.8773429999</v>
          </cell>
        </row>
        <row r="808">
          <cell r="A808" t="str">
            <v>BrazilCUSTOMER SERVICE / COLLECTIONS</v>
          </cell>
          <cell r="B808">
            <v>344812.35</v>
          </cell>
          <cell r="C808">
            <v>270999.02</v>
          </cell>
          <cell r="D808">
            <v>240621.23</v>
          </cell>
          <cell r="E808">
            <v>162908.64000000001</v>
          </cell>
          <cell r="F808">
            <v>1019341.24</v>
          </cell>
          <cell r="G808">
            <v>382305.95132699999</v>
          </cell>
          <cell r="H808">
            <v>301755.36244499998</v>
          </cell>
          <cell r="I808">
            <v>350896.958506</v>
          </cell>
          <cell r="J808">
            <v>537012.945312</v>
          </cell>
          <cell r="K808">
            <v>1571971.217592</v>
          </cell>
          <cell r="L808">
            <v>304736.27</v>
          </cell>
          <cell r="M808">
            <v>1623190.7928770001</v>
          </cell>
          <cell r="N808">
            <v>2725930.7411500001</v>
          </cell>
          <cell r="O808">
            <v>3756761.1438310002</v>
          </cell>
        </row>
        <row r="809">
          <cell r="A809" t="str">
            <v>BrazilSTATIONARY - OFFICE SUPPLIES</v>
          </cell>
          <cell r="B809">
            <v>170456.52</v>
          </cell>
          <cell r="C809">
            <v>104702.94</v>
          </cell>
          <cell r="D809">
            <v>189633.43</v>
          </cell>
          <cell r="E809">
            <v>81712.31</v>
          </cell>
          <cell r="F809">
            <v>546505.19999999995</v>
          </cell>
          <cell r="G809">
            <v>431154.00884999998</v>
          </cell>
          <cell r="H809">
            <v>414870.262009</v>
          </cell>
          <cell r="I809">
            <v>443768.01493800001</v>
          </cell>
          <cell r="J809">
            <v>632200.37031200004</v>
          </cell>
          <cell r="K809">
            <v>1921992.6561090001</v>
          </cell>
          <cell r="L809">
            <v>194354.85</v>
          </cell>
          <cell r="M809">
            <v>772631.15695099998</v>
          </cell>
          <cell r="N809">
            <v>1297530.168078</v>
          </cell>
          <cell r="O809">
            <v>1788200.5748709999</v>
          </cell>
        </row>
        <row r="810">
          <cell r="A810" t="str">
            <v>BrazilT&amp;L</v>
          </cell>
          <cell r="B810">
            <v>29823.4</v>
          </cell>
          <cell r="C810">
            <v>62422.37</v>
          </cell>
          <cell r="D810">
            <v>103966.21</v>
          </cell>
          <cell r="E810">
            <v>208059.44</v>
          </cell>
          <cell r="F810">
            <v>404271.42</v>
          </cell>
          <cell r="G810">
            <v>135294.24778800001</v>
          </cell>
          <cell r="H810">
            <v>86368.995632999999</v>
          </cell>
          <cell r="I810">
            <v>74018.672198999993</v>
          </cell>
          <cell r="J810">
            <v>83601.5625</v>
          </cell>
          <cell r="K810">
            <v>379283.47811999999</v>
          </cell>
          <cell r="L810">
            <v>265936.11</v>
          </cell>
          <cell r="M810">
            <v>283168.90146000002</v>
          </cell>
          <cell r="N810">
            <v>475544.10535899998</v>
          </cell>
          <cell r="O810">
            <v>655374.54426999995</v>
          </cell>
        </row>
        <row r="811">
          <cell r="A811" t="str">
            <v>BrazilRENTAL - BLDG/FACILITIES</v>
          </cell>
          <cell r="B811">
            <v>105316.04</v>
          </cell>
          <cell r="C811">
            <v>169633.49</v>
          </cell>
          <cell r="D811">
            <v>183509.72</v>
          </cell>
          <cell r="E811">
            <v>244979.58</v>
          </cell>
          <cell r="F811">
            <v>703438.83</v>
          </cell>
          <cell r="G811">
            <v>250388.01769899999</v>
          </cell>
          <cell r="H811">
            <v>301644.36681199999</v>
          </cell>
          <cell r="I811">
            <v>300506.88796700002</v>
          </cell>
          <cell r="J811">
            <v>348742</v>
          </cell>
          <cell r="K811">
            <v>1201281.272478</v>
          </cell>
          <cell r="L811">
            <v>327335.58</v>
          </cell>
          <cell r="M811">
            <v>628625.386787</v>
          </cell>
          <cell r="N811">
            <v>1055691.8348900001</v>
          </cell>
          <cell r="O811">
            <v>1454909.3288779999</v>
          </cell>
        </row>
        <row r="812">
          <cell r="A812" t="str">
            <v>BrazilRENTAL - FURNITURE/EQUIP</v>
          </cell>
          <cell r="B812">
            <v>0</v>
          </cell>
          <cell r="C812">
            <v>0</v>
          </cell>
          <cell r="D812">
            <v>0</v>
          </cell>
          <cell r="E812">
            <v>0</v>
          </cell>
          <cell r="F812">
            <v>0</v>
          </cell>
          <cell r="G812">
            <v>75455.491150000002</v>
          </cell>
          <cell r="H812">
            <v>72819.117903999999</v>
          </cell>
          <cell r="I812">
            <v>70534.141078999994</v>
          </cell>
          <cell r="J812">
            <v>90573.0625</v>
          </cell>
          <cell r="K812">
            <v>309381.81263300002</v>
          </cell>
          <cell r="L812">
            <v>0</v>
          </cell>
          <cell r="M812">
            <v>0</v>
          </cell>
          <cell r="N812">
            <v>0</v>
          </cell>
          <cell r="O812">
            <v>0</v>
          </cell>
        </row>
        <row r="813">
          <cell r="A813" t="str">
            <v>BrazilRENTAL - COMPUTERS</v>
          </cell>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row>
        <row r="814">
          <cell r="A814" t="str">
            <v>BrazilLEASE IN - LEASE OUT</v>
          </cell>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row>
        <row r="815">
          <cell r="A815" t="str">
            <v>BrazilFURNITURE / EQUIPMENT / COMPUTER EXP</v>
          </cell>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row>
        <row r="816">
          <cell r="A816" t="str">
            <v>BrazilSOFTWARE EXPENSE</v>
          </cell>
          <cell r="B816">
            <v>0</v>
          </cell>
          <cell r="C816">
            <v>0</v>
          </cell>
          <cell r="D816">
            <v>0</v>
          </cell>
          <cell r="E816">
            <v>0</v>
          </cell>
          <cell r="F816">
            <v>0</v>
          </cell>
          <cell r="G816">
            <v>7769.4690270000001</v>
          </cell>
          <cell r="H816">
            <v>17514.410479999999</v>
          </cell>
          <cell r="I816">
            <v>22170.124480999999</v>
          </cell>
          <cell r="J816">
            <v>36742.96875</v>
          </cell>
          <cell r="K816">
            <v>84196.972737999997</v>
          </cell>
          <cell r="L816">
            <v>0</v>
          </cell>
          <cell r="M816">
            <v>135743.809851</v>
          </cell>
          <cell r="N816">
            <v>227963.48144500001</v>
          </cell>
          <cell r="O816">
            <v>314169.518828</v>
          </cell>
        </row>
        <row r="817">
          <cell r="A817" t="str">
            <v>BrazilAMORTIZATION OF INTANGIBLES</v>
          </cell>
          <cell r="B817">
            <v>19997.96</v>
          </cell>
          <cell r="C817">
            <v>24684.49</v>
          </cell>
          <cell r="D817">
            <v>22405.38</v>
          </cell>
          <cell r="E817">
            <v>26987.25</v>
          </cell>
          <cell r="F817">
            <v>94075.08</v>
          </cell>
          <cell r="G817">
            <v>0</v>
          </cell>
          <cell r="H817">
            <v>0</v>
          </cell>
          <cell r="I817">
            <v>0</v>
          </cell>
          <cell r="J817">
            <v>0</v>
          </cell>
          <cell r="K817">
            <v>0</v>
          </cell>
          <cell r="L817">
            <v>610.66</v>
          </cell>
          <cell r="M817">
            <v>0</v>
          </cell>
          <cell r="N817">
            <v>0</v>
          </cell>
          <cell r="O817">
            <v>0</v>
          </cell>
        </row>
        <row r="818">
          <cell r="A818" t="str">
            <v>BrazilELTO MAINTENANCE</v>
          </cell>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row>
        <row r="819">
          <cell r="A819" t="str">
            <v>BrazilELTO OTHER</v>
          </cell>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row>
        <row r="820">
          <cell r="A820" t="str">
            <v>BrazilLEGAL</v>
          </cell>
          <cell r="B820">
            <v>0</v>
          </cell>
          <cell r="C820">
            <v>0</v>
          </cell>
          <cell r="D820">
            <v>0</v>
          </cell>
          <cell r="E820">
            <v>0</v>
          </cell>
          <cell r="F820">
            <v>0</v>
          </cell>
          <cell r="G820">
            <v>44666.309735000003</v>
          </cell>
          <cell r="H820">
            <v>55130.030568000002</v>
          </cell>
          <cell r="I820">
            <v>58523.684647000002</v>
          </cell>
          <cell r="J820">
            <v>81834.246094000002</v>
          </cell>
          <cell r="K820">
            <v>240154.27104299999</v>
          </cell>
          <cell r="L820">
            <v>0</v>
          </cell>
          <cell r="M820">
            <v>0</v>
          </cell>
          <cell r="N820">
            <v>0</v>
          </cell>
          <cell r="O820">
            <v>0</v>
          </cell>
        </row>
        <row r="821">
          <cell r="A821" t="str">
            <v>BrazilADVERTISING</v>
          </cell>
          <cell r="B821">
            <v>33620.589999999997</v>
          </cell>
          <cell r="C821">
            <v>41679.410000000003</v>
          </cell>
          <cell r="D821">
            <v>39661.919999999998</v>
          </cell>
          <cell r="E821">
            <v>52268.480000000003</v>
          </cell>
          <cell r="F821">
            <v>167230.39999999999</v>
          </cell>
          <cell r="G821">
            <v>59515.269912000003</v>
          </cell>
          <cell r="H821">
            <v>176860.26637600001</v>
          </cell>
          <cell r="I821">
            <v>100419.091286</v>
          </cell>
          <cell r="J821">
            <v>148055.34375</v>
          </cell>
          <cell r="K821">
            <v>484849.97132299998</v>
          </cell>
          <cell r="L821">
            <v>13991.44</v>
          </cell>
          <cell r="M821">
            <v>228212.43004100001</v>
          </cell>
          <cell r="N821">
            <v>383252.09907</v>
          </cell>
          <cell r="O821">
            <v>528181.64905799995</v>
          </cell>
        </row>
        <row r="822">
          <cell r="A822" t="str">
            <v>BrazilSALES PROMOTIONS</v>
          </cell>
          <cell r="B822">
            <v>0</v>
          </cell>
          <cell r="C822">
            <v>0</v>
          </cell>
          <cell r="D822">
            <v>0</v>
          </cell>
          <cell r="E822">
            <v>0</v>
          </cell>
          <cell r="F822">
            <v>0</v>
          </cell>
          <cell r="G822">
            <v>26053.097344999998</v>
          </cell>
          <cell r="H822">
            <v>49266.375546000003</v>
          </cell>
          <cell r="I822">
            <v>27829.875519000001</v>
          </cell>
          <cell r="J822">
            <v>51859.375</v>
          </cell>
          <cell r="K822">
            <v>155008.72341000001</v>
          </cell>
          <cell r="L822">
            <v>-18.829999999999998</v>
          </cell>
          <cell r="M822">
            <v>0</v>
          </cell>
          <cell r="N822">
            <v>0</v>
          </cell>
          <cell r="O822">
            <v>0</v>
          </cell>
        </row>
        <row r="823">
          <cell r="A823" t="str">
            <v>BrazilDIRECT MAIL</v>
          </cell>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row>
        <row r="824">
          <cell r="A824" t="str">
            <v>BrazilDATA PROCESSING</v>
          </cell>
          <cell r="B824">
            <v>800153.02</v>
          </cell>
          <cell r="C824">
            <v>839655.45</v>
          </cell>
          <cell r="D824">
            <v>1368005.11</v>
          </cell>
          <cell r="E824">
            <v>682209.26</v>
          </cell>
          <cell r="F824">
            <v>3690022.84</v>
          </cell>
          <cell r="G824">
            <v>1259547.80531</v>
          </cell>
          <cell r="H824">
            <v>972791.45851499995</v>
          </cell>
          <cell r="I824">
            <v>891771.07468900003</v>
          </cell>
          <cell r="J824">
            <v>1120902.1953120001</v>
          </cell>
          <cell r="K824">
            <v>4245012.5338260001</v>
          </cell>
          <cell r="L824">
            <v>1423982.97</v>
          </cell>
          <cell r="M824">
            <v>3828695.0502180001</v>
          </cell>
          <cell r="N824">
            <v>6429778.6690739999</v>
          </cell>
          <cell r="O824">
            <v>8861245.9233710002</v>
          </cell>
        </row>
        <row r="825">
          <cell r="A825" t="str">
            <v>BrazilCONSULTING</v>
          </cell>
          <cell r="B825">
            <v>128237.05</v>
          </cell>
          <cell r="C825">
            <v>132399.14000000001</v>
          </cell>
          <cell r="D825">
            <v>134236.34</v>
          </cell>
          <cell r="E825">
            <v>123092.28</v>
          </cell>
          <cell r="F825">
            <v>517964.81</v>
          </cell>
          <cell r="G825">
            <v>144717.71238899999</v>
          </cell>
          <cell r="H825">
            <v>142821.84716199999</v>
          </cell>
          <cell r="I825">
            <v>141312.04564299999</v>
          </cell>
          <cell r="J825">
            <v>173209.390625</v>
          </cell>
          <cell r="K825">
            <v>602060.99581899995</v>
          </cell>
          <cell r="L825">
            <v>103886.8</v>
          </cell>
          <cell r="M825">
            <v>600241.77469700004</v>
          </cell>
          <cell r="N825">
            <v>1008025.373819</v>
          </cell>
          <cell r="O825">
            <v>1389217.451197</v>
          </cell>
        </row>
        <row r="826">
          <cell r="A826" t="str">
            <v>BrazilTEMP SERVICES</v>
          </cell>
          <cell r="B826">
            <v>0</v>
          </cell>
          <cell r="C826">
            <v>0</v>
          </cell>
          <cell r="D826">
            <v>0</v>
          </cell>
          <cell r="E826">
            <v>903251.96</v>
          </cell>
          <cell r="F826">
            <v>903251.96</v>
          </cell>
          <cell r="G826">
            <v>2134196.4247790002</v>
          </cell>
          <cell r="H826">
            <v>1944424.371179</v>
          </cell>
          <cell r="I826">
            <v>1841783.112033</v>
          </cell>
          <cell r="J826">
            <v>2228686.171875</v>
          </cell>
          <cell r="K826">
            <v>8149090.0798660005</v>
          </cell>
          <cell r="L826">
            <v>1995637.41</v>
          </cell>
          <cell r="M826">
            <v>0</v>
          </cell>
          <cell r="N826">
            <v>0</v>
          </cell>
          <cell r="O826">
            <v>0</v>
          </cell>
        </row>
        <row r="827">
          <cell r="A827" t="str">
            <v>BrazilGDC CHARGES</v>
          </cell>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row>
        <row r="828">
          <cell r="A828" t="str">
            <v>BrazilTRAINING AND EDUCATION</v>
          </cell>
          <cell r="B828">
            <v>34410.160000000003</v>
          </cell>
          <cell r="C828">
            <v>21401.33</v>
          </cell>
          <cell r="D828">
            <v>8997.7999999999993</v>
          </cell>
          <cell r="E828">
            <v>9805.39</v>
          </cell>
          <cell r="F828">
            <v>74614.679999999993</v>
          </cell>
          <cell r="G828">
            <v>29115.048673000001</v>
          </cell>
          <cell r="H828">
            <v>30218.344978000001</v>
          </cell>
          <cell r="I828">
            <v>28132.784232000002</v>
          </cell>
          <cell r="J828">
            <v>39648.425780999998</v>
          </cell>
          <cell r="K828">
            <v>127114.60366399999</v>
          </cell>
          <cell r="L828">
            <v>34414.94</v>
          </cell>
          <cell r="M828">
            <v>233572.396305</v>
          </cell>
          <cell r="N828">
            <v>392253.441903</v>
          </cell>
          <cell r="O828">
            <v>540586.91471200006</v>
          </cell>
        </row>
        <row r="829">
          <cell r="A829" t="str">
            <v>BrazilOUTSIDE SERVICES  AND FEES</v>
          </cell>
          <cell r="B829">
            <v>3476.97</v>
          </cell>
          <cell r="C829">
            <v>4241.3599999999997</v>
          </cell>
          <cell r="D829">
            <v>13600.85</v>
          </cell>
          <cell r="E829">
            <v>154850.66</v>
          </cell>
          <cell r="F829">
            <v>176169.84</v>
          </cell>
          <cell r="G829">
            <v>86756.305309999996</v>
          </cell>
          <cell r="H829">
            <v>80379.585153000007</v>
          </cell>
          <cell r="I829">
            <v>78327.489627000003</v>
          </cell>
          <cell r="J829">
            <v>97191.015625</v>
          </cell>
          <cell r="K829">
            <v>342654.39571399998</v>
          </cell>
          <cell r="L829">
            <v>188630.46</v>
          </cell>
          <cell r="M829">
            <v>23601.327023999998</v>
          </cell>
          <cell r="N829">
            <v>39635.256157000003</v>
          </cell>
          <cell r="O829">
            <v>54623.614608999997</v>
          </cell>
        </row>
        <row r="830">
          <cell r="A830" t="str">
            <v>BrazilSTATE, FOREIGN, LOCAL TAXES</v>
          </cell>
          <cell r="B830">
            <v>250945.5</v>
          </cell>
          <cell r="C830">
            <v>341340.47</v>
          </cell>
          <cell r="D830">
            <v>398039.63</v>
          </cell>
          <cell r="E830">
            <v>460997.58</v>
          </cell>
          <cell r="F830">
            <v>1451323.18</v>
          </cell>
          <cell r="G830">
            <v>487114.41798000003</v>
          </cell>
          <cell r="H830">
            <v>842217.31981300004</v>
          </cell>
          <cell r="I830">
            <v>1161169.832131</v>
          </cell>
          <cell r="J830">
            <v>1851408.486547</v>
          </cell>
          <cell r="K830">
            <v>4341910.0564719997</v>
          </cell>
          <cell r="L830">
            <v>567682.52</v>
          </cell>
          <cell r="M830">
            <v>1607352.890532</v>
          </cell>
          <cell r="N830">
            <v>2699333.1131529999</v>
          </cell>
          <cell r="O830">
            <v>3720105.4306569998</v>
          </cell>
        </row>
        <row r="831">
          <cell r="A831" t="str">
            <v>BrazilS/L TAX - INSURANCE PREMIUMS</v>
          </cell>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row>
        <row r="832">
          <cell r="A832" t="str">
            <v>BrazilSATELLITE LEASE EXPENSE</v>
          </cell>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row>
        <row r="833">
          <cell r="A833" t="str">
            <v>BrazilBUSINESS SHARE EXPENSE</v>
          </cell>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row>
        <row r="834">
          <cell r="A834" t="str">
            <v>BrazilINSURANCE AFFILIATE EXPENSE</v>
          </cell>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row>
        <row r="835">
          <cell r="A835" t="str">
            <v>BrazilOTHER FACILITY EXPENSE</v>
          </cell>
          <cell r="B835">
            <v>35988.519999999997</v>
          </cell>
          <cell r="C835">
            <v>36252.519999999997</v>
          </cell>
          <cell r="D835">
            <v>55152.41</v>
          </cell>
          <cell r="E835">
            <v>42924.75</v>
          </cell>
          <cell r="F835">
            <v>170318.2</v>
          </cell>
          <cell r="G835">
            <v>71125.243363000001</v>
          </cell>
          <cell r="H835">
            <v>73648.100437000001</v>
          </cell>
          <cell r="I835">
            <v>75426.701245000004</v>
          </cell>
          <cell r="J835">
            <v>95704.21875</v>
          </cell>
          <cell r="K835">
            <v>315904.26379400003</v>
          </cell>
          <cell r="L835">
            <v>54544.800000000003</v>
          </cell>
          <cell r="M835">
            <v>138438.41130400001</v>
          </cell>
          <cell r="N835">
            <v>232488.70236600001</v>
          </cell>
          <cell r="O835">
            <v>320405.98473199998</v>
          </cell>
        </row>
        <row r="836">
          <cell r="A836" t="str">
            <v>BrazilGROSS OP &amp; ADMIN BUS SHARE</v>
          </cell>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row>
        <row r="837">
          <cell r="A837" t="str">
            <v>BrazilOTHER EXPENSE</v>
          </cell>
          <cell r="B837">
            <v>862368.83</v>
          </cell>
          <cell r="C837">
            <v>1112125.02</v>
          </cell>
          <cell r="D837">
            <v>1550384</v>
          </cell>
          <cell r="E837">
            <v>618760.09</v>
          </cell>
          <cell r="F837">
            <v>4143637.94</v>
          </cell>
          <cell r="G837">
            <v>-2015379.144995</v>
          </cell>
          <cell r="H837">
            <v>-1997267.654013</v>
          </cell>
          <cell r="I837">
            <v>499506.74369799998</v>
          </cell>
          <cell r="J837">
            <v>721873.99912000005</v>
          </cell>
          <cell r="K837">
            <v>-2791266.0561899999</v>
          </cell>
          <cell r="L837">
            <v>382668.69</v>
          </cell>
          <cell r="M837">
            <v>5853658.8216709998</v>
          </cell>
          <cell r="N837">
            <v>9830433.1198880002</v>
          </cell>
          <cell r="O837">
            <v>13547882.422076</v>
          </cell>
        </row>
        <row r="838">
          <cell r="A838" t="str">
            <v>BrazilGECC INTERCO EXPENSES EXCL GECIS</v>
          </cell>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row>
        <row r="839">
          <cell r="A839" t="str">
            <v>BrazilGECIS INTERCO CHARGES</v>
          </cell>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row>
        <row r="840">
          <cell r="A840" t="str">
            <v>BrazilLOSS ADJUSTED EXPENSE</v>
          </cell>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row>
        <row r="841">
          <cell r="A841" t="str">
            <v>BrazilALL OTHER EXPENSES</v>
          </cell>
          <cell r="B841">
            <v>0</v>
          </cell>
          <cell r="C841">
            <v>0</v>
          </cell>
          <cell r="D841">
            <v>0.02</v>
          </cell>
          <cell r="E841">
            <v>-0.04</v>
          </cell>
          <cell r="F841">
            <v>-0.02</v>
          </cell>
          <cell r="G841">
            <v>0</v>
          </cell>
          <cell r="H841">
            <v>0</v>
          </cell>
          <cell r="I841">
            <v>0</v>
          </cell>
          <cell r="J841">
            <v>0</v>
          </cell>
          <cell r="K841">
            <v>0</v>
          </cell>
          <cell r="L841">
            <v>-0.01</v>
          </cell>
          <cell r="M841">
            <v>0</v>
          </cell>
          <cell r="N841">
            <v>0</v>
          </cell>
          <cell r="O841">
            <v>0</v>
          </cell>
        </row>
        <row r="842">
          <cell r="A842" t="str">
            <v>BrazilASSESSMENTS</v>
          </cell>
          <cell r="B842">
            <v>-189107.41</v>
          </cell>
          <cell r="C842">
            <v>279267.11</v>
          </cell>
          <cell r="D842">
            <v>58861.56</v>
          </cell>
          <cell r="E842">
            <v>-82826.16</v>
          </cell>
          <cell r="F842">
            <v>66195.100000000006</v>
          </cell>
          <cell r="G842">
            <v>292000</v>
          </cell>
          <cell r="H842">
            <v>186364.19214</v>
          </cell>
          <cell r="I842">
            <v>177084.64730300001</v>
          </cell>
          <cell r="J842">
            <v>222278.125</v>
          </cell>
          <cell r="K842">
            <v>877726.96444300003</v>
          </cell>
          <cell r="L842">
            <v>95336.88</v>
          </cell>
          <cell r="M842">
            <v>458949.37657800002</v>
          </cell>
          <cell r="N842">
            <v>770743.78423999995</v>
          </cell>
          <cell r="O842">
            <v>1062206.114327</v>
          </cell>
        </row>
        <row r="843">
          <cell r="A843" t="str">
            <v>BrazilFAS 91</v>
          </cell>
          <cell r="B843">
            <v>-407458.94</v>
          </cell>
          <cell r="C843">
            <v>-605455.18000000005</v>
          </cell>
          <cell r="D843">
            <v>-886376.95999999996</v>
          </cell>
          <cell r="E843">
            <v>-632414.68999999994</v>
          </cell>
          <cell r="F843">
            <v>-2531705.77</v>
          </cell>
          <cell r="G843">
            <v>-1373968.6365169999</v>
          </cell>
          <cell r="H843">
            <v>-1408114.962021</v>
          </cell>
          <cell r="I843">
            <v>-1253840.741713</v>
          </cell>
          <cell r="J843">
            <v>-1434241.1551709999</v>
          </cell>
          <cell r="K843">
            <v>-5470165.4954209998</v>
          </cell>
          <cell r="L843">
            <v>-1175028.6599999999</v>
          </cell>
          <cell r="M843">
            <v>6123287</v>
          </cell>
          <cell r="N843">
            <v>10003435</v>
          </cell>
          <cell r="O843">
            <v>12380315</v>
          </cell>
        </row>
        <row r="844">
          <cell r="A844" t="str">
            <v>BrazilGOODWILL AMORTIZATION</v>
          </cell>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row>
        <row r="845">
          <cell r="A845" t="str">
            <v>BrazilDEPRECIATION EXPENSE</v>
          </cell>
          <cell r="B845">
            <v>107362.76</v>
          </cell>
          <cell r="C845">
            <v>89248.4</v>
          </cell>
          <cell r="D845">
            <v>170127.24</v>
          </cell>
          <cell r="E845">
            <v>136597.74</v>
          </cell>
          <cell r="F845">
            <v>503336.14</v>
          </cell>
          <cell r="G845">
            <v>292707.969896</v>
          </cell>
          <cell r="H845">
            <v>339534.83637500001</v>
          </cell>
          <cell r="I845">
            <v>396492.45130000002</v>
          </cell>
          <cell r="J845">
            <v>537385.27550300001</v>
          </cell>
          <cell r="K845">
            <v>1566120.5330739999</v>
          </cell>
          <cell r="L845">
            <v>225486.68</v>
          </cell>
          <cell r="M845">
            <v>900101.25</v>
          </cell>
          <cell r="N845">
            <v>1017197.625</v>
          </cell>
          <cell r="O845">
            <v>1066913.8125</v>
          </cell>
        </row>
        <row r="846">
          <cell r="A846" t="str">
            <v>BrazilELTO AMORTIZATION</v>
          </cell>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row>
        <row r="847">
          <cell r="A847" t="str">
            <v>BrazilINSURANCE LOSSES AND BENEFITS</v>
          </cell>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row>
        <row r="848">
          <cell r="A848" t="str">
            <v>BrazilWRITE OFFS</v>
          </cell>
          <cell r="B848">
            <v>1328369.1499999999</v>
          </cell>
          <cell r="C848">
            <v>2077006.62</v>
          </cell>
          <cell r="D848">
            <v>3347299.71</v>
          </cell>
          <cell r="E848">
            <v>5003490</v>
          </cell>
          <cell r="F848">
            <v>11756165.48</v>
          </cell>
          <cell r="G848">
            <v>9526526.6883680001</v>
          </cell>
          <cell r="H848">
            <v>8243286.6785190003</v>
          </cell>
          <cell r="I848">
            <v>12001002.787334001</v>
          </cell>
          <cell r="J848">
            <v>12223252.459729999</v>
          </cell>
          <cell r="K848">
            <v>41994068.613950998</v>
          </cell>
          <cell r="L848">
            <v>10711390.17</v>
          </cell>
          <cell r="M848">
            <v>31876574.989732999</v>
          </cell>
          <cell r="N848">
            <v>54231978.010159999</v>
          </cell>
          <cell r="O848">
            <v>76810773.093334004</v>
          </cell>
        </row>
        <row r="849">
          <cell r="A849" t="str">
            <v>BrazilRESERVE CHANGE</v>
          </cell>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row>
        <row r="850">
          <cell r="A850" t="str">
            <v>BrazilMINORITY INTEREST</v>
          </cell>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row>
        <row r="851">
          <cell r="A851" t="str">
            <v>BrazilINCOME TAXES</v>
          </cell>
          <cell r="B851">
            <v>-9469.7900000000009</v>
          </cell>
          <cell r="C851">
            <v>-19801.580000000002</v>
          </cell>
          <cell r="D851">
            <v>106232.12</v>
          </cell>
          <cell r="E851">
            <v>137678.79</v>
          </cell>
          <cell r="F851">
            <v>214639.54</v>
          </cell>
          <cell r="G851">
            <v>371938.70236900001</v>
          </cell>
          <cell r="H851">
            <v>494759.79431600001</v>
          </cell>
          <cell r="I851">
            <v>642357.199915</v>
          </cell>
          <cell r="J851">
            <v>1002119.114181</v>
          </cell>
          <cell r="K851">
            <v>2511174.8107799999</v>
          </cell>
          <cell r="L851">
            <v>-4866.7</v>
          </cell>
          <cell r="M851">
            <v>956523.19687300001</v>
          </cell>
          <cell r="N851">
            <v>2997774.3859890001</v>
          </cell>
          <cell r="O851">
            <v>56052.012045000003</v>
          </cell>
        </row>
        <row r="852">
          <cell r="A852" t="str">
            <v>BrazilCUMULATIVE TRANSITION ADJUSTMENT</v>
          </cell>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row>
        <row r="853">
          <cell r="A853" t="str">
            <v>BrazilASIA PACIFIC NI DIVIDEND</v>
          </cell>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row>
        <row r="854">
          <cell r="A854" t="str">
            <v>BrazilNet Income</v>
          </cell>
          <cell r="B854">
            <v>2925522.35</v>
          </cell>
          <cell r="C854">
            <v>2458693.66</v>
          </cell>
          <cell r="D854">
            <v>2882404.88</v>
          </cell>
          <cell r="E854">
            <v>3858911.07</v>
          </cell>
          <cell r="F854">
            <v>12125531.960000001</v>
          </cell>
          <cell r="G854">
            <v>5525062.7897720002</v>
          </cell>
          <cell r="H854">
            <v>-9541.8245399999996</v>
          </cell>
          <cell r="I854">
            <v>718269.70779100002</v>
          </cell>
          <cell r="J854">
            <v>-3334635.3054650002</v>
          </cell>
          <cell r="K854">
            <v>2899155.3675580001</v>
          </cell>
          <cell r="L854">
            <v>9143992.9299999997</v>
          </cell>
          <cell r="M854">
            <v>-3255876.6517460002</v>
          </cell>
          <cell r="N854">
            <v>-8982592.7346449997</v>
          </cell>
          <cell r="O854">
            <v>-12966525.165227</v>
          </cell>
        </row>
        <row r="855">
          <cell r="A855" t="str">
            <v>BrazilSubPart F</v>
          </cell>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row>
        <row r="856">
          <cell r="A856" t="str">
            <v>BrazilAssets</v>
          </cell>
          <cell r="B856">
            <v>30733293.510000002</v>
          </cell>
          <cell r="C856">
            <v>42329023.890000001</v>
          </cell>
          <cell r="D856">
            <v>63775678.770000003</v>
          </cell>
          <cell r="E856">
            <v>117110258.17</v>
          </cell>
          <cell r="F856">
            <v>117110258.17</v>
          </cell>
          <cell r="G856">
            <v>140261665.66665101</v>
          </cell>
          <cell r="H856">
            <v>182005350.89309201</v>
          </cell>
          <cell r="I856">
            <v>211689063.46810201</v>
          </cell>
          <cell r="J856">
            <v>218330437.12055999</v>
          </cell>
          <cell r="K856">
            <v>218330437.12055999</v>
          </cell>
          <cell r="L856">
            <v>130924785.03</v>
          </cell>
          <cell r="M856">
            <v>210954587.27587</v>
          </cell>
          <cell r="N856">
            <v>312348382.49019498</v>
          </cell>
          <cell r="O856">
            <v>386393181.74806201</v>
          </cell>
        </row>
        <row r="857">
          <cell r="A857" t="str">
            <v>BrazilEnding Net Investment (ENI) incl Asia</v>
          </cell>
          <cell r="B857">
            <v>18948839.649999999</v>
          </cell>
          <cell r="C857">
            <v>33174130.109999999</v>
          </cell>
          <cell r="D857">
            <v>54218877.979999997</v>
          </cell>
          <cell r="E857">
            <v>101690415.87</v>
          </cell>
          <cell r="F857">
            <v>101690415.87</v>
          </cell>
          <cell r="G857">
            <v>126359555.806288</v>
          </cell>
          <cell r="H857">
            <v>163893187.992295</v>
          </cell>
          <cell r="I857">
            <v>188841274.004318</v>
          </cell>
          <cell r="J857">
            <v>190619542.52094999</v>
          </cell>
          <cell r="K857">
            <v>190619542.52094999</v>
          </cell>
          <cell r="L857">
            <v>112660284.2</v>
          </cell>
          <cell r="M857">
            <v>194690618.387595</v>
          </cell>
          <cell r="N857">
            <v>288415464.74563199</v>
          </cell>
          <cell r="O857">
            <v>361220800.62993503</v>
          </cell>
        </row>
        <row r="858">
          <cell r="A858" t="str">
            <v>BrazilANR YTD</v>
          </cell>
          <cell r="B858">
            <v>25408627.260000002</v>
          </cell>
          <cell r="C858">
            <v>31278328.913332999</v>
          </cell>
          <cell r="D858">
            <v>39549262.350000001</v>
          </cell>
          <cell r="E858">
            <v>52674731.667999998</v>
          </cell>
          <cell r="F858">
            <v>52674731.667999998</v>
          </cell>
          <cell r="G858">
            <v>124932183.832601</v>
          </cell>
          <cell r="H858">
            <v>146528507.99272999</v>
          </cell>
          <cell r="I858">
            <v>165343116.57328099</v>
          </cell>
          <cell r="J858">
            <v>177822746.06338701</v>
          </cell>
          <cell r="K858">
            <v>177822746.06338701</v>
          </cell>
          <cell r="L858">
            <v>118503916.48999999</v>
          </cell>
          <cell r="M858">
            <v>62328027.174039997</v>
          </cell>
          <cell r="N858">
            <v>112576532.552872</v>
          </cell>
          <cell r="O858">
            <v>152633859.94013199</v>
          </cell>
        </row>
        <row r="859">
          <cell r="A859" t="str">
            <v>BrazilASA YTD</v>
          </cell>
          <cell r="B859">
            <v>25408627.260000002</v>
          </cell>
          <cell r="C859">
            <v>31278328.913332999</v>
          </cell>
          <cell r="D859">
            <v>39549262.350000001</v>
          </cell>
          <cell r="E859">
            <v>52674731.667999998</v>
          </cell>
          <cell r="F859">
            <v>52674731.667999998</v>
          </cell>
          <cell r="G859">
            <v>124932183.832601</v>
          </cell>
          <cell r="H859">
            <v>146528507.99272999</v>
          </cell>
          <cell r="I859">
            <v>165343116.57328099</v>
          </cell>
          <cell r="J859">
            <v>177822746.06338701</v>
          </cell>
          <cell r="K859">
            <v>177822746.06338701</v>
          </cell>
          <cell r="L859">
            <v>118503916.48999999</v>
          </cell>
          <cell r="M859">
            <v>62328027.174039997</v>
          </cell>
          <cell r="N859">
            <v>112576532.552872</v>
          </cell>
          <cell r="O859">
            <v>152633859.94013199</v>
          </cell>
        </row>
        <row r="860">
          <cell r="A860" t="str">
            <v>BrazilANI YTD incl Asia - 5 pt</v>
          </cell>
          <cell r="B860">
            <v>15579711.189999999</v>
          </cell>
          <cell r="C860">
            <v>21444517.496667001</v>
          </cell>
          <cell r="D860">
            <v>29638107.6175</v>
          </cell>
          <cell r="E860">
            <v>44048569.267999999</v>
          </cell>
          <cell r="F860">
            <v>44048569.267999999</v>
          </cell>
          <cell r="G860">
            <v>114024985.838144</v>
          </cell>
          <cell r="H860">
            <v>130647719.88952801</v>
          </cell>
          <cell r="I860">
            <v>145196108.418226</v>
          </cell>
          <cell r="J860">
            <v>154280795.23877001</v>
          </cell>
          <cell r="K860">
            <v>154280795.23877001</v>
          </cell>
          <cell r="L860">
            <v>107175350.035</v>
          </cell>
          <cell r="M860">
            <v>54265730.463285998</v>
          </cell>
          <cell r="N860">
            <v>96621216.626644999</v>
          </cell>
          <cell r="O860">
            <v>129927253.075113</v>
          </cell>
        </row>
        <row r="861">
          <cell r="A861" t="str">
            <v>BrazilOff Balance Sheet Assets</v>
          </cell>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row>
        <row r="862">
          <cell r="A862" t="str">
            <v>BrazilJV Receivables</v>
          </cell>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row>
        <row r="863">
          <cell r="A863" t="str">
            <v>Brazil30+ DELINQUENCY $</v>
          </cell>
          <cell r="B863">
            <v>2666423.1</v>
          </cell>
          <cell r="C863">
            <v>5739348.0199999996</v>
          </cell>
          <cell r="D863">
            <v>9007330.0399999991</v>
          </cell>
          <cell r="E863">
            <v>12021816.25</v>
          </cell>
          <cell r="F863">
            <v>12021816.25</v>
          </cell>
          <cell r="G863">
            <v>15091213.015924999</v>
          </cell>
          <cell r="H863">
            <v>17449969.378671002</v>
          </cell>
          <cell r="I863">
            <v>21228658.272856999</v>
          </cell>
          <cell r="J863">
            <v>25548128.250895001</v>
          </cell>
          <cell r="K863">
            <v>25548128.250895001</v>
          </cell>
          <cell r="L863">
            <v>15519051.289999999</v>
          </cell>
          <cell r="M863">
            <v>34067522.465047002</v>
          </cell>
          <cell r="N863">
            <v>51490642.168512002</v>
          </cell>
          <cell r="O863">
            <v>64511091.343414001</v>
          </cell>
        </row>
        <row r="864">
          <cell r="A864" t="str">
            <v>Brazil90+ DELINQUENCY $</v>
          </cell>
          <cell r="B864">
            <v>992157.4</v>
          </cell>
          <cell r="C864">
            <v>2071917.45</v>
          </cell>
          <cell r="D864">
            <v>4184676.5</v>
          </cell>
          <cell r="E864">
            <v>6590056.7800000003</v>
          </cell>
          <cell r="F864">
            <v>6590056.7800000003</v>
          </cell>
          <cell r="G864">
            <v>7800060.8671220001</v>
          </cell>
          <cell r="H864">
            <v>8475022.4777010009</v>
          </cell>
          <cell r="I864">
            <v>10082536.433639999</v>
          </cell>
          <cell r="J864">
            <v>12720312.553942</v>
          </cell>
          <cell r="K864">
            <v>12720312.553942</v>
          </cell>
          <cell r="L864">
            <v>7555787.1600000001</v>
          </cell>
          <cell r="M864">
            <v>21740458.390776999</v>
          </cell>
          <cell r="N864">
            <v>33536667.368832</v>
          </cell>
          <cell r="O864">
            <v>42441507.481036</v>
          </cell>
        </row>
        <row r="865">
          <cell r="A865" t="str">
            <v>BrazilTemporary Staff</v>
          </cell>
          <cell r="B865">
            <v>0</v>
          </cell>
          <cell r="C865">
            <v>521</v>
          </cell>
          <cell r="D865">
            <v>746</v>
          </cell>
          <cell r="E865">
            <v>1354</v>
          </cell>
          <cell r="F865">
            <v>1354</v>
          </cell>
          <cell r="G865">
            <v>1413.878044</v>
          </cell>
          <cell r="H865">
            <v>1556.921722</v>
          </cell>
          <cell r="I865">
            <v>1483.7009310000001</v>
          </cell>
          <cell r="J865">
            <v>1507.0128850000001</v>
          </cell>
          <cell r="K865">
            <v>1507.0128850000001</v>
          </cell>
          <cell r="L865">
            <v>1292</v>
          </cell>
          <cell r="M865">
            <v>1007.7125</v>
          </cell>
          <cell r="N865">
            <v>1471.1125</v>
          </cell>
          <cell r="O865">
            <v>2264.35</v>
          </cell>
        </row>
        <row r="866">
          <cell r="A866" t="str">
            <v>BrazilContractors</v>
          </cell>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row>
        <row r="867">
          <cell r="A867" t="str">
            <v>BrazilOutsourced to LCC</v>
          </cell>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row>
        <row r="868">
          <cell r="A868" t="str">
            <v>BrazilTotal Headcount</v>
          </cell>
          <cell r="B868">
            <v>82.5</v>
          </cell>
          <cell r="C868">
            <v>91</v>
          </cell>
          <cell r="D868">
            <v>110</v>
          </cell>
          <cell r="E868">
            <v>123</v>
          </cell>
          <cell r="F868">
            <v>123</v>
          </cell>
          <cell r="G868">
            <v>131</v>
          </cell>
          <cell r="H868">
            <v>131</v>
          </cell>
          <cell r="I868">
            <v>131</v>
          </cell>
          <cell r="J868">
            <v>131</v>
          </cell>
          <cell r="K868">
            <v>131</v>
          </cell>
          <cell r="L868">
            <v>108</v>
          </cell>
          <cell r="M868">
            <v>140</v>
          </cell>
          <cell r="N868">
            <v>151.5</v>
          </cell>
          <cell r="O868">
            <v>163</v>
          </cell>
        </row>
        <row r="869">
          <cell r="A869" t="str">
            <v>BrazilTotal Workforce</v>
          </cell>
          <cell r="B869">
            <v>82.5</v>
          </cell>
          <cell r="C869">
            <v>612</v>
          </cell>
          <cell r="D869">
            <v>856</v>
          </cell>
          <cell r="E869">
            <v>1477</v>
          </cell>
          <cell r="F869">
            <v>1477</v>
          </cell>
          <cell r="G869">
            <v>1544.878044</v>
          </cell>
          <cell r="H869">
            <v>1687.921722</v>
          </cell>
          <cell r="I869">
            <v>1614.7009310000001</v>
          </cell>
          <cell r="J869">
            <v>1638.0128850000001</v>
          </cell>
          <cell r="K869">
            <v>1638.0128850000001</v>
          </cell>
          <cell r="L869">
            <v>1400</v>
          </cell>
          <cell r="M869">
            <v>1147.7125000000001</v>
          </cell>
          <cell r="N869">
            <v>1622.6125</v>
          </cell>
          <cell r="O869">
            <v>2427.35</v>
          </cell>
        </row>
        <row r="870">
          <cell r="A870" t="str">
            <v>BrazilTotal Earned Revenue</v>
          </cell>
          <cell r="B870">
            <v>-2592103.5099999998</v>
          </cell>
          <cell r="C870">
            <v>-4311025.1399999997</v>
          </cell>
          <cell r="D870">
            <v>-7124551.46</v>
          </cell>
          <cell r="E870">
            <v>-8646573.1099999994</v>
          </cell>
          <cell r="F870">
            <v>-22674253.219999999</v>
          </cell>
          <cell r="G870">
            <v>-13785441.933267999</v>
          </cell>
          <cell r="H870">
            <v>-18909155.661979001</v>
          </cell>
          <cell r="I870">
            <v>-25920826.269324001</v>
          </cell>
          <cell r="J870">
            <v>-36500783.828198999</v>
          </cell>
          <cell r="K870">
            <v>-95116207.692770004</v>
          </cell>
          <cell r="L870">
            <v>-12932727.210000001</v>
          </cell>
          <cell r="M870">
            <v>-102708598.584299</v>
          </cell>
          <cell r="N870">
            <v>-167354226.10082</v>
          </cell>
          <cell r="O870">
            <v>-218993480.25617301</v>
          </cell>
        </row>
        <row r="871">
          <cell r="A871" t="str">
            <v>BrazilOrdinary Gains - PreTax</v>
          </cell>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row>
        <row r="872">
          <cell r="A872" t="str">
            <v>BrazilOrdinary Gains - AfterTax</v>
          </cell>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row>
        <row r="873">
          <cell r="A873" t="str">
            <v>BrazilTotal Volume</v>
          </cell>
          <cell r="B873">
            <v>37890405.5</v>
          </cell>
          <cell r="C873">
            <v>41485057.770000003</v>
          </cell>
          <cell r="D873">
            <v>51561108.369999997</v>
          </cell>
          <cell r="E873">
            <v>61659354.289999999</v>
          </cell>
          <cell r="F873">
            <v>192595925.93000001</v>
          </cell>
          <cell r="G873">
            <v>101637506.085309</v>
          </cell>
          <cell r="H873">
            <v>128435258.460071</v>
          </cell>
          <cell r="I873">
            <v>138944286.09915599</v>
          </cell>
          <cell r="J873">
            <v>172893150.65309101</v>
          </cell>
          <cell r="K873">
            <v>541910201.29762602</v>
          </cell>
          <cell r="L873">
            <v>90961705.760000005</v>
          </cell>
          <cell r="M873">
            <v>485202348.11320698</v>
          </cell>
          <cell r="N873">
            <v>589851031.50587404</v>
          </cell>
          <cell r="O873">
            <v>726928737.31335199</v>
          </cell>
        </row>
        <row r="874">
          <cell r="A874" t="str">
            <v>BrazilTOTAL # ACTIVE ACCOUNTS</v>
          </cell>
          <cell r="B874">
            <v>148124</v>
          </cell>
          <cell r="C874">
            <v>248403</v>
          </cell>
          <cell r="D874">
            <v>369049.96</v>
          </cell>
          <cell r="E874">
            <v>537081.62</v>
          </cell>
          <cell r="F874">
            <v>537081.62</v>
          </cell>
          <cell r="G874">
            <v>681201.54816899996</v>
          </cell>
          <cell r="H874">
            <v>901917.01079800003</v>
          </cell>
          <cell r="I874">
            <v>1194519.0276909999</v>
          </cell>
          <cell r="J874">
            <v>1547958.4760070001</v>
          </cell>
          <cell r="K874">
            <v>1547958.4760070001</v>
          </cell>
          <cell r="L874">
            <v>0</v>
          </cell>
          <cell r="M874">
            <v>1321124.9128419999</v>
          </cell>
          <cell r="N874">
            <v>1370006.3815639999</v>
          </cell>
          <cell r="O874">
            <v>1505954.25122</v>
          </cell>
        </row>
        <row r="875">
          <cell r="A875" t="str">
            <v>Budapest BankTOTAL FINANCING RECEIVABLES</v>
          </cell>
          <cell r="B875">
            <v>616100356.63</v>
          </cell>
          <cell r="C875">
            <v>599124439.47000003</v>
          </cell>
          <cell r="D875">
            <v>621271931.01999998</v>
          </cell>
          <cell r="E875">
            <v>600760906.15999997</v>
          </cell>
          <cell r="F875">
            <v>600760906.15999997</v>
          </cell>
          <cell r="G875">
            <v>629083013.06300998</v>
          </cell>
          <cell r="H875">
            <v>662832776.61360896</v>
          </cell>
          <cell r="I875">
            <v>695547936.92197096</v>
          </cell>
          <cell r="J875">
            <v>726719604.67698205</v>
          </cell>
          <cell r="K875">
            <v>726719604.67698205</v>
          </cell>
          <cell r="L875">
            <v>607297239.39999998</v>
          </cell>
          <cell r="M875">
            <v>1039618166.799</v>
          </cell>
          <cell r="N875">
            <v>1287209528.5597601</v>
          </cell>
          <cell r="O875">
            <v>1622239298.0911701</v>
          </cell>
        </row>
        <row r="876">
          <cell r="A876" t="str">
            <v>Budapest BankRECEIVABLE RESERVES</v>
          </cell>
          <cell r="B876">
            <v>-24513715.390000001</v>
          </cell>
          <cell r="C876">
            <v>-23884366.469999999</v>
          </cell>
          <cell r="D876">
            <v>-24350842.100000001</v>
          </cell>
          <cell r="E876">
            <v>-23519373.460000001</v>
          </cell>
          <cell r="F876">
            <v>-23519373.460000001</v>
          </cell>
          <cell r="G876">
            <v>-25234547.881265</v>
          </cell>
          <cell r="H876">
            <v>-25574754.851186</v>
          </cell>
          <cell r="I876">
            <v>-26054969.959341001</v>
          </cell>
          <cell r="J876">
            <v>-26516869.236963</v>
          </cell>
          <cell r="K876">
            <v>-26516869.236963</v>
          </cell>
          <cell r="L876">
            <v>-21952072.829999998</v>
          </cell>
          <cell r="M876">
            <v>-27963469.572795998</v>
          </cell>
          <cell r="N876">
            <v>-31907364.727662999</v>
          </cell>
          <cell r="O876">
            <v>-39412756.868410997</v>
          </cell>
        </row>
        <row r="877">
          <cell r="A877" t="str">
            <v>Budapest BankCASH</v>
          </cell>
          <cell r="B877">
            <v>234409659</v>
          </cell>
          <cell r="C877">
            <v>239335822.69999999</v>
          </cell>
          <cell r="D877">
            <v>252243770.75999999</v>
          </cell>
          <cell r="E877">
            <v>276903490.01999998</v>
          </cell>
          <cell r="F877">
            <v>276903490.01999998</v>
          </cell>
          <cell r="G877">
            <v>205600592.68279901</v>
          </cell>
          <cell r="H877">
            <v>194373838.58791</v>
          </cell>
          <cell r="I877">
            <v>180569118.35089999</v>
          </cell>
          <cell r="J877">
            <v>168685791.749935</v>
          </cell>
          <cell r="K877">
            <v>168685791.749935</v>
          </cell>
          <cell r="L877">
            <v>226369171.53</v>
          </cell>
          <cell r="M877">
            <v>122736644.93302999</v>
          </cell>
          <cell r="N877">
            <v>116090649.121457</v>
          </cell>
          <cell r="O877">
            <v>109813279.297232</v>
          </cell>
        </row>
        <row r="878">
          <cell r="A878" t="str">
            <v>Budapest BankINVESTMENT SECURITIES</v>
          </cell>
          <cell r="B878">
            <v>177920607.05000001</v>
          </cell>
          <cell r="C878">
            <v>166555278.00999999</v>
          </cell>
          <cell r="D878">
            <v>175378961.08000001</v>
          </cell>
          <cell r="E878">
            <v>156691507.78</v>
          </cell>
          <cell r="F878">
            <v>156691507.78</v>
          </cell>
          <cell r="G878">
            <v>151742869.30642101</v>
          </cell>
          <cell r="H878">
            <v>151742869.30642101</v>
          </cell>
          <cell r="I878">
            <v>151742869.30642101</v>
          </cell>
          <cell r="J878">
            <v>151742869.30642101</v>
          </cell>
          <cell r="K878">
            <v>151742869.30642101</v>
          </cell>
          <cell r="L878">
            <v>164919328.74000001</v>
          </cell>
          <cell r="M878">
            <v>133175666.835494</v>
          </cell>
          <cell r="N878">
            <v>134863943.442734</v>
          </cell>
          <cell r="O878">
            <v>136552220.04997301</v>
          </cell>
        </row>
        <row r="879">
          <cell r="A879" t="str">
            <v>Budapest BankINV IN NON CONSOL AFFILIATES</v>
          </cell>
          <cell r="B879">
            <v>1684480.93</v>
          </cell>
          <cell r="C879">
            <v>1702626.04</v>
          </cell>
          <cell r="D879">
            <v>1743995.95</v>
          </cell>
          <cell r="E879">
            <v>1887941.5</v>
          </cell>
          <cell r="F879">
            <v>1887941.5</v>
          </cell>
          <cell r="G879">
            <v>0</v>
          </cell>
          <cell r="H879">
            <v>0</v>
          </cell>
          <cell r="I879">
            <v>0</v>
          </cell>
          <cell r="J879">
            <v>0</v>
          </cell>
          <cell r="K879">
            <v>0</v>
          </cell>
          <cell r="L879">
            <v>1895901.5</v>
          </cell>
          <cell r="M879">
            <v>0</v>
          </cell>
          <cell r="N879">
            <v>0</v>
          </cell>
          <cell r="O879">
            <v>0</v>
          </cell>
        </row>
        <row r="880">
          <cell r="A880" t="str">
            <v>Budapest BankINVESTMENT IN JOINT VENTURE</v>
          </cell>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row>
        <row r="881">
          <cell r="A881" t="str">
            <v>Budapest BankALL OTHER RECEIVABLES (NON-FINANCING)</v>
          </cell>
          <cell r="B881">
            <v>-568458.18000000005</v>
          </cell>
          <cell r="C881">
            <v>2728136.48</v>
          </cell>
          <cell r="D881">
            <v>2302880.5499999998</v>
          </cell>
          <cell r="E881">
            <v>-1226481.3899999999</v>
          </cell>
          <cell r="F881">
            <v>-1226481.3899999999</v>
          </cell>
          <cell r="G881">
            <v>-1187746.621053</v>
          </cell>
          <cell r="H881">
            <v>-1187746.621053</v>
          </cell>
          <cell r="I881">
            <v>-1187746.621053</v>
          </cell>
          <cell r="J881">
            <v>-1187746.621053</v>
          </cell>
          <cell r="K881">
            <v>-1187746.621053</v>
          </cell>
          <cell r="L881">
            <v>-1166404.44</v>
          </cell>
          <cell r="M881">
            <v>0</v>
          </cell>
          <cell r="N881">
            <v>0</v>
          </cell>
          <cell r="O881">
            <v>0</v>
          </cell>
        </row>
        <row r="882">
          <cell r="A882" t="str">
            <v>Budapest BankELTO (NET)</v>
          </cell>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row>
        <row r="883">
          <cell r="A883" t="str">
            <v>Budapest BankGOODWILL</v>
          </cell>
          <cell r="B883">
            <v>0</v>
          </cell>
          <cell r="C883">
            <v>2622666.73</v>
          </cell>
          <cell r="D883">
            <v>4177650.76</v>
          </cell>
          <cell r="E883">
            <v>16444263.57</v>
          </cell>
          <cell r="F883">
            <v>16444263.57</v>
          </cell>
          <cell r="G883">
            <v>15530105.546448</v>
          </cell>
          <cell r="H883">
            <v>15145079.359113</v>
          </cell>
          <cell r="I883">
            <v>14769598.835488001</v>
          </cell>
          <cell r="J883">
            <v>14403427.317136001</v>
          </cell>
          <cell r="K883">
            <v>14403427.317136001</v>
          </cell>
          <cell r="L883">
            <v>16898950.57</v>
          </cell>
          <cell r="M883">
            <v>0</v>
          </cell>
          <cell r="N883">
            <v>0</v>
          </cell>
          <cell r="O883">
            <v>0</v>
          </cell>
        </row>
        <row r="884">
          <cell r="A884" t="str">
            <v>Budapest BankOTHER ASSETS</v>
          </cell>
          <cell r="B884">
            <v>75825592.680000007</v>
          </cell>
          <cell r="C884">
            <v>69115980.760000005</v>
          </cell>
          <cell r="D884">
            <v>82631754.670000002</v>
          </cell>
          <cell r="E884">
            <v>87125267.590000004</v>
          </cell>
          <cell r="F884">
            <v>87125267.590000004</v>
          </cell>
          <cell r="G884">
            <v>86209268.697788998</v>
          </cell>
          <cell r="H884">
            <v>86209268.697788998</v>
          </cell>
          <cell r="I884">
            <v>86209268.697788998</v>
          </cell>
          <cell r="J884">
            <v>86209268.697788998</v>
          </cell>
          <cell r="K884">
            <v>86209268.697788998</v>
          </cell>
          <cell r="L884">
            <v>86088436.959999993</v>
          </cell>
          <cell r="M884">
            <v>78777512.011485994</v>
          </cell>
          <cell r="N884">
            <v>77660723.933008999</v>
          </cell>
          <cell r="O884">
            <v>77660723.933008999</v>
          </cell>
        </row>
        <row r="885">
          <cell r="A885" t="str">
            <v>Budapest BankACCOUNTS PAYABLE</v>
          </cell>
          <cell r="B885">
            <v>-3292711.73</v>
          </cell>
          <cell r="C885">
            <v>-5918831.9699999997</v>
          </cell>
          <cell r="D885">
            <v>-2666728.94</v>
          </cell>
          <cell r="E885">
            <v>-4793377.93</v>
          </cell>
          <cell r="F885">
            <v>-4793377.93</v>
          </cell>
          <cell r="G885">
            <v>-4884640.7507020002</v>
          </cell>
          <cell r="H885">
            <v>-4884640.7507020002</v>
          </cell>
          <cell r="I885">
            <v>-4884640.7507020002</v>
          </cell>
          <cell r="J885">
            <v>-4884640.7507020002</v>
          </cell>
          <cell r="K885">
            <v>-4884640.7507020002</v>
          </cell>
          <cell r="L885">
            <v>-7837323.8200000003</v>
          </cell>
          <cell r="M885">
            <v>-3292711.73</v>
          </cell>
          <cell r="N885">
            <v>-3292711.73</v>
          </cell>
          <cell r="O885">
            <v>-3292711.73</v>
          </cell>
        </row>
        <row r="886">
          <cell r="A886" t="str">
            <v>Budapest BankDEFERRED INCOME TAXES</v>
          </cell>
          <cell r="B886">
            <v>-3913448.41</v>
          </cell>
          <cell r="C886">
            <v>-3309348.72</v>
          </cell>
          <cell r="D886">
            <v>-6524785.2300000004</v>
          </cell>
          <cell r="E886">
            <v>-3952742.62</v>
          </cell>
          <cell r="F886">
            <v>-3952742.62</v>
          </cell>
          <cell r="G886">
            <v>-2661909.2567369998</v>
          </cell>
          <cell r="H886">
            <v>-2661909.2567369998</v>
          </cell>
          <cell r="I886">
            <v>-2661909.2567369998</v>
          </cell>
          <cell r="J886">
            <v>-2661909.2567369998</v>
          </cell>
          <cell r="K886">
            <v>-2661909.2567369998</v>
          </cell>
          <cell r="L886">
            <v>-3750261.29</v>
          </cell>
          <cell r="M886">
            <v>-17637172.457141999</v>
          </cell>
          <cell r="N886">
            <v>-29197892.376453001</v>
          </cell>
          <cell r="O886">
            <v>-43300478.74639</v>
          </cell>
        </row>
        <row r="887">
          <cell r="A887" t="str">
            <v>Budapest BankWRITE-OFF (MEMO)</v>
          </cell>
          <cell r="B887">
            <v>1412324.48</v>
          </cell>
          <cell r="C887">
            <v>4241737.58</v>
          </cell>
          <cell r="D887">
            <v>8103334.0300000003</v>
          </cell>
          <cell r="E887">
            <v>10477180.17</v>
          </cell>
          <cell r="F887">
            <v>10477180.17</v>
          </cell>
          <cell r="G887">
            <v>2581631.1040170002</v>
          </cell>
          <cell r="H887">
            <v>5209415.6092189997</v>
          </cell>
          <cell r="I887">
            <v>7994801.2508749999</v>
          </cell>
          <cell r="J887">
            <v>10921969.780007999</v>
          </cell>
          <cell r="K887">
            <v>10921969.780007999</v>
          </cell>
          <cell r="L887">
            <v>3935570.8</v>
          </cell>
          <cell r="M887">
            <v>10497542.980373999</v>
          </cell>
          <cell r="N887">
            <v>12694232.644335</v>
          </cell>
          <cell r="O887">
            <v>16059463.501290999</v>
          </cell>
        </row>
        <row r="888">
          <cell r="A888" t="str">
            <v>Budapest BankINSURANCE RESERVES AND ANNUITY BENEFITS</v>
          </cell>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row>
        <row r="889">
          <cell r="A889" t="str">
            <v>Budapest BankALL OTHER NON DEBT LIABILITIES</v>
          </cell>
          <cell r="B889">
            <v>-62176403.890000001</v>
          </cell>
          <cell r="C889">
            <v>-58249676.310000002</v>
          </cell>
          <cell r="D889">
            <v>-55477941.530000001</v>
          </cell>
          <cell r="E889">
            <v>-45801521.600000001</v>
          </cell>
          <cell r="F889">
            <v>-45801521.600000001</v>
          </cell>
          <cell r="G889">
            <v>-44350245.941578999</v>
          </cell>
          <cell r="H889">
            <v>-44350245.941578999</v>
          </cell>
          <cell r="I889">
            <v>-44350245.941578999</v>
          </cell>
          <cell r="J889">
            <v>-44350245.941578999</v>
          </cell>
          <cell r="K889">
            <v>-44350245.941578999</v>
          </cell>
          <cell r="L889">
            <v>-61397559.890000001</v>
          </cell>
          <cell r="M889">
            <v>-80366712.247217998</v>
          </cell>
          <cell r="N889">
            <v>-68805992.327906996</v>
          </cell>
          <cell r="O889">
            <v>-54703405.957970001</v>
          </cell>
        </row>
        <row r="890">
          <cell r="A890" t="str">
            <v>Budapest BankMINORITY INTEREST (BS)</v>
          </cell>
          <cell r="B890">
            <v>-38442997.82</v>
          </cell>
          <cell r="C890">
            <v>-12629748.960000001</v>
          </cell>
          <cell r="D890">
            <v>-6014508.8300000001</v>
          </cell>
          <cell r="E890">
            <v>-6194508.8300000001</v>
          </cell>
          <cell r="F890">
            <v>-6194508.8300000001</v>
          </cell>
          <cell r="G890">
            <v>-7646696.9003860001</v>
          </cell>
          <cell r="H890">
            <v>-7646696.9003860001</v>
          </cell>
          <cell r="I890">
            <v>-7646696.9003860001</v>
          </cell>
          <cell r="J890">
            <v>-7646696.9003860001</v>
          </cell>
          <cell r="K890">
            <v>-7646696.9003860001</v>
          </cell>
          <cell r="L890">
            <v>-5675238.8300000001</v>
          </cell>
          <cell r="M890">
            <v>0</v>
          </cell>
          <cell r="N890">
            <v>0</v>
          </cell>
          <cell r="O890">
            <v>0</v>
          </cell>
        </row>
        <row r="891">
          <cell r="A891" t="str">
            <v>Budapest BankASIA PACIFIC ENI DIVIDEND</v>
          </cell>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row>
        <row r="892">
          <cell r="A892" t="str">
            <v>Budapest BankFINANCING INCOME</v>
          </cell>
          <cell r="B892">
            <v>-1663790.1</v>
          </cell>
          <cell r="C892">
            <v>-41431712.009999998</v>
          </cell>
          <cell r="D892">
            <v>-27415535.43</v>
          </cell>
          <cell r="E892">
            <v>-26430835.300000001</v>
          </cell>
          <cell r="F892">
            <v>-96941872.840000004</v>
          </cell>
          <cell r="G892">
            <v>-30189170.842686001</v>
          </cell>
          <cell r="H892">
            <v>-30341144.445188001</v>
          </cell>
          <cell r="I892">
            <v>-31015265.060440999</v>
          </cell>
          <cell r="J892">
            <v>-31902019.306051001</v>
          </cell>
          <cell r="K892">
            <v>-123447599.654366</v>
          </cell>
          <cell r="L892">
            <v>-27441456.260000002</v>
          </cell>
          <cell r="M892">
            <v>-159898491.59606701</v>
          </cell>
          <cell r="N892">
            <v>-169459060.79970801</v>
          </cell>
          <cell r="O892">
            <v>-197054090.63651001</v>
          </cell>
        </row>
        <row r="893">
          <cell r="A893" t="str">
            <v>Budapest BankINSURANCE PREMIUM INCOME</v>
          </cell>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row>
        <row r="894">
          <cell r="A894" t="str">
            <v>Budapest BankINSURANCE INCOME (COMMISSIONS)</v>
          </cell>
          <cell r="B894">
            <v>-1073.08</v>
          </cell>
          <cell r="C894">
            <v>-760136.26</v>
          </cell>
          <cell r="D894">
            <v>-140225.96</v>
          </cell>
          <cell r="E894">
            <v>896528.78</v>
          </cell>
          <cell r="F894">
            <v>-4906.5200000000004</v>
          </cell>
          <cell r="G894">
            <v>0</v>
          </cell>
          <cell r="H894">
            <v>0</v>
          </cell>
          <cell r="I894">
            <v>0</v>
          </cell>
          <cell r="J894">
            <v>0</v>
          </cell>
          <cell r="K894">
            <v>0</v>
          </cell>
          <cell r="L894">
            <v>16542.259999999998</v>
          </cell>
          <cell r="M894">
            <v>0</v>
          </cell>
          <cell r="N894">
            <v>0</v>
          </cell>
          <cell r="O894">
            <v>0</v>
          </cell>
        </row>
        <row r="895">
          <cell r="A895" t="str">
            <v>Budapest BankSUNDRY INCOME</v>
          </cell>
          <cell r="B895">
            <v>-2512901.98</v>
          </cell>
          <cell r="C895">
            <v>-10880134.449999999</v>
          </cell>
          <cell r="D895">
            <v>-9367776.7699999996</v>
          </cell>
          <cell r="E895">
            <v>-14598133.859999999</v>
          </cell>
          <cell r="F895">
            <v>-37358947.060000002</v>
          </cell>
          <cell r="G895">
            <v>-10776443.321675001</v>
          </cell>
          <cell r="H895">
            <v>-10162753.193631001</v>
          </cell>
          <cell r="I895">
            <v>-9489099.8921719994</v>
          </cell>
          <cell r="J895">
            <v>-9063603.0940099992</v>
          </cell>
          <cell r="K895">
            <v>-39491899.501488999</v>
          </cell>
          <cell r="L895">
            <v>-14538051.619999999</v>
          </cell>
          <cell r="M895">
            <v>-59465112.980429001</v>
          </cell>
          <cell r="N895">
            <v>-72665404.370396003</v>
          </cell>
          <cell r="O895">
            <v>-83295671.530833006</v>
          </cell>
        </row>
        <row r="896">
          <cell r="A896" t="str">
            <v>Budapest BankINTEREST EXPENSE</v>
          </cell>
          <cell r="B896">
            <v>1769412.4</v>
          </cell>
          <cell r="C896">
            <v>24144155.550000001</v>
          </cell>
          <cell r="D896">
            <v>8071295.7000000002</v>
          </cell>
          <cell r="E896">
            <v>-11852553.619999999</v>
          </cell>
          <cell r="F896">
            <v>22132310.030000001</v>
          </cell>
          <cell r="G896">
            <v>8265890.3054109998</v>
          </cell>
          <cell r="H896">
            <v>7791366.9527139999</v>
          </cell>
          <cell r="I896">
            <v>7310417.3410390001</v>
          </cell>
          <cell r="J896">
            <v>7177069.7608780004</v>
          </cell>
          <cell r="K896">
            <v>30544744.360041998</v>
          </cell>
          <cell r="L896">
            <v>8794564.4800000004</v>
          </cell>
          <cell r="M896">
            <v>86295948.840297997</v>
          </cell>
          <cell r="N896">
            <v>89674183.483510002</v>
          </cell>
          <cell r="O896">
            <v>109088401.31761099</v>
          </cell>
        </row>
        <row r="897">
          <cell r="A897" t="str">
            <v>Budapest BankINTEREST EXPENSE REDUCTIONS / BUS SHARING</v>
          </cell>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row>
        <row r="898">
          <cell r="A898" t="str">
            <v>Budapest BankALLOCATED COST OF PREFERRED EQUITY</v>
          </cell>
          <cell r="B898">
            <v>3458.59</v>
          </cell>
          <cell r="C898">
            <v>108936.68</v>
          </cell>
          <cell r="D898">
            <v>89567.61</v>
          </cell>
          <cell r="E898">
            <v>53614.04</v>
          </cell>
          <cell r="F898">
            <v>255576.92</v>
          </cell>
          <cell r="G898">
            <v>50675.360255</v>
          </cell>
          <cell r="H898">
            <v>51537.950772999997</v>
          </cell>
          <cell r="I898">
            <v>52247.191552999997</v>
          </cell>
          <cell r="J898">
            <v>52999.183388999998</v>
          </cell>
          <cell r="K898">
            <v>207459.68596999999</v>
          </cell>
          <cell r="L898">
            <v>61474.67</v>
          </cell>
          <cell r="M898">
            <v>0</v>
          </cell>
          <cell r="N898">
            <v>0</v>
          </cell>
          <cell r="O898">
            <v>0</v>
          </cell>
        </row>
        <row r="899">
          <cell r="A899" t="str">
            <v>Budapest BankSALARIES &amp; BENEFITS</v>
          </cell>
          <cell r="B899">
            <v>97597.94</v>
          </cell>
          <cell r="C899">
            <v>10518744.560000001</v>
          </cell>
          <cell r="D899">
            <v>9307800.6899999995</v>
          </cell>
          <cell r="E899">
            <v>23508187.199999999</v>
          </cell>
          <cell r="F899">
            <v>43432330.390000001</v>
          </cell>
          <cell r="G899">
            <v>10437564.958494</v>
          </cell>
          <cell r="H899">
            <v>10437564.958494</v>
          </cell>
          <cell r="I899">
            <v>10437564.958494</v>
          </cell>
          <cell r="J899">
            <v>10437564.958494</v>
          </cell>
          <cell r="K899">
            <v>41750259.833975002</v>
          </cell>
          <cell r="L899">
            <v>10927165.27</v>
          </cell>
          <cell r="M899">
            <v>43057814.727284998</v>
          </cell>
          <cell r="N899">
            <v>46586840.570257999</v>
          </cell>
          <cell r="O899">
            <v>49465639.864173003</v>
          </cell>
        </row>
        <row r="900">
          <cell r="A900" t="str">
            <v>Budapest BankLOSSES ON OTHER ASSETS</v>
          </cell>
          <cell r="B900">
            <v>129489.22</v>
          </cell>
          <cell r="C900">
            <v>1121933.68</v>
          </cell>
          <cell r="D900">
            <v>-1550568.28</v>
          </cell>
          <cell r="E900">
            <v>1707580.99</v>
          </cell>
          <cell r="F900">
            <v>1408435.61</v>
          </cell>
          <cell r="G900">
            <v>-59853.790155000002</v>
          </cell>
          <cell r="H900">
            <v>38367.978265999998</v>
          </cell>
          <cell r="I900">
            <v>38367.978265999998</v>
          </cell>
          <cell r="J900">
            <v>38367.978265999998</v>
          </cell>
          <cell r="K900">
            <v>55250.144640999999</v>
          </cell>
          <cell r="L900">
            <v>-56069.279999999999</v>
          </cell>
          <cell r="M900">
            <v>0</v>
          </cell>
          <cell r="N900">
            <v>0</v>
          </cell>
          <cell r="O900">
            <v>0</v>
          </cell>
        </row>
        <row r="901">
          <cell r="A901" t="str">
            <v>Budapest BankCOST OF GOODS SOLD</v>
          </cell>
          <cell r="B901">
            <v>34242.400000000001</v>
          </cell>
          <cell r="C901">
            <v>0</v>
          </cell>
          <cell r="D901">
            <v>-0.87</v>
          </cell>
          <cell r="E901">
            <v>141476.31</v>
          </cell>
          <cell r="F901">
            <v>175717.84</v>
          </cell>
          <cell r="G901">
            <v>0</v>
          </cell>
          <cell r="H901">
            <v>0</v>
          </cell>
          <cell r="I901">
            <v>0</v>
          </cell>
          <cell r="J901">
            <v>0</v>
          </cell>
          <cell r="K901">
            <v>0</v>
          </cell>
          <cell r="L901">
            <v>223436.66</v>
          </cell>
          <cell r="M901">
            <v>0</v>
          </cell>
          <cell r="N901">
            <v>0</v>
          </cell>
          <cell r="O901">
            <v>0</v>
          </cell>
        </row>
        <row r="902">
          <cell r="A902" t="str">
            <v>Budapest BankCOST OF GOODS SOLD - DISTRIBUTION</v>
          </cell>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row>
        <row r="903">
          <cell r="A903" t="str">
            <v>Budapest BankPOSTAGE</v>
          </cell>
          <cell r="B903">
            <v>14060.51</v>
          </cell>
          <cell r="C903">
            <v>264349.26</v>
          </cell>
          <cell r="D903">
            <v>337347.77</v>
          </cell>
          <cell r="E903">
            <v>608552.43999999994</v>
          </cell>
          <cell r="F903">
            <v>1224309.98</v>
          </cell>
          <cell r="G903">
            <v>383914.89704399998</v>
          </cell>
          <cell r="H903">
            <v>383914.89704399998</v>
          </cell>
          <cell r="I903">
            <v>383914.89704399998</v>
          </cell>
          <cell r="J903">
            <v>383914.89704399998</v>
          </cell>
          <cell r="K903">
            <v>1535659.5881759999</v>
          </cell>
          <cell r="L903">
            <v>408927.36</v>
          </cell>
          <cell r="M903">
            <v>1232326.44512</v>
          </cell>
          <cell r="N903">
            <v>1312060.07544</v>
          </cell>
          <cell r="O903">
            <v>1383848.7243629999</v>
          </cell>
        </row>
        <row r="904">
          <cell r="A904" t="str">
            <v>Budapest BankTELEPHONE</v>
          </cell>
          <cell r="B904">
            <v>17450.38</v>
          </cell>
          <cell r="C904">
            <v>501445.41</v>
          </cell>
          <cell r="D904">
            <v>484977</v>
          </cell>
          <cell r="E904">
            <v>690020.83</v>
          </cell>
          <cell r="F904">
            <v>1693893.62</v>
          </cell>
          <cell r="G904">
            <v>381737.86183499999</v>
          </cell>
          <cell r="H904">
            <v>381737.86183499999</v>
          </cell>
          <cell r="I904">
            <v>381737.86183499999</v>
          </cell>
          <cell r="J904">
            <v>381737.86183499999</v>
          </cell>
          <cell r="K904">
            <v>1526951.4473389999</v>
          </cell>
          <cell r="L904">
            <v>317724.33</v>
          </cell>
          <cell r="M904">
            <v>1976171.0615030001</v>
          </cell>
          <cell r="N904">
            <v>1992619.9961059999</v>
          </cell>
          <cell r="O904">
            <v>2102523.8180999998</v>
          </cell>
        </row>
        <row r="905">
          <cell r="A905" t="str">
            <v>Budapest BankCUSTOMER SERVICE / COLLECTIONS</v>
          </cell>
          <cell r="B905">
            <v>0</v>
          </cell>
          <cell r="C905">
            <v>0</v>
          </cell>
          <cell r="D905">
            <v>0</v>
          </cell>
          <cell r="E905">
            <v>971.7</v>
          </cell>
          <cell r="F905">
            <v>971.7</v>
          </cell>
          <cell r="G905">
            <v>91578.947367999994</v>
          </cell>
          <cell r="H905">
            <v>91578.947367999994</v>
          </cell>
          <cell r="I905">
            <v>91578.947367999994</v>
          </cell>
          <cell r="J905">
            <v>91578.947367999994</v>
          </cell>
          <cell r="K905">
            <v>366315.78947399999</v>
          </cell>
          <cell r="L905">
            <v>207925.76000000001</v>
          </cell>
          <cell r="M905">
            <v>0</v>
          </cell>
          <cell r="N905">
            <v>0</v>
          </cell>
          <cell r="O905">
            <v>0</v>
          </cell>
        </row>
        <row r="906">
          <cell r="A906" t="str">
            <v>Budapest BankSTATIONARY - OFFICE SUPPLIES</v>
          </cell>
          <cell r="B906">
            <v>16311.71</v>
          </cell>
          <cell r="C906">
            <v>481974.1</v>
          </cell>
          <cell r="D906">
            <v>457181.06</v>
          </cell>
          <cell r="E906">
            <v>1129585.53</v>
          </cell>
          <cell r="F906">
            <v>2085052.4</v>
          </cell>
          <cell r="G906">
            <v>553489.24264800001</v>
          </cell>
          <cell r="H906">
            <v>553489.24264800001</v>
          </cell>
          <cell r="I906">
            <v>553489.24264800001</v>
          </cell>
          <cell r="J906">
            <v>553489.24264800001</v>
          </cell>
          <cell r="K906">
            <v>2213956.9705909998</v>
          </cell>
          <cell r="L906">
            <v>349482.17</v>
          </cell>
          <cell r="M906">
            <v>1976661.416738</v>
          </cell>
          <cell r="N906">
            <v>2028367.696765</v>
          </cell>
          <cell r="O906">
            <v>2083779.4183360001</v>
          </cell>
        </row>
        <row r="907">
          <cell r="A907" t="str">
            <v>Budapest BankT&amp;L</v>
          </cell>
          <cell r="B907">
            <v>4893.95</v>
          </cell>
          <cell r="C907">
            <v>629239.79</v>
          </cell>
          <cell r="D907">
            <v>408127.95</v>
          </cell>
          <cell r="E907">
            <v>623228.19999999995</v>
          </cell>
          <cell r="F907">
            <v>1665489.89</v>
          </cell>
          <cell r="G907">
            <v>495578.524997</v>
          </cell>
          <cell r="H907">
            <v>495578.524997</v>
          </cell>
          <cell r="I907">
            <v>495578.524997</v>
          </cell>
          <cell r="J907">
            <v>495578.524997</v>
          </cell>
          <cell r="K907">
            <v>1982314.099989</v>
          </cell>
          <cell r="L907">
            <v>333009.49</v>
          </cell>
          <cell r="M907">
            <v>2408965.8676080001</v>
          </cell>
          <cell r="N907">
            <v>2496987.8729610001</v>
          </cell>
          <cell r="O907">
            <v>2580669.3835140001</v>
          </cell>
        </row>
        <row r="908">
          <cell r="A908" t="str">
            <v>Budapest BankRENTAL - BLDG/FACILITIES</v>
          </cell>
          <cell r="B908">
            <v>2005.94</v>
          </cell>
          <cell r="C908">
            <v>1417406.45</v>
          </cell>
          <cell r="D908">
            <v>1268821.1000000001</v>
          </cell>
          <cell r="E908">
            <v>2436150.27</v>
          </cell>
          <cell r="F908">
            <v>5124383.76</v>
          </cell>
          <cell r="G908">
            <v>974334.25814199995</v>
          </cell>
          <cell r="H908">
            <v>974334.25814199995</v>
          </cell>
          <cell r="I908">
            <v>974334.25814199995</v>
          </cell>
          <cell r="J908">
            <v>974334.25814199995</v>
          </cell>
          <cell r="K908">
            <v>3897337.0325679998</v>
          </cell>
          <cell r="L908">
            <v>974117.83</v>
          </cell>
          <cell r="M908">
            <v>4597461.0121510001</v>
          </cell>
          <cell r="N908">
            <v>4643615.9011329999</v>
          </cell>
          <cell r="O908">
            <v>4561792.0587099995</v>
          </cell>
        </row>
        <row r="909">
          <cell r="A909" t="str">
            <v>Budapest BankRENTAL - FURNITURE/EQUIP</v>
          </cell>
          <cell r="B909">
            <v>286.14</v>
          </cell>
          <cell r="C909">
            <v>109837.52</v>
          </cell>
          <cell r="D909">
            <v>351462</v>
          </cell>
          <cell r="E909">
            <v>520809.88</v>
          </cell>
          <cell r="F909">
            <v>982395.54</v>
          </cell>
          <cell r="G909">
            <v>151308.262235</v>
          </cell>
          <cell r="H909">
            <v>151308.262235</v>
          </cell>
          <cell r="I909">
            <v>151308.262235</v>
          </cell>
          <cell r="J909">
            <v>151308.262235</v>
          </cell>
          <cell r="K909">
            <v>605233.04894000001</v>
          </cell>
          <cell r="L909">
            <v>114792.86</v>
          </cell>
          <cell r="M909">
            <v>2204623.823998</v>
          </cell>
          <cell r="N909">
            <v>2335280.3274829998</v>
          </cell>
          <cell r="O909">
            <v>2537183.754896</v>
          </cell>
        </row>
        <row r="910">
          <cell r="A910" t="str">
            <v>Budapest BankRENTAL - COMPUTERS</v>
          </cell>
          <cell r="B910">
            <v>16270.16</v>
          </cell>
          <cell r="C910">
            <v>194.86</v>
          </cell>
          <cell r="D910">
            <v>125.47</v>
          </cell>
          <cell r="E910">
            <v>-329417.69</v>
          </cell>
          <cell r="F910">
            <v>-312827.2</v>
          </cell>
          <cell r="G910">
            <v>0</v>
          </cell>
          <cell r="H910">
            <v>0</v>
          </cell>
          <cell r="I910">
            <v>0</v>
          </cell>
          <cell r="J910">
            <v>0</v>
          </cell>
          <cell r="K910">
            <v>0</v>
          </cell>
          <cell r="L910">
            <v>0</v>
          </cell>
          <cell r="M910">
            <v>103795.759225</v>
          </cell>
          <cell r="N910">
            <v>102498.561865</v>
          </cell>
          <cell r="O910">
            <v>124382.656752</v>
          </cell>
        </row>
        <row r="911">
          <cell r="A911" t="str">
            <v>Budapest BankLEASE IN - LEASE OUT</v>
          </cell>
          <cell r="B911">
            <v>38643.86</v>
          </cell>
          <cell r="C911">
            <v>0</v>
          </cell>
          <cell r="D911">
            <v>0.17</v>
          </cell>
          <cell r="E911">
            <v>-783825.05</v>
          </cell>
          <cell r="F911">
            <v>-745181.02</v>
          </cell>
          <cell r="G911">
            <v>0</v>
          </cell>
          <cell r="H911">
            <v>0</v>
          </cell>
          <cell r="I911">
            <v>0</v>
          </cell>
          <cell r="J911">
            <v>0</v>
          </cell>
          <cell r="K911">
            <v>0</v>
          </cell>
          <cell r="L911">
            <v>19253.21</v>
          </cell>
          <cell r="M911">
            <v>0</v>
          </cell>
          <cell r="N911">
            <v>0</v>
          </cell>
          <cell r="O911">
            <v>0</v>
          </cell>
        </row>
        <row r="912">
          <cell r="A912" t="str">
            <v>Budapest BankFURNITURE / EQUIPMENT / COMPUTER EXP</v>
          </cell>
          <cell r="B912">
            <v>37953.24</v>
          </cell>
          <cell r="C912">
            <v>1938860.53</v>
          </cell>
          <cell r="D912">
            <v>1553753.49</v>
          </cell>
          <cell r="E912">
            <v>300224.69</v>
          </cell>
          <cell r="F912">
            <v>3830791.95</v>
          </cell>
          <cell r="G912">
            <v>2023439.9979109999</v>
          </cell>
          <cell r="H912">
            <v>2023439.9979109999</v>
          </cell>
          <cell r="I912">
            <v>2023439.9979109999</v>
          </cell>
          <cell r="J912">
            <v>2023439.9979109999</v>
          </cell>
          <cell r="K912">
            <v>8093759.9916439997</v>
          </cell>
          <cell r="L912">
            <v>1782836.15</v>
          </cell>
          <cell r="M912">
            <v>6155334.1348280003</v>
          </cell>
          <cell r="N912">
            <v>5537523.1691269996</v>
          </cell>
          <cell r="O912">
            <v>6177331.644816</v>
          </cell>
        </row>
        <row r="913">
          <cell r="A913" t="str">
            <v>Budapest BankSOFTWARE EXPENSE</v>
          </cell>
          <cell r="B913">
            <v>0</v>
          </cell>
          <cell r="C913">
            <v>1442729.7</v>
          </cell>
          <cell r="D913">
            <v>715753.56</v>
          </cell>
          <cell r="E913">
            <v>-2158483.2599999998</v>
          </cell>
          <cell r="F913">
            <v>0</v>
          </cell>
          <cell r="G913">
            <v>1078968.9440969999</v>
          </cell>
          <cell r="H913">
            <v>1078968.9440969999</v>
          </cell>
          <cell r="I913">
            <v>1078968.9440969999</v>
          </cell>
          <cell r="J913">
            <v>1078968.9440969999</v>
          </cell>
          <cell r="K913">
            <v>4315875.776389</v>
          </cell>
          <cell r="L913">
            <v>0</v>
          </cell>
          <cell r="M913">
            <v>6288987.2380280001</v>
          </cell>
          <cell r="N913">
            <v>5625397.9777170001</v>
          </cell>
          <cell r="O913">
            <v>5998047.4028540002</v>
          </cell>
        </row>
        <row r="914">
          <cell r="A914" t="str">
            <v>Budapest BankAMORTIZATION OF INTANGIBLES</v>
          </cell>
          <cell r="B914">
            <v>28358.15</v>
          </cell>
          <cell r="C914">
            <v>638512.47</v>
          </cell>
          <cell r="D914">
            <v>664201.12</v>
          </cell>
          <cell r="E914">
            <v>5687268.8200000003</v>
          </cell>
          <cell r="F914">
            <v>7018340.5599999996</v>
          </cell>
          <cell r="G914">
            <v>220897.03094699999</v>
          </cell>
          <cell r="H914">
            <v>220897.03094699999</v>
          </cell>
          <cell r="I914">
            <v>220897.03094699999</v>
          </cell>
          <cell r="J914">
            <v>220897.03094699999</v>
          </cell>
          <cell r="K914">
            <v>883588.12378899998</v>
          </cell>
          <cell r="L914">
            <v>1348485.78</v>
          </cell>
          <cell r="M914">
            <v>3655155.2890750002</v>
          </cell>
          <cell r="N914">
            <v>4036114.4897289998</v>
          </cell>
          <cell r="O914">
            <v>3786789.3453009999</v>
          </cell>
        </row>
        <row r="915">
          <cell r="A915" t="str">
            <v>Budapest BankELTO MAINTENANCE</v>
          </cell>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row>
        <row r="916">
          <cell r="A916" t="str">
            <v>Budapest BankELTO OTHER</v>
          </cell>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row>
        <row r="917">
          <cell r="A917" t="str">
            <v>Budapest BankLEGAL</v>
          </cell>
          <cell r="B917">
            <v>2316.13</v>
          </cell>
          <cell r="C917">
            <v>291536.7</v>
          </cell>
          <cell r="D917">
            <v>234104.86</v>
          </cell>
          <cell r="E917">
            <v>458284.17</v>
          </cell>
          <cell r="F917">
            <v>986241.86</v>
          </cell>
          <cell r="G917">
            <v>277108.87280700001</v>
          </cell>
          <cell r="H917">
            <v>277108.87280700001</v>
          </cell>
          <cell r="I917">
            <v>277108.87280700001</v>
          </cell>
          <cell r="J917">
            <v>277108.87280700001</v>
          </cell>
          <cell r="K917">
            <v>1108435.491228</v>
          </cell>
          <cell r="L917">
            <v>107500.32</v>
          </cell>
          <cell r="M917">
            <v>1471245.103998</v>
          </cell>
          <cell r="N917">
            <v>1658282.793085</v>
          </cell>
          <cell r="O917">
            <v>1866393.0510529999</v>
          </cell>
        </row>
        <row r="918">
          <cell r="A918" t="str">
            <v>Budapest BankADVERTISING</v>
          </cell>
          <cell r="B918">
            <v>4521.84</v>
          </cell>
          <cell r="C918">
            <v>853768.5</v>
          </cell>
          <cell r="D918">
            <v>494328.23</v>
          </cell>
          <cell r="E918">
            <v>893901.25</v>
          </cell>
          <cell r="F918">
            <v>2246519.8199999998</v>
          </cell>
          <cell r="G918">
            <v>448333.33333300002</v>
          </cell>
          <cell r="H918">
            <v>448333.33333300002</v>
          </cell>
          <cell r="I918">
            <v>448333.33333300002</v>
          </cell>
          <cell r="J918">
            <v>448333.33333300002</v>
          </cell>
          <cell r="K918">
            <v>1793333.3333330001</v>
          </cell>
          <cell r="L918">
            <v>444954.65</v>
          </cell>
          <cell r="M918">
            <v>2797014.8709729998</v>
          </cell>
          <cell r="N918">
            <v>2957664.8672000002</v>
          </cell>
          <cell r="O918">
            <v>3110871.2454579999</v>
          </cell>
        </row>
        <row r="919">
          <cell r="A919" t="str">
            <v>Budapest BankSALES PROMOTIONS</v>
          </cell>
          <cell r="B919">
            <v>15217.26</v>
          </cell>
          <cell r="C919">
            <v>30145.94</v>
          </cell>
          <cell r="D919">
            <v>139531.14000000001</v>
          </cell>
          <cell r="E919">
            <v>768973.84</v>
          </cell>
          <cell r="F919">
            <v>953868.18</v>
          </cell>
          <cell r="G919">
            <v>285087.252141</v>
          </cell>
          <cell r="H919">
            <v>285087.252141</v>
          </cell>
          <cell r="I919">
            <v>285087.252141</v>
          </cell>
          <cell r="J919">
            <v>285087.252141</v>
          </cell>
          <cell r="K919">
            <v>1140349.008565</v>
          </cell>
          <cell r="L919">
            <v>220027.65</v>
          </cell>
          <cell r="M919">
            <v>280867.22790699999</v>
          </cell>
          <cell r="N919">
            <v>294248.05966999999</v>
          </cell>
          <cell r="O919">
            <v>307752.240559</v>
          </cell>
        </row>
        <row r="920">
          <cell r="A920" t="str">
            <v>Budapest BankDIRECT MAIL</v>
          </cell>
          <cell r="B920">
            <v>0</v>
          </cell>
          <cell r="C920">
            <v>21207.53</v>
          </cell>
          <cell r="D920">
            <v>32504.9</v>
          </cell>
          <cell r="E920">
            <v>133270.19</v>
          </cell>
          <cell r="F920">
            <v>186982.62</v>
          </cell>
          <cell r="G920">
            <v>129473.684211</v>
          </cell>
          <cell r="H920">
            <v>129473.684211</v>
          </cell>
          <cell r="I920">
            <v>129473.684211</v>
          </cell>
          <cell r="J920">
            <v>129473.684211</v>
          </cell>
          <cell r="K920">
            <v>517894.73684199998</v>
          </cell>
          <cell r="L920">
            <v>51460.89</v>
          </cell>
          <cell r="M920">
            <v>284658.419758</v>
          </cell>
          <cell r="N920">
            <v>295567.32029300003</v>
          </cell>
          <cell r="O920">
            <v>306230.77350499999</v>
          </cell>
        </row>
        <row r="921">
          <cell r="A921" t="str">
            <v>Budapest BankDATA PROCESSING</v>
          </cell>
          <cell r="B921">
            <v>8598.27</v>
          </cell>
          <cell r="C921">
            <v>114862.45</v>
          </cell>
          <cell r="D921">
            <v>62129.27</v>
          </cell>
          <cell r="E921">
            <v>523372</v>
          </cell>
          <cell r="F921">
            <v>708961.99</v>
          </cell>
          <cell r="G921">
            <v>188682.500462</v>
          </cell>
          <cell r="H921">
            <v>188682.500462</v>
          </cell>
          <cell r="I921">
            <v>188682.500462</v>
          </cell>
          <cell r="J921">
            <v>188682.500462</v>
          </cell>
          <cell r="K921">
            <v>754730.00185</v>
          </cell>
          <cell r="L921">
            <v>128590.93</v>
          </cell>
          <cell r="M921">
            <v>457583.75165300001</v>
          </cell>
          <cell r="N921">
            <v>492276.57741000003</v>
          </cell>
          <cell r="O921">
            <v>526844.37797599996</v>
          </cell>
        </row>
        <row r="922">
          <cell r="A922" t="str">
            <v>Budapest BankCONSULTING</v>
          </cell>
          <cell r="B922">
            <v>7590.58</v>
          </cell>
          <cell r="C922">
            <v>0</v>
          </cell>
          <cell r="D922">
            <v>0.47</v>
          </cell>
          <cell r="E922">
            <v>57700.99</v>
          </cell>
          <cell r="F922">
            <v>65292.04</v>
          </cell>
          <cell r="G922">
            <v>100285.087719</v>
          </cell>
          <cell r="H922">
            <v>100285.087719</v>
          </cell>
          <cell r="I922">
            <v>100285.087719</v>
          </cell>
          <cell r="J922">
            <v>100285.087719</v>
          </cell>
          <cell r="K922">
            <v>401140.35087700002</v>
          </cell>
          <cell r="L922">
            <v>48794.58</v>
          </cell>
          <cell r="M922">
            <v>0</v>
          </cell>
          <cell r="N922">
            <v>0</v>
          </cell>
          <cell r="O922">
            <v>0</v>
          </cell>
        </row>
        <row r="923">
          <cell r="A923" t="str">
            <v>Budapest BankTEMP SERVICES</v>
          </cell>
          <cell r="B923">
            <v>31069.94</v>
          </cell>
          <cell r="C923">
            <v>600198.38</v>
          </cell>
          <cell r="D923">
            <v>916706.67</v>
          </cell>
          <cell r="E923">
            <v>-2118141.5699999998</v>
          </cell>
          <cell r="F923">
            <v>-570166.57999999996</v>
          </cell>
          <cell r="G923">
            <v>0</v>
          </cell>
          <cell r="H923">
            <v>0</v>
          </cell>
          <cell r="I923">
            <v>0</v>
          </cell>
          <cell r="J923">
            <v>0</v>
          </cell>
          <cell r="K923">
            <v>0</v>
          </cell>
          <cell r="L923">
            <v>22733.48</v>
          </cell>
          <cell r="M923">
            <v>1962082.2014260001</v>
          </cell>
          <cell r="N923">
            <v>2180425.9835669999</v>
          </cell>
          <cell r="O923">
            <v>2139371.1841899999</v>
          </cell>
        </row>
        <row r="924">
          <cell r="A924" t="str">
            <v>Budapest BankGDC CHARGES</v>
          </cell>
          <cell r="B924">
            <v>0</v>
          </cell>
          <cell r="C924">
            <v>36568</v>
          </cell>
          <cell r="D924">
            <v>0</v>
          </cell>
          <cell r="E924">
            <v>-36568</v>
          </cell>
          <cell r="F924">
            <v>0</v>
          </cell>
          <cell r="G924">
            <v>0</v>
          </cell>
          <cell r="H924">
            <v>0</v>
          </cell>
          <cell r="I924">
            <v>0</v>
          </cell>
          <cell r="J924">
            <v>0</v>
          </cell>
          <cell r="K924">
            <v>0</v>
          </cell>
          <cell r="L924">
            <v>0</v>
          </cell>
          <cell r="M924">
            <v>330386</v>
          </cell>
          <cell r="N924">
            <v>256081</v>
          </cell>
          <cell r="O924">
            <v>268885</v>
          </cell>
        </row>
        <row r="925">
          <cell r="A925" t="str">
            <v>Budapest BankTRAINING AND EDUCATION</v>
          </cell>
          <cell r="B925">
            <v>0</v>
          </cell>
          <cell r="C925">
            <v>0</v>
          </cell>
          <cell r="D925">
            <v>0</v>
          </cell>
          <cell r="E925">
            <v>728807.31</v>
          </cell>
          <cell r="F925">
            <v>728807.31</v>
          </cell>
          <cell r="G925">
            <v>191591.929825</v>
          </cell>
          <cell r="H925">
            <v>191591.929825</v>
          </cell>
          <cell r="I925">
            <v>191591.929825</v>
          </cell>
          <cell r="J925">
            <v>191591.929825</v>
          </cell>
          <cell r="K925">
            <v>766367.71929799998</v>
          </cell>
          <cell r="L925">
            <v>40678.239999999998</v>
          </cell>
          <cell r="M925">
            <v>0</v>
          </cell>
          <cell r="N925">
            <v>0</v>
          </cell>
          <cell r="O925">
            <v>0</v>
          </cell>
        </row>
        <row r="926">
          <cell r="A926" t="str">
            <v>Budapest BankOUTSIDE SERVICES  AND FEES</v>
          </cell>
          <cell r="B926">
            <v>72967.820000000007</v>
          </cell>
          <cell r="C926">
            <v>542005.1</v>
          </cell>
          <cell r="D926">
            <v>589546.54</v>
          </cell>
          <cell r="E926">
            <v>2011084.14</v>
          </cell>
          <cell r="F926">
            <v>3215603.6</v>
          </cell>
          <cell r="G926">
            <v>1185132.9802349999</v>
          </cell>
          <cell r="H926">
            <v>1185132.9802349999</v>
          </cell>
          <cell r="I926">
            <v>1185132.9802349999</v>
          </cell>
          <cell r="J926">
            <v>1185132.9802349999</v>
          </cell>
          <cell r="K926">
            <v>4740531.9209420001</v>
          </cell>
          <cell r="L926">
            <v>820448.93</v>
          </cell>
          <cell r="M926">
            <v>2832225.6841059998</v>
          </cell>
          <cell r="N926">
            <v>3007381.5531159998</v>
          </cell>
          <cell r="O926">
            <v>3164809.5922519998</v>
          </cell>
        </row>
        <row r="927">
          <cell r="A927" t="str">
            <v>Budapest BankSTATE, FOREIGN, LOCAL TAXES</v>
          </cell>
          <cell r="B927">
            <v>39234.43</v>
          </cell>
          <cell r="C927">
            <v>-2285461.63</v>
          </cell>
          <cell r="D927">
            <v>1234067.69</v>
          </cell>
          <cell r="E927">
            <v>1141754.6499999999</v>
          </cell>
          <cell r="F927">
            <v>129595.14</v>
          </cell>
          <cell r="G927">
            <v>10640.201754</v>
          </cell>
          <cell r="H927">
            <v>10640.201754</v>
          </cell>
          <cell r="I927">
            <v>10640.201754</v>
          </cell>
          <cell r="J927">
            <v>10640.201754</v>
          </cell>
          <cell r="K927">
            <v>42560.807018</v>
          </cell>
          <cell r="L927">
            <v>343131.55</v>
          </cell>
          <cell r="M927">
            <v>0</v>
          </cell>
          <cell r="N927">
            <v>0</v>
          </cell>
          <cell r="O927">
            <v>0</v>
          </cell>
        </row>
        <row r="928">
          <cell r="A928" t="str">
            <v>Budapest BankS/L TAX - INSURANCE PREMIUMS</v>
          </cell>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row>
        <row r="929">
          <cell r="A929" t="str">
            <v>Budapest BankSATELLITE LEASE EXPENSE</v>
          </cell>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row>
        <row r="930">
          <cell r="A930" t="str">
            <v>Budapest BankBUSINESS SHARE EXPENSE</v>
          </cell>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row>
        <row r="931">
          <cell r="A931" t="str">
            <v>Budapest BankINSURANCE AFFILIATE EXPENSE</v>
          </cell>
          <cell r="B931">
            <v>8974.8700000000008</v>
          </cell>
          <cell r="C931">
            <v>0</v>
          </cell>
          <cell r="D931">
            <v>0.1</v>
          </cell>
          <cell r="E931">
            <v>1202134.83</v>
          </cell>
          <cell r="F931">
            <v>1211109.8</v>
          </cell>
          <cell r="G931">
            <v>274824.56140399998</v>
          </cell>
          <cell r="H931">
            <v>274824.56140399998</v>
          </cell>
          <cell r="I931">
            <v>274824.56140399998</v>
          </cell>
          <cell r="J931">
            <v>274824.56140399998</v>
          </cell>
          <cell r="K931">
            <v>1099298.2456139999</v>
          </cell>
          <cell r="L931">
            <v>276098.05</v>
          </cell>
          <cell r="M931">
            <v>0</v>
          </cell>
          <cell r="N931">
            <v>0</v>
          </cell>
          <cell r="O931">
            <v>0</v>
          </cell>
        </row>
        <row r="932">
          <cell r="A932" t="str">
            <v>Budapest BankOTHER FACILITY EXPENSE</v>
          </cell>
          <cell r="B932">
            <v>41104</v>
          </cell>
          <cell r="C932">
            <v>755657.65</v>
          </cell>
          <cell r="D932">
            <v>796417.62</v>
          </cell>
          <cell r="E932">
            <v>2492439.88</v>
          </cell>
          <cell r="F932">
            <v>4085619.15</v>
          </cell>
          <cell r="G932">
            <v>1023505.563878</v>
          </cell>
          <cell r="H932">
            <v>1023505.563878</v>
          </cell>
          <cell r="I932">
            <v>1023505.563878</v>
          </cell>
          <cell r="J932">
            <v>1023505.563878</v>
          </cell>
          <cell r="K932">
            <v>4094022.25551</v>
          </cell>
          <cell r="L932">
            <v>1028778.67</v>
          </cell>
          <cell r="M932">
            <v>2566369.1194139998</v>
          </cell>
          <cell r="N932">
            <v>2676117.1709699999</v>
          </cell>
          <cell r="O932">
            <v>2780893.4567439999</v>
          </cell>
        </row>
        <row r="933">
          <cell r="A933" t="str">
            <v>Budapest BankGROSS OP &amp; ADMIN BUS SHARE</v>
          </cell>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row>
        <row r="934">
          <cell r="A934" t="str">
            <v>Budapest BankOTHER EXPENSE</v>
          </cell>
          <cell r="B934">
            <v>711695.85</v>
          </cell>
          <cell r="C934">
            <v>1710447.14</v>
          </cell>
          <cell r="D934">
            <v>575009.31999999995</v>
          </cell>
          <cell r="E934">
            <v>635162.14</v>
          </cell>
          <cell r="F934">
            <v>3632314.45</v>
          </cell>
          <cell r="G934">
            <v>46149.965249000001</v>
          </cell>
          <cell r="H934">
            <v>46149.965249000001</v>
          </cell>
          <cell r="I934">
            <v>46149.965249000001</v>
          </cell>
          <cell r="J934">
            <v>46149.965249000001</v>
          </cell>
          <cell r="K934">
            <v>184599.86099700001</v>
          </cell>
          <cell r="L934">
            <v>1327441.43</v>
          </cell>
          <cell r="M934">
            <v>625063.29821699997</v>
          </cell>
          <cell r="N934">
            <v>656654.75881899998</v>
          </cell>
          <cell r="O934">
            <v>691578.32794700004</v>
          </cell>
        </row>
        <row r="935">
          <cell r="A935" t="str">
            <v>Budapest BankGECC INTERCO EXPENSES EXCL GECIS</v>
          </cell>
          <cell r="B935">
            <v>0</v>
          </cell>
          <cell r="C935">
            <v>0</v>
          </cell>
          <cell r="D935">
            <v>0</v>
          </cell>
          <cell r="E935">
            <v>0</v>
          </cell>
          <cell r="F935">
            <v>0</v>
          </cell>
          <cell r="G935">
            <v>0</v>
          </cell>
          <cell r="H935">
            <v>0</v>
          </cell>
          <cell r="I935">
            <v>0</v>
          </cell>
          <cell r="J935">
            <v>0</v>
          </cell>
          <cell r="K935">
            <v>0</v>
          </cell>
          <cell r="L935">
            <v>3866.13</v>
          </cell>
          <cell r="M935">
            <v>0</v>
          </cell>
          <cell r="N935">
            <v>0</v>
          </cell>
          <cell r="O935">
            <v>0</v>
          </cell>
        </row>
        <row r="936">
          <cell r="A936" t="str">
            <v>Budapest BankGECIS INTERCO CHARGES</v>
          </cell>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row>
        <row r="937">
          <cell r="A937" t="str">
            <v>Budapest BankLOSS ADJUSTED EXPENSE</v>
          </cell>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row>
        <row r="938">
          <cell r="A938" t="str">
            <v>Budapest BankALL OTHER EXPENSES</v>
          </cell>
          <cell r="B938">
            <v>0.01</v>
          </cell>
          <cell r="C938">
            <v>-0.01</v>
          </cell>
          <cell r="D938">
            <v>0</v>
          </cell>
          <cell r="E938">
            <v>0</v>
          </cell>
          <cell r="F938">
            <v>0</v>
          </cell>
          <cell r="G938">
            <v>0</v>
          </cell>
          <cell r="H938">
            <v>0</v>
          </cell>
          <cell r="I938">
            <v>0</v>
          </cell>
          <cell r="J938">
            <v>0</v>
          </cell>
          <cell r="K938">
            <v>0</v>
          </cell>
          <cell r="L938">
            <v>0</v>
          </cell>
          <cell r="M938">
            <v>0</v>
          </cell>
          <cell r="N938">
            <v>0</v>
          </cell>
          <cell r="O938">
            <v>0</v>
          </cell>
        </row>
        <row r="939">
          <cell r="A939" t="str">
            <v>Budapest BankASSESSMENTS</v>
          </cell>
          <cell r="B939">
            <v>236806</v>
          </cell>
          <cell r="C939">
            <v>644413.31000000006</v>
          </cell>
          <cell r="D939">
            <v>1288815.0900000001</v>
          </cell>
          <cell r="E939">
            <v>449716.96</v>
          </cell>
          <cell r="F939">
            <v>2619751.36</v>
          </cell>
          <cell r="G939">
            <v>735246.05694000004</v>
          </cell>
          <cell r="H939">
            <v>735246.05694000004</v>
          </cell>
          <cell r="I939">
            <v>735246.05694000004</v>
          </cell>
          <cell r="J939">
            <v>735246.05694000004</v>
          </cell>
          <cell r="K939">
            <v>2940984.2277589999</v>
          </cell>
          <cell r="L939">
            <v>508178.99</v>
          </cell>
          <cell r="M939">
            <v>3165977.1728229998</v>
          </cell>
          <cell r="N939">
            <v>3655216.343229</v>
          </cell>
          <cell r="O939">
            <v>4370069.0358119998</v>
          </cell>
        </row>
        <row r="940">
          <cell r="A940" t="str">
            <v>Budapest BankFAS 91</v>
          </cell>
          <cell r="B940">
            <v>0</v>
          </cell>
          <cell r="C940">
            <v>-964736.19</v>
          </cell>
          <cell r="D940">
            <v>-997298.63</v>
          </cell>
          <cell r="E940">
            <v>-1207330.94</v>
          </cell>
          <cell r="F940">
            <v>-3169365.76</v>
          </cell>
          <cell r="G940">
            <v>-213047.84736099999</v>
          </cell>
          <cell r="H940">
            <v>-125038.658239</v>
          </cell>
          <cell r="I940">
            <v>-129253.73022300001</v>
          </cell>
          <cell r="J940">
            <v>-253564.98684600001</v>
          </cell>
          <cell r="K940">
            <v>-720905.22266800003</v>
          </cell>
          <cell r="L940">
            <v>-1598248.03</v>
          </cell>
          <cell r="M940">
            <v>-1580000</v>
          </cell>
          <cell r="N940">
            <v>0</v>
          </cell>
          <cell r="O940">
            <v>-400000</v>
          </cell>
        </row>
        <row r="941">
          <cell r="A941" t="str">
            <v>Budapest BankGOODWILL AMORTIZATION</v>
          </cell>
          <cell r="B941">
            <v>0</v>
          </cell>
          <cell r="C941">
            <v>0</v>
          </cell>
          <cell r="D941">
            <v>73344.14</v>
          </cell>
          <cell r="E941">
            <v>70970</v>
          </cell>
          <cell r="F941">
            <v>144314.14000000001</v>
          </cell>
          <cell r="G941">
            <v>0</v>
          </cell>
          <cell r="H941">
            <v>0</v>
          </cell>
          <cell r="I941">
            <v>0</v>
          </cell>
          <cell r="J941">
            <v>0</v>
          </cell>
          <cell r="K941">
            <v>0</v>
          </cell>
          <cell r="L941">
            <v>0</v>
          </cell>
          <cell r="M941">
            <v>500000</v>
          </cell>
          <cell r="N941">
            <v>500000</v>
          </cell>
          <cell r="O941">
            <v>500000</v>
          </cell>
        </row>
        <row r="942">
          <cell r="A942" t="str">
            <v>Budapest BankDEPRECIATION EXPENSE</v>
          </cell>
          <cell r="B942">
            <v>156840.76999999999</v>
          </cell>
          <cell r="C942">
            <v>1362292.4</v>
          </cell>
          <cell r="D942">
            <v>1401094.17</v>
          </cell>
          <cell r="E942">
            <v>3353703.74</v>
          </cell>
          <cell r="F942">
            <v>6273931.0800000001</v>
          </cell>
          <cell r="G942">
            <v>2239110.022663</v>
          </cell>
          <cell r="H942">
            <v>2239110.022663</v>
          </cell>
          <cell r="I942">
            <v>2239110.022663</v>
          </cell>
          <cell r="J942">
            <v>2239110.022663</v>
          </cell>
          <cell r="K942">
            <v>8956440.0906509999</v>
          </cell>
          <cell r="L942">
            <v>2450599.65</v>
          </cell>
          <cell r="M942">
            <v>7205096.0634399997</v>
          </cell>
          <cell r="N942">
            <v>7954302.4805570003</v>
          </cell>
          <cell r="O942">
            <v>7467714.9362779995</v>
          </cell>
        </row>
        <row r="943">
          <cell r="A943" t="str">
            <v>Budapest BankELTO AMORTIZATION</v>
          </cell>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row>
        <row r="944">
          <cell r="A944" t="str">
            <v>Budapest BankINSURANCE LOSSES AND BENEFITS</v>
          </cell>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row>
        <row r="945">
          <cell r="A945" t="str">
            <v>Budapest BankWRITE OFFS</v>
          </cell>
          <cell r="B945">
            <v>462219.91</v>
          </cell>
          <cell r="C945">
            <v>1858914.95</v>
          </cell>
          <cell r="D945">
            <v>1979586.68</v>
          </cell>
          <cell r="E945">
            <v>1345925.08</v>
          </cell>
          <cell r="F945">
            <v>5646646.6200000001</v>
          </cell>
          <cell r="G945">
            <v>4082090.2767039998</v>
          </cell>
          <cell r="H945">
            <v>3049804.3538000002</v>
          </cell>
          <cell r="I945">
            <v>3308855.209212</v>
          </cell>
          <cell r="J945">
            <v>3558564.2995589999</v>
          </cell>
          <cell r="K945">
            <v>13999314.139274999</v>
          </cell>
          <cell r="L945">
            <v>2524736.98</v>
          </cell>
          <cell r="M945">
            <v>12760934.805209</v>
          </cell>
          <cell r="N945">
            <v>16638127.799202001</v>
          </cell>
          <cell r="O945">
            <v>23564855.642039001</v>
          </cell>
        </row>
        <row r="946">
          <cell r="A946" t="str">
            <v>Budapest BankRESERVE CHANGE</v>
          </cell>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row>
        <row r="947">
          <cell r="A947" t="str">
            <v>Budapest BankMINORITY INTEREST</v>
          </cell>
          <cell r="B947">
            <v>39277.49</v>
          </cell>
          <cell r="C947">
            <v>94193.69</v>
          </cell>
          <cell r="D947">
            <v>1029922.13</v>
          </cell>
          <cell r="E947">
            <v>180000</v>
          </cell>
          <cell r="F947">
            <v>1343393.31</v>
          </cell>
          <cell r="G947">
            <v>43452.786723999998</v>
          </cell>
          <cell r="H947">
            <v>50389.645784</v>
          </cell>
          <cell r="I947">
            <v>52413.932462999997</v>
          </cell>
          <cell r="J947">
            <v>56472.616590999998</v>
          </cell>
          <cell r="K947">
            <v>202728.981562</v>
          </cell>
          <cell r="L947">
            <v>0</v>
          </cell>
          <cell r="M947">
            <v>1343515.2372000001</v>
          </cell>
          <cell r="N947">
            <v>1907663.9235739999</v>
          </cell>
          <cell r="O947">
            <v>2301684.993396</v>
          </cell>
        </row>
        <row r="948">
          <cell r="A948" t="str">
            <v>Budapest BankINCOME TAXES</v>
          </cell>
          <cell r="B948">
            <v>-8316.41</v>
          </cell>
          <cell r="C948">
            <v>2618785.11</v>
          </cell>
          <cell r="D948">
            <v>1705046.51</v>
          </cell>
          <cell r="E948">
            <v>1151840.19</v>
          </cell>
          <cell r="F948">
            <v>5467355.4000000004</v>
          </cell>
          <cell r="G948">
            <v>1768274.9713880001</v>
          </cell>
          <cell r="H948">
            <v>2077154.684106</v>
          </cell>
          <cell r="I948">
            <v>2158468.56856</v>
          </cell>
          <cell r="J948">
            <v>2327112.441298</v>
          </cell>
          <cell r="K948">
            <v>8331010.6653519999</v>
          </cell>
          <cell r="L948">
            <v>2206133.84</v>
          </cell>
          <cell r="M948">
            <v>8487799.3345999997</v>
          </cell>
          <cell r="N948">
            <v>11560719.919311</v>
          </cell>
          <cell r="O948">
            <v>14102586.369937001</v>
          </cell>
        </row>
        <row r="949">
          <cell r="A949" t="str">
            <v>Budapest BankCUMULATIVE TRANSITION ADJUSTMENT</v>
          </cell>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row>
        <row r="950">
          <cell r="A950" t="str">
            <v>Budapest BankASIA PACIFIC NI DIVIDEND</v>
          </cell>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row>
        <row r="951">
          <cell r="A951" t="str">
            <v>Budapest BankNet Income</v>
          </cell>
          <cell r="B951">
            <v>-137211.81</v>
          </cell>
          <cell r="C951">
            <v>-1468863.14</v>
          </cell>
          <cell r="D951">
            <v>-3208835.72</v>
          </cell>
          <cell r="E951">
            <v>-3612048.25</v>
          </cell>
          <cell r="F951">
            <v>-8426958.9199999999</v>
          </cell>
          <cell r="G951">
            <v>-3100147.1630569999</v>
          </cell>
          <cell r="H951">
            <v>-3642329.7932750001</v>
          </cell>
          <cell r="I951">
            <v>-3784863.5234019998</v>
          </cell>
          <cell r="J951">
            <v>-4080616.1685859999</v>
          </cell>
          <cell r="K951">
            <v>-14607956.648321001</v>
          </cell>
          <cell r="L951">
            <v>-5199931.95</v>
          </cell>
          <cell r="M951">
            <v>-13919540.669915</v>
          </cell>
          <cell r="N951">
            <v>-19062244.498002999</v>
          </cell>
          <cell r="O951">
            <v>-23388832.550772998</v>
          </cell>
        </row>
        <row r="952">
          <cell r="A952" t="str">
            <v>Budapest BankSubPart F</v>
          </cell>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row>
        <row r="953">
          <cell r="A953" t="str">
            <v>Budapest BankAssets</v>
          </cell>
          <cell r="B953">
            <v>1080858522.72</v>
          </cell>
          <cell r="C953">
            <v>1057300583.72</v>
          </cell>
          <cell r="D953">
            <v>1115400102.6900001</v>
          </cell>
          <cell r="E953">
            <v>1115067521.77</v>
          </cell>
          <cell r="F953">
            <v>1115067521.77</v>
          </cell>
          <cell r="G953">
            <v>1061743554.79415</v>
          </cell>
          <cell r="H953">
            <v>1083541331.0926001</v>
          </cell>
          <cell r="I953">
            <v>1101596075.5321701</v>
          </cell>
          <cell r="J953">
            <v>1120056345.89024</v>
          </cell>
          <cell r="K953">
            <v>1120056345.89024</v>
          </cell>
          <cell r="L953">
            <v>1080350551.4300001</v>
          </cell>
          <cell r="M953">
            <v>1346344521.0062101</v>
          </cell>
          <cell r="N953">
            <v>1583917480.3292999</v>
          </cell>
          <cell r="O953">
            <v>1906852764.50297</v>
          </cell>
        </row>
        <row r="954">
          <cell r="A954" t="str">
            <v>Budapest BankEnding Net Investment (ENI) incl Asia</v>
          </cell>
          <cell r="B954">
            <v>973032960.87</v>
          </cell>
          <cell r="C954">
            <v>977192977.75999999</v>
          </cell>
          <cell r="D954">
            <v>1044716138.16</v>
          </cell>
          <cell r="E954">
            <v>1054325370.79</v>
          </cell>
          <cell r="F954">
            <v>1054325370.79</v>
          </cell>
          <cell r="G954">
            <v>1002200061.9447401</v>
          </cell>
          <cell r="H954">
            <v>1023997838.2431999</v>
          </cell>
          <cell r="I954">
            <v>1042052582.68277</v>
          </cell>
          <cell r="J954">
            <v>1060512853.04084</v>
          </cell>
          <cell r="K954">
            <v>1060512853.04084</v>
          </cell>
          <cell r="L954">
            <v>1001690167.6</v>
          </cell>
          <cell r="M954">
            <v>1245047924.5718501</v>
          </cell>
          <cell r="N954">
            <v>1482620883.8949399</v>
          </cell>
          <cell r="O954">
            <v>1805556168.06861</v>
          </cell>
        </row>
        <row r="955">
          <cell r="A955" t="str">
            <v>Budapest BankANR YTD</v>
          </cell>
          <cell r="B955">
            <v>308050178.315</v>
          </cell>
          <cell r="C955">
            <v>405074932.033333</v>
          </cell>
          <cell r="D955">
            <v>459124181.77999997</v>
          </cell>
          <cell r="E955">
            <v>487451526.65600002</v>
          </cell>
          <cell r="F955">
            <v>487451526.65600002</v>
          </cell>
          <cell r="G955">
            <v>614921959.61150503</v>
          </cell>
          <cell r="H955">
            <v>630892231.945539</v>
          </cell>
          <cell r="I955">
            <v>647056158.18964696</v>
          </cell>
          <cell r="J955">
            <v>662988847.48711395</v>
          </cell>
          <cell r="K955">
            <v>662988847.48711395</v>
          </cell>
          <cell r="L955">
            <v>604029072.77999997</v>
          </cell>
          <cell r="M955">
            <v>368057422.77673298</v>
          </cell>
          <cell r="N955">
            <v>465365539.07175398</v>
          </cell>
          <cell r="O955">
            <v>581889765.33018804</v>
          </cell>
        </row>
        <row r="956">
          <cell r="A956" t="str">
            <v>Budapest BankASA YTD</v>
          </cell>
          <cell r="B956">
            <v>389143371.185</v>
          </cell>
          <cell r="C956">
            <v>508892087.61666697</v>
          </cell>
          <cell r="D956">
            <v>576712323.38999999</v>
          </cell>
          <cell r="E956">
            <v>615229463.61600006</v>
          </cell>
          <cell r="F956">
            <v>615229463.61600006</v>
          </cell>
          <cell r="G956">
            <v>671120244.16481197</v>
          </cell>
          <cell r="H956">
            <v>707528742.30200005</v>
          </cell>
          <cell r="I956">
            <v>735717069.34509695</v>
          </cell>
          <cell r="J956">
            <v>758864399.12195694</v>
          </cell>
          <cell r="K956">
            <v>758864399.12195694</v>
          </cell>
          <cell r="L956">
            <v>798576787.63999999</v>
          </cell>
          <cell r="M956">
            <v>437184339.37673301</v>
          </cell>
          <cell r="N956">
            <v>553711912.07175398</v>
          </cell>
          <cell r="O956">
            <v>689486788.33018804</v>
          </cell>
        </row>
        <row r="957">
          <cell r="A957" t="str">
            <v>Budapest BankANI YTD incl Asia - 5 pt</v>
          </cell>
          <cell r="B957">
            <v>496632228.72500002</v>
          </cell>
          <cell r="C957">
            <v>656819145.07000005</v>
          </cell>
          <cell r="D957">
            <v>753793393.34249997</v>
          </cell>
          <cell r="E957">
            <v>813899788.83200002</v>
          </cell>
          <cell r="F957">
            <v>813899788.83200002</v>
          </cell>
          <cell r="G957">
            <v>1028262716.36737</v>
          </cell>
          <cell r="H957">
            <v>1026841090.3259799</v>
          </cell>
          <cell r="I957">
            <v>1030643963.41518</v>
          </cell>
          <cell r="J957">
            <v>1036617741.34031</v>
          </cell>
          <cell r="K957">
            <v>1036617741.34031</v>
          </cell>
          <cell r="L957">
            <v>1028007769.1950001</v>
          </cell>
          <cell r="M957">
            <v>469495407.57852399</v>
          </cell>
          <cell r="N957">
            <v>545533761.69335997</v>
          </cell>
          <cell r="O957">
            <v>657635410.392712</v>
          </cell>
        </row>
        <row r="958">
          <cell r="A958" t="str">
            <v>Budapest BankOff Balance Sheet Assets</v>
          </cell>
          <cell r="B958">
            <v>162186385.74000001</v>
          </cell>
          <cell r="C958">
            <v>149265081.00999999</v>
          </cell>
          <cell r="D958">
            <v>158901099.69</v>
          </cell>
          <cell r="E958">
            <v>168537118.36000001</v>
          </cell>
          <cell r="F958">
            <v>168537118.36000001</v>
          </cell>
          <cell r="G958">
            <v>112396569.10661399</v>
          </cell>
          <cell r="H958">
            <v>117512961.962767</v>
          </cell>
          <cell r="I958">
            <v>124734113.552416</v>
          </cell>
          <cell r="J958">
            <v>124734113.552416</v>
          </cell>
          <cell r="K958">
            <v>124734113.552416</v>
          </cell>
          <cell r="L958">
            <v>220558311.36000001</v>
          </cell>
          <cell r="M958">
            <v>199962714</v>
          </cell>
          <cell r="N958">
            <v>241769151</v>
          </cell>
          <cell r="O958">
            <v>296215964</v>
          </cell>
        </row>
        <row r="959">
          <cell r="A959" t="str">
            <v>Budapest BankJV Receivables</v>
          </cell>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row>
        <row r="960">
          <cell r="A960" t="str">
            <v>Budapest Bank30+ DELINQUENCY $</v>
          </cell>
          <cell r="B960">
            <v>12368028.35</v>
          </cell>
          <cell r="C960">
            <v>12644222.09</v>
          </cell>
          <cell r="D960">
            <v>12461224.539999999</v>
          </cell>
          <cell r="E960">
            <v>10894235.08</v>
          </cell>
          <cell r="F960">
            <v>10894235.08</v>
          </cell>
          <cell r="G960">
            <v>12735791.878802</v>
          </cell>
          <cell r="H960">
            <v>13253772.572716</v>
          </cell>
          <cell r="I960">
            <v>13849253.677123999</v>
          </cell>
          <cell r="J960">
            <v>14434635.381932</v>
          </cell>
          <cell r="K960">
            <v>14434635.381932</v>
          </cell>
          <cell r="L960">
            <v>8128593.7000000002</v>
          </cell>
          <cell r="M960">
            <v>20825919.040132001</v>
          </cell>
          <cell r="N960">
            <v>25919784.171535999</v>
          </cell>
          <cell r="O960">
            <v>31902932.433288999</v>
          </cell>
        </row>
        <row r="961">
          <cell r="A961" t="str">
            <v>Budapest Bank90+ DELINQUENCY $</v>
          </cell>
          <cell r="B961">
            <v>3775790.08</v>
          </cell>
          <cell r="C961">
            <v>4527186.96</v>
          </cell>
          <cell r="D961">
            <v>4570476.3099999996</v>
          </cell>
          <cell r="E961">
            <v>4022765.62</v>
          </cell>
          <cell r="F961">
            <v>4022765.62</v>
          </cell>
          <cell r="G961">
            <v>5167888.655278</v>
          </cell>
          <cell r="H961">
            <v>5489361.3698349996</v>
          </cell>
          <cell r="I961">
            <v>5689852.8244230002</v>
          </cell>
          <cell r="J961">
            <v>5888017.3725840002</v>
          </cell>
          <cell r="K961">
            <v>5888017.3725840002</v>
          </cell>
          <cell r="L961">
            <v>3360555.62</v>
          </cell>
          <cell r="M961">
            <v>7152710.6288170004</v>
          </cell>
          <cell r="N961">
            <v>9081073.5857110005</v>
          </cell>
          <cell r="O961">
            <v>11402033.674822001</v>
          </cell>
        </row>
        <row r="962">
          <cell r="A962" t="str">
            <v>Budapest BankTemporary Staff</v>
          </cell>
          <cell r="B962">
            <v>0</v>
          </cell>
          <cell r="C962">
            <v>246.5</v>
          </cell>
          <cell r="D962">
            <v>246.5</v>
          </cell>
          <cell r="E962">
            <v>246.5</v>
          </cell>
          <cell r="F962">
            <v>246.5</v>
          </cell>
          <cell r="G962">
            <v>250.5</v>
          </cell>
          <cell r="H962">
            <v>253.5</v>
          </cell>
          <cell r="I962">
            <v>256.5</v>
          </cell>
          <cell r="J962">
            <v>259.5</v>
          </cell>
          <cell r="K962">
            <v>259.5</v>
          </cell>
          <cell r="L962">
            <v>245.5</v>
          </cell>
          <cell r="M962">
            <v>322</v>
          </cell>
          <cell r="N962">
            <v>331</v>
          </cell>
          <cell r="O962">
            <v>343</v>
          </cell>
        </row>
        <row r="963">
          <cell r="A963" t="str">
            <v>Budapest BankContractors</v>
          </cell>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row>
        <row r="964">
          <cell r="A964" t="str">
            <v>Budapest BankOutsourced to LCC</v>
          </cell>
          <cell r="B964">
            <v>0</v>
          </cell>
          <cell r="C964">
            <v>0</v>
          </cell>
          <cell r="D964">
            <v>0</v>
          </cell>
          <cell r="E964">
            <v>0</v>
          </cell>
          <cell r="F964">
            <v>0</v>
          </cell>
          <cell r="G964">
            <v>3</v>
          </cell>
          <cell r="H964">
            <v>3</v>
          </cell>
          <cell r="I964">
            <v>3</v>
          </cell>
          <cell r="J964">
            <v>3</v>
          </cell>
          <cell r="K964">
            <v>3</v>
          </cell>
          <cell r="L964">
            <v>0</v>
          </cell>
          <cell r="M964">
            <v>0</v>
          </cell>
          <cell r="N964">
            <v>0</v>
          </cell>
          <cell r="O964">
            <v>0</v>
          </cell>
        </row>
        <row r="965">
          <cell r="A965" t="str">
            <v>Budapest BankTotal Headcount</v>
          </cell>
          <cell r="B965">
            <v>1776</v>
          </cell>
          <cell r="C965">
            <v>1735.5</v>
          </cell>
          <cell r="D965">
            <v>1704.5</v>
          </cell>
          <cell r="E965">
            <v>1625</v>
          </cell>
          <cell r="F965">
            <v>1625</v>
          </cell>
          <cell r="G965">
            <v>1620</v>
          </cell>
          <cell r="H965">
            <v>1611</v>
          </cell>
          <cell r="I965">
            <v>1591</v>
          </cell>
          <cell r="J965">
            <v>1585</v>
          </cell>
          <cell r="K965">
            <v>1585</v>
          </cell>
          <cell r="L965">
            <v>1625.5</v>
          </cell>
          <cell r="M965">
            <v>1631</v>
          </cell>
          <cell r="N965">
            <v>1595</v>
          </cell>
          <cell r="O965">
            <v>1570</v>
          </cell>
        </row>
        <row r="966">
          <cell r="A966" t="str">
            <v>Budapest BankTotal Workforce</v>
          </cell>
          <cell r="B966">
            <v>1776</v>
          </cell>
          <cell r="C966">
            <v>1982</v>
          </cell>
          <cell r="D966">
            <v>1951</v>
          </cell>
          <cell r="E966">
            <v>1871.5</v>
          </cell>
          <cell r="F966">
            <v>1871.5</v>
          </cell>
          <cell r="G966">
            <v>1873.5</v>
          </cell>
          <cell r="H966">
            <v>1867.5</v>
          </cell>
          <cell r="I966">
            <v>1850.5</v>
          </cell>
          <cell r="J966">
            <v>1847.5</v>
          </cell>
          <cell r="K966">
            <v>1847.5</v>
          </cell>
          <cell r="L966">
            <v>1871</v>
          </cell>
          <cell r="M966">
            <v>1953</v>
          </cell>
          <cell r="N966">
            <v>1926</v>
          </cell>
          <cell r="O966">
            <v>1913</v>
          </cell>
        </row>
        <row r="967">
          <cell r="A967" t="str">
            <v>Budapest BankTotal Earned Revenue</v>
          </cell>
          <cell r="B967">
            <v>-4177765.16</v>
          </cell>
          <cell r="C967">
            <v>-53071982.719999999</v>
          </cell>
          <cell r="D967">
            <v>-36923538.159999996</v>
          </cell>
          <cell r="E967">
            <v>-40132440.380000003</v>
          </cell>
          <cell r="F967">
            <v>-134305726.41999999</v>
          </cell>
          <cell r="G967">
            <v>-40965614.164361998</v>
          </cell>
          <cell r="H967">
            <v>-40503897.638819002</v>
          </cell>
          <cell r="I967">
            <v>-40504364.952613004</v>
          </cell>
          <cell r="J967">
            <v>-40965622.400060996</v>
          </cell>
          <cell r="K967">
            <v>-162939499.155855</v>
          </cell>
          <cell r="L967">
            <v>-41962965.619999997</v>
          </cell>
          <cell r="M967">
            <v>-219363604.57649601</v>
          </cell>
          <cell r="N967">
            <v>-242124465.170104</v>
          </cell>
          <cell r="O967">
            <v>-280349762.16734397</v>
          </cell>
        </row>
        <row r="968">
          <cell r="A968" t="str">
            <v>Budapest BankOrdinary Gains - PreTax</v>
          </cell>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row>
        <row r="969">
          <cell r="A969" t="str">
            <v>Budapest BankOrdinary Gains - AfterTax</v>
          </cell>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row>
        <row r="970">
          <cell r="A970" t="str">
            <v>Budapest BankTotal Volume</v>
          </cell>
          <cell r="B970">
            <v>133894087</v>
          </cell>
          <cell r="C970">
            <v>153636192</v>
          </cell>
          <cell r="D970">
            <v>156545230</v>
          </cell>
          <cell r="E970">
            <v>119627589.87</v>
          </cell>
          <cell r="F970">
            <v>563703098.87</v>
          </cell>
          <cell r="G970">
            <v>106684100.54711001</v>
          </cell>
          <cell r="H970">
            <v>111272466.608569</v>
          </cell>
          <cell r="I970">
            <v>109564855.96143299</v>
          </cell>
          <cell r="J970">
            <v>146517962.775563</v>
          </cell>
          <cell r="K970">
            <v>474039385.89267498</v>
          </cell>
          <cell r="L970">
            <v>90128195.280000001</v>
          </cell>
          <cell r="M970">
            <v>941915436.63028896</v>
          </cell>
          <cell r="N970">
            <v>1056895938.20049</v>
          </cell>
          <cell r="O970">
            <v>1254439866.55527</v>
          </cell>
        </row>
        <row r="971">
          <cell r="A971" t="str">
            <v>Budapest BankTOTAL # ACTIVE ACCOUNTS</v>
          </cell>
          <cell r="B971">
            <v>875855.86</v>
          </cell>
          <cell r="C971">
            <v>841931.48</v>
          </cell>
          <cell r="D971">
            <v>888113.15</v>
          </cell>
          <cell r="E971">
            <v>856768.05</v>
          </cell>
          <cell r="F971">
            <v>856768.05</v>
          </cell>
          <cell r="G971">
            <v>886495.88970000006</v>
          </cell>
          <cell r="H971">
            <v>924782.77198199998</v>
          </cell>
          <cell r="I971">
            <v>976233.03514399996</v>
          </cell>
          <cell r="J971">
            <v>1049885.0656649999</v>
          </cell>
          <cell r="K971">
            <v>1049885.0656649999</v>
          </cell>
          <cell r="L971">
            <v>0</v>
          </cell>
          <cell r="M971">
            <v>1237524.550911</v>
          </cell>
          <cell r="N971">
            <v>1377154.918908</v>
          </cell>
          <cell r="O971">
            <v>1521133.557856</v>
          </cell>
        </row>
        <row r="972">
          <cell r="A972" t="str">
            <v>Business Shares UKTOTAL FINANCING RECEIVABLES</v>
          </cell>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row>
        <row r="973">
          <cell r="A973" t="str">
            <v>Business Shares UKRECEIVABLE RESERVES</v>
          </cell>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row>
        <row r="974">
          <cell r="A974" t="str">
            <v>Business Shares UKCASH</v>
          </cell>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row>
        <row r="975">
          <cell r="A975" t="str">
            <v>Business Shares UKINVESTMENT SECURITIES</v>
          </cell>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row>
        <row r="976">
          <cell r="A976" t="str">
            <v>Business Shares UKINV IN NON CONSOL AFFILIATES</v>
          </cell>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row>
        <row r="977">
          <cell r="A977" t="str">
            <v>Business Shares UKINVESTMENT IN JOINT VENTURE</v>
          </cell>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row>
        <row r="978">
          <cell r="A978" t="str">
            <v>Business Shares UKALL OTHER RECEIVABLES (NON-FINANCING)</v>
          </cell>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row>
        <row r="979">
          <cell r="A979" t="str">
            <v>Business Shares UKELTO (NET)</v>
          </cell>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row>
        <row r="980">
          <cell r="A980" t="str">
            <v>Business Shares UKGOODWILL</v>
          </cell>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row>
        <row r="981">
          <cell r="A981" t="str">
            <v>Business Shares UKOTHER ASSETS</v>
          </cell>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row>
        <row r="982">
          <cell r="A982" t="str">
            <v>Business Shares UKACCOUNTS PAYABLE</v>
          </cell>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row>
        <row r="983">
          <cell r="A983" t="str">
            <v>Business Shares UKDEFERRED INCOME TAXES</v>
          </cell>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row>
        <row r="984">
          <cell r="A984" t="str">
            <v>Business Shares UKWRITE-OFF (MEMO)</v>
          </cell>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row>
        <row r="985">
          <cell r="A985" t="str">
            <v>Business Shares UKINSURANCE RESERVES AND ANNUITY BENEFITS</v>
          </cell>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row>
        <row r="986">
          <cell r="A986" t="str">
            <v>Business Shares UKALL OTHER NON DEBT LIABILITIES</v>
          </cell>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row>
        <row r="987">
          <cell r="A987" t="str">
            <v>Business Shares UKMINORITY INTEREST (BS)</v>
          </cell>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row>
        <row r="988">
          <cell r="A988" t="str">
            <v>Business Shares UKASIA PACIFIC ENI DIVIDEND</v>
          </cell>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row>
        <row r="989">
          <cell r="A989" t="str">
            <v>Business Shares UKFINANCING INCOME</v>
          </cell>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row>
        <row r="990">
          <cell r="A990" t="str">
            <v>Business Shares UKINSURANCE PREMIUM INCOME</v>
          </cell>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row>
        <row r="991">
          <cell r="A991" t="str">
            <v>Business Shares UKINSURANCE INCOME (COMMISSIONS)</v>
          </cell>
          <cell r="B991">
            <v>1650000</v>
          </cell>
          <cell r="C991">
            <v>1000000</v>
          </cell>
          <cell r="D991">
            <v>605</v>
          </cell>
          <cell r="E991">
            <v>344274.7</v>
          </cell>
          <cell r="F991">
            <v>2994879.7</v>
          </cell>
          <cell r="G991">
            <v>0</v>
          </cell>
          <cell r="H991">
            <v>0</v>
          </cell>
          <cell r="I991">
            <v>0</v>
          </cell>
          <cell r="J991">
            <v>0</v>
          </cell>
          <cell r="K991">
            <v>0</v>
          </cell>
          <cell r="L991">
            <v>-76326</v>
          </cell>
          <cell r="M991">
            <v>0</v>
          </cell>
          <cell r="N991">
            <v>0</v>
          </cell>
          <cell r="O991">
            <v>0</v>
          </cell>
        </row>
        <row r="992">
          <cell r="A992" t="str">
            <v>Business Shares UKSUNDRY INCOME</v>
          </cell>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row>
        <row r="993">
          <cell r="A993" t="str">
            <v>Business Shares UKINTEREST EXPENSE</v>
          </cell>
          <cell r="B993">
            <v>0</v>
          </cell>
          <cell r="C993">
            <v>0</v>
          </cell>
          <cell r="D993">
            <v>0</v>
          </cell>
          <cell r="E993">
            <v>0</v>
          </cell>
          <cell r="F993">
            <v>0</v>
          </cell>
          <cell r="G993">
            <v>261656.254472</v>
          </cell>
          <cell r="H993">
            <v>261656.254472</v>
          </cell>
          <cell r="I993">
            <v>261656.254472</v>
          </cell>
          <cell r="J993">
            <v>261656.254472</v>
          </cell>
          <cell r="K993">
            <v>1046625.017886</v>
          </cell>
          <cell r="L993">
            <v>0</v>
          </cell>
          <cell r="M993">
            <v>1046625.017886</v>
          </cell>
          <cell r="N993">
            <v>1046625.017886</v>
          </cell>
          <cell r="O993">
            <v>1046625.017886</v>
          </cell>
        </row>
        <row r="994">
          <cell r="A994" t="str">
            <v>Business Shares UKINTEREST EXPENSE REDUCTIONS / BUS SHARING</v>
          </cell>
          <cell r="B994">
            <v>259927.01</v>
          </cell>
          <cell r="C994">
            <v>254102.85</v>
          </cell>
          <cell r="D994">
            <v>251170</v>
          </cell>
          <cell r="E994">
            <v>83130</v>
          </cell>
          <cell r="F994">
            <v>848329.86</v>
          </cell>
          <cell r="G994">
            <v>0</v>
          </cell>
          <cell r="H994">
            <v>0</v>
          </cell>
          <cell r="I994">
            <v>0</v>
          </cell>
          <cell r="J994">
            <v>0</v>
          </cell>
          <cell r="K994">
            <v>0</v>
          </cell>
          <cell r="L994">
            <v>288065</v>
          </cell>
          <cell r="M994">
            <v>0</v>
          </cell>
          <cell r="N994">
            <v>0</v>
          </cell>
          <cell r="O994">
            <v>0</v>
          </cell>
        </row>
        <row r="995">
          <cell r="A995" t="str">
            <v>Business Shares UKALLOCATED COST OF PREFERRED EQUITY</v>
          </cell>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row>
        <row r="996">
          <cell r="A996" t="str">
            <v>Business Shares UKSALARIES &amp; BENEFITS</v>
          </cell>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row>
        <row r="997">
          <cell r="A997" t="str">
            <v>Business Shares UKLOSSES ON OTHER ASSETS</v>
          </cell>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row>
        <row r="998">
          <cell r="A998" t="str">
            <v>Business Shares UKCOST OF GOODS SOLD</v>
          </cell>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row>
        <row r="999">
          <cell r="A999" t="str">
            <v>Business Shares UKCOST OF GOODS SOLD - DISTRIBUTION</v>
          </cell>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row>
        <row r="1000">
          <cell r="A1000" t="str">
            <v>Business Shares UKPOSTAGE</v>
          </cell>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row>
        <row r="1001">
          <cell r="A1001" t="str">
            <v>Business Shares UKTELEPHONE</v>
          </cell>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row>
        <row r="1002">
          <cell r="A1002" t="str">
            <v>Business Shares UKCUSTOMER SERVICE / COLLECTIONS</v>
          </cell>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row>
        <row r="1003">
          <cell r="A1003" t="str">
            <v>Business Shares UKSTATIONARY - OFFICE SUPPLIES</v>
          </cell>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row>
        <row r="1004">
          <cell r="A1004" t="str">
            <v>Business Shares UKT&amp;L</v>
          </cell>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row>
        <row r="1005">
          <cell r="A1005" t="str">
            <v>Business Shares UKRENTAL - BLDG/FACILITIES</v>
          </cell>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row>
        <row r="1006">
          <cell r="A1006" t="str">
            <v>Business Shares UKRENTAL - FURNITURE/EQUIP</v>
          </cell>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row>
        <row r="1007">
          <cell r="A1007" t="str">
            <v>Business Shares UKRENTAL - COMPUTERS</v>
          </cell>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row>
        <row r="1008">
          <cell r="A1008" t="str">
            <v>Business Shares UKLEASE IN - LEASE OUT</v>
          </cell>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row>
        <row r="1009">
          <cell r="A1009" t="str">
            <v>Business Shares UKFURNITURE / EQUIPMENT / COMPUTER EXP</v>
          </cell>
          <cell r="B1009">
            <v>0</v>
          </cell>
          <cell r="C1009">
            <v>0</v>
          </cell>
          <cell r="D1009">
            <v>0</v>
          </cell>
          <cell r="E1009">
            <v>0</v>
          </cell>
          <cell r="F1009">
            <v>0</v>
          </cell>
          <cell r="G1009">
            <v>0</v>
          </cell>
          <cell r="H1009">
            <v>0</v>
          </cell>
          <cell r="I1009">
            <v>0</v>
          </cell>
          <cell r="J1009">
            <v>0</v>
          </cell>
          <cell r="K1009">
            <v>0</v>
          </cell>
          <cell r="L1009">
            <v>0</v>
          </cell>
          <cell r="M1009">
            <v>0</v>
          </cell>
          <cell r="N1009">
            <v>0</v>
          </cell>
          <cell r="O1009">
            <v>0</v>
          </cell>
        </row>
        <row r="1010">
          <cell r="A1010" t="str">
            <v>Business Shares UKSOFTWARE EXPENSE</v>
          </cell>
          <cell r="B1010">
            <v>0</v>
          </cell>
          <cell r="C1010">
            <v>0</v>
          </cell>
          <cell r="D1010">
            <v>0</v>
          </cell>
          <cell r="E1010">
            <v>0</v>
          </cell>
          <cell r="F1010">
            <v>0</v>
          </cell>
          <cell r="G1010">
            <v>0</v>
          </cell>
          <cell r="H1010">
            <v>0</v>
          </cell>
          <cell r="I1010">
            <v>0</v>
          </cell>
          <cell r="J1010">
            <v>0</v>
          </cell>
          <cell r="K1010">
            <v>0</v>
          </cell>
          <cell r="L1010">
            <v>0</v>
          </cell>
          <cell r="M1010">
            <v>0</v>
          </cell>
          <cell r="N1010">
            <v>0</v>
          </cell>
          <cell r="O1010">
            <v>0</v>
          </cell>
        </row>
        <row r="1011">
          <cell r="A1011" t="str">
            <v>Business Shares UKAMORTIZATION OF INTANGIBLES</v>
          </cell>
          <cell r="B1011">
            <v>0</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row>
        <row r="1012">
          <cell r="A1012" t="str">
            <v>Business Shares UKELTO MAINTENANCE</v>
          </cell>
          <cell r="B1012">
            <v>0</v>
          </cell>
          <cell r="C1012">
            <v>0</v>
          </cell>
          <cell r="D1012">
            <v>0</v>
          </cell>
          <cell r="E1012">
            <v>0</v>
          </cell>
          <cell r="F1012">
            <v>0</v>
          </cell>
          <cell r="G1012">
            <v>0</v>
          </cell>
          <cell r="H1012">
            <v>0</v>
          </cell>
          <cell r="I1012">
            <v>0</v>
          </cell>
          <cell r="J1012">
            <v>0</v>
          </cell>
          <cell r="K1012">
            <v>0</v>
          </cell>
          <cell r="L1012">
            <v>0</v>
          </cell>
          <cell r="M1012">
            <v>0</v>
          </cell>
          <cell r="N1012">
            <v>0</v>
          </cell>
          <cell r="O1012">
            <v>0</v>
          </cell>
        </row>
        <row r="1013">
          <cell r="A1013" t="str">
            <v>Business Shares UKELTO OTHER</v>
          </cell>
          <cell r="B1013">
            <v>0</v>
          </cell>
          <cell r="C1013">
            <v>0</v>
          </cell>
          <cell r="D1013">
            <v>0</v>
          </cell>
          <cell r="E1013">
            <v>0</v>
          </cell>
          <cell r="F1013">
            <v>0</v>
          </cell>
          <cell r="G1013">
            <v>0</v>
          </cell>
          <cell r="H1013">
            <v>0</v>
          </cell>
          <cell r="I1013">
            <v>0</v>
          </cell>
          <cell r="J1013">
            <v>0</v>
          </cell>
          <cell r="K1013">
            <v>0</v>
          </cell>
          <cell r="L1013">
            <v>0</v>
          </cell>
          <cell r="M1013">
            <v>0</v>
          </cell>
          <cell r="N1013">
            <v>0</v>
          </cell>
          <cell r="O1013">
            <v>0</v>
          </cell>
        </row>
        <row r="1014">
          <cell r="A1014" t="str">
            <v>Business Shares UKLEGAL</v>
          </cell>
          <cell r="B1014">
            <v>0</v>
          </cell>
          <cell r="C1014">
            <v>0</v>
          </cell>
          <cell r="D1014">
            <v>0</v>
          </cell>
          <cell r="E1014">
            <v>0</v>
          </cell>
          <cell r="F1014">
            <v>0</v>
          </cell>
          <cell r="G1014">
            <v>0</v>
          </cell>
          <cell r="H1014">
            <v>0</v>
          </cell>
          <cell r="I1014">
            <v>0</v>
          </cell>
          <cell r="J1014">
            <v>0</v>
          </cell>
          <cell r="K1014">
            <v>0</v>
          </cell>
          <cell r="L1014">
            <v>0</v>
          </cell>
          <cell r="M1014">
            <v>0</v>
          </cell>
          <cell r="N1014">
            <v>0</v>
          </cell>
          <cell r="O1014">
            <v>0</v>
          </cell>
        </row>
        <row r="1015">
          <cell r="A1015" t="str">
            <v>Business Shares UKADVERTISING</v>
          </cell>
          <cell r="B1015">
            <v>0</v>
          </cell>
          <cell r="C1015">
            <v>0</v>
          </cell>
          <cell r="D1015">
            <v>0</v>
          </cell>
          <cell r="E1015">
            <v>0</v>
          </cell>
          <cell r="F1015">
            <v>0</v>
          </cell>
          <cell r="G1015">
            <v>0</v>
          </cell>
          <cell r="H1015">
            <v>0</v>
          </cell>
          <cell r="I1015">
            <v>0</v>
          </cell>
          <cell r="J1015">
            <v>0</v>
          </cell>
          <cell r="K1015">
            <v>0</v>
          </cell>
          <cell r="L1015">
            <v>0</v>
          </cell>
          <cell r="M1015">
            <v>0</v>
          </cell>
          <cell r="N1015">
            <v>0</v>
          </cell>
          <cell r="O1015">
            <v>0</v>
          </cell>
        </row>
        <row r="1016">
          <cell r="A1016" t="str">
            <v>Business Shares UKSALES PROMOTIONS</v>
          </cell>
          <cell r="B1016">
            <v>0</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row>
        <row r="1017">
          <cell r="A1017" t="str">
            <v>Business Shares UKDIRECT MAIL</v>
          </cell>
          <cell r="B1017">
            <v>0</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row>
        <row r="1018">
          <cell r="A1018" t="str">
            <v>Business Shares UKDATA PROCESSING</v>
          </cell>
          <cell r="B1018">
            <v>0</v>
          </cell>
          <cell r="C1018">
            <v>0</v>
          </cell>
          <cell r="D1018">
            <v>0</v>
          </cell>
          <cell r="E1018">
            <v>0</v>
          </cell>
          <cell r="F1018">
            <v>0</v>
          </cell>
          <cell r="G1018">
            <v>0</v>
          </cell>
          <cell r="H1018">
            <v>0</v>
          </cell>
          <cell r="I1018">
            <v>0</v>
          </cell>
          <cell r="J1018">
            <v>0</v>
          </cell>
          <cell r="K1018">
            <v>0</v>
          </cell>
          <cell r="L1018">
            <v>0</v>
          </cell>
          <cell r="M1018">
            <v>0</v>
          </cell>
          <cell r="N1018">
            <v>0</v>
          </cell>
          <cell r="O1018">
            <v>0</v>
          </cell>
        </row>
        <row r="1019">
          <cell r="A1019" t="str">
            <v>Business Shares UKCONSULTING</v>
          </cell>
          <cell r="B1019">
            <v>0</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row>
        <row r="1020">
          <cell r="A1020" t="str">
            <v>Business Shares UKTEMP SERVICES</v>
          </cell>
          <cell r="B1020">
            <v>0</v>
          </cell>
          <cell r="C1020">
            <v>0</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Business Shares UKGDC CHARGES</v>
          </cell>
          <cell r="B1021">
            <v>0</v>
          </cell>
          <cell r="C1021">
            <v>0</v>
          </cell>
          <cell r="D1021">
            <v>0</v>
          </cell>
          <cell r="E1021">
            <v>0</v>
          </cell>
          <cell r="F1021">
            <v>0</v>
          </cell>
          <cell r="G1021">
            <v>0</v>
          </cell>
          <cell r="H1021">
            <v>0</v>
          </cell>
          <cell r="I1021">
            <v>0</v>
          </cell>
          <cell r="J1021">
            <v>0</v>
          </cell>
          <cell r="K1021">
            <v>0</v>
          </cell>
          <cell r="L1021">
            <v>0</v>
          </cell>
          <cell r="M1021">
            <v>0</v>
          </cell>
          <cell r="N1021">
            <v>0</v>
          </cell>
          <cell r="O1021">
            <v>0</v>
          </cell>
        </row>
        <row r="1022">
          <cell r="A1022" t="str">
            <v>Business Shares UKTRAINING AND EDUCATION</v>
          </cell>
          <cell r="B1022">
            <v>0</v>
          </cell>
          <cell r="C1022">
            <v>0</v>
          </cell>
          <cell r="D1022">
            <v>0</v>
          </cell>
          <cell r="E1022">
            <v>0</v>
          </cell>
          <cell r="F1022">
            <v>0</v>
          </cell>
          <cell r="G1022">
            <v>0</v>
          </cell>
          <cell r="H1022">
            <v>0</v>
          </cell>
          <cell r="I1022">
            <v>0</v>
          </cell>
          <cell r="J1022">
            <v>0</v>
          </cell>
          <cell r="K1022">
            <v>0</v>
          </cell>
          <cell r="L1022">
            <v>0</v>
          </cell>
          <cell r="M1022">
            <v>0</v>
          </cell>
          <cell r="N1022">
            <v>0</v>
          </cell>
          <cell r="O1022">
            <v>0</v>
          </cell>
        </row>
        <row r="1023">
          <cell r="A1023" t="str">
            <v>Business Shares UKOUTSIDE SERVICES  AND FEES</v>
          </cell>
          <cell r="B1023">
            <v>0</v>
          </cell>
          <cell r="C1023">
            <v>0</v>
          </cell>
          <cell r="D1023">
            <v>0</v>
          </cell>
          <cell r="E1023">
            <v>0</v>
          </cell>
          <cell r="F1023">
            <v>0</v>
          </cell>
          <cell r="G1023">
            <v>0</v>
          </cell>
          <cell r="H1023">
            <v>0</v>
          </cell>
          <cell r="I1023">
            <v>0</v>
          </cell>
          <cell r="J1023">
            <v>0</v>
          </cell>
          <cell r="K1023">
            <v>0</v>
          </cell>
          <cell r="L1023">
            <v>0</v>
          </cell>
          <cell r="M1023">
            <v>0</v>
          </cell>
          <cell r="N1023">
            <v>0</v>
          </cell>
          <cell r="O1023">
            <v>0</v>
          </cell>
        </row>
        <row r="1024">
          <cell r="A1024" t="str">
            <v>Business Shares UKSTATE, FOREIGN, LOCAL TAXES</v>
          </cell>
          <cell r="B1024">
            <v>0</v>
          </cell>
          <cell r="C1024">
            <v>0</v>
          </cell>
          <cell r="D1024">
            <v>0</v>
          </cell>
          <cell r="E1024">
            <v>0</v>
          </cell>
          <cell r="F1024">
            <v>0</v>
          </cell>
          <cell r="G1024">
            <v>0</v>
          </cell>
          <cell r="H1024">
            <v>0</v>
          </cell>
          <cell r="I1024">
            <v>0</v>
          </cell>
          <cell r="J1024">
            <v>0</v>
          </cell>
          <cell r="K1024">
            <v>0</v>
          </cell>
          <cell r="L1024">
            <v>0</v>
          </cell>
          <cell r="M1024">
            <v>0</v>
          </cell>
          <cell r="N1024">
            <v>0</v>
          </cell>
          <cell r="O1024">
            <v>0</v>
          </cell>
        </row>
        <row r="1025">
          <cell r="A1025" t="str">
            <v>Business Shares UKS/L TAX - INSURANCE PREMIUMS</v>
          </cell>
          <cell r="B1025">
            <v>0</v>
          </cell>
          <cell r="C1025">
            <v>0</v>
          </cell>
          <cell r="D1025">
            <v>0</v>
          </cell>
          <cell r="E1025">
            <v>0</v>
          </cell>
          <cell r="F1025">
            <v>0</v>
          </cell>
          <cell r="G1025">
            <v>0</v>
          </cell>
          <cell r="H1025">
            <v>0</v>
          </cell>
          <cell r="I1025">
            <v>0</v>
          </cell>
          <cell r="J1025">
            <v>0</v>
          </cell>
          <cell r="K1025">
            <v>0</v>
          </cell>
          <cell r="L1025">
            <v>0</v>
          </cell>
          <cell r="M1025">
            <v>0</v>
          </cell>
          <cell r="N1025">
            <v>0</v>
          </cell>
          <cell r="O1025">
            <v>0</v>
          </cell>
        </row>
        <row r="1026">
          <cell r="A1026" t="str">
            <v>Business Shares UKSATELLITE LEASE EXPENSE</v>
          </cell>
          <cell r="B1026">
            <v>0</v>
          </cell>
          <cell r="C1026">
            <v>0</v>
          </cell>
          <cell r="D1026">
            <v>0</v>
          </cell>
          <cell r="E1026">
            <v>0</v>
          </cell>
          <cell r="F1026">
            <v>0</v>
          </cell>
          <cell r="G1026">
            <v>0</v>
          </cell>
          <cell r="H1026">
            <v>0</v>
          </cell>
          <cell r="I1026">
            <v>0</v>
          </cell>
          <cell r="J1026">
            <v>0</v>
          </cell>
          <cell r="K1026">
            <v>0</v>
          </cell>
          <cell r="L1026">
            <v>0</v>
          </cell>
          <cell r="M1026">
            <v>0</v>
          </cell>
          <cell r="N1026">
            <v>0</v>
          </cell>
          <cell r="O1026">
            <v>0</v>
          </cell>
        </row>
        <row r="1027">
          <cell r="A1027" t="str">
            <v>Business Shares UKBUSINESS SHARE EXPENSE</v>
          </cell>
          <cell r="B1027">
            <v>0</v>
          </cell>
          <cell r="C1027">
            <v>0</v>
          </cell>
          <cell r="D1027">
            <v>0</v>
          </cell>
          <cell r="E1027">
            <v>0</v>
          </cell>
          <cell r="F1027">
            <v>0</v>
          </cell>
          <cell r="G1027">
            <v>0</v>
          </cell>
          <cell r="H1027">
            <v>0</v>
          </cell>
          <cell r="I1027">
            <v>0</v>
          </cell>
          <cell r="J1027">
            <v>0</v>
          </cell>
          <cell r="K1027">
            <v>0</v>
          </cell>
          <cell r="L1027">
            <v>0</v>
          </cell>
          <cell r="M1027">
            <v>0</v>
          </cell>
          <cell r="N1027">
            <v>0</v>
          </cell>
          <cell r="O1027">
            <v>0</v>
          </cell>
        </row>
        <row r="1028">
          <cell r="A1028" t="str">
            <v>Business Shares UKINSURANCE AFFILIATE EXPENSE</v>
          </cell>
          <cell r="B1028">
            <v>0</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Business Shares UKOTHER FACILITY EXPENSE</v>
          </cell>
          <cell r="B1029">
            <v>0</v>
          </cell>
          <cell r="C1029">
            <v>0</v>
          </cell>
          <cell r="D1029">
            <v>0</v>
          </cell>
          <cell r="E1029">
            <v>0</v>
          </cell>
          <cell r="F1029">
            <v>0</v>
          </cell>
          <cell r="G1029">
            <v>0</v>
          </cell>
          <cell r="H1029">
            <v>0</v>
          </cell>
          <cell r="I1029">
            <v>0</v>
          </cell>
          <cell r="J1029">
            <v>0</v>
          </cell>
          <cell r="K1029">
            <v>0</v>
          </cell>
          <cell r="L1029">
            <v>0</v>
          </cell>
          <cell r="M1029">
            <v>0</v>
          </cell>
          <cell r="N1029">
            <v>0</v>
          </cell>
          <cell r="O1029">
            <v>0</v>
          </cell>
        </row>
        <row r="1030">
          <cell r="A1030" t="str">
            <v>Business Shares UKGROSS OP &amp; ADMIN BUS SHARE</v>
          </cell>
          <cell r="B1030">
            <v>0</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row>
        <row r="1031">
          <cell r="A1031" t="str">
            <v>Business Shares UKOTHER EXPENSE</v>
          </cell>
          <cell r="B1031">
            <v>0</v>
          </cell>
          <cell r="C1031">
            <v>0</v>
          </cell>
          <cell r="D1031">
            <v>0</v>
          </cell>
          <cell r="E1031">
            <v>0</v>
          </cell>
          <cell r="F1031">
            <v>0</v>
          </cell>
          <cell r="G1031">
            <v>0</v>
          </cell>
          <cell r="H1031">
            <v>0</v>
          </cell>
          <cell r="I1031">
            <v>0</v>
          </cell>
          <cell r="J1031">
            <v>0</v>
          </cell>
          <cell r="K1031">
            <v>0</v>
          </cell>
          <cell r="L1031">
            <v>0</v>
          </cell>
          <cell r="M1031">
            <v>0</v>
          </cell>
          <cell r="N1031">
            <v>0</v>
          </cell>
          <cell r="O1031">
            <v>0</v>
          </cell>
        </row>
        <row r="1032">
          <cell r="A1032" t="str">
            <v>Business Shares UKGECC INTERCO EXPENSES EXCL GECIS</v>
          </cell>
          <cell r="B1032">
            <v>0</v>
          </cell>
          <cell r="C1032">
            <v>0</v>
          </cell>
          <cell r="D1032">
            <v>0</v>
          </cell>
          <cell r="E1032">
            <v>0</v>
          </cell>
          <cell r="F1032">
            <v>0</v>
          </cell>
          <cell r="G1032">
            <v>0</v>
          </cell>
          <cell r="H1032">
            <v>0</v>
          </cell>
          <cell r="I1032">
            <v>0</v>
          </cell>
          <cell r="J1032">
            <v>0</v>
          </cell>
          <cell r="K1032">
            <v>0</v>
          </cell>
          <cell r="L1032">
            <v>0</v>
          </cell>
          <cell r="M1032">
            <v>0</v>
          </cell>
          <cell r="N1032">
            <v>0</v>
          </cell>
          <cell r="O1032">
            <v>0</v>
          </cell>
        </row>
        <row r="1033">
          <cell r="A1033" t="str">
            <v>Business Shares UKGECIS INTERCO CHARGES</v>
          </cell>
          <cell r="B1033">
            <v>0</v>
          </cell>
          <cell r="C1033">
            <v>0</v>
          </cell>
          <cell r="D1033">
            <v>0</v>
          </cell>
          <cell r="E1033">
            <v>0</v>
          </cell>
          <cell r="F1033">
            <v>0</v>
          </cell>
          <cell r="G1033">
            <v>0</v>
          </cell>
          <cell r="H1033">
            <v>0</v>
          </cell>
          <cell r="I1033">
            <v>0</v>
          </cell>
          <cell r="J1033">
            <v>0</v>
          </cell>
          <cell r="K1033">
            <v>0</v>
          </cell>
          <cell r="L1033">
            <v>0</v>
          </cell>
          <cell r="M1033">
            <v>0</v>
          </cell>
          <cell r="N1033">
            <v>0</v>
          </cell>
          <cell r="O1033">
            <v>0</v>
          </cell>
        </row>
        <row r="1034">
          <cell r="A1034" t="str">
            <v>Business Shares UKLOSS ADJUSTED EXPENSE</v>
          </cell>
          <cell r="B1034">
            <v>0</v>
          </cell>
          <cell r="C1034">
            <v>0</v>
          </cell>
          <cell r="D1034">
            <v>0</v>
          </cell>
          <cell r="E1034">
            <v>0</v>
          </cell>
          <cell r="F1034">
            <v>0</v>
          </cell>
          <cell r="G1034">
            <v>0</v>
          </cell>
          <cell r="H1034">
            <v>0</v>
          </cell>
          <cell r="I1034">
            <v>0</v>
          </cell>
          <cell r="J1034">
            <v>0</v>
          </cell>
          <cell r="K1034">
            <v>0</v>
          </cell>
          <cell r="L1034">
            <v>0</v>
          </cell>
          <cell r="M1034">
            <v>0</v>
          </cell>
          <cell r="N1034">
            <v>0</v>
          </cell>
          <cell r="O1034">
            <v>0</v>
          </cell>
        </row>
        <row r="1035">
          <cell r="A1035" t="str">
            <v>Business Shares UKALL OTHER EXPENSES</v>
          </cell>
          <cell r="B1035">
            <v>0</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row>
        <row r="1036">
          <cell r="A1036" t="str">
            <v>Business Shares UKASSESSMENTS</v>
          </cell>
          <cell r="B1036">
            <v>0</v>
          </cell>
          <cell r="C1036">
            <v>0</v>
          </cell>
          <cell r="D1036">
            <v>0</v>
          </cell>
          <cell r="E1036">
            <v>0</v>
          </cell>
          <cell r="F1036">
            <v>0</v>
          </cell>
          <cell r="G1036">
            <v>0</v>
          </cell>
          <cell r="H1036">
            <v>0</v>
          </cell>
          <cell r="I1036">
            <v>0</v>
          </cell>
          <cell r="J1036">
            <v>0</v>
          </cell>
          <cell r="K1036">
            <v>0</v>
          </cell>
          <cell r="L1036">
            <v>0</v>
          </cell>
          <cell r="M1036">
            <v>0</v>
          </cell>
          <cell r="N1036">
            <v>0</v>
          </cell>
          <cell r="O1036">
            <v>0</v>
          </cell>
        </row>
        <row r="1037">
          <cell r="A1037" t="str">
            <v>Business Shares UKFAS 91</v>
          </cell>
          <cell r="B1037">
            <v>0</v>
          </cell>
          <cell r="C1037">
            <v>0</v>
          </cell>
          <cell r="D1037">
            <v>0</v>
          </cell>
          <cell r="E1037">
            <v>0</v>
          </cell>
          <cell r="F1037">
            <v>0</v>
          </cell>
          <cell r="G1037">
            <v>0</v>
          </cell>
          <cell r="H1037">
            <v>0</v>
          </cell>
          <cell r="I1037">
            <v>0</v>
          </cell>
          <cell r="J1037">
            <v>0</v>
          </cell>
          <cell r="K1037">
            <v>0</v>
          </cell>
          <cell r="L1037">
            <v>0</v>
          </cell>
          <cell r="M1037">
            <v>0</v>
          </cell>
          <cell r="N1037">
            <v>0</v>
          </cell>
          <cell r="O1037">
            <v>0</v>
          </cell>
        </row>
        <row r="1038">
          <cell r="A1038" t="str">
            <v>Business Shares UKGOODWILL AMORTIZATION</v>
          </cell>
          <cell r="B1038">
            <v>0</v>
          </cell>
          <cell r="C1038">
            <v>0</v>
          </cell>
          <cell r="D1038">
            <v>0</v>
          </cell>
          <cell r="E1038">
            <v>0</v>
          </cell>
          <cell r="F1038">
            <v>0</v>
          </cell>
          <cell r="G1038">
            <v>0</v>
          </cell>
          <cell r="H1038">
            <v>0</v>
          </cell>
          <cell r="I1038">
            <v>0</v>
          </cell>
          <cell r="J1038">
            <v>0</v>
          </cell>
          <cell r="K1038">
            <v>0</v>
          </cell>
          <cell r="L1038">
            <v>0</v>
          </cell>
          <cell r="M1038">
            <v>0</v>
          </cell>
          <cell r="N1038">
            <v>0</v>
          </cell>
          <cell r="O1038">
            <v>0</v>
          </cell>
        </row>
        <row r="1039">
          <cell r="A1039" t="str">
            <v>Business Shares UKDEPRECIATION EXPENSE</v>
          </cell>
          <cell r="B1039">
            <v>0</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row>
        <row r="1040">
          <cell r="A1040" t="str">
            <v>Business Shares UKELTO AMORTIZATION</v>
          </cell>
          <cell r="B1040">
            <v>0</v>
          </cell>
          <cell r="C1040">
            <v>0</v>
          </cell>
          <cell r="D1040">
            <v>0</v>
          </cell>
          <cell r="E1040">
            <v>0</v>
          </cell>
          <cell r="F1040">
            <v>0</v>
          </cell>
          <cell r="G1040">
            <v>0</v>
          </cell>
          <cell r="H1040">
            <v>0</v>
          </cell>
          <cell r="I1040">
            <v>0</v>
          </cell>
          <cell r="J1040">
            <v>0</v>
          </cell>
          <cell r="K1040">
            <v>0</v>
          </cell>
          <cell r="L1040">
            <v>0</v>
          </cell>
          <cell r="M1040">
            <v>0</v>
          </cell>
          <cell r="N1040">
            <v>0</v>
          </cell>
          <cell r="O1040">
            <v>0</v>
          </cell>
        </row>
        <row r="1041">
          <cell r="A1041" t="str">
            <v>Business Shares UKINSURANCE LOSSES AND BENEFITS</v>
          </cell>
          <cell r="B1041">
            <v>0</v>
          </cell>
          <cell r="C1041">
            <v>0</v>
          </cell>
          <cell r="D1041">
            <v>0</v>
          </cell>
          <cell r="E1041">
            <v>0</v>
          </cell>
          <cell r="F1041">
            <v>0</v>
          </cell>
          <cell r="G1041">
            <v>0</v>
          </cell>
          <cell r="H1041">
            <v>0</v>
          </cell>
          <cell r="I1041">
            <v>0</v>
          </cell>
          <cell r="J1041">
            <v>0</v>
          </cell>
          <cell r="K1041">
            <v>0</v>
          </cell>
          <cell r="L1041">
            <v>0</v>
          </cell>
          <cell r="M1041">
            <v>0</v>
          </cell>
          <cell r="N1041">
            <v>0</v>
          </cell>
          <cell r="O1041">
            <v>0</v>
          </cell>
        </row>
        <row r="1042">
          <cell r="A1042" t="str">
            <v>Business Shares UKWRITE OFFS</v>
          </cell>
          <cell r="B1042">
            <v>0</v>
          </cell>
          <cell r="C1042">
            <v>0</v>
          </cell>
          <cell r="D1042">
            <v>0</v>
          </cell>
          <cell r="E1042">
            <v>0</v>
          </cell>
          <cell r="F1042">
            <v>0</v>
          </cell>
          <cell r="G1042">
            <v>0</v>
          </cell>
          <cell r="H1042">
            <v>0</v>
          </cell>
          <cell r="I1042">
            <v>0</v>
          </cell>
          <cell r="J1042">
            <v>0</v>
          </cell>
          <cell r="K1042">
            <v>0</v>
          </cell>
          <cell r="L1042">
            <v>0</v>
          </cell>
          <cell r="M1042">
            <v>0</v>
          </cell>
          <cell r="N1042">
            <v>0</v>
          </cell>
          <cell r="O1042">
            <v>0</v>
          </cell>
        </row>
        <row r="1043">
          <cell r="A1043" t="str">
            <v>Business Shares UKRESERVE CHANGE</v>
          </cell>
          <cell r="B1043">
            <v>0</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row>
        <row r="1044">
          <cell r="A1044" t="str">
            <v>Business Shares UKMINORITY INTEREST</v>
          </cell>
          <cell r="B1044">
            <v>0</v>
          </cell>
          <cell r="C1044">
            <v>0</v>
          </cell>
          <cell r="D1044">
            <v>0</v>
          </cell>
          <cell r="E1044">
            <v>0</v>
          </cell>
          <cell r="F1044">
            <v>0</v>
          </cell>
          <cell r="G1044">
            <v>0</v>
          </cell>
          <cell r="H1044">
            <v>0</v>
          </cell>
          <cell r="I1044">
            <v>0</v>
          </cell>
          <cell r="J1044">
            <v>0</v>
          </cell>
          <cell r="K1044">
            <v>0</v>
          </cell>
          <cell r="L1044">
            <v>0</v>
          </cell>
          <cell r="M1044">
            <v>0</v>
          </cell>
          <cell r="N1044">
            <v>0</v>
          </cell>
          <cell r="O1044">
            <v>0</v>
          </cell>
        </row>
        <row r="1045">
          <cell r="A1045" t="str">
            <v>Business Shares UKINCOME TAXES</v>
          </cell>
          <cell r="B1045">
            <v>-735321.89</v>
          </cell>
          <cell r="C1045">
            <v>-446351.62</v>
          </cell>
          <cell r="D1045">
            <v>-88122</v>
          </cell>
          <cell r="E1045">
            <v>-149592.70000000001</v>
          </cell>
          <cell r="F1045">
            <v>-1419388.21</v>
          </cell>
          <cell r="G1045">
            <v>-100737.657972</v>
          </cell>
          <cell r="H1045">
            <v>-100737.657972</v>
          </cell>
          <cell r="I1045">
            <v>-100737.657972</v>
          </cell>
          <cell r="J1045">
            <v>-100737.657972</v>
          </cell>
          <cell r="K1045">
            <v>-402950.63188599999</v>
          </cell>
          <cell r="L1045">
            <v>-74108</v>
          </cell>
          <cell r="M1045">
            <v>-402950.63188599999</v>
          </cell>
          <cell r="N1045">
            <v>-402950.63188599999</v>
          </cell>
          <cell r="O1045">
            <v>-402950.63188599999</v>
          </cell>
        </row>
        <row r="1046">
          <cell r="A1046" t="str">
            <v>Business Shares UKCUMULATIVE TRANSITION ADJUSTMENT</v>
          </cell>
          <cell r="B1046">
            <v>0</v>
          </cell>
          <cell r="C1046">
            <v>0</v>
          </cell>
          <cell r="D1046">
            <v>0</v>
          </cell>
          <cell r="E1046">
            <v>0</v>
          </cell>
          <cell r="F1046">
            <v>0</v>
          </cell>
          <cell r="G1046">
            <v>0</v>
          </cell>
          <cell r="H1046">
            <v>0</v>
          </cell>
          <cell r="I1046">
            <v>0</v>
          </cell>
          <cell r="J1046">
            <v>0</v>
          </cell>
          <cell r="K1046">
            <v>0</v>
          </cell>
          <cell r="L1046">
            <v>0</v>
          </cell>
          <cell r="M1046">
            <v>0</v>
          </cell>
          <cell r="N1046">
            <v>0</v>
          </cell>
          <cell r="O1046">
            <v>0</v>
          </cell>
        </row>
        <row r="1047">
          <cell r="A1047" t="str">
            <v>Business Shares UKASIA PACIFIC NI DIVIDEND</v>
          </cell>
          <cell r="B1047">
            <v>0</v>
          </cell>
          <cell r="C1047">
            <v>0</v>
          </cell>
          <cell r="D1047">
            <v>0</v>
          </cell>
          <cell r="E1047">
            <v>0</v>
          </cell>
          <cell r="F1047">
            <v>0</v>
          </cell>
          <cell r="G1047">
            <v>0</v>
          </cell>
          <cell r="H1047">
            <v>0</v>
          </cell>
          <cell r="I1047">
            <v>0</v>
          </cell>
          <cell r="J1047">
            <v>0</v>
          </cell>
          <cell r="K1047">
            <v>0</v>
          </cell>
          <cell r="L1047">
            <v>0</v>
          </cell>
          <cell r="M1047">
            <v>0</v>
          </cell>
          <cell r="N1047">
            <v>0</v>
          </cell>
          <cell r="O1047">
            <v>0</v>
          </cell>
        </row>
        <row r="1048">
          <cell r="A1048" t="str">
            <v>Business Shares UKNet Income</v>
          </cell>
          <cell r="B1048">
            <v>1174605.1200000001</v>
          </cell>
          <cell r="C1048">
            <v>807751.23</v>
          </cell>
          <cell r="D1048">
            <v>163653</v>
          </cell>
          <cell r="E1048">
            <v>277812</v>
          </cell>
          <cell r="F1048">
            <v>2423821.35</v>
          </cell>
          <cell r="G1048">
            <v>160918.59650000001</v>
          </cell>
          <cell r="H1048">
            <v>160918.59650000001</v>
          </cell>
          <cell r="I1048">
            <v>160918.59650000001</v>
          </cell>
          <cell r="J1048">
            <v>160918.59650000001</v>
          </cell>
          <cell r="K1048">
            <v>643674.38600000006</v>
          </cell>
          <cell r="L1048">
            <v>137631</v>
          </cell>
          <cell r="M1048">
            <v>643674.38600000006</v>
          </cell>
          <cell r="N1048">
            <v>643674.38600000006</v>
          </cell>
          <cell r="O1048">
            <v>643674.38600000006</v>
          </cell>
        </row>
        <row r="1049">
          <cell r="A1049" t="str">
            <v>Business Shares UKSubPart F</v>
          </cell>
          <cell r="B1049">
            <v>0</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row>
        <row r="1050">
          <cell r="A1050" t="str">
            <v>Business Shares UKAssets</v>
          </cell>
          <cell r="B1050">
            <v>0</v>
          </cell>
          <cell r="C1050">
            <v>0</v>
          </cell>
          <cell r="D1050">
            <v>0</v>
          </cell>
          <cell r="E1050">
            <v>0</v>
          </cell>
          <cell r="F1050">
            <v>0</v>
          </cell>
          <cell r="G1050">
            <v>0</v>
          </cell>
          <cell r="H1050">
            <v>0</v>
          </cell>
          <cell r="I1050">
            <v>0</v>
          </cell>
          <cell r="J1050">
            <v>0</v>
          </cell>
          <cell r="K1050">
            <v>0</v>
          </cell>
          <cell r="L1050">
            <v>0</v>
          </cell>
          <cell r="M1050">
            <v>0</v>
          </cell>
          <cell r="N1050">
            <v>0</v>
          </cell>
          <cell r="O1050">
            <v>0</v>
          </cell>
        </row>
        <row r="1051">
          <cell r="A1051" t="str">
            <v>Business Shares UKEnding Net Investment (ENI) incl Asia</v>
          </cell>
          <cell r="B1051">
            <v>0</v>
          </cell>
          <cell r="C1051">
            <v>0</v>
          </cell>
          <cell r="D1051">
            <v>0</v>
          </cell>
          <cell r="E1051">
            <v>0</v>
          </cell>
          <cell r="F1051">
            <v>0</v>
          </cell>
          <cell r="G1051">
            <v>0</v>
          </cell>
          <cell r="H1051">
            <v>0</v>
          </cell>
          <cell r="I1051">
            <v>0</v>
          </cell>
          <cell r="J1051">
            <v>0</v>
          </cell>
          <cell r="K1051">
            <v>0</v>
          </cell>
          <cell r="L1051">
            <v>0</v>
          </cell>
          <cell r="M1051">
            <v>0</v>
          </cell>
          <cell r="N1051">
            <v>0</v>
          </cell>
          <cell r="O1051">
            <v>0</v>
          </cell>
        </row>
        <row r="1052">
          <cell r="A1052" t="str">
            <v>Business Shares UKANR YTD</v>
          </cell>
          <cell r="B1052">
            <v>0</v>
          </cell>
          <cell r="C1052">
            <v>0</v>
          </cell>
          <cell r="D1052">
            <v>0</v>
          </cell>
          <cell r="E1052">
            <v>0</v>
          </cell>
          <cell r="F1052">
            <v>0</v>
          </cell>
          <cell r="G1052">
            <v>0</v>
          </cell>
          <cell r="H1052">
            <v>0</v>
          </cell>
          <cell r="I1052">
            <v>0</v>
          </cell>
          <cell r="J1052">
            <v>0</v>
          </cell>
          <cell r="K1052">
            <v>0</v>
          </cell>
          <cell r="L1052">
            <v>0</v>
          </cell>
          <cell r="M1052">
            <v>0</v>
          </cell>
          <cell r="N1052">
            <v>0</v>
          </cell>
          <cell r="O1052">
            <v>0</v>
          </cell>
        </row>
        <row r="1053">
          <cell r="A1053" t="str">
            <v>Business Shares UKASA YTD</v>
          </cell>
          <cell r="B1053">
            <v>0</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row>
        <row r="1054">
          <cell r="A1054" t="str">
            <v>Business Shares UKANI YTD incl Asia - 5 pt</v>
          </cell>
          <cell r="B1054">
            <v>0</v>
          </cell>
          <cell r="C1054">
            <v>0</v>
          </cell>
          <cell r="D1054">
            <v>0</v>
          </cell>
          <cell r="E1054">
            <v>0</v>
          </cell>
          <cell r="F1054">
            <v>0</v>
          </cell>
          <cell r="G1054">
            <v>0</v>
          </cell>
          <cell r="H1054">
            <v>0</v>
          </cell>
          <cell r="I1054">
            <v>0</v>
          </cell>
          <cell r="J1054">
            <v>0</v>
          </cell>
          <cell r="K1054">
            <v>0</v>
          </cell>
          <cell r="L1054">
            <v>0</v>
          </cell>
          <cell r="M1054">
            <v>0</v>
          </cell>
          <cell r="N1054">
            <v>0</v>
          </cell>
          <cell r="O1054">
            <v>0</v>
          </cell>
        </row>
        <row r="1055">
          <cell r="A1055" t="str">
            <v>Business Shares UKOff Balance Sheet Assets</v>
          </cell>
          <cell r="B1055">
            <v>0</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row>
        <row r="1056">
          <cell r="A1056" t="str">
            <v>Business Shares UKJV Receivables</v>
          </cell>
          <cell r="B1056">
            <v>0</v>
          </cell>
          <cell r="C1056">
            <v>0</v>
          </cell>
          <cell r="D1056">
            <v>0</v>
          </cell>
          <cell r="E1056">
            <v>0</v>
          </cell>
          <cell r="F1056">
            <v>0</v>
          </cell>
          <cell r="G1056">
            <v>0</v>
          </cell>
          <cell r="H1056">
            <v>0</v>
          </cell>
          <cell r="I1056">
            <v>0</v>
          </cell>
          <cell r="J1056">
            <v>0</v>
          </cell>
          <cell r="K1056">
            <v>0</v>
          </cell>
          <cell r="L1056">
            <v>0</v>
          </cell>
          <cell r="M1056">
            <v>0</v>
          </cell>
          <cell r="N1056">
            <v>0</v>
          </cell>
          <cell r="O1056">
            <v>0</v>
          </cell>
        </row>
        <row r="1057">
          <cell r="A1057" t="str">
            <v>Business Shares UK30+ DELINQUENCY $</v>
          </cell>
          <cell r="B1057">
            <v>0</v>
          </cell>
          <cell r="C1057">
            <v>0</v>
          </cell>
          <cell r="D1057">
            <v>0</v>
          </cell>
          <cell r="E1057">
            <v>0</v>
          </cell>
          <cell r="F1057">
            <v>0</v>
          </cell>
          <cell r="G1057">
            <v>0</v>
          </cell>
          <cell r="H1057">
            <v>0</v>
          </cell>
          <cell r="I1057">
            <v>0</v>
          </cell>
          <cell r="J1057">
            <v>0</v>
          </cell>
          <cell r="K1057">
            <v>0</v>
          </cell>
          <cell r="L1057">
            <v>0</v>
          </cell>
          <cell r="M1057">
            <v>0</v>
          </cell>
          <cell r="N1057">
            <v>0</v>
          </cell>
          <cell r="O1057">
            <v>0</v>
          </cell>
        </row>
        <row r="1058">
          <cell r="A1058" t="str">
            <v>Business Shares UK90+ DELINQUENCY $</v>
          </cell>
          <cell r="B1058">
            <v>0</v>
          </cell>
          <cell r="C1058">
            <v>0</v>
          </cell>
          <cell r="D1058">
            <v>0</v>
          </cell>
          <cell r="E1058">
            <v>0</v>
          </cell>
          <cell r="F1058">
            <v>0</v>
          </cell>
          <cell r="G1058">
            <v>0</v>
          </cell>
          <cell r="H1058">
            <v>0</v>
          </cell>
          <cell r="I1058">
            <v>0</v>
          </cell>
          <cell r="J1058">
            <v>0</v>
          </cell>
          <cell r="K1058">
            <v>0</v>
          </cell>
          <cell r="L1058">
            <v>0</v>
          </cell>
          <cell r="M1058">
            <v>0</v>
          </cell>
          <cell r="N1058">
            <v>0</v>
          </cell>
          <cell r="O1058">
            <v>0</v>
          </cell>
        </row>
        <row r="1059">
          <cell r="A1059" t="str">
            <v>Business Shares UKTemporary Staff</v>
          </cell>
          <cell r="B1059">
            <v>0</v>
          </cell>
          <cell r="C1059">
            <v>0</v>
          </cell>
          <cell r="D1059">
            <v>0</v>
          </cell>
          <cell r="E1059">
            <v>0</v>
          </cell>
          <cell r="F1059">
            <v>0</v>
          </cell>
          <cell r="G1059">
            <v>0</v>
          </cell>
          <cell r="H1059">
            <v>0</v>
          </cell>
          <cell r="I1059">
            <v>0</v>
          </cell>
          <cell r="J1059">
            <v>0</v>
          </cell>
          <cell r="K1059">
            <v>0</v>
          </cell>
          <cell r="L1059">
            <v>0</v>
          </cell>
          <cell r="M1059">
            <v>0</v>
          </cell>
          <cell r="N1059">
            <v>0</v>
          </cell>
          <cell r="O1059">
            <v>0</v>
          </cell>
        </row>
        <row r="1060">
          <cell r="A1060" t="str">
            <v>Business Shares UKContractors</v>
          </cell>
          <cell r="B1060">
            <v>0</v>
          </cell>
          <cell r="C1060">
            <v>0</v>
          </cell>
          <cell r="D1060">
            <v>0</v>
          </cell>
          <cell r="E1060">
            <v>0</v>
          </cell>
          <cell r="F1060">
            <v>0</v>
          </cell>
          <cell r="G1060">
            <v>0</v>
          </cell>
          <cell r="H1060">
            <v>0</v>
          </cell>
          <cell r="I1060">
            <v>0</v>
          </cell>
          <cell r="J1060">
            <v>0</v>
          </cell>
          <cell r="K1060">
            <v>0</v>
          </cell>
          <cell r="L1060">
            <v>0</v>
          </cell>
          <cell r="M1060">
            <v>0</v>
          </cell>
          <cell r="N1060">
            <v>0</v>
          </cell>
          <cell r="O1060">
            <v>0</v>
          </cell>
        </row>
        <row r="1061">
          <cell r="A1061" t="str">
            <v>Business Shares UKOutsourced to LCC</v>
          </cell>
          <cell r="B1061">
            <v>0</v>
          </cell>
          <cell r="C1061">
            <v>0</v>
          </cell>
          <cell r="D1061">
            <v>0</v>
          </cell>
          <cell r="E1061">
            <v>0</v>
          </cell>
          <cell r="F1061">
            <v>0</v>
          </cell>
          <cell r="G1061">
            <v>0</v>
          </cell>
          <cell r="H1061">
            <v>0</v>
          </cell>
          <cell r="I1061">
            <v>0</v>
          </cell>
          <cell r="J1061">
            <v>0</v>
          </cell>
          <cell r="K1061">
            <v>0</v>
          </cell>
          <cell r="L1061">
            <v>0</v>
          </cell>
          <cell r="M1061">
            <v>0</v>
          </cell>
          <cell r="N1061">
            <v>0</v>
          </cell>
          <cell r="O1061">
            <v>0</v>
          </cell>
        </row>
        <row r="1062">
          <cell r="A1062" t="str">
            <v>Business Shares UKTotal Headcount</v>
          </cell>
          <cell r="B1062">
            <v>0</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row>
        <row r="1063">
          <cell r="A1063" t="str">
            <v>Business Shares UKTotal Workforce</v>
          </cell>
          <cell r="B1063">
            <v>0</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row>
        <row r="1064">
          <cell r="A1064" t="str">
            <v>Business Shares UKTotal Earned Revenue</v>
          </cell>
          <cell r="B1064">
            <v>1650000</v>
          </cell>
          <cell r="C1064">
            <v>1000000</v>
          </cell>
          <cell r="D1064">
            <v>605</v>
          </cell>
          <cell r="E1064">
            <v>344274.7</v>
          </cell>
          <cell r="F1064">
            <v>2994879.7</v>
          </cell>
          <cell r="G1064">
            <v>0</v>
          </cell>
          <cell r="H1064">
            <v>0</v>
          </cell>
          <cell r="I1064">
            <v>0</v>
          </cell>
          <cell r="J1064">
            <v>0</v>
          </cell>
          <cell r="K1064">
            <v>0</v>
          </cell>
          <cell r="L1064">
            <v>-76326</v>
          </cell>
          <cell r="M1064">
            <v>0</v>
          </cell>
          <cell r="N1064">
            <v>0</v>
          </cell>
          <cell r="O1064">
            <v>0</v>
          </cell>
        </row>
        <row r="1065">
          <cell r="A1065" t="str">
            <v>Business Shares UKOrdinary Gains - PreTax</v>
          </cell>
          <cell r="B1065">
            <v>0</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row>
        <row r="1066">
          <cell r="A1066" t="str">
            <v>Business Shares UKOrdinary Gains - AfterTax</v>
          </cell>
          <cell r="B1066">
            <v>0</v>
          </cell>
          <cell r="C1066">
            <v>0</v>
          </cell>
          <cell r="D1066">
            <v>0</v>
          </cell>
          <cell r="E1066">
            <v>0</v>
          </cell>
          <cell r="F1066">
            <v>0</v>
          </cell>
          <cell r="G1066">
            <v>0</v>
          </cell>
          <cell r="H1066">
            <v>0</v>
          </cell>
          <cell r="I1066">
            <v>0</v>
          </cell>
          <cell r="J1066">
            <v>0</v>
          </cell>
          <cell r="K1066">
            <v>0</v>
          </cell>
          <cell r="L1066">
            <v>0</v>
          </cell>
          <cell r="M1066">
            <v>0</v>
          </cell>
          <cell r="N1066">
            <v>0</v>
          </cell>
          <cell r="O1066">
            <v>0</v>
          </cell>
        </row>
        <row r="1067">
          <cell r="A1067" t="str">
            <v>Business Shares UKTotal Volume</v>
          </cell>
          <cell r="B1067">
            <v>0</v>
          </cell>
          <cell r="C1067">
            <v>0</v>
          </cell>
          <cell r="D1067">
            <v>0</v>
          </cell>
          <cell r="E1067">
            <v>0</v>
          </cell>
          <cell r="F1067">
            <v>0</v>
          </cell>
          <cell r="G1067">
            <v>0</v>
          </cell>
          <cell r="H1067">
            <v>0</v>
          </cell>
          <cell r="I1067">
            <v>0</v>
          </cell>
          <cell r="J1067">
            <v>0</v>
          </cell>
          <cell r="K1067">
            <v>0</v>
          </cell>
          <cell r="L1067">
            <v>0</v>
          </cell>
          <cell r="M1067">
            <v>0</v>
          </cell>
          <cell r="N1067">
            <v>0</v>
          </cell>
          <cell r="O1067">
            <v>0</v>
          </cell>
        </row>
        <row r="1068">
          <cell r="A1068" t="str">
            <v>Business Shares UKTOTAL # ACTIVE ACCOUNTS</v>
          </cell>
          <cell r="B1068">
            <v>0</v>
          </cell>
          <cell r="C1068">
            <v>0</v>
          </cell>
          <cell r="D1068">
            <v>0</v>
          </cell>
          <cell r="E1068">
            <v>0</v>
          </cell>
          <cell r="F1068">
            <v>0</v>
          </cell>
          <cell r="G1068">
            <v>0</v>
          </cell>
          <cell r="H1068">
            <v>0</v>
          </cell>
          <cell r="I1068">
            <v>0</v>
          </cell>
          <cell r="J1068">
            <v>0</v>
          </cell>
          <cell r="K1068">
            <v>0</v>
          </cell>
          <cell r="L1068">
            <v>0</v>
          </cell>
          <cell r="M1068">
            <v>0</v>
          </cell>
          <cell r="N1068">
            <v>0</v>
          </cell>
          <cell r="O1068">
            <v>0</v>
          </cell>
        </row>
        <row r="1069">
          <cell r="A1069" t="str">
            <v>ChinaTOTAL FINANCING RECEIVABLES</v>
          </cell>
          <cell r="B1069">
            <v>0</v>
          </cell>
          <cell r="C1069">
            <v>0.01</v>
          </cell>
          <cell r="D1069">
            <v>0.01</v>
          </cell>
          <cell r="E1069">
            <v>0</v>
          </cell>
          <cell r="F1069">
            <v>0</v>
          </cell>
          <cell r="G1069">
            <v>0.01</v>
          </cell>
          <cell r="H1069">
            <v>0.01</v>
          </cell>
          <cell r="I1069">
            <v>0.01</v>
          </cell>
          <cell r="J1069">
            <v>0.01</v>
          </cell>
          <cell r="K1069">
            <v>0.01</v>
          </cell>
          <cell r="L1069">
            <v>0</v>
          </cell>
          <cell r="M1069">
            <v>0</v>
          </cell>
          <cell r="N1069">
            <v>0</v>
          </cell>
          <cell r="O1069">
            <v>0</v>
          </cell>
        </row>
        <row r="1070">
          <cell r="A1070" t="str">
            <v>ChinaRECEIVABLE RESERVES</v>
          </cell>
          <cell r="B1070">
            <v>-28.89</v>
          </cell>
          <cell r="C1070">
            <v>-28.89</v>
          </cell>
          <cell r="D1070">
            <v>-28.89</v>
          </cell>
          <cell r="E1070">
            <v>0</v>
          </cell>
          <cell r="F1070">
            <v>0</v>
          </cell>
          <cell r="G1070">
            <v>-28.89</v>
          </cell>
          <cell r="H1070">
            <v>-28.89</v>
          </cell>
          <cell r="I1070">
            <v>-28.89</v>
          </cell>
          <cell r="J1070">
            <v>-28.89</v>
          </cell>
          <cell r="K1070">
            <v>-28.89</v>
          </cell>
          <cell r="L1070">
            <v>0</v>
          </cell>
          <cell r="M1070">
            <v>0</v>
          </cell>
          <cell r="N1070">
            <v>0</v>
          </cell>
          <cell r="O1070">
            <v>0</v>
          </cell>
        </row>
        <row r="1071">
          <cell r="A1071" t="str">
            <v>ChinaCASH</v>
          </cell>
          <cell r="B1071">
            <v>2372002.89</v>
          </cell>
          <cell r="C1071">
            <v>-10.87</v>
          </cell>
          <cell r="D1071">
            <v>10.24</v>
          </cell>
          <cell r="E1071">
            <v>0</v>
          </cell>
          <cell r="F1071">
            <v>0</v>
          </cell>
          <cell r="G1071">
            <v>-9.76</v>
          </cell>
          <cell r="H1071">
            <v>-9.76</v>
          </cell>
          <cell r="I1071">
            <v>-9.76</v>
          </cell>
          <cell r="J1071">
            <v>-9.76</v>
          </cell>
          <cell r="K1071">
            <v>-9.76</v>
          </cell>
          <cell r="L1071">
            <v>0</v>
          </cell>
          <cell r="M1071">
            <v>0</v>
          </cell>
          <cell r="N1071">
            <v>0</v>
          </cell>
          <cell r="O1071">
            <v>0</v>
          </cell>
        </row>
        <row r="1072">
          <cell r="A1072" t="str">
            <v>ChinaINVESTMENT SECURITIES</v>
          </cell>
          <cell r="B1072">
            <v>0</v>
          </cell>
          <cell r="C1072">
            <v>0</v>
          </cell>
          <cell r="D1072">
            <v>0</v>
          </cell>
          <cell r="E1072">
            <v>0</v>
          </cell>
          <cell r="F1072">
            <v>0</v>
          </cell>
          <cell r="G1072">
            <v>0</v>
          </cell>
          <cell r="H1072">
            <v>0</v>
          </cell>
          <cell r="I1072">
            <v>0</v>
          </cell>
          <cell r="J1072">
            <v>0</v>
          </cell>
          <cell r="K1072">
            <v>0</v>
          </cell>
          <cell r="L1072">
            <v>0</v>
          </cell>
          <cell r="M1072">
            <v>0</v>
          </cell>
          <cell r="N1072">
            <v>0</v>
          </cell>
          <cell r="O1072">
            <v>0</v>
          </cell>
        </row>
        <row r="1073">
          <cell r="A1073" t="str">
            <v>ChinaINV IN NON CONSOL AFFILIATES</v>
          </cell>
          <cell r="B1073">
            <v>0</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row>
        <row r="1074">
          <cell r="A1074" t="str">
            <v>ChinaINVESTMENT IN JOINT VENTURE</v>
          </cell>
          <cell r="B1074">
            <v>0</v>
          </cell>
          <cell r="C1074">
            <v>0</v>
          </cell>
          <cell r="D1074">
            <v>0</v>
          </cell>
          <cell r="E1074">
            <v>0</v>
          </cell>
          <cell r="F1074">
            <v>0</v>
          </cell>
          <cell r="G1074">
            <v>0</v>
          </cell>
          <cell r="H1074">
            <v>0</v>
          </cell>
          <cell r="I1074">
            <v>0</v>
          </cell>
          <cell r="J1074">
            <v>0</v>
          </cell>
          <cell r="K1074">
            <v>0</v>
          </cell>
          <cell r="L1074">
            <v>0</v>
          </cell>
          <cell r="M1074">
            <v>0</v>
          </cell>
          <cell r="N1074">
            <v>0</v>
          </cell>
          <cell r="O1074">
            <v>0</v>
          </cell>
        </row>
        <row r="1075">
          <cell r="A1075" t="str">
            <v>ChinaALL OTHER RECEIVABLES (NON-FINANCING)</v>
          </cell>
          <cell r="B1075">
            <v>0</v>
          </cell>
          <cell r="C1075">
            <v>0</v>
          </cell>
          <cell r="D1075">
            <v>0</v>
          </cell>
          <cell r="E1075">
            <v>0</v>
          </cell>
          <cell r="F1075">
            <v>0</v>
          </cell>
          <cell r="G1075">
            <v>0</v>
          </cell>
          <cell r="H1075">
            <v>0</v>
          </cell>
          <cell r="I1075">
            <v>0</v>
          </cell>
          <cell r="J1075">
            <v>0</v>
          </cell>
          <cell r="K1075">
            <v>0</v>
          </cell>
          <cell r="L1075">
            <v>0</v>
          </cell>
          <cell r="M1075">
            <v>0</v>
          </cell>
          <cell r="N1075">
            <v>0</v>
          </cell>
          <cell r="O1075">
            <v>0</v>
          </cell>
        </row>
        <row r="1076">
          <cell r="A1076" t="str">
            <v>ChinaELTO (NET)</v>
          </cell>
          <cell r="B1076">
            <v>0</v>
          </cell>
          <cell r="C1076">
            <v>0</v>
          </cell>
          <cell r="D1076">
            <v>0</v>
          </cell>
          <cell r="E1076">
            <v>0</v>
          </cell>
          <cell r="F1076">
            <v>0</v>
          </cell>
          <cell r="G1076">
            <v>0</v>
          </cell>
          <cell r="H1076">
            <v>0</v>
          </cell>
          <cell r="I1076">
            <v>0</v>
          </cell>
          <cell r="J1076">
            <v>0</v>
          </cell>
          <cell r="K1076">
            <v>0</v>
          </cell>
          <cell r="L1076">
            <v>0</v>
          </cell>
          <cell r="M1076">
            <v>0</v>
          </cell>
          <cell r="N1076">
            <v>0</v>
          </cell>
          <cell r="O1076">
            <v>0</v>
          </cell>
        </row>
        <row r="1077">
          <cell r="A1077" t="str">
            <v>ChinaGOODWILL</v>
          </cell>
          <cell r="B1077">
            <v>0</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row>
        <row r="1078">
          <cell r="A1078" t="str">
            <v>ChinaOTHER ASSETS</v>
          </cell>
          <cell r="B1078">
            <v>81.28</v>
          </cell>
          <cell r="C1078">
            <v>81.28</v>
          </cell>
          <cell r="D1078">
            <v>81.28</v>
          </cell>
          <cell r="E1078">
            <v>0</v>
          </cell>
          <cell r="F1078">
            <v>0</v>
          </cell>
          <cell r="G1078">
            <v>81.28</v>
          </cell>
          <cell r="H1078">
            <v>81.28</v>
          </cell>
          <cell r="I1078">
            <v>81.28</v>
          </cell>
          <cell r="J1078">
            <v>81.28</v>
          </cell>
          <cell r="K1078">
            <v>81.28</v>
          </cell>
          <cell r="L1078">
            <v>0</v>
          </cell>
          <cell r="M1078">
            <v>0</v>
          </cell>
          <cell r="N1078">
            <v>0</v>
          </cell>
          <cell r="O1078">
            <v>0</v>
          </cell>
        </row>
        <row r="1079">
          <cell r="A1079" t="str">
            <v>ChinaACCOUNTS PAYABLE</v>
          </cell>
          <cell r="B1079">
            <v>147170.74</v>
          </cell>
          <cell r="C1079">
            <v>-3235.88</v>
          </cell>
          <cell r="D1079">
            <v>-3234.32</v>
          </cell>
          <cell r="E1079">
            <v>68049.19</v>
          </cell>
          <cell r="F1079">
            <v>68049.19</v>
          </cell>
          <cell r="G1079">
            <v>-17752.32</v>
          </cell>
          <cell r="H1079">
            <v>-17752.32</v>
          </cell>
          <cell r="I1079">
            <v>-17752.32</v>
          </cell>
          <cell r="J1079">
            <v>-17752.32</v>
          </cell>
          <cell r="K1079">
            <v>-17752.32</v>
          </cell>
          <cell r="L1079">
            <v>68049.19</v>
          </cell>
          <cell r="M1079">
            <v>0</v>
          </cell>
          <cell r="N1079">
            <v>0</v>
          </cell>
          <cell r="O1079">
            <v>0</v>
          </cell>
        </row>
        <row r="1080">
          <cell r="A1080" t="str">
            <v>ChinaDEFERRED INCOME TAXES</v>
          </cell>
          <cell r="B1080">
            <v>-102557.52</v>
          </cell>
          <cell r="C1080">
            <v>-86965.62</v>
          </cell>
          <cell r="D1080">
            <v>-86965.63</v>
          </cell>
          <cell r="E1080">
            <v>-87270.15</v>
          </cell>
          <cell r="F1080">
            <v>-87270.15</v>
          </cell>
          <cell r="G1080">
            <v>-86965.63</v>
          </cell>
          <cell r="H1080">
            <v>-86965.63</v>
          </cell>
          <cell r="I1080">
            <v>-86965.63</v>
          </cell>
          <cell r="J1080">
            <v>-86965.63</v>
          </cell>
          <cell r="K1080">
            <v>-86965.63</v>
          </cell>
          <cell r="L1080">
            <v>-87270.15</v>
          </cell>
          <cell r="M1080">
            <v>0</v>
          </cell>
          <cell r="N1080">
            <v>0</v>
          </cell>
          <cell r="O1080">
            <v>0</v>
          </cell>
        </row>
        <row r="1081">
          <cell r="A1081" t="str">
            <v>ChinaWRITE-OFF (MEMO)</v>
          </cell>
          <cell r="B1081">
            <v>0</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row>
        <row r="1082">
          <cell r="A1082" t="str">
            <v>ChinaINSURANCE RESERVES AND ANNUITY BENEFITS</v>
          </cell>
          <cell r="B1082">
            <v>0</v>
          </cell>
          <cell r="C1082">
            <v>0</v>
          </cell>
          <cell r="D1082">
            <v>0</v>
          </cell>
          <cell r="E1082">
            <v>0</v>
          </cell>
          <cell r="F1082">
            <v>0</v>
          </cell>
          <cell r="G1082">
            <v>0</v>
          </cell>
          <cell r="H1082">
            <v>0</v>
          </cell>
          <cell r="I1082">
            <v>0</v>
          </cell>
          <cell r="J1082">
            <v>0</v>
          </cell>
          <cell r="K1082">
            <v>0</v>
          </cell>
          <cell r="L1082">
            <v>0</v>
          </cell>
          <cell r="M1082">
            <v>0</v>
          </cell>
          <cell r="N1082">
            <v>0</v>
          </cell>
          <cell r="O1082">
            <v>0</v>
          </cell>
        </row>
        <row r="1083">
          <cell r="A1083" t="str">
            <v>ChinaALL OTHER NON DEBT LIABILITIES</v>
          </cell>
          <cell r="B1083">
            <v>-549155.31000000006</v>
          </cell>
          <cell r="C1083">
            <v>0.08</v>
          </cell>
          <cell r="D1083">
            <v>7.0000000000000007E-2</v>
          </cell>
          <cell r="E1083">
            <v>-460864.42</v>
          </cell>
          <cell r="F1083">
            <v>-460864.42</v>
          </cell>
          <cell r="G1083">
            <v>0.06</v>
          </cell>
          <cell r="H1083">
            <v>0.06</v>
          </cell>
          <cell r="I1083">
            <v>0.06</v>
          </cell>
          <cell r="J1083">
            <v>0.06</v>
          </cell>
          <cell r="K1083">
            <v>0.06</v>
          </cell>
          <cell r="L1083">
            <v>-460864.42</v>
          </cell>
          <cell r="M1083">
            <v>0</v>
          </cell>
          <cell r="N1083">
            <v>0</v>
          </cell>
          <cell r="O1083">
            <v>0</v>
          </cell>
        </row>
        <row r="1084">
          <cell r="A1084" t="str">
            <v>ChinaMINORITY INTEREST (BS)</v>
          </cell>
          <cell r="B1084">
            <v>-62326.74</v>
          </cell>
          <cell r="C1084">
            <v>8.16</v>
          </cell>
          <cell r="D1084">
            <v>8.16</v>
          </cell>
          <cell r="E1084">
            <v>8.16</v>
          </cell>
          <cell r="F1084">
            <v>8.16</v>
          </cell>
          <cell r="G1084">
            <v>8.16</v>
          </cell>
          <cell r="H1084">
            <v>8.16</v>
          </cell>
          <cell r="I1084">
            <v>8.16</v>
          </cell>
          <cell r="J1084">
            <v>8.16</v>
          </cell>
          <cell r="K1084">
            <v>8.16</v>
          </cell>
          <cell r="L1084">
            <v>8.16</v>
          </cell>
          <cell r="M1084">
            <v>0</v>
          </cell>
          <cell r="N1084">
            <v>0</v>
          </cell>
          <cell r="O1084">
            <v>0</v>
          </cell>
        </row>
        <row r="1085">
          <cell r="A1085" t="str">
            <v>ChinaASIA PACIFIC ENI DIVIDEND</v>
          </cell>
          <cell r="B1085">
            <v>0</v>
          </cell>
          <cell r="C1085">
            <v>0</v>
          </cell>
          <cell r="D1085">
            <v>0</v>
          </cell>
          <cell r="E1085">
            <v>0</v>
          </cell>
          <cell r="F1085">
            <v>0</v>
          </cell>
          <cell r="G1085">
            <v>0</v>
          </cell>
          <cell r="H1085">
            <v>0</v>
          </cell>
          <cell r="I1085">
            <v>0</v>
          </cell>
          <cell r="J1085">
            <v>0</v>
          </cell>
          <cell r="K1085">
            <v>0</v>
          </cell>
          <cell r="L1085">
            <v>0</v>
          </cell>
          <cell r="M1085">
            <v>0</v>
          </cell>
          <cell r="N1085">
            <v>0</v>
          </cell>
          <cell r="O1085">
            <v>0</v>
          </cell>
        </row>
        <row r="1086">
          <cell r="A1086" t="str">
            <v>ChinaFINANCING INCOME</v>
          </cell>
          <cell r="B1086">
            <v>0</v>
          </cell>
          <cell r="C1086">
            <v>0</v>
          </cell>
          <cell r="D1086">
            <v>0</v>
          </cell>
          <cell r="E1086">
            <v>0</v>
          </cell>
          <cell r="F1086">
            <v>0</v>
          </cell>
          <cell r="G1086">
            <v>0</v>
          </cell>
          <cell r="H1086">
            <v>0</v>
          </cell>
          <cell r="I1086">
            <v>0</v>
          </cell>
          <cell r="J1086">
            <v>0</v>
          </cell>
          <cell r="K1086">
            <v>0</v>
          </cell>
          <cell r="L1086">
            <v>0</v>
          </cell>
          <cell r="M1086">
            <v>0</v>
          </cell>
          <cell r="N1086">
            <v>0</v>
          </cell>
          <cell r="O1086">
            <v>0</v>
          </cell>
        </row>
        <row r="1087">
          <cell r="A1087" t="str">
            <v>ChinaINSURANCE PREMIUM INCOME</v>
          </cell>
          <cell r="B1087">
            <v>0</v>
          </cell>
          <cell r="C1087">
            <v>0</v>
          </cell>
          <cell r="D1087">
            <v>0</v>
          </cell>
          <cell r="E1087">
            <v>0</v>
          </cell>
          <cell r="F1087">
            <v>0</v>
          </cell>
          <cell r="G1087">
            <v>0</v>
          </cell>
          <cell r="H1087">
            <v>0</v>
          </cell>
          <cell r="I1087">
            <v>0</v>
          </cell>
          <cell r="J1087">
            <v>0</v>
          </cell>
          <cell r="K1087">
            <v>0</v>
          </cell>
          <cell r="L1087">
            <v>0</v>
          </cell>
          <cell r="M1087">
            <v>0</v>
          </cell>
          <cell r="N1087">
            <v>0</v>
          </cell>
          <cell r="O1087">
            <v>0</v>
          </cell>
        </row>
        <row r="1088">
          <cell r="A1088" t="str">
            <v>ChinaINSURANCE INCOME (COMMISSIONS)</v>
          </cell>
          <cell r="B1088">
            <v>0</v>
          </cell>
          <cell r="C1088">
            <v>0</v>
          </cell>
          <cell r="D1088">
            <v>0</v>
          </cell>
          <cell r="E1088">
            <v>0</v>
          </cell>
          <cell r="F1088">
            <v>0</v>
          </cell>
          <cell r="G1088">
            <v>0</v>
          </cell>
          <cell r="H1088">
            <v>0</v>
          </cell>
          <cell r="I1088">
            <v>0</v>
          </cell>
          <cell r="J1088">
            <v>0</v>
          </cell>
          <cell r="K1088">
            <v>0</v>
          </cell>
          <cell r="L1088">
            <v>0</v>
          </cell>
          <cell r="M1088">
            <v>0</v>
          </cell>
          <cell r="N1088">
            <v>0</v>
          </cell>
          <cell r="O1088">
            <v>0</v>
          </cell>
        </row>
        <row r="1089">
          <cell r="A1089" t="str">
            <v>ChinaSUNDRY INCOME</v>
          </cell>
          <cell r="B1089">
            <v>0</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row>
        <row r="1090">
          <cell r="A1090" t="str">
            <v>ChinaINTEREST EXPENSE</v>
          </cell>
          <cell r="B1090">
            <v>0</v>
          </cell>
          <cell r="C1090">
            <v>0</v>
          </cell>
          <cell r="D1090">
            <v>0</v>
          </cell>
          <cell r="E1090">
            <v>0</v>
          </cell>
          <cell r="F1090">
            <v>0</v>
          </cell>
          <cell r="G1090">
            <v>0</v>
          </cell>
          <cell r="H1090">
            <v>0</v>
          </cell>
          <cell r="I1090">
            <v>0</v>
          </cell>
          <cell r="J1090">
            <v>0</v>
          </cell>
          <cell r="K1090">
            <v>0</v>
          </cell>
          <cell r="L1090">
            <v>0</v>
          </cell>
          <cell r="M1090">
            <v>0</v>
          </cell>
          <cell r="N1090">
            <v>0</v>
          </cell>
          <cell r="O1090">
            <v>0</v>
          </cell>
        </row>
        <row r="1091">
          <cell r="A1091" t="str">
            <v>ChinaINTEREST EXPENSE REDUCTIONS / BUS SHARING</v>
          </cell>
          <cell r="B1091">
            <v>0</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row>
        <row r="1092">
          <cell r="A1092" t="str">
            <v>ChinaALLOCATED COST OF PREFERRED EQUITY</v>
          </cell>
          <cell r="B1092">
            <v>0</v>
          </cell>
          <cell r="C1092">
            <v>0</v>
          </cell>
          <cell r="D1092">
            <v>0</v>
          </cell>
          <cell r="E1092">
            <v>0</v>
          </cell>
          <cell r="F1092">
            <v>0</v>
          </cell>
          <cell r="G1092">
            <v>0</v>
          </cell>
          <cell r="H1092">
            <v>0</v>
          </cell>
          <cell r="I1092">
            <v>0</v>
          </cell>
          <cell r="J1092">
            <v>0</v>
          </cell>
          <cell r="K1092">
            <v>0</v>
          </cell>
          <cell r="L1092">
            <v>0</v>
          </cell>
          <cell r="M1092">
            <v>0</v>
          </cell>
          <cell r="N1092">
            <v>0</v>
          </cell>
          <cell r="O1092">
            <v>0</v>
          </cell>
        </row>
        <row r="1093">
          <cell r="A1093" t="str">
            <v>ChinaSALARIES &amp; BENEFITS</v>
          </cell>
          <cell r="B1093">
            <v>0</v>
          </cell>
          <cell r="C1093">
            <v>0</v>
          </cell>
          <cell r="D1093">
            <v>0</v>
          </cell>
          <cell r="E1093">
            <v>0</v>
          </cell>
          <cell r="F1093">
            <v>0</v>
          </cell>
          <cell r="G1093">
            <v>0</v>
          </cell>
          <cell r="H1093">
            <v>0</v>
          </cell>
          <cell r="I1093">
            <v>0</v>
          </cell>
          <cell r="J1093">
            <v>0</v>
          </cell>
          <cell r="K1093">
            <v>0</v>
          </cell>
          <cell r="L1093">
            <v>0</v>
          </cell>
          <cell r="M1093">
            <v>0</v>
          </cell>
          <cell r="N1093">
            <v>0</v>
          </cell>
          <cell r="O1093">
            <v>0</v>
          </cell>
        </row>
        <row r="1094">
          <cell r="A1094" t="str">
            <v>ChinaLOSSES ON OTHER ASSETS</v>
          </cell>
          <cell r="B1094">
            <v>0</v>
          </cell>
          <cell r="C1094">
            <v>0</v>
          </cell>
          <cell r="D1094">
            <v>0</v>
          </cell>
          <cell r="E1094">
            <v>0</v>
          </cell>
          <cell r="F1094">
            <v>0</v>
          </cell>
          <cell r="G1094">
            <v>0</v>
          </cell>
          <cell r="H1094">
            <v>0</v>
          </cell>
          <cell r="I1094">
            <v>0</v>
          </cell>
          <cell r="J1094">
            <v>0</v>
          </cell>
          <cell r="K1094">
            <v>0</v>
          </cell>
          <cell r="L1094">
            <v>0</v>
          </cell>
          <cell r="M1094">
            <v>0</v>
          </cell>
          <cell r="N1094">
            <v>0</v>
          </cell>
          <cell r="O1094">
            <v>0</v>
          </cell>
        </row>
        <row r="1095">
          <cell r="A1095" t="str">
            <v>ChinaCOST OF GOODS SOLD</v>
          </cell>
          <cell r="B1095">
            <v>0</v>
          </cell>
          <cell r="C1095">
            <v>0</v>
          </cell>
          <cell r="D1095">
            <v>0</v>
          </cell>
          <cell r="E1095">
            <v>0</v>
          </cell>
          <cell r="F1095">
            <v>0</v>
          </cell>
          <cell r="G1095">
            <v>0</v>
          </cell>
          <cell r="H1095">
            <v>0</v>
          </cell>
          <cell r="I1095">
            <v>0</v>
          </cell>
          <cell r="J1095">
            <v>0</v>
          </cell>
          <cell r="K1095">
            <v>0</v>
          </cell>
          <cell r="L1095">
            <v>0</v>
          </cell>
          <cell r="M1095">
            <v>0</v>
          </cell>
          <cell r="N1095">
            <v>0</v>
          </cell>
          <cell r="O1095">
            <v>0</v>
          </cell>
        </row>
        <row r="1096">
          <cell r="A1096" t="str">
            <v>ChinaCOST OF GOODS SOLD - DISTRIBUTION</v>
          </cell>
          <cell r="B1096">
            <v>0</v>
          </cell>
          <cell r="C1096">
            <v>0</v>
          </cell>
          <cell r="D1096">
            <v>0</v>
          </cell>
          <cell r="E1096">
            <v>0</v>
          </cell>
          <cell r="F1096">
            <v>0</v>
          </cell>
          <cell r="G1096">
            <v>0</v>
          </cell>
          <cell r="H1096">
            <v>0</v>
          </cell>
          <cell r="I1096">
            <v>0</v>
          </cell>
          <cell r="J1096">
            <v>0</v>
          </cell>
          <cell r="K1096">
            <v>0</v>
          </cell>
          <cell r="L1096">
            <v>0</v>
          </cell>
          <cell r="M1096">
            <v>0</v>
          </cell>
          <cell r="N1096">
            <v>0</v>
          </cell>
          <cell r="O1096">
            <v>0</v>
          </cell>
        </row>
        <row r="1097">
          <cell r="A1097" t="str">
            <v>ChinaPOSTAGE</v>
          </cell>
          <cell r="B1097">
            <v>0</v>
          </cell>
          <cell r="C1097">
            <v>0</v>
          </cell>
          <cell r="D1097">
            <v>0</v>
          </cell>
          <cell r="E1097">
            <v>0</v>
          </cell>
          <cell r="F1097">
            <v>0</v>
          </cell>
          <cell r="G1097">
            <v>0</v>
          </cell>
          <cell r="H1097">
            <v>0</v>
          </cell>
          <cell r="I1097">
            <v>0</v>
          </cell>
          <cell r="J1097">
            <v>0</v>
          </cell>
          <cell r="K1097">
            <v>0</v>
          </cell>
          <cell r="L1097">
            <v>0</v>
          </cell>
          <cell r="M1097">
            <v>0</v>
          </cell>
          <cell r="N1097">
            <v>0</v>
          </cell>
          <cell r="O1097">
            <v>0</v>
          </cell>
        </row>
        <row r="1098">
          <cell r="A1098" t="str">
            <v>ChinaTELEPHONE</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row>
        <row r="1099">
          <cell r="A1099" t="str">
            <v>ChinaCUSTOMER SERVICE / COLLECTIONS</v>
          </cell>
          <cell r="B1099">
            <v>0</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row>
        <row r="1100">
          <cell r="A1100" t="str">
            <v>ChinaSTATIONARY - OFFICE SUPPLIES</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row>
        <row r="1101">
          <cell r="A1101" t="str">
            <v>ChinaT&amp;L</v>
          </cell>
          <cell r="B1101">
            <v>0</v>
          </cell>
          <cell r="C1101">
            <v>0</v>
          </cell>
          <cell r="D1101">
            <v>0</v>
          </cell>
          <cell r="E1101">
            <v>0</v>
          </cell>
          <cell r="F1101">
            <v>0</v>
          </cell>
          <cell r="G1101">
            <v>0</v>
          </cell>
          <cell r="H1101">
            <v>0</v>
          </cell>
          <cell r="I1101">
            <v>0</v>
          </cell>
          <cell r="J1101">
            <v>0</v>
          </cell>
          <cell r="K1101">
            <v>0</v>
          </cell>
          <cell r="L1101">
            <v>0</v>
          </cell>
          <cell r="M1101">
            <v>0</v>
          </cell>
          <cell r="N1101">
            <v>0</v>
          </cell>
          <cell r="O1101">
            <v>0</v>
          </cell>
        </row>
        <row r="1102">
          <cell r="A1102" t="str">
            <v>ChinaRENTAL - BLDG/FACILITIES</v>
          </cell>
          <cell r="B1102">
            <v>0</v>
          </cell>
          <cell r="C1102">
            <v>0</v>
          </cell>
          <cell r="D1102">
            <v>0</v>
          </cell>
          <cell r="E1102">
            <v>0</v>
          </cell>
          <cell r="F1102">
            <v>0</v>
          </cell>
          <cell r="G1102">
            <v>0</v>
          </cell>
          <cell r="H1102">
            <v>0</v>
          </cell>
          <cell r="I1102">
            <v>0</v>
          </cell>
          <cell r="J1102">
            <v>0</v>
          </cell>
          <cell r="K1102">
            <v>0</v>
          </cell>
          <cell r="L1102">
            <v>0</v>
          </cell>
          <cell r="M1102">
            <v>0</v>
          </cell>
          <cell r="N1102">
            <v>0</v>
          </cell>
          <cell r="O1102">
            <v>0</v>
          </cell>
        </row>
        <row r="1103">
          <cell r="A1103" t="str">
            <v>ChinaRENTAL - FURNITURE/EQUIP</v>
          </cell>
          <cell r="B1103">
            <v>0</v>
          </cell>
          <cell r="C1103">
            <v>0</v>
          </cell>
          <cell r="D1103">
            <v>0</v>
          </cell>
          <cell r="E1103">
            <v>0</v>
          </cell>
          <cell r="F1103">
            <v>0</v>
          </cell>
          <cell r="G1103">
            <v>0</v>
          </cell>
          <cell r="H1103">
            <v>0</v>
          </cell>
          <cell r="I1103">
            <v>0</v>
          </cell>
          <cell r="J1103">
            <v>0</v>
          </cell>
          <cell r="K1103">
            <v>0</v>
          </cell>
          <cell r="L1103">
            <v>0</v>
          </cell>
          <cell r="M1103">
            <v>0</v>
          </cell>
          <cell r="N1103">
            <v>0</v>
          </cell>
          <cell r="O1103">
            <v>0</v>
          </cell>
        </row>
        <row r="1104">
          <cell r="A1104" t="str">
            <v>ChinaRENTAL - COMPUTERS</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row>
        <row r="1105">
          <cell r="A1105" t="str">
            <v>ChinaLEASE IN - LEASE OUT</v>
          </cell>
          <cell r="B1105">
            <v>0</v>
          </cell>
          <cell r="C1105">
            <v>0</v>
          </cell>
          <cell r="D1105">
            <v>0</v>
          </cell>
          <cell r="E1105">
            <v>0</v>
          </cell>
          <cell r="F1105">
            <v>0</v>
          </cell>
          <cell r="G1105">
            <v>0</v>
          </cell>
          <cell r="H1105">
            <v>0</v>
          </cell>
          <cell r="I1105">
            <v>0</v>
          </cell>
          <cell r="J1105">
            <v>0</v>
          </cell>
          <cell r="K1105">
            <v>0</v>
          </cell>
          <cell r="L1105">
            <v>0</v>
          </cell>
          <cell r="M1105">
            <v>0</v>
          </cell>
          <cell r="N1105">
            <v>0</v>
          </cell>
          <cell r="O1105">
            <v>0</v>
          </cell>
        </row>
        <row r="1106">
          <cell r="A1106" t="str">
            <v>ChinaFURNITURE / EQUIPMENT / COMPUTER EXP</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row>
        <row r="1107">
          <cell r="A1107" t="str">
            <v>ChinaSOFTWARE EXPENSE</v>
          </cell>
          <cell r="B1107">
            <v>0</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row>
        <row r="1108">
          <cell r="A1108" t="str">
            <v>ChinaAMORTIZATION OF INTANGIBLES</v>
          </cell>
          <cell r="B1108">
            <v>0</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row>
        <row r="1109">
          <cell r="A1109" t="str">
            <v>ChinaELTO MAINTENANCE</v>
          </cell>
          <cell r="B1109">
            <v>0</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row>
        <row r="1110">
          <cell r="A1110" t="str">
            <v>ChinaELTO OTHER</v>
          </cell>
          <cell r="B1110">
            <v>0</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row>
        <row r="1111">
          <cell r="A1111" t="str">
            <v>ChinaLEGAL</v>
          </cell>
          <cell r="B1111">
            <v>0</v>
          </cell>
          <cell r="C1111">
            <v>0</v>
          </cell>
          <cell r="D1111">
            <v>0</v>
          </cell>
          <cell r="E1111">
            <v>0</v>
          </cell>
          <cell r="F1111">
            <v>0</v>
          </cell>
          <cell r="G1111">
            <v>0</v>
          </cell>
          <cell r="H1111">
            <v>0</v>
          </cell>
          <cell r="I1111">
            <v>0</v>
          </cell>
          <cell r="J1111">
            <v>0</v>
          </cell>
          <cell r="K1111">
            <v>0</v>
          </cell>
          <cell r="L1111">
            <v>0</v>
          </cell>
          <cell r="M1111">
            <v>0</v>
          </cell>
          <cell r="N1111">
            <v>0</v>
          </cell>
          <cell r="O1111">
            <v>0</v>
          </cell>
        </row>
        <row r="1112">
          <cell r="A1112" t="str">
            <v>ChinaADVERTISING</v>
          </cell>
          <cell r="B1112">
            <v>0</v>
          </cell>
          <cell r="C1112">
            <v>0</v>
          </cell>
          <cell r="D1112">
            <v>0</v>
          </cell>
          <cell r="E1112">
            <v>0</v>
          </cell>
          <cell r="F1112">
            <v>0</v>
          </cell>
          <cell r="G1112">
            <v>0</v>
          </cell>
          <cell r="H1112">
            <v>0</v>
          </cell>
          <cell r="I1112">
            <v>0</v>
          </cell>
          <cell r="J1112">
            <v>0</v>
          </cell>
          <cell r="K1112">
            <v>0</v>
          </cell>
          <cell r="L1112">
            <v>0</v>
          </cell>
          <cell r="M1112">
            <v>0</v>
          </cell>
          <cell r="N1112">
            <v>0</v>
          </cell>
          <cell r="O1112">
            <v>0</v>
          </cell>
        </row>
        <row r="1113">
          <cell r="A1113" t="str">
            <v>ChinaSALES PROMOTIONS</v>
          </cell>
          <cell r="B1113">
            <v>0</v>
          </cell>
          <cell r="C1113">
            <v>0</v>
          </cell>
          <cell r="D1113">
            <v>0</v>
          </cell>
          <cell r="E1113">
            <v>0</v>
          </cell>
          <cell r="F1113">
            <v>0</v>
          </cell>
          <cell r="G1113">
            <v>0</v>
          </cell>
          <cell r="H1113">
            <v>0</v>
          </cell>
          <cell r="I1113">
            <v>0</v>
          </cell>
          <cell r="J1113">
            <v>0</v>
          </cell>
          <cell r="K1113">
            <v>0</v>
          </cell>
          <cell r="L1113">
            <v>0</v>
          </cell>
          <cell r="M1113">
            <v>0</v>
          </cell>
          <cell r="N1113">
            <v>0</v>
          </cell>
          <cell r="O1113">
            <v>0</v>
          </cell>
        </row>
        <row r="1114">
          <cell r="A1114" t="str">
            <v>ChinaDIRECT MAIL</v>
          </cell>
          <cell r="B1114">
            <v>0</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row>
        <row r="1115">
          <cell r="A1115" t="str">
            <v>ChinaDATA PROCESSING</v>
          </cell>
          <cell r="B1115">
            <v>0</v>
          </cell>
          <cell r="C1115">
            <v>0</v>
          </cell>
          <cell r="D1115">
            <v>0</v>
          </cell>
          <cell r="E1115">
            <v>0</v>
          </cell>
          <cell r="F1115">
            <v>0</v>
          </cell>
          <cell r="G1115">
            <v>0</v>
          </cell>
          <cell r="H1115">
            <v>0</v>
          </cell>
          <cell r="I1115">
            <v>0</v>
          </cell>
          <cell r="J1115">
            <v>0</v>
          </cell>
          <cell r="K1115">
            <v>0</v>
          </cell>
          <cell r="L1115">
            <v>0</v>
          </cell>
          <cell r="M1115">
            <v>0</v>
          </cell>
          <cell r="N1115">
            <v>0</v>
          </cell>
          <cell r="O1115">
            <v>0</v>
          </cell>
        </row>
        <row r="1116">
          <cell r="A1116" t="str">
            <v>ChinaCONSULTING</v>
          </cell>
          <cell r="B1116">
            <v>0</v>
          </cell>
          <cell r="C1116">
            <v>0</v>
          </cell>
          <cell r="D1116">
            <v>0</v>
          </cell>
          <cell r="E1116">
            <v>0</v>
          </cell>
          <cell r="F1116">
            <v>0</v>
          </cell>
          <cell r="G1116">
            <v>0</v>
          </cell>
          <cell r="H1116">
            <v>0</v>
          </cell>
          <cell r="I1116">
            <v>0</v>
          </cell>
          <cell r="J1116">
            <v>0</v>
          </cell>
          <cell r="K1116">
            <v>0</v>
          </cell>
          <cell r="L1116">
            <v>0</v>
          </cell>
          <cell r="M1116">
            <v>0</v>
          </cell>
          <cell r="N1116">
            <v>0</v>
          </cell>
          <cell r="O1116">
            <v>0</v>
          </cell>
        </row>
        <row r="1117">
          <cell r="A1117" t="str">
            <v>ChinaTEMP SERVICES</v>
          </cell>
          <cell r="B1117">
            <v>0</v>
          </cell>
          <cell r="C1117">
            <v>-530322.65</v>
          </cell>
          <cell r="D1117">
            <v>0</v>
          </cell>
          <cell r="E1117">
            <v>31.12</v>
          </cell>
          <cell r="F1117">
            <v>-530291.53</v>
          </cell>
          <cell r="G1117">
            <v>0</v>
          </cell>
          <cell r="H1117">
            <v>0</v>
          </cell>
          <cell r="I1117">
            <v>0</v>
          </cell>
          <cell r="J1117">
            <v>0</v>
          </cell>
          <cell r="K1117">
            <v>0</v>
          </cell>
          <cell r="L1117">
            <v>0</v>
          </cell>
          <cell r="M1117">
            <v>0</v>
          </cell>
          <cell r="N1117">
            <v>0</v>
          </cell>
          <cell r="O1117">
            <v>0</v>
          </cell>
        </row>
        <row r="1118">
          <cell r="A1118" t="str">
            <v>ChinaGDC CHARGES</v>
          </cell>
          <cell r="B1118">
            <v>0</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row>
        <row r="1119">
          <cell r="A1119" t="str">
            <v>ChinaTRAINING AND EDUCATION</v>
          </cell>
          <cell r="B1119">
            <v>0</v>
          </cell>
          <cell r="C1119">
            <v>0</v>
          </cell>
          <cell r="D1119">
            <v>0</v>
          </cell>
          <cell r="E1119">
            <v>0</v>
          </cell>
          <cell r="F1119">
            <v>0</v>
          </cell>
          <cell r="G1119">
            <v>0</v>
          </cell>
          <cell r="H1119">
            <v>0</v>
          </cell>
          <cell r="I1119">
            <v>0</v>
          </cell>
          <cell r="J1119">
            <v>0</v>
          </cell>
          <cell r="K1119">
            <v>0</v>
          </cell>
          <cell r="L1119">
            <v>0</v>
          </cell>
          <cell r="M1119">
            <v>0</v>
          </cell>
          <cell r="N1119">
            <v>0</v>
          </cell>
          <cell r="O1119">
            <v>0</v>
          </cell>
        </row>
        <row r="1120">
          <cell r="A1120" t="str">
            <v>ChinaOUTSIDE SERVICES  AND FEES</v>
          </cell>
          <cell r="B1120">
            <v>0</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row>
        <row r="1121">
          <cell r="A1121" t="str">
            <v>ChinaSTATE, FOREIGN, LOCAL TAXES</v>
          </cell>
          <cell r="B1121">
            <v>0</v>
          </cell>
          <cell r="C1121">
            <v>0</v>
          </cell>
          <cell r="D1121">
            <v>0</v>
          </cell>
          <cell r="E1121">
            <v>0</v>
          </cell>
          <cell r="F1121">
            <v>0</v>
          </cell>
          <cell r="G1121">
            <v>0</v>
          </cell>
          <cell r="H1121">
            <v>0</v>
          </cell>
          <cell r="I1121">
            <v>0</v>
          </cell>
          <cell r="J1121">
            <v>0</v>
          </cell>
          <cell r="K1121">
            <v>0</v>
          </cell>
          <cell r="L1121">
            <v>0</v>
          </cell>
          <cell r="M1121">
            <v>0</v>
          </cell>
          <cell r="N1121">
            <v>0</v>
          </cell>
          <cell r="O1121">
            <v>0</v>
          </cell>
        </row>
        <row r="1122">
          <cell r="A1122" t="str">
            <v>ChinaS/L TAX - INSURANCE PREMIUMS</v>
          </cell>
          <cell r="B1122">
            <v>0</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row>
        <row r="1123">
          <cell r="A1123" t="str">
            <v>ChinaSATELLITE LEASE EXPENSE</v>
          </cell>
          <cell r="B1123">
            <v>0</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ChinaBUSINESS SHARE EXPENSE</v>
          </cell>
          <cell r="B1124">
            <v>0</v>
          </cell>
          <cell r="C1124">
            <v>0</v>
          </cell>
          <cell r="D1124">
            <v>0</v>
          </cell>
          <cell r="E1124">
            <v>0</v>
          </cell>
          <cell r="F1124">
            <v>0</v>
          </cell>
          <cell r="G1124">
            <v>0</v>
          </cell>
          <cell r="H1124">
            <v>0</v>
          </cell>
          <cell r="I1124">
            <v>0</v>
          </cell>
          <cell r="J1124">
            <v>0</v>
          </cell>
          <cell r="K1124">
            <v>0</v>
          </cell>
          <cell r="L1124">
            <v>0</v>
          </cell>
          <cell r="M1124">
            <v>0</v>
          </cell>
          <cell r="N1124">
            <v>0</v>
          </cell>
          <cell r="O1124">
            <v>0</v>
          </cell>
        </row>
        <row r="1125">
          <cell r="A1125" t="str">
            <v>ChinaINSURANCE AFFILIATE EXPENSE</v>
          </cell>
          <cell r="B1125">
            <v>0</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row>
        <row r="1126">
          <cell r="A1126" t="str">
            <v>ChinaOTHER FACILITY EXPENSE</v>
          </cell>
          <cell r="B1126">
            <v>0</v>
          </cell>
          <cell r="C1126">
            <v>0</v>
          </cell>
          <cell r="D1126">
            <v>0</v>
          </cell>
          <cell r="E1126">
            <v>0</v>
          </cell>
          <cell r="F1126">
            <v>0</v>
          </cell>
          <cell r="G1126">
            <v>0</v>
          </cell>
          <cell r="H1126">
            <v>0</v>
          </cell>
          <cell r="I1126">
            <v>0</v>
          </cell>
          <cell r="J1126">
            <v>0</v>
          </cell>
          <cell r="K1126">
            <v>0</v>
          </cell>
          <cell r="L1126">
            <v>0</v>
          </cell>
          <cell r="M1126">
            <v>0</v>
          </cell>
          <cell r="N1126">
            <v>0</v>
          </cell>
          <cell r="O1126">
            <v>0</v>
          </cell>
        </row>
        <row r="1127">
          <cell r="A1127" t="str">
            <v>ChinaGROSS OP &amp; ADMIN BUS SHARE</v>
          </cell>
          <cell r="B1127">
            <v>0</v>
          </cell>
          <cell r="C1127">
            <v>0</v>
          </cell>
          <cell r="D1127">
            <v>0</v>
          </cell>
          <cell r="E1127">
            <v>0</v>
          </cell>
          <cell r="F1127">
            <v>0</v>
          </cell>
          <cell r="G1127">
            <v>0</v>
          </cell>
          <cell r="H1127">
            <v>0</v>
          </cell>
          <cell r="I1127">
            <v>0</v>
          </cell>
          <cell r="J1127">
            <v>0</v>
          </cell>
          <cell r="K1127">
            <v>0</v>
          </cell>
          <cell r="L1127">
            <v>0</v>
          </cell>
          <cell r="M1127">
            <v>0</v>
          </cell>
          <cell r="N1127">
            <v>0</v>
          </cell>
          <cell r="O1127">
            <v>0</v>
          </cell>
        </row>
        <row r="1128">
          <cell r="A1128" t="str">
            <v>ChinaOTHER EXPENSE</v>
          </cell>
          <cell r="B1128">
            <v>0</v>
          </cell>
          <cell r="C1128">
            <v>0</v>
          </cell>
          <cell r="D1128">
            <v>0</v>
          </cell>
          <cell r="E1128">
            <v>0</v>
          </cell>
          <cell r="F1128">
            <v>0</v>
          </cell>
          <cell r="G1128">
            <v>0</v>
          </cell>
          <cell r="H1128">
            <v>0</v>
          </cell>
          <cell r="I1128">
            <v>0</v>
          </cell>
          <cell r="J1128">
            <v>0</v>
          </cell>
          <cell r="K1128">
            <v>0</v>
          </cell>
          <cell r="L1128">
            <v>0</v>
          </cell>
          <cell r="M1128">
            <v>0</v>
          </cell>
          <cell r="N1128">
            <v>0</v>
          </cell>
          <cell r="O1128">
            <v>0</v>
          </cell>
        </row>
        <row r="1129">
          <cell r="A1129" t="str">
            <v>ChinaGECC INTERCO EXPENSES EXCL GECIS</v>
          </cell>
          <cell r="B1129">
            <v>0</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row>
        <row r="1130">
          <cell r="A1130" t="str">
            <v>ChinaGECIS INTERCO CHARGES</v>
          </cell>
          <cell r="B1130">
            <v>0</v>
          </cell>
          <cell r="C1130">
            <v>0</v>
          </cell>
          <cell r="D1130">
            <v>0</v>
          </cell>
          <cell r="E1130">
            <v>0</v>
          </cell>
          <cell r="F1130">
            <v>0</v>
          </cell>
          <cell r="G1130">
            <v>0</v>
          </cell>
          <cell r="H1130">
            <v>0</v>
          </cell>
          <cell r="I1130">
            <v>0</v>
          </cell>
          <cell r="J1130">
            <v>0</v>
          </cell>
          <cell r="K1130">
            <v>0</v>
          </cell>
          <cell r="L1130">
            <v>0</v>
          </cell>
          <cell r="M1130">
            <v>0</v>
          </cell>
          <cell r="N1130">
            <v>0</v>
          </cell>
          <cell r="O1130">
            <v>0</v>
          </cell>
        </row>
        <row r="1131">
          <cell r="A1131" t="str">
            <v>ChinaLOSS ADJUSTED EXPENSE</v>
          </cell>
          <cell r="B1131">
            <v>0</v>
          </cell>
          <cell r="C1131">
            <v>0</v>
          </cell>
          <cell r="D1131">
            <v>0</v>
          </cell>
          <cell r="E1131">
            <v>0</v>
          </cell>
          <cell r="F1131">
            <v>0</v>
          </cell>
          <cell r="G1131">
            <v>0</v>
          </cell>
          <cell r="H1131">
            <v>0</v>
          </cell>
          <cell r="I1131">
            <v>0</v>
          </cell>
          <cell r="J1131">
            <v>0</v>
          </cell>
          <cell r="K1131">
            <v>0</v>
          </cell>
          <cell r="L1131">
            <v>0</v>
          </cell>
          <cell r="M1131">
            <v>0</v>
          </cell>
          <cell r="N1131">
            <v>0</v>
          </cell>
          <cell r="O1131">
            <v>0</v>
          </cell>
        </row>
        <row r="1132">
          <cell r="A1132" t="str">
            <v>ChinaALL OTHER EXPENSES</v>
          </cell>
          <cell r="B1132">
            <v>0</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row>
        <row r="1133">
          <cell r="A1133" t="str">
            <v>ChinaASSESSMENTS</v>
          </cell>
          <cell r="B1133">
            <v>0</v>
          </cell>
          <cell r="C1133">
            <v>0</v>
          </cell>
          <cell r="D1133">
            <v>0</v>
          </cell>
          <cell r="E1133">
            <v>0</v>
          </cell>
          <cell r="F1133">
            <v>0</v>
          </cell>
          <cell r="G1133">
            <v>0</v>
          </cell>
          <cell r="H1133">
            <v>0</v>
          </cell>
          <cell r="I1133">
            <v>0</v>
          </cell>
          <cell r="J1133">
            <v>0</v>
          </cell>
          <cell r="K1133">
            <v>0</v>
          </cell>
          <cell r="L1133">
            <v>0</v>
          </cell>
          <cell r="M1133">
            <v>0</v>
          </cell>
          <cell r="N1133">
            <v>0</v>
          </cell>
          <cell r="O1133">
            <v>0</v>
          </cell>
        </row>
        <row r="1134">
          <cell r="A1134" t="str">
            <v>ChinaFAS 91</v>
          </cell>
          <cell r="B1134">
            <v>0</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row>
        <row r="1135">
          <cell r="A1135" t="str">
            <v>ChinaGOODWILL AMORTIZATION</v>
          </cell>
          <cell r="B1135">
            <v>0</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row>
        <row r="1136">
          <cell r="A1136" t="str">
            <v>ChinaDEPRECIATION EXPENSE</v>
          </cell>
          <cell r="B1136">
            <v>0</v>
          </cell>
          <cell r="C1136">
            <v>0</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ChinaELTO AMORTIZATION</v>
          </cell>
          <cell r="B1137">
            <v>0</v>
          </cell>
          <cell r="C1137">
            <v>0</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ChinaINSURANCE LOSSES AND BENEFITS</v>
          </cell>
          <cell r="B1138">
            <v>0</v>
          </cell>
          <cell r="C1138">
            <v>0</v>
          </cell>
          <cell r="D1138">
            <v>0</v>
          </cell>
          <cell r="E1138">
            <v>0</v>
          </cell>
          <cell r="F1138">
            <v>0</v>
          </cell>
          <cell r="G1138">
            <v>0</v>
          </cell>
          <cell r="H1138">
            <v>0</v>
          </cell>
          <cell r="I1138">
            <v>0</v>
          </cell>
          <cell r="J1138">
            <v>0</v>
          </cell>
          <cell r="K1138">
            <v>0</v>
          </cell>
          <cell r="L1138">
            <v>0</v>
          </cell>
          <cell r="M1138">
            <v>0</v>
          </cell>
          <cell r="N1138">
            <v>0</v>
          </cell>
          <cell r="O1138">
            <v>0</v>
          </cell>
        </row>
        <row r="1139">
          <cell r="A1139" t="str">
            <v>ChinaWRITE OFFS</v>
          </cell>
          <cell r="B1139">
            <v>0</v>
          </cell>
          <cell r="C1139">
            <v>0</v>
          </cell>
          <cell r="D1139">
            <v>0</v>
          </cell>
          <cell r="E1139">
            <v>0</v>
          </cell>
          <cell r="F1139">
            <v>0</v>
          </cell>
          <cell r="G1139">
            <v>0</v>
          </cell>
          <cell r="H1139">
            <v>0</v>
          </cell>
          <cell r="I1139">
            <v>0</v>
          </cell>
          <cell r="J1139">
            <v>0</v>
          </cell>
          <cell r="K1139">
            <v>0</v>
          </cell>
          <cell r="L1139">
            <v>0</v>
          </cell>
          <cell r="M1139">
            <v>0</v>
          </cell>
          <cell r="N1139">
            <v>0</v>
          </cell>
          <cell r="O1139">
            <v>0</v>
          </cell>
        </row>
        <row r="1140">
          <cell r="A1140" t="str">
            <v>ChinaRESERVE CHANGE</v>
          </cell>
          <cell r="B1140">
            <v>0</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row>
        <row r="1141">
          <cell r="A1141" t="str">
            <v>ChinaMINORITY INTEREST</v>
          </cell>
          <cell r="B1141">
            <v>0</v>
          </cell>
          <cell r="C1141">
            <v>0</v>
          </cell>
          <cell r="D1141">
            <v>0</v>
          </cell>
          <cell r="E1141">
            <v>0</v>
          </cell>
          <cell r="F1141">
            <v>0</v>
          </cell>
          <cell r="G1141">
            <v>0</v>
          </cell>
          <cell r="H1141">
            <v>0</v>
          </cell>
          <cell r="I1141">
            <v>0</v>
          </cell>
          <cell r="J1141">
            <v>0</v>
          </cell>
          <cell r="K1141">
            <v>0</v>
          </cell>
          <cell r="L1141">
            <v>0</v>
          </cell>
          <cell r="M1141">
            <v>0</v>
          </cell>
          <cell r="N1141">
            <v>0</v>
          </cell>
          <cell r="O1141">
            <v>0</v>
          </cell>
        </row>
        <row r="1142">
          <cell r="A1142" t="str">
            <v>ChinaINCOME TAXES</v>
          </cell>
          <cell r="B1142">
            <v>0</v>
          </cell>
          <cell r="C1142">
            <v>128027.52</v>
          </cell>
          <cell r="D1142">
            <v>0</v>
          </cell>
          <cell r="E1142">
            <v>0</v>
          </cell>
          <cell r="F1142">
            <v>128027.52</v>
          </cell>
          <cell r="G1142">
            <v>0</v>
          </cell>
          <cell r="H1142">
            <v>0</v>
          </cell>
          <cell r="I1142">
            <v>0</v>
          </cell>
          <cell r="J1142">
            <v>0</v>
          </cell>
          <cell r="K1142">
            <v>0</v>
          </cell>
          <cell r="L1142">
            <v>0</v>
          </cell>
          <cell r="M1142">
            <v>0</v>
          </cell>
          <cell r="N1142">
            <v>0</v>
          </cell>
          <cell r="O1142">
            <v>0</v>
          </cell>
        </row>
        <row r="1143">
          <cell r="A1143" t="str">
            <v>ChinaCUMULATIVE TRANSITION ADJUSTMENT</v>
          </cell>
          <cell r="B1143">
            <v>0</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ChinaASIA PACIFIC NI DIVIDEND</v>
          </cell>
          <cell r="B1144">
            <v>0</v>
          </cell>
          <cell r="C1144">
            <v>0</v>
          </cell>
          <cell r="D1144">
            <v>0</v>
          </cell>
          <cell r="E1144">
            <v>0</v>
          </cell>
          <cell r="F1144">
            <v>0</v>
          </cell>
          <cell r="G1144">
            <v>0</v>
          </cell>
          <cell r="H1144">
            <v>0</v>
          </cell>
          <cell r="I1144">
            <v>0</v>
          </cell>
          <cell r="J1144">
            <v>0</v>
          </cell>
          <cell r="K1144">
            <v>0</v>
          </cell>
          <cell r="L1144">
            <v>0</v>
          </cell>
          <cell r="M1144">
            <v>0</v>
          </cell>
          <cell r="N1144">
            <v>0</v>
          </cell>
          <cell r="O1144">
            <v>0</v>
          </cell>
        </row>
        <row r="1145">
          <cell r="A1145" t="str">
            <v>ChinaNet Income</v>
          </cell>
          <cell r="B1145">
            <v>0</v>
          </cell>
          <cell r="C1145">
            <v>-402295.13</v>
          </cell>
          <cell r="D1145">
            <v>0</v>
          </cell>
          <cell r="E1145">
            <v>31.12</v>
          </cell>
          <cell r="F1145">
            <v>-402264.01</v>
          </cell>
          <cell r="G1145">
            <v>0</v>
          </cell>
          <cell r="H1145">
            <v>0</v>
          </cell>
          <cell r="I1145">
            <v>0</v>
          </cell>
          <cell r="J1145">
            <v>0</v>
          </cell>
          <cell r="K1145">
            <v>0</v>
          </cell>
          <cell r="L1145">
            <v>0</v>
          </cell>
          <cell r="M1145">
            <v>0</v>
          </cell>
          <cell r="N1145">
            <v>0</v>
          </cell>
          <cell r="O1145">
            <v>0</v>
          </cell>
        </row>
        <row r="1146">
          <cell r="A1146" t="str">
            <v>ChinaSubPart F</v>
          </cell>
          <cell r="B1146">
            <v>0</v>
          </cell>
          <cell r="C1146">
            <v>0</v>
          </cell>
          <cell r="D1146">
            <v>0</v>
          </cell>
          <cell r="E1146">
            <v>0</v>
          </cell>
          <cell r="F1146">
            <v>0</v>
          </cell>
          <cell r="G1146">
            <v>0</v>
          </cell>
          <cell r="H1146">
            <v>0</v>
          </cell>
          <cell r="I1146">
            <v>0</v>
          </cell>
          <cell r="J1146">
            <v>0</v>
          </cell>
          <cell r="K1146">
            <v>0</v>
          </cell>
          <cell r="L1146">
            <v>0</v>
          </cell>
          <cell r="M1146">
            <v>0</v>
          </cell>
          <cell r="N1146">
            <v>0</v>
          </cell>
          <cell r="O1146">
            <v>0</v>
          </cell>
        </row>
        <row r="1147">
          <cell r="A1147" t="str">
            <v>ChinaAssets</v>
          </cell>
          <cell r="B1147">
            <v>2372055.2799999998</v>
          </cell>
          <cell r="C1147">
            <v>41.53</v>
          </cell>
          <cell r="D1147">
            <v>62.64</v>
          </cell>
          <cell r="E1147">
            <v>0</v>
          </cell>
          <cell r="F1147">
            <v>0</v>
          </cell>
          <cell r="G1147">
            <v>42.64</v>
          </cell>
          <cell r="H1147">
            <v>42.64</v>
          </cell>
          <cell r="I1147">
            <v>42.64</v>
          </cell>
          <cell r="J1147">
            <v>42.64</v>
          </cell>
          <cell r="K1147">
            <v>42.64</v>
          </cell>
          <cell r="L1147">
            <v>0</v>
          </cell>
          <cell r="M1147">
            <v>0</v>
          </cell>
          <cell r="N1147">
            <v>0</v>
          </cell>
          <cell r="O1147">
            <v>0</v>
          </cell>
        </row>
        <row r="1148">
          <cell r="A1148" t="str">
            <v>ChinaEnding Net Investment (ENI) incl Asia</v>
          </cell>
          <cell r="B1148">
            <v>1805186.45</v>
          </cell>
          <cell r="C1148">
            <v>-90151.73</v>
          </cell>
          <cell r="D1148">
            <v>-90129.08</v>
          </cell>
          <cell r="E1148">
            <v>-480077.22</v>
          </cell>
          <cell r="F1148">
            <v>-480077.22</v>
          </cell>
          <cell r="G1148">
            <v>-104667.09</v>
          </cell>
          <cell r="H1148">
            <v>-104667.09</v>
          </cell>
          <cell r="I1148">
            <v>-104667.09</v>
          </cell>
          <cell r="J1148">
            <v>-104667.09</v>
          </cell>
          <cell r="K1148">
            <v>-104667.09</v>
          </cell>
          <cell r="L1148">
            <v>-480077.22</v>
          </cell>
          <cell r="M1148">
            <v>0</v>
          </cell>
          <cell r="N1148">
            <v>0</v>
          </cell>
          <cell r="O1148">
            <v>0</v>
          </cell>
        </row>
        <row r="1149">
          <cell r="A1149" t="str">
            <v>ChinaANR YTD</v>
          </cell>
          <cell r="B1149">
            <v>0</v>
          </cell>
          <cell r="C1149">
            <v>3.333E-3</v>
          </cell>
          <cell r="D1149">
            <v>5.0000000000000001E-3</v>
          </cell>
          <cell r="E1149">
            <v>4.0000000000000001E-3</v>
          </cell>
          <cell r="F1149">
            <v>4.0000000000000001E-3</v>
          </cell>
          <cell r="G1149">
            <v>5.0000000000000001E-3</v>
          </cell>
          <cell r="H1149">
            <v>6.6670000000000002E-3</v>
          </cell>
          <cell r="I1149">
            <v>7.4999999999999997E-3</v>
          </cell>
          <cell r="J1149">
            <v>8.0000000000000002E-3</v>
          </cell>
          <cell r="K1149">
            <v>8.0000000000000002E-3</v>
          </cell>
          <cell r="L1149">
            <v>0</v>
          </cell>
          <cell r="M1149">
            <v>0</v>
          </cell>
          <cell r="N1149">
            <v>0</v>
          </cell>
          <cell r="O1149">
            <v>0</v>
          </cell>
        </row>
        <row r="1150">
          <cell r="A1150" t="str">
            <v>ChinaASA YTD</v>
          </cell>
          <cell r="B1150">
            <v>0</v>
          </cell>
          <cell r="C1150">
            <v>3.333E-3</v>
          </cell>
          <cell r="D1150">
            <v>5.0000000000000001E-3</v>
          </cell>
          <cell r="E1150">
            <v>4.0000000000000001E-3</v>
          </cell>
          <cell r="F1150">
            <v>4.0000000000000001E-3</v>
          </cell>
          <cell r="G1150">
            <v>5.0000000000000001E-3</v>
          </cell>
          <cell r="H1150">
            <v>6.6670000000000002E-3</v>
          </cell>
          <cell r="I1150">
            <v>7.4999999999999997E-3</v>
          </cell>
          <cell r="J1150">
            <v>8.0000000000000002E-3</v>
          </cell>
          <cell r="K1150">
            <v>8.0000000000000002E-3</v>
          </cell>
          <cell r="L1150">
            <v>0</v>
          </cell>
          <cell r="M1150">
            <v>0</v>
          </cell>
          <cell r="N1150">
            <v>0</v>
          </cell>
          <cell r="O1150">
            <v>0</v>
          </cell>
        </row>
        <row r="1151">
          <cell r="A1151" t="str">
            <v>ChinaANI YTD incl Asia - 5 pt</v>
          </cell>
          <cell r="B1151">
            <v>1809851.925</v>
          </cell>
          <cell r="C1151">
            <v>1176517.3733330001</v>
          </cell>
          <cell r="D1151">
            <v>859855.76</v>
          </cell>
          <cell r="E1151">
            <v>591869.16399999999</v>
          </cell>
          <cell r="F1151">
            <v>591869.16399999999</v>
          </cell>
          <cell r="G1151">
            <v>-52333.544999999998</v>
          </cell>
          <cell r="H1151">
            <v>-69778.06</v>
          </cell>
          <cell r="I1151">
            <v>-78500.317500000005</v>
          </cell>
          <cell r="J1151">
            <v>-83733.672000000006</v>
          </cell>
          <cell r="K1151">
            <v>-83733.672000000006</v>
          </cell>
          <cell r="L1151">
            <v>-480077.22</v>
          </cell>
          <cell r="M1151">
            <v>0</v>
          </cell>
          <cell r="N1151">
            <v>0</v>
          </cell>
          <cell r="O1151">
            <v>0</v>
          </cell>
        </row>
        <row r="1152">
          <cell r="A1152" t="str">
            <v>ChinaOff Balance Sheet Assets</v>
          </cell>
          <cell r="B1152">
            <v>0</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row>
        <row r="1153">
          <cell r="A1153" t="str">
            <v>ChinaJV Receivables</v>
          </cell>
          <cell r="B1153">
            <v>0</v>
          </cell>
          <cell r="C1153">
            <v>0</v>
          </cell>
          <cell r="D1153">
            <v>0</v>
          </cell>
          <cell r="E1153">
            <v>0</v>
          </cell>
          <cell r="F1153">
            <v>0</v>
          </cell>
          <cell r="G1153">
            <v>0</v>
          </cell>
          <cell r="H1153">
            <v>0</v>
          </cell>
          <cell r="I1153">
            <v>0</v>
          </cell>
          <cell r="J1153">
            <v>0</v>
          </cell>
          <cell r="K1153">
            <v>0</v>
          </cell>
          <cell r="L1153">
            <v>0</v>
          </cell>
          <cell r="M1153">
            <v>0</v>
          </cell>
          <cell r="N1153">
            <v>0</v>
          </cell>
          <cell r="O1153">
            <v>0</v>
          </cell>
        </row>
        <row r="1154">
          <cell r="A1154" t="str">
            <v>China30+ DELINQUENCY $</v>
          </cell>
          <cell r="B1154">
            <v>0</v>
          </cell>
          <cell r="C1154">
            <v>0</v>
          </cell>
          <cell r="D1154">
            <v>0</v>
          </cell>
          <cell r="E1154">
            <v>0</v>
          </cell>
          <cell r="F1154">
            <v>0</v>
          </cell>
          <cell r="G1154">
            <v>0</v>
          </cell>
          <cell r="H1154">
            <v>0</v>
          </cell>
          <cell r="I1154">
            <v>0</v>
          </cell>
          <cell r="J1154">
            <v>0</v>
          </cell>
          <cell r="K1154">
            <v>0</v>
          </cell>
          <cell r="L1154">
            <v>0</v>
          </cell>
          <cell r="M1154">
            <v>0</v>
          </cell>
          <cell r="N1154">
            <v>0</v>
          </cell>
          <cell r="O1154">
            <v>0</v>
          </cell>
        </row>
        <row r="1155">
          <cell r="A1155" t="str">
            <v>China90+ DELINQUENCY $</v>
          </cell>
          <cell r="B1155">
            <v>0</v>
          </cell>
          <cell r="C1155">
            <v>0</v>
          </cell>
          <cell r="D1155">
            <v>0</v>
          </cell>
          <cell r="E1155">
            <v>0</v>
          </cell>
          <cell r="F1155">
            <v>0</v>
          </cell>
          <cell r="G1155">
            <v>0</v>
          </cell>
          <cell r="H1155">
            <v>0</v>
          </cell>
          <cell r="I1155">
            <v>0</v>
          </cell>
          <cell r="J1155">
            <v>0</v>
          </cell>
          <cell r="K1155">
            <v>0</v>
          </cell>
          <cell r="L1155">
            <v>0</v>
          </cell>
          <cell r="M1155">
            <v>0</v>
          </cell>
          <cell r="N1155">
            <v>0</v>
          </cell>
          <cell r="O1155">
            <v>0</v>
          </cell>
        </row>
        <row r="1156">
          <cell r="A1156" t="str">
            <v>ChinaTemporary Staff</v>
          </cell>
          <cell r="B1156">
            <v>0</v>
          </cell>
          <cell r="C1156">
            <v>0</v>
          </cell>
          <cell r="D1156">
            <v>0</v>
          </cell>
          <cell r="E1156">
            <v>0</v>
          </cell>
          <cell r="F1156">
            <v>0</v>
          </cell>
          <cell r="G1156">
            <v>0</v>
          </cell>
          <cell r="H1156">
            <v>0</v>
          </cell>
          <cell r="I1156">
            <v>0</v>
          </cell>
          <cell r="J1156">
            <v>0</v>
          </cell>
          <cell r="K1156">
            <v>0</v>
          </cell>
          <cell r="L1156">
            <v>0</v>
          </cell>
          <cell r="M1156">
            <v>0</v>
          </cell>
          <cell r="N1156">
            <v>0</v>
          </cell>
          <cell r="O1156">
            <v>0</v>
          </cell>
        </row>
        <row r="1157">
          <cell r="A1157" t="str">
            <v>ChinaContractors</v>
          </cell>
          <cell r="B1157">
            <v>0</v>
          </cell>
          <cell r="C1157">
            <v>0</v>
          </cell>
          <cell r="D1157">
            <v>0</v>
          </cell>
          <cell r="E1157">
            <v>0</v>
          </cell>
          <cell r="F1157">
            <v>0</v>
          </cell>
          <cell r="G1157">
            <v>0</v>
          </cell>
          <cell r="H1157">
            <v>0</v>
          </cell>
          <cell r="I1157">
            <v>0</v>
          </cell>
          <cell r="J1157">
            <v>0</v>
          </cell>
          <cell r="K1157">
            <v>0</v>
          </cell>
          <cell r="L1157">
            <v>0</v>
          </cell>
          <cell r="M1157">
            <v>0</v>
          </cell>
          <cell r="N1157">
            <v>0</v>
          </cell>
          <cell r="O1157">
            <v>0</v>
          </cell>
        </row>
        <row r="1158">
          <cell r="A1158" t="str">
            <v>ChinaOutsourced to LCC</v>
          </cell>
          <cell r="B1158">
            <v>0</v>
          </cell>
          <cell r="C1158">
            <v>0</v>
          </cell>
          <cell r="D1158">
            <v>0</v>
          </cell>
          <cell r="E1158">
            <v>0</v>
          </cell>
          <cell r="F1158">
            <v>0</v>
          </cell>
          <cell r="G1158">
            <v>0</v>
          </cell>
          <cell r="H1158">
            <v>0</v>
          </cell>
          <cell r="I1158">
            <v>0</v>
          </cell>
          <cell r="J1158">
            <v>0</v>
          </cell>
          <cell r="K1158">
            <v>0</v>
          </cell>
          <cell r="L1158">
            <v>0</v>
          </cell>
          <cell r="M1158">
            <v>0</v>
          </cell>
          <cell r="N1158">
            <v>0</v>
          </cell>
          <cell r="O1158">
            <v>0</v>
          </cell>
        </row>
        <row r="1159">
          <cell r="A1159" t="str">
            <v>ChinaTotal Headcount</v>
          </cell>
          <cell r="B1159">
            <v>0</v>
          </cell>
          <cell r="C1159">
            <v>0</v>
          </cell>
          <cell r="D1159">
            <v>0</v>
          </cell>
          <cell r="E1159">
            <v>0</v>
          </cell>
          <cell r="F1159">
            <v>0</v>
          </cell>
          <cell r="G1159">
            <v>0</v>
          </cell>
          <cell r="H1159">
            <v>0</v>
          </cell>
          <cell r="I1159">
            <v>0</v>
          </cell>
          <cell r="J1159">
            <v>0</v>
          </cell>
          <cell r="K1159">
            <v>0</v>
          </cell>
          <cell r="L1159">
            <v>0</v>
          </cell>
          <cell r="M1159">
            <v>0</v>
          </cell>
          <cell r="N1159">
            <v>0</v>
          </cell>
          <cell r="O1159">
            <v>0</v>
          </cell>
        </row>
        <row r="1160">
          <cell r="A1160" t="str">
            <v>ChinaTotal Workforce</v>
          </cell>
          <cell r="B1160">
            <v>0</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row>
        <row r="1161">
          <cell r="A1161" t="str">
            <v>ChinaTotal Earned Revenue</v>
          </cell>
          <cell r="B1161">
            <v>0</v>
          </cell>
          <cell r="C1161">
            <v>0</v>
          </cell>
          <cell r="D1161">
            <v>0</v>
          </cell>
          <cell r="E1161">
            <v>0</v>
          </cell>
          <cell r="F1161">
            <v>0</v>
          </cell>
          <cell r="G1161">
            <v>0</v>
          </cell>
          <cell r="H1161">
            <v>0</v>
          </cell>
          <cell r="I1161">
            <v>0</v>
          </cell>
          <cell r="J1161">
            <v>0</v>
          </cell>
          <cell r="K1161">
            <v>0</v>
          </cell>
          <cell r="L1161">
            <v>0</v>
          </cell>
          <cell r="M1161">
            <v>0</v>
          </cell>
          <cell r="N1161">
            <v>0</v>
          </cell>
          <cell r="O1161">
            <v>0</v>
          </cell>
        </row>
        <row r="1162">
          <cell r="A1162" t="str">
            <v>ChinaOrdinary Gains - PreTax</v>
          </cell>
          <cell r="B1162">
            <v>0</v>
          </cell>
          <cell r="C1162">
            <v>0</v>
          </cell>
          <cell r="D1162">
            <v>0</v>
          </cell>
          <cell r="E1162">
            <v>0</v>
          </cell>
          <cell r="F1162">
            <v>0</v>
          </cell>
          <cell r="G1162">
            <v>0</v>
          </cell>
          <cell r="H1162">
            <v>0</v>
          </cell>
          <cell r="I1162">
            <v>0</v>
          </cell>
          <cell r="J1162">
            <v>0</v>
          </cell>
          <cell r="K1162">
            <v>0</v>
          </cell>
          <cell r="L1162">
            <v>0</v>
          </cell>
          <cell r="M1162">
            <v>0</v>
          </cell>
          <cell r="N1162">
            <v>0</v>
          </cell>
          <cell r="O1162">
            <v>0</v>
          </cell>
        </row>
        <row r="1163">
          <cell r="A1163" t="str">
            <v>ChinaOrdinary Gains - AfterTax</v>
          </cell>
          <cell r="B1163">
            <v>0</v>
          </cell>
          <cell r="C1163">
            <v>0</v>
          </cell>
          <cell r="D1163">
            <v>0</v>
          </cell>
          <cell r="E1163">
            <v>0</v>
          </cell>
          <cell r="F1163">
            <v>0</v>
          </cell>
          <cell r="G1163">
            <v>0</v>
          </cell>
          <cell r="H1163">
            <v>0</v>
          </cell>
          <cell r="I1163">
            <v>0</v>
          </cell>
          <cell r="J1163">
            <v>0</v>
          </cell>
          <cell r="K1163">
            <v>0</v>
          </cell>
          <cell r="L1163">
            <v>0</v>
          </cell>
          <cell r="M1163">
            <v>0</v>
          </cell>
          <cell r="N1163">
            <v>0</v>
          </cell>
          <cell r="O1163">
            <v>0</v>
          </cell>
        </row>
        <row r="1164">
          <cell r="A1164" t="str">
            <v>ChinaTotal Volume</v>
          </cell>
          <cell r="B1164">
            <v>0</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row>
        <row r="1165">
          <cell r="A1165" t="str">
            <v>ChinaTOTAL # ACTIVE ACCOUNTS</v>
          </cell>
          <cell r="B1165">
            <v>0</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row>
        <row r="1166">
          <cell r="A1166" t="str">
            <v>Czech RepublicTOTAL FINANCING RECEIVABLES</v>
          </cell>
          <cell r="B1166">
            <v>466872320.56</v>
          </cell>
          <cell r="C1166">
            <v>487332419.55000001</v>
          </cell>
          <cell r="D1166">
            <v>570398653.05999994</v>
          </cell>
          <cell r="E1166">
            <v>650626561.95000005</v>
          </cell>
          <cell r="F1166">
            <v>650626561.95000005</v>
          </cell>
          <cell r="G1166">
            <v>697658475</v>
          </cell>
          <cell r="H1166">
            <v>767840737</v>
          </cell>
          <cell r="I1166">
            <v>843763781</v>
          </cell>
          <cell r="J1166">
            <v>967531016</v>
          </cell>
          <cell r="K1166">
            <v>967531016</v>
          </cell>
          <cell r="L1166">
            <v>689080509.67999995</v>
          </cell>
          <cell r="M1166">
            <v>1041187987</v>
          </cell>
          <cell r="N1166">
            <v>1370600053</v>
          </cell>
          <cell r="O1166">
            <v>1716131322</v>
          </cell>
        </row>
        <row r="1167">
          <cell r="A1167" t="str">
            <v>Czech RepublicRECEIVABLE RESERVES</v>
          </cell>
          <cell r="B1167">
            <v>-52656228.479999997</v>
          </cell>
          <cell r="C1167">
            <v>-52935136.100000001</v>
          </cell>
          <cell r="D1167">
            <v>-59238245.990000002</v>
          </cell>
          <cell r="E1167">
            <v>-62610464.57</v>
          </cell>
          <cell r="F1167">
            <v>-62610464.57</v>
          </cell>
          <cell r="G1167">
            <v>-65911753</v>
          </cell>
          <cell r="H1167">
            <v>-70912280</v>
          </cell>
          <cell r="I1167">
            <v>-75945577</v>
          </cell>
          <cell r="J1167">
            <v>-84756293</v>
          </cell>
          <cell r="K1167">
            <v>-84756293</v>
          </cell>
          <cell r="L1167">
            <v>-66923515.979999997</v>
          </cell>
          <cell r="M1167">
            <v>-93611235</v>
          </cell>
          <cell r="N1167">
            <v>-120116383</v>
          </cell>
          <cell r="O1167">
            <v>-150214708</v>
          </cell>
        </row>
        <row r="1168">
          <cell r="A1168" t="str">
            <v>Czech RepublicCASH</v>
          </cell>
          <cell r="B1168">
            <v>968140557.62</v>
          </cell>
          <cell r="C1168">
            <v>950238874.08000004</v>
          </cell>
          <cell r="D1168">
            <v>986360649.11000001</v>
          </cell>
          <cell r="E1168">
            <v>1065694769.64</v>
          </cell>
          <cell r="F1168">
            <v>1065694769.64</v>
          </cell>
          <cell r="G1168">
            <v>1022123994</v>
          </cell>
          <cell r="H1168">
            <v>1059852312</v>
          </cell>
          <cell r="I1168">
            <v>1085150629</v>
          </cell>
          <cell r="J1168">
            <v>1080058065</v>
          </cell>
          <cell r="K1168">
            <v>1080058065</v>
          </cell>
          <cell r="L1168">
            <v>1063057495.13</v>
          </cell>
          <cell r="M1168">
            <v>1186262635</v>
          </cell>
          <cell r="N1168">
            <v>1314445643</v>
          </cell>
          <cell r="O1168">
            <v>1365803284</v>
          </cell>
        </row>
        <row r="1169">
          <cell r="A1169" t="str">
            <v>Czech RepublicINVESTMENT SECURITIES</v>
          </cell>
          <cell r="B1169">
            <v>75279009.75</v>
          </cell>
          <cell r="C1169">
            <v>80609503.269999996</v>
          </cell>
          <cell r="D1169">
            <v>100243909.06999999</v>
          </cell>
          <cell r="E1169">
            <v>34470457.039999999</v>
          </cell>
          <cell r="F1169">
            <v>34470457.039999999</v>
          </cell>
          <cell r="G1169">
            <v>0</v>
          </cell>
          <cell r="H1169">
            <v>0</v>
          </cell>
          <cell r="I1169">
            <v>0</v>
          </cell>
          <cell r="J1169">
            <v>0</v>
          </cell>
          <cell r="K1169">
            <v>0</v>
          </cell>
          <cell r="L1169">
            <v>17260398.09</v>
          </cell>
          <cell r="M1169">
            <v>0</v>
          </cell>
          <cell r="N1169">
            <v>0</v>
          </cell>
          <cell r="O1169">
            <v>0</v>
          </cell>
        </row>
        <row r="1170">
          <cell r="A1170" t="str">
            <v>Czech RepublicINV IN NON CONSOL AFFILIATES</v>
          </cell>
          <cell r="B1170">
            <v>687433.26</v>
          </cell>
          <cell r="C1170">
            <v>670937.25</v>
          </cell>
          <cell r="D1170">
            <v>713699.04</v>
          </cell>
          <cell r="E1170">
            <v>740451.52</v>
          </cell>
          <cell r="F1170">
            <v>740451.52</v>
          </cell>
          <cell r="G1170">
            <v>0</v>
          </cell>
          <cell r="H1170">
            <v>0</v>
          </cell>
          <cell r="I1170">
            <v>0</v>
          </cell>
          <cell r="J1170">
            <v>0</v>
          </cell>
          <cell r="K1170">
            <v>0</v>
          </cell>
          <cell r="L1170">
            <v>746489.76</v>
          </cell>
          <cell r="M1170">
            <v>0</v>
          </cell>
          <cell r="N1170">
            <v>0</v>
          </cell>
          <cell r="O1170">
            <v>0</v>
          </cell>
        </row>
        <row r="1171">
          <cell r="A1171" t="str">
            <v>Czech RepublicINVESTMENT IN JOINT VENTURE</v>
          </cell>
          <cell r="B1171">
            <v>0</v>
          </cell>
          <cell r="C1171">
            <v>0</v>
          </cell>
          <cell r="D1171">
            <v>0</v>
          </cell>
          <cell r="E1171">
            <v>0</v>
          </cell>
          <cell r="F1171">
            <v>0</v>
          </cell>
          <cell r="G1171">
            <v>0</v>
          </cell>
          <cell r="H1171">
            <v>0</v>
          </cell>
          <cell r="I1171">
            <v>0</v>
          </cell>
          <cell r="J1171">
            <v>0</v>
          </cell>
          <cell r="K1171">
            <v>0</v>
          </cell>
          <cell r="L1171">
            <v>0</v>
          </cell>
          <cell r="M1171">
            <v>0</v>
          </cell>
          <cell r="N1171">
            <v>0</v>
          </cell>
          <cell r="O1171">
            <v>0</v>
          </cell>
        </row>
        <row r="1172">
          <cell r="A1172" t="str">
            <v>Czech RepublicALL OTHER RECEIVABLES (NON-FINANCING)</v>
          </cell>
          <cell r="B1172">
            <v>1854978.55</v>
          </cell>
          <cell r="C1172">
            <v>847829.85</v>
          </cell>
          <cell r="D1172">
            <v>1918460.13</v>
          </cell>
          <cell r="E1172">
            <v>3492096.94</v>
          </cell>
          <cell r="F1172">
            <v>3492096.94</v>
          </cell>
          <cell r="G1172">
            <v>4352745</v>
          </cell>
          <cell r="H1172">
            <v>4387542</v>
          </cell>
          <cell r="I1172">
            <v>4448869</v>
          </cell>
          <cell r="J1172">
            <v>5192226</v>
          </cell>
          <cell r="K1172">
            <v>5192226</v>
          </cell>
          <cell r="L1172">
            <v>2995704.02</v>
          </cell>
          <cell r="M1172">
            <v>3125608</v>
          </cell>
          <cell r="N1172">
            <v>3377008</v>
          </cell>
          <cell r="O1172">
            <v>3722690</v>
          </cell>
        </row>
        <row r="1173">
          <cell r="A1173" t="str">
            <v>Czech RepublicELTO (NET)</v>
          </cell>
          <cell r="B1173">
            <v>52762.98</v>
          </cell>
          <cell r="C1173">
            <v>41573.15</v>
          </cell>
          <cell r="D1173">
            <v>14720.6</v>
          </cell>
          <cell r="E1173">
            <v>10075.59</v>
          </cell>
          <cell r="F1173">
            <v>10075.59</v>
          </cell>
          <cell r="G1173">
            <v>0</v>
          </cell>
          <cell r="H1173">
            <v>0</v>
          </cell>
          <cell r="I1173">
            <v>0</v>
          </cell>
          <cell r="J1173">
            <v>0</v>
          </cell>
          <cell r="K1173">
            <v>0</v>
          </cell>
          <cell r="L1173">
            <v>10084.66</v>
          </cell>
          <cell r="M1173">
            <v>0</v>
          </cell>
          <cell r="N1173">
            <v>0</v>
          </cell>
          <cell r="O1173">
            <v>0</v>
          </cell>
        </row>
        <row r="1174">
          <cell r="A1174" t="str">
            <v>Czech RepublicGOODWILL</v>
          </cell>
          <cell r="B1174">
            <v>-19563252.109999999</v>
          </cell>
          <cell r="C1174">
            <v>17126045.699999999</v>
          </cell>
          <cell r="D1174">
            <v>17699023.559999999</v>
          </cell>
          <cell r="E1174">
            <v>17524364.93</v>
          </cell>
          <cell r="F1174">
            <v>17524364.93</v>
          </cell>
          <cell r="G1174">
            <v>16681829</v>
          </cell>
          <cell r="H1174">
            <v>16681829</v>
          </cell>
          <cell r="I1174">
            <v>16681829</v>
          </cell>
          <cell r="J1174">
            <v>16681829</v>
          </cell>
          <cell r="K1174">
            <v>16681829</v>
          </cell>
          <cell r="L1174">
            <v>17687568.739999998</v>
          </cell>
          <cell r="M1174">
            <v>-2559478</v>
          </cell>
          <cell r="N1174">
            <v>7440420</v>
          </cell>
          <cell r="O1174">
            <v>10846793</v>
          </cell>
        </row>
        <row r="1175">
          <cell r="A1175" t="str">
            <v>Czech RepublicOTHER ASSETS</v>
          </cell>
          <cell r="B1175">
            <v>33063183.829999998</v>
          </cell>
          <cell r="C1175">
            <v>33314612.16</v>
          </cell>
          <cell r="D1175">
            <v>36032723.359999999</v>
          </cell>
          <cell r="E1175">
            <v>36915924.829999998</v>
          </cell>
          <cell r="F1175">
            <v>36915924.829999998</v>
          </cell>
          <cell r="G1175">
            <v>34958152</v>
          </cell>
          <cell r="H1175">
            <v>39913612</v>
          </cell>
          <cell r="I1175">
            <v>39354351</v>
          </cell>
          <cell r="J1175">
            <v>45003633</v>
          </cell>
          <cell r="K1175">
            <v>45003633</v>
          </cell>
          <cell r="L1175">
            <v>28673288.149999999</v>
          </cell>
          <cell r="M1175">
            <v>49709424</v>
          </cell>
          <cell r="N1175">
            <v>52121700</v>
          </cell>
          <cell r="O1175">
            <v>55501956</v>
          </cell>
        </row>
        <row r="1176">
          <cell r="A1176" t="str">
            <v>Czech RepublicACCOUNTS PAYABLE</v>
          </cell>
          <cell r="B1176">
            <v>5610464.5300000003</v>
          </cell>
          <cell r="C1176">
            <v>3219670.32</v>
          </cell>
          <cell r="D1176">
            <v>1095070.1200000001</v>
          </cell>
          <cell r="E1176">
            <v>-2269109.79</v>
          </cell>
          <cell r="F1176">
            <v>-2269109.79</v>
          </cell>
          <cell r="G1176">
            <v>3756335</v>
          </cell>
          <cell r="H1176">
            <v>3756335</v>
          </cell>
          <cell r="I1176">
            <v>3756335</v>
          </cell>
          <cell r="J1176">
            <v>3756335</v>
          </cell>
          <cell r="K1176">
            <v>3756335</v>
          </cell>
          <cell r="L1176">
            <v>-2612743.21</v>
          </cell>
          <cell r="M1176">
            <v>12643228</v>
          </cell>
          <cell r="N1176">
            <v>10206499</v>
          </cell>
          <cell r="O1176">
            <v>7335444</v>
          </cell>
        </row>
        <row r="1177">
          <cell r="A1177" t="str">
            <v>Czech RepublicDEFERRED INCOME TAXES</v>
          </cell>
          <cell r="B1177">
            <v>-1793872.46</v>
          </cell>
          <cell r="C1177">
            <v>-12839929.92</v>
          </cell>
          <cell r="D1177">
            <v>-18488010.579999998</v>
          </cell>
          <cell r="E1177">
            <v>-14062624.34</v>
          </cell>
          <cell r="F1177">
            <v>-14062624.34</v>
          </cell>
          <cell r="G1177">
            <v>-18037829</v>
          </cell>
          <cell r="H1177">
            <v>-21882459</v>
          </cell>
          <cell r="I1177">
            <v>-26117547</v>
          </cell>
          <cell r="J1177">
            <v>-30365717</v>
          </cell>
          <cell r="K1177">
            <v>-30365717</v>
          </cell>
          <cell r="L1177">
            <v>-8889177.8200000003</v>
          </cell>
          <cell r="M1177">
            <v>-18841699</v>
          </cell>
          <cell r="N1177">
            <v>-36922340</v>
          </cell>
          <cell r="O1177">
            <v>-58213117</v>
          </cell>
        </row>
        <row r="1178">
          <cell r="A1178" t="str">
            <v>Czech RepublicWRITE-OFF (MEMO)</v>
          </cell>
          <cell r="B1178">
            <v>-2722722.77</v>
          </cell>
          <cell r="C1178">
            <v>-4089354.17</v>
          </cell>
          <cell r="D1178">
            <v>-8709921.1500000004</v>
          </cell>
          <cell r="E1178">
            <v>-16584571.4</v>
          </cell>
          <cell r="F1178">
            <v>-16584571.4</v>
          </cell>
          <cell r="G1178">
            <v>960704.57563800004</v>
          </cell>
          <cell r="H1178">
            <v>2051956.9160539999</v>
          </cell>
          <cell r="I1178">
            <v>4448834.3210450001</v>
          </cell>
          <cell r="J1178">
            <v>6665121.9865030004</v>
          </cell>
          <cell r="K1178">
            <v>6665121.9865030004</v>
          </cell>
          <cell r="L1178">
            <v>-677374.28</v>
          </cell>
          <cell r="M1178">
            <v>12155768</v>
          </cell>
          <cell r="N1178">
            <v>26276527</v>
          </cell>
          <cell r="O1178">
            <v>40244793</v>
          </cell>
        </row>
        <row r="1179">
          <cell r="A1179" t="str">
            <v>Czech RepublicINSURANCE RESERVES AND ANNUITY BENEFITS</v>
          </cell>
          <cell r="B1179">
            <v>0</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row>
        <row r="1180">
          <cell r="A1180" t="str">
            <v>Czech RepublicALL OTHER NON DEBT LIABILITIES</v>
          </cell>
          <cell r="B1180">
            <v>-58515656.539999999</v>
          </cell>
          <cell r="C1180">
            <v>-57814624.82</v>
          </cell>
          <cell r="D1180">
            <v>-52495316.539999999</v>
          </cell>
          <cell r="E1180">
            <v>-58378599</v>
          </cell>
          <cell r="F1180">
            <v>-58378599</v>
          </cell>
          <cell r="G1180">
            <v>-53402707</v>
          </cell>
          <cell r="H1180">
            <v>-52909521</v>
          </cell>
          <cell r="I1180">
            <v>-52693315</v>
          </cell>
          <cell r="J1180">
            <v>-53698648</v>
          </cell>
          <cell r="K1180">
            <v>-53698648</v>
          </cell>
          <cell r="L1180">
            <v>-50218874.469999999</v>
          </cell>
          <cell r="M1180">
            <v>-74372285</v>
          </cell>
          <cell r="N1180">
            <v>-86099621</v>
          </cell>
          <cell r="O1180">
            <v>-98905290</v>
          </cell>
        </row>
        <row r="1181">
          <cell r="A1181" t="str">
            <v>Czech RepublicMINORITY INTEREST (BS)</v>
          </cell>
          <cell r="B1181">
            <v>0</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row>
        <row r="1182">
          <cell r="A1182" t="str">
            <v>Czech RepublicASIA PACIFIC ENI DIVIDEND</v>
          </cell>
          <cell r="B1182">
            <v>0</v>
          </cell>
          <cell r="C1182">
            <v>0</v>
          </cell>
          <cell r="D1182">
            <v>0</v>
          </cell>
          <cell r="E1182">
            <v>0</v>
          </cell>
          <cell r="F1182">
            <v>0</v>
          </cell>
          <cell r="G1182">
            <v>0</v>
          </cell>
          <cell r="H1182">
            <v>0</v>
          </cell>
          <cell r="I1182">
            <v>0</v>
          </cell>
          <cell r="J1182">
            <v>0</v>
          </cell>
          <cell r="K1182">
            <v>0</v>
          </cell>
          <cell r="L1182">
            <v>0</v>
          </cell>
          <cell r="M1182">
            <v>0</v>
          </cell>
          <cell r="N1182">
            <v>0</v>
          </cell>
          <cell r="O1182">
            <v>0</v>
          </cell>
        </row>
        <row r="1183">
          <cell r="A1183" t="str">
            <v>Czech RepublicFINANCING INCOME</v>
          </cell>
          <cell r="B1183">
            <v>-28122261.829999998</v>
          </cell>
          <cell r="C1183">
            <v>-26717774.239999998</v>
          </cell>
          <cell r="D1183">
            <v>-24245123.969999999</v>
          </cell>
          <cell r="E1183">
            <v>-22423972.699999999</v>
          </cell>
          <cell r="F1183">
            <v>-101509132.73999999</v>
          </cell>
          <cell r="G1183">
            <v>-27845209</v>
          </cell>
          <cell r="H1183">
            <v>-29770660</v>
          </cell>
          <cell r="I1183">
            <v>-32274873</v>
          </cell>
          <cell r="J1183">
            <v>-36093628</v>
          </cell>
          <cell r="K1183">
            <v>-125984370</v>
          </cell>
          <cell r="L1183">
            <v>-29631136.420000002</v>
          </cell>
          <cell r="M1183">
            <v>-155561789</v>
          </cell>
          <cell r="N1183">
            <v>-200472537</v>
          </cell>
          <cell r="O1183">
            <v>-240785021</v>
          </cell>
        </row>
        <row r="1184">
          <cell r="A1184" t="str">
            <v>Czech RepublicINSURANCE PREMIUM INCOME</v>
          </cell>
          <cell r="B1184">
            <v>0</v>
          </cell>
          <cell r="C1184">
            <v>0</v>
          </cell>
          <cell r="D1184">
            <v>0</v>
          </cell>
          <cell r="E1184">
            <v>0</v>
          </cell>
          <cell r="F1184">
            <v>0</v>
          </cell>
          <cell r="G1184">
            <v>0</v>
          </cell>
          <cell r="H1184">
            <v>0</v>
          </cell>
          <cell r="I1184">
            <v>0</v>
          </cell>
          <cell r="J1184">
            <v>0</v>
          </cell>
          <cell r="K1184">
            <v>0</v>
          </cell>
          <cell r="L1184">
            <v>0</v>
          </cell>
          <cell r="M1184">
            <v>0</v>
          </cell>
          <cell r="N1184">
            <v>0</v>
          </cell>
          <cell r="O1184">
            <v>0</v>
          </cell>
        </row>
        <row r="1185">
          <cell r="A1185" t="str">
            <v>Czech RepublicINSURANCE INCOME (COMMISSIONS)</v>
          </cell>
          <cell r="B1185">
            <v>-1144890.81</v>
          </cell>
          <cell r="C1185">
            <v>-468759.41</v>
          </cell>
          <cell r="D1185">
            <v>-401861.91</v>
          </cell>
          <cell r="E1185">
            <v>194649.03</v>
          </cell>
          <cell r="F1185">
            <v>-1820863.1</v>
          </cell>
          <cell r="G1185">
            <v>-132871</v>
          </cell>
          <cell r="H1185">
            <v>-136980</v>
          </cell>
          <cell r="I1185">
            <v>-150298</v>
          </cell>
          <cell r="J1185">
            <v>-158384</v>
          </cell>
          <cell r="K1185">
            <v>-578533</v>
          </cell>
          <cell r="L1185">
            <v>-245935.65</v>
          </cell>
          <cell r="M1185">
            <v>-1044760</v>
          </cell>
          <cell r="N1185">
            <v>-1723854</v>
          </cell>
          <cell r="O1185">
            <v>-2540808</v>
          </cell>
        </row>
        <row r="1186">
          <cell r="A1186" t="str">
            <v>Czech RepublicSUNDRY INCOME</v>
          </cell>
          <cell r="B1186">
            <v>-6294272.1600000001</v>
          </cell>
          <cell r="C1186">
            <v>-29784199.149999999</v>
          </cell>
          <cell r="D1186">
            <v>-13559740.48</v>
          </cell>
          <cell r="E1186">
            <v>-9213769.4600000009</v>
          </cell>
          <cell r="F1186">
            <v>-58851981.25</v>
          </cell>
          <cell r="G1186">
            <v>-10238270</v>
          </cell>
          <cell r="H1186">
            <v>-10205756</v>
          </cell>
          <cell r="I1186">
            <v>-10415046</v>
          </cell>
          <cell r="J1186">
            <v>-10935425</v>
          </cell>
          <cell r="K1186">
            <v>-41794497</v>
          </cell>
          <cell r="L1186">
            <v>-7222547.2800000003</v>
          </cell>
          <cell r="M1186">
            <v>-34176038</v>
          </cell>
          <cell r="N1186">
            <v>-40454308</v>
          </cell>
          <cell r="O1186">
            <v>-48218544</v>
          </cell>
        </row>
        <row r="1187">
          <cell r="A1187" t="str">
            <v>Czech RepublicINTEREST EXPENSE</v>
          </cell>
          <cell r="B1187">
            <v>11676486.68</v>
          </cell>
          <cell r="C1187">
            <v>12540861.41</v>
          </cell>
          <cell r="D1187">
            <v>12691444.789999999</v>
          </cell>
          <cell r="E1187">
            <v>11453160.91</v>
          </cell>
          <cell r="F1187">
            <v>48361953.789999999</v>
          </cell>
          <cell r="G1187">
            <v>10703076</v>
          </cell>
          <cell r="H1187">
            <v>11215544</v>
          </cell>
          <cell r="I1187">
            <v>11902851</v>
          </cell>
          <cell r="J1187">
            <v>12960451</v>
          </cell>
          <cell r="K1187">
            <v>46781922</v>
          </cell>
          <cell r="L1187">
            <v>10842161.189999999</v>
          </cell>
          <cell r="M1187">
            <v>16149803</v>
          </cell>
          <cell r="N1187">
            <v>33140447</v>
          </cell>
          <cell r="O1187">
            <v>42945519</v>
          </cell>
        </row>
        <row r="1188">
          <cell r="A1188" t="str">
            <v>Czech RepublicINTEREST EXPENSE REDUCTIONS / BUS SHARING</v>
          </cell>
          <cell r="B1188">
            <v>-11483746.32</v>
          </cell>
          <cell r="C1188">
            <v>-11858502.66</v>
          </cell>
          <cell r="D1188">
            <v>-15613197.939999999</v>
          </cell>
          <cell r="E1188">
            <v>-13500366.99</v>
          </cell>
          <cell r="F1188">
            <v>-52455813.909999996</v>
          </cell>
          <cell r="G1188">
            <v>-11468563</v>
          </cell>
          <cell r="H1188">
            <v>-11375056</v>
          </cell>
          <cell r="I1188">
            <v>-11566975</v>
          </cell>
          <cell r="J1188">
            <v>-11817615</v>
          </cell>
          <cell r="K1188">
            <v>-46228209</v>
          </cell>
          <cell r="L1188">
            <v>-11359032.77</v>
          </cell>
          <cell r="M1188">
            <v>0</v>
          </cell>
          <cell r="N1188">
            <v>0</v>
          </cell>
          <cell r="O1188">
            <v>0</v>
          </cell>
        </row>
        <row r="1189">
          <cell r="A1189" t="str">
            <v>Czech RepublicALLOCATED COST OF PREFERRED EQUITY</v>
          </cell>
          <cell r="B1189">
            <v>179625.76</v>
          </cell>
          <cell r="C1189">
            <v>152535.70000000001</v>
          </cell>
          <cell r="D1189">
            <v>132701.25</v>
          </cell>
          <cell r="E1189">
            <v>84758.32</v>
          </cell>
          <cell r="F1189">
            <v>549621.03</v>
          </cell>
          <cell r="G1189">
            <v>0</v>
          </cell>
          <cell r="H1189">
            <v>0</v>
          </cell>
          <cell r="I1189">
            <v>0</v>
          </cell>
          <cell r="J1189">
            <v>0</v>
          </cell>
          <cell r="K1189">
            <v>0</v>
          </cell>
          <cell r="L1189">
            <v>103701.52</v>
          </cell>
          <cell r="M1189">
            <v>0</v>
          </cell>
          <cell r="N1189">
            <v>0</v>
          </cell>
          <cell r="O1189">
            <v>0</v>
          </cell>
        </row>
        <row r="1190">
          <cell r="A1190" t="str">
            <v>Czech RepublicSALARIES &amp; BENEFITS</v>
          </cell>
          <cell r="B1190">
            <v>7877945.96</v>
          </cell>
          <cell r="C1190">
            <v>6278569.1900000004</v>
          </cell>
          <cell r="D1190">
            <v>6750524.0599999996</v>
          </cell>
          <cell r="E1190">
            <v>8022501.8600000003</v>
          </cell>
          <cell r="F1190">
            <v>28929541.07</v>
          </cell>
          <cell r="G1190">
            <v>7275337</v>
          </cell>
          <cell r="H1190">
            <v>7256860</v>
          </cell>
          <cell r="I1190">
            <v>7216527</v>
          </cell>
          <cell r="J1190">
            <v>7217713</v>
          </cell>
          <cell r="K1190">
            <v>28966437</v>
          </cell>
          <cell r="L1190">
            <v>7533262.4900000002</v>
          </cell>
          <cell r="M1190">
            <v>29354326</v>
          </cell>
          <cell r="N1190">
            <v>30732037</v>
          </cell>
          <cell r="O1190">
            <v>32288211</v>
          </cell>
        </row>
        <row r="1191">
          <cell r="A1191" t="str">
            <v>Czech RepublicLOSSES ON OTHER ASSETS</v>
          </cell>
          <cell r="B1191">
            <v>-355559.29</v>
          </cell>
          <cell r="C1191">
            <v>-585486.73</v>
          </cell>
          <cell r="D1191">
            <v>-490672.23</v>
          </cell>
          <cell r="E1191">
            <v>-4061836.68</v>
          </cell>
          <cell r="F1191">
            <v>-5493554.9299999997</v>
          </cell>
          <cell r="G1191">
            <v>0</v>
          </cell>
          <cell r="H1191">
            <v>0</v>
          </cell>
          <cell r="I1191">
            <v>0</v>
          </cell>
          <cell r="J1191">
            <v>0</v>
          </cell>
          <cell r="K1191">
            <v>0</v>
          </cell>
          <cell r="L1191">
            <v>-509157</v>
          </cell>
          <cell r="M1191">
            <v>0</v>
          </cell>
          <cell r="N1191">
            <v>0</v>
          </cell>
          <cell r="O1191">
            <v>0</v>
          </cell>
        </row>
        <row r="1192">
          <cell r="A1192" t="str">
            <v>Czech RepublicCOST OF GOODS SOLD</v>
          </cell>
          <cell r="B1192">
            <v>0</v>
          </cell>
          <cell r="C1192">
            <v>2433.94</v>
          </cell>
          <cell r="D1192">
            <v>-2413.33</v>
          </cell>
          <cell r="E1192">
            <v>3319780.71</v>
          </cell>
          <cell r="F1192">
            <v>3319801.32</v>
          </cell>
          <cell r="G1192">
            <v>2236218</v>
          </cell>
          <cell r="H1192">
            <v>2645805</v>
          </cell>
          <cell r="I1192">
            <v>2466242</v>
          </cell>
          <cell r="J1192">
            <v>2995659</v>
          </cell>
          <cell r="K1192">
            <v>10343924</v>
          </cell>
          <cell r="L1192">
            <v>-0.01</v>
          </cell>
          <cell r="M1192">
            <v>0</v>
          </cell>
          <cell r="N1192">
            <v>0</v>
          </cell>
          <cell r="O1192">
            <v>0</v>
          </cell>
        </row>
        <row r="1193">
          <cell r="A1193" t="str">
            <v>Czech RepublicCOST OF GOODS SOLD - DISTRIBUTION</v>
          </cell>
          <cell r="B1193">
            <v>0</v>
          </cell>
          <cell r="C1193">
            <v>0</v>
          </cell>
          <cell r="D1193">
            <v>0</v>
          </cell>
          <cell r="E1193">
            <v>0</v>
          </cell>
          <cell r="F1193">
            <v>0</v>
          </cell>
          <cell r="G1193">
            <v>0</v>
          </cell>
          <cell r="H1193">
            <v>0</v>
          </cell>
          <cell r="I1193">
            <v>0</v>
          </cell>
          <cell r="J1193">
            <v>0</v>
          </cell>
          <cell r="K1193">
            <v>0</v>
          </cell>
          <cell r="L1193">
            <v>0</v>
          </cell>
          <cell r="M1193">
            <v>0</v>
          </cell>
          <cell r="N1193">
            <v>0</v>
          </cell>
          <cell r="O1193">
            <v>0</v>
          </cell>
        </row>
        <row r="1194">
          <cell r="A1194" t="str">
            <v>Czech RepublicPOSTAGE</v>
          </cell>
          <cell r="B1194">
            <v>469489.99</v>
          </cell>
          <cell r="C1194">
            <v>413823.89</v>
          </cell>
          <cell r="D1194">
            <v>329061.65999999997</v>
          </cell>
          <cell r="E1194">
            <v>893840.71</v>
          </cell>
          <cell r="F1194">
            <v>2106216.25</v>
          </cell>
          <cell r="G1194">
            <v>724172</v>
          </cell>
          <cell r="H1194">
            <v>764423</v>
          </cell>
          <cell r="I1194">
            <v>738352</v>
          </cell>
          <cell r="J1194">
            <v>785303</v>
          </cell>
          <cell r="K1194">
            <v>3012250</v>
          </cell>
          <cell r="L1194">
            <v>562127.24</v>
          </cell>
          <cell r="M1194">
            <v>2546636</v>
          </cell>
          <cell r="N1194">
            <v>3021062</v>
          </cell>
          <cell r="O1194">
            <v>3400942</v>
          </cell>
        </row>
        <row r="1195">
          <cell r="A1195" t="str">
            <v>Czech RepublicTELEPHONE</v>
          </cell>
          <cell r="B1195">
            <v>264128.40999999997</v>
          </cell>
          <cell r="C1195">
            <v>484930.13</v>
          </cell>
          <cell r="D1195">
            <v>226820.15</v>
          </cell>
          <cell r="E1195">
            <v>586592.66</v>
          </cell>
          <cell r="F1195">
            <v>1562471.35</v>
          </cell>
          <cell r="G1195">
            <v>380116</v>
          </cell>
          <cell r="H1195">
            <v>378173</v>
          </cell>
          <cell r="I1195">
            <v>379111</v>
          </cell>
          <cell r="J1195">
            <v>381763</v>
          </cell>
          <cell r="K1195">
            <v>1519163</v>
          </cell>
          <cell r="L1195">
            <v>434151.64</v>
          </cell>
          <cell r="M1195">
            <v>2114920</v>
          </cell>
          <cell r="N1195">
            <v>2122495</v>
          </cell>
          <cell r="O1195">
            <v>2184822</v>
          </cell>
        </row>
        <row r="1196">
          <cell r="A1196" t="str">
            <v>Czech RepublicCUSTOMER SERVICE / COLLECTIONS</v>
          </cell>
          <cell r="B1196">
            <v>682049.81</v>
          </cell>
          <cell r="C1196">
            <v>1436433.07</v>
          </cell>
          <cell r="D1196">
            <v>902424.77</v>
          </cell>
          <cell r="E1196">
            <v>1329523.21</v>
          </cell>
          <cell r="F1196">
            <v>4350430.8600000003</v>
          </cell>
          <cell r="G1196">
            <v>1447177</v>
          </cell>
          <cell r="H1196">
            <v>1455464</v>
          </cell>
          <cell r="I1196">
            <v>1469680</v>
          </cell>
          <cell r="J1196">
            <v>1482288</v>
          </cell>
          <cell r="K1196">
            <v>5854609</v>
          </cell>
          <cell r="L1196">
            <v>1542422.85</v>
          </cell>
          <cell r="M1196">
            <v>5520012</v>
          </cell>
          <cell r="N1196">
            <v>6512764</v>
          </cell>
          <cell r="O1196">
            <v>7190336</v>
          </cell>
        </row>
        <row r="1197">
          <cell r="A1197" t="str">
            <v>Czech RepublicSTATIONARY - OFFICE SUPPLIES</v>
          </cell>
          <cell r="B1197">
            <v>324368.8</v>
          </cell>
          <cell r="C1197">
            <v>330980.96000000002</v>
          </cell>
          <cell r="D1197">
            <v>99318.38</v>
          </cell>
          <cell r="E1197">
            <v>571252.69999999995</v>
          </cell>
          <cell r="F1197">
            <v>1325920.8400000001</v>
          </cell>
          <cell r="G1197">
            <v>410414</v>
          </cell>
          <cell r="H1197">
            <v>410024</v>
          </cell>
          <cell r="I1197">
            <v>443391</v>
          </cell>
          <cell r="J1197">
            <v>437341</v>
          </cell>
          <cell r="K1197">
            <v>1701170</v>
          </cell>
          <cell r="L1197">
            <v>407218.37</v>
          </cell>
          <cell r="M1197">
            <v>2401938</v>
          </cell>
          <cell r="N1197">
            <v>2457140</v>
          </cell>
          <cell r="O1197">
            <v>2540969</v>
          </cell>
        </row>
        <row r="1198">
          <cell r="A1198" t="str">
            <v>Czech RepublicT&amp;L</v>
          </cell>
          <cell r="B1198">
            <v>831634.59</v>
          </cell>
          <cell r="C1198">
            <v>704553.93</v>
          </cell>
          <cell r="D1198">
            <v>39613.47</v>
          </cell>
          <cell r="E1198">
            <v>1403565.15</v>
          </cell>
          <cell r="F1198">
            <v>2979367.14</v>
          </cell>
          <cell r="G1198">
            <v>445928</v>
          </cell>
          <cell r="H1198">
            <v>605190</v>
          </cell>
          <cell r="I1198">
            <v>606345</v>
          </cell>
          <cell r="J1198">
            <v>636635</v>
          </cell>
          <cell r="K1198">
            <v>2294098</v>
          </cell>
          <cell r="L1198">
            <v>488845.89</v>
          </cell>
          <cell r="M1198">
            <v>3335872</v>
          </cell>
          <cell r="N1198">
            <v>3455935</v>
          </cell>
          <cell r="O1198">
            <v>3581453</v>
          </cell>
        </row>
        <row r="1199">
          <cell r="A1199" t="str">
            <v>Czech RepublicRENTAL - BLDG/FACILITIES</v>
          </cell>
          <cell r="B1199">
            <v>1254160.74</v>
          </cell>
          <cell r="C1199">
            <v>351433.81</v>
          </cell>
          <cell r="D1199">
            <v>-554651.46</v>
          </cell>
          <cell r="E1199">
            <v>869678.73</v>
          </cell>
          <cell r="F1199">
            <v>1920621.82</v>
          </cell>
          <cell r="G1199">
            <v>1106006</v>
          </cell>
          <cell r="H1199">
            <v>1336319</v>
          </cell>
          <cell r="I1199">
            <v>1290656</v>
          </cell>
          <cell r="J1199">
            <v>1296257</v>
          </cell>
          <cell r="K1199">
            <v>5029238</v>
          </cell>
          <cell r="L1199">
            <v>891209.07</v>
          </cell>
          <cell r="M1199">
            <v>4210524</v>
          </cell>
          <cell r="N1199">
            <v>4235751</v>
          </cell>
          <cell r="O1199">
            <v>4261505</v>
          </cell>
        </row>
        <row r="1200">
          <cell r="A1200" t="str">
            <v>Czech RepublicRENTAL - FURNITURE/EQUIP</v>
          </cell>
          <cell r="B1200">
            <v>175075.52</v>
          </cell>
          <cell r="C1200">
            <v>126160.02</v>
          </cell>
          <cell r="D1200">
            <v>46817.89</v>
          </cell>
          <cell r="E1200">
            <v>100148.27</v>
          </cell>
          <cell r="F1200">
            <v>448201.7</v>
          </cell>
          <cell r="G1200">
            <v>92016</v>
          </cell>
          <cell r="H1200">
            <v>92016</v>
          </cell>
          <cell r="I1200">
            <v>92016</v>
          </cell>
          <cell r="J1200">
            <v>92016</v>
          </cell>
          <cell r="K1200">
            <v>368064</v>
          </cell>
          <cell r="L1200">
            <v>98096.75</v>
          </cell>
          <cell r="M1200">
            <v>425085</v>
          </cell>
          <cell r="N1200">
            <v>451427</v>
          </cell>
          <cell r="O1200">
            <v>505419</v>
          </cell>
        </row>
        <row r="1201">
          <cell r="A1201" t="str">
            <v>Czech RepublicRENTAL - COMPUTERS</v>
          </cell>
          <cell r="B1201">
            <v>5177.25</v>
          </cell>
          <cell r="C1201">
            <v>5791.38</v>
          </cell>
          <cell r="D1201">
            <v>-8987.31</v>
          </cell>
          <cell r="E1201">
            <v>348.05</v>
          </cell>
          <cell r="F1201">
            <v>2329.37</v>
          </cell>
          <cell r="G1201">
            <v>0</v>
          </cell>
          <cell r="H1201">
            <v>0</v>
          </cell>
          <cell r="I1201">
            <v>0</v>
          </cell>
          <cell r="J1201">
            <v>0</v>
          </cell>
          <cell r="K1201">
            <v>0</v>
          </cell>
          <cell r="L1201">
            <v>0</v>
          </cell>
          <cell r="M1201">
            <v>31480</v>
          </cell>
          <cell r="N1201">
            <v>34627</v>
          </cell>
          <cell r="O1201">
            <v>38090</v>
          </cell>
        </row>
        <row r="1202">
          <cell r="A1202" t="str">
            <v>Czech RepublicLEASE IN - LEASE OUT</v>
          </cell>
          <cell r="B1202">
            <v>39312.35</v>
          </cell>
          <cell r="C1202">
            <v>42439.85</v>
          </cell>
          <cell r="D1202">
            <v>168534.15</v>
          </cell>
          <cell r="E1202">
            <v>3920.51</v>
          </cell>
          <cell r="F1202">
            <v>254206.86</v>
          </cell>
          <cell r="G1202">
            <v>21789</v>
          </cell>
          <cell r="H1202">
            <v>17527</v>
          </cell>
          <cell r="I1202">
            <v>13939</v>
          </cell>
          <cell r="J1202">
            <v>8040</v>
          </cell>
          <cell r="K1202">
            <v>61295</v>
          </cell>
          <cell r="L1202">
            <v>149914.41</v>
          </cell>
          <cell r="M1202">
            <v>352291</v>
          </cell>
          <cell r="N1202">
            <v>387521</v>
          </cell>
          <cell r="O1202">
            <v>465025</v>
          </cell>
        </row>
        <row r="1203">
          <cell r="A1203" t="str">
            <v>Czech RepublicFURNITURE / EQUIPMENT / COMPUTER EXP</v>
          </cell>
          <cell r="B1203">
            <v>829981.44</v>
          </cell>
          <cell r="C1203">
            <v>1804248.05</v>
          </cell>
          <cell r="D1203">
            <v>-792483.3</v>
          </cell>
          <cell r="E1203">
            <v>2299704.9500000002</v>
          </cell>
          <cell r="F1203">
            <v>4141451.14</v>
          </cell>
          <cell r="G1203">
            <v>622514</v>
          </cell>
          <cell r="H1203">
            <v>686121</v>
          </cell>
          <cell r="I1203">
            <v>581335</v>
          </cell>
          <cell r="J1203">
            <v>424770</v>
          </cell>
          <cell r="K1203">
            <v>2314740</v>
          </cell>
          <cell r="L1203">
            <v>568031.41</v>
          </cell>
          <cell r="M1203">
            <v>3955173</v>
          </cell>
          <cell r="N1203">
            <v>4118761</v>
          </cell>
          <cell r="O1203">
            <v>4286116</v>
          </cell>
        </row>
        <row r="1204">
          <cell r="A1204" t="str">
            <v>Czech RepublicSOFTWARE EXPENSE</v>
          </cell>
          <cell r="B1204">
            <v>200341.17</v>
          </cell>
          <cell r="C1204">
            <v>90615.34</v>
          </cell>
          <cell r="D1204">
            <v>-164317.6</v>
          </cell>
          <cell r="E1204">
            <v>3278116.04</v>
          </cell>
          <cell r="F1204">
            <v>3404754.95</v>
          </cell>
          <cell r="G1204">
            <v>1785743</v>
          </cell>
          <cell r="H1204">
            <v>1648250</v>
          </cell>
          <cell r="I1204">
            <v>1838107</v>
          </cell>
          <cell r="J1204">
            <v>1733346</v>
          </cell>
          <cell r="K1204">
            <v>7005446</v>
          </cell>
          <cell r="L1204">
            <v>972455.08</v>
          </cell>
          <cell r="M1204">
            <v>541382</v>
          </cell>
          <cell r="N1204">
            <v>595521</v>
          </cell>
          <cell r="O1204">
            <v>655073</v>
          </cell>
        </row>
        <row r="1205">
          <cell r="A1205" t="str">
            <v>Czech RepublicAMORTIZATION OF INTANGIBLES</v>
          </cell>
          <cell r="B1205">
            <v>913841.52</v>
          </cell>
          <cell r="C1205">
            <v>958393.95</v>
          </cell>
          <cell r="D1205">
            <v>891497.85</v>
          </cell>
          <cell r="E1205">
            <v>293175.02</v>
          </cell>
          <cell r="F1205">
            <v>3056908.34</v>
          </cell>
          <cell r="G1205">
            <v>46624</v>
          </cell>
          <cell r="H1205">
            <v>39924</v>
          </cell>
          <cell r="I1205">
            <v>26524</v>
          </cell>
          <cell r="J1205">
            <v>26524</v>
          </cell>
          <cell r="K1205">
            <v>139596</v>
          </cell>
          <cell r="L1205">
            <v>795126.59</v>
          </cell>
          <cell r="M1205">
            <v>52996</v>
          </cell>
          <cell r="N1205">
            <v>47956</v>
          </cell>
          <cell r="O1205">
            <v>14841</v>
          </cell>
        </row>
        <row r="1206">
          <cell r="A1206" t="str">
            <v>Czech RepublicELTO MAINTENANCE</v>
          </cell>
          <cell r="B1206">
            <v>218491.32</v>
          </cell>
          <cell r="C1206">
            <v>18638.53</v>
          </cell>
          <cell r="D1206">
            <v>0</v>
          </cell>
          <cell r="E1206">
            <v>0</v>
          </cell>
          <cell r="F1206">
            <v>237129.85</v>
          </cell>
          <cell r="G1206">
            <v>0</v>
          </cell>
          <cell r="H1206">
            <v>0</v>
          </cell>
          <cell r="I1206">
            <v>0</v>
          </cell>
          <cell r="J1206">
            <v>0</v>
          </cell>
          <cell r="K1206">
            <v>0</v>
          </cell>
          <cell r="L1206">
            <v>0</v>
          </cell>
          <cell r="M1206">
            <v>0</v>
          </cell>
          <cell r="N1206">
            <v>0</v>
          </cell>
          <cell r="O1206">
            <v>0</v>
          </cell>
        </row>
        <row r="1207">
          <cell r="A1207" t="str">
            <v>Czech RepublicELTO OTHER</v>
          </cell>
          <cell r="B1207">
            <v>0</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row>
        <row r="1208">
          <cell r="A1208" t="str">
            <v>Czech RepublicLEGAL</v>
          </cell>
          <cell r="B1208">
            <v>146656.16</v>
          </cell>
          <cell r="C1208">
            <v>83656.89</v>
          </cell>
          <cell r="D1208">
            <v>99763.85</v>
          </cell>
          <cell r="E1208">
            <v>100150.68</v>
          </cell>
          <cell r="F1208">
            <v>430227.58</v>
          </cell>
          <cell r="G1208">
            <v>74981</v>
          </cell>
          <cell r="H1208">
            <v>75926</v>
          </cell>
          <cell r="I1208">
            <v>74993</v>
          </cell>
          <cell r="J1208">
            <v>74993</v>
          </cell>
          <cell r="K1208">
            <v>300893</v>
          </cell>
          <cell r="L1208">
            <v>61218.04</v>
          </cell>
          <cell r="M1208">
            <v>573199</v>
          </cell>
          <cell r="N1208">
            <v>688513</v>
          </cell>
          <cell r="O1208">
            <v>765489</v>
          </cell>
        </row>
        <row r="1209">
          <cell r="A1209" t="str">
            <v>Czech RepublicADVERTISING</v>
          </cell>
          <cell r="B1209">
            <v>363606.53</v>
          </cell>
          <cell r="C1209">
            <v>955105.38</v>
          </cell>
          <cell r="D1209">
            <v>780874.71</v>
          </cell>
          <cell r="E1209">
            <v>2157725.4900000002</v>
          </cell>
          <cell r="F1209">
            <v>4257312.1100000003</v>
          </cell>
          <cell r="G1209">
            <v>689887</v>
          </cell>
          <cell r="H1209">
            <v>1254210</v>
          </cell>
          <cell r="I1209">
            <v>1254210</v>
          </cell>
          <cell r="J1209">
            <v>1254210</v>
          </cell>
          <cell r="K1209">
            <v>4452517</v>
          </cell>
          <cell r="L1209">
            <v>936067.39</v>
          </cell>
          <cell r="M1209">
            <v>5153659</v>
          </cell>
          <cell r="N1209">
            <v>5359805</v>
          </cell>
          <cell r="O1209">
            <v>5574197</v>
          </cell>
        </row>
        <row r="1210">
          <cell r="A1210" t="str">
            <v>Czech RepublicSALES PROMOTIONS</v>
          </cell>
          <cell r="B1210">
            <v>2061527.95</v>
          </cell>
          <cell r="C1210">
            <v>1101755.45</v>
          </cell>
          <cell r="D1210">
            <v>-4273.84</v>
          </cell>
          <cell r="E1210">
            <v>896026.36</v>
          </cell>
          <cell r="F1210">
            <v>4055035.92</v>
          </cell>
          <cell r="G1210">
            <v>504707</v>
          </cell>
          <cell r="H1210">
            <v>655346</v>
          </cell>
          <cell r="I1210">
            <v>546118</v>
          </cell>
          <cell r="J1210">
            <v>549809</v>
          </cell>
          <cell r="K1210">
            <v>2255980</v>
          </cell>
          <cell r="L1210">
            <v>410260.3</v>
          </cell>
          <cell r="M1210">
            <v>3081244</v>
          </cell>
          <cell r="N1210">
            <v>3204494</v>
          </cell>
          <cell r="O1210">
            <v>3332674</v>
          </cell>
        </row>
        <row r="1211">
          <cell r="A1211" t="str">
            <v>Czech RepublicDIRECT MAIL</v>
          </cell>
          <cell r="B1211">
            <v>275212.5</v>
          </cell>
          <cell r="C1211">
            <v>123788.15</v>
          </cell>
          <cell r="D1211">
            <v>333306.46000000002</v>
          </cell>
          <cell r="E1211">
            <v>45681.23</v>
          </cell>
          <cell r="F1211">
            <v>777988.34</v>
          </cell>
          <cell r="G1211">
            <v>297552</v>
          </cell>
          <cell r="H1211">
            <v>297552</v>
          </cell>
          <cell r="I1211">
            <v>297552</v>
          </cell>
          <cell r="J1211">
            <v>297552</v>
          </cell>
          <cell r="K1211">
            <v>1190208</v>
          </cell>
          <cell r="L1211">
            <v>68087.520000000004</v>
          </cell>
          <cell r="M1211">
            <v>1420015</v>
          </cell>
          <cell r="N1211">
            <v>1476816</v>
          </cell>
          <cell r="O1211">
            <v>1535889</v>
          </cell>
        </row>
        <row r="1212">
          <cell r="A1212" t="str">
            <v>Czech RepublicDATA PROCESSING</v>
          </cell>
          <cell r="B1212">
            <v>863076.54</v>
          </cell>
          <cell r="C1212">
            <v>850125.32</v>
          </cell>
          <cell r="D1212">
            <v>513998.68</v>
          </cell>
          <cell r="E1212">
            <v>2068034.67</v>
          </cell>
          <cell r="F1212">
            <v>4295235.21</v>
          </cell>
          <cell r="G1212">
            <v>1392819</v>
          </cell>
          <cell r="H1212">
            <v>1573420</v>
          </cell>
          <cell r="I1212">
            <v>1533474</v>
          </cell>
          <cell r="J1212">
            <v>1525307</v>
          </cell>
          <cell r="K1212">
            <v>6025020</v>
          </cell>
          <cell r="L1212">
            <v>1388850.42</v>
          </cell>
          <cell r="M1212">
            <v>9109595</v>
          </cell>
          <cell r="N1212">
            <v>9903188</v>
          </cell>
          <cell r="O1212">
            <v>10805683</v>
          </cell>
        </row>
        <row r="1213">
          <cell r="A1213" t="str">
            <v>Czech RepublicCONSULTING</v>
          </cell>
          <cell r="B1213">
            <v>-1174234.23</v>
          </cell>
          <cell r="C1213">
            <v>62362.51</v>
          </cell>
          <cell r="D1213">
            <v>52181.71</v>
          </cell>
          <cell r="E1213">
            <v>292482.3</v>
          </cell>
          <cell r="F1213">
            <v>-767207.71</v>
          </cell>
          <cell r="G1213">
            <v>168925</v>
          </cell>
          <cell r="H1213">
            <v>197126</v>
          </cell>
          <cell r="I1213">
            <v>197126</v>
          </cell>
          <cell r="J1213">
            <v>168925</v>
          </cell>
          <cell r="K1213">
            <v>732102</v>
          </cell>
          <cell r="L1213">
            <v>148904.51999999999</v>
          </cell>
          <cell r="M1213">
            <v>713750</v>
          </cell>
          <cell r="N1213">
            <v>732649</v>
          </cell>
          <cell r="O1213">
            <v>752588</v>
          </cell>
        </row>
        <row r="1214">
          <cell r="A1214" t="str">
            <v>Czech RepublicTEMP SERVICES</v>
          </cell>
          <cell r="B1214">
            <v>358179</v>
          </cell>
          <cell r="C1214">
            <v>716768.93</v>
          </cell>
          <cell r="D1214">
            <v>-303426.03000000003</v>
          </cell>
          <cell r="E1214">
            <v>276018.46000000002</v>
          </cell>
          <cell r="F1214">
            <v>1047540.36</v>
          </cell>
          <cell r="G1214">
            <v>270786</v>
          </cell>
          <cell r="H1214">
            <v>300673</v>
          </cell>
          <cell r="I1214">
            <v>271405</v>
          </cell>
          <cell r="J1214">
            <v>268875</v>
          </cell>
          <cell r="K1214">
            <v>1111739</v>
          </cell>
          <cell r="L1214">
            <v>204620.04</v>
          </cell>
          <cell r="M1214">
            <v>741856</v>
          </cell>
          <cell r="N1214">
            <v>780248</v>
          </cell>
          <cell r="O1214">
            <v>820663</v>
          </cell>
        </row>
        <row r="1215">
          <cell r="A1215" t="str">
            <v>Czech RepublicGDC CHARGES</v>
          </cell>
          <cell r="B1215">
            <v>0</v>
          </cell>
          <cell r="C1215">
            <v>0</v>
          </cell>
          <cell r="D1215">
            <v>0</v>
          </cell>
          <cell r="E1215">
            <v>0</v>
          </cell>
          <cell r="F1215">
            <v>0</v>
          </cell>
          <cell r="G1215">
            <v>0</v>
          </cell>
          <cell r="H1215">
            <v>0</v>
          </cell>
          <cell r="I1215">
            <v>0</v>
          </cell>
          <cell r="J1215">
            <v>0</v>
          </cell>
          <cell r="K1215">
            <v>0</v>
          </cell>
          <cell r="L1215">
            <v>0</v>
          </cell>
          <cell r="M1215">
            <v>0</v>
          </cell>
          <cell r="N1215">
            <v>0</v>
          </cell>
          <cell r="O1215">
            <v>0</v>
          </cell>
        </row>
        <row r="1216">
          <cell r="A1216" t="str">
            <v>Czech RepublicTRAINING AND EDUCATION</v>
          </cell>
          <cell r="B1216">
            <v>811654.15</v>
          </cell>
          <cell r="C1216">
            <v>497439.42</v>
          </cell>
          <cell r="D1216">
            <v>-4574.25</v>
          </cell>
          <cell r="E1216">
            <v>1000674.58</v>
          </cell>
          <cell r="F1216">
            <v>2305193.9</v>
          </cell>
          <cell r="G1216">
            <v>122074</v>
          </cell>
          <cell r="H1216">
            <v>316055</v>
          </cell>
          <cell r="I1216">
            <v>307424</v>
          </cell>
          <cell r="J1216">
            <v>307838</v>
          </cell>
          <cell r="K1216">
            <v>1053391</v>
          </cell>
          <cell r="L1216">
            <v>75853.789999999994</v>
          </cell>
          <cell r="M1216">
            <v>2021372</v>
          </cell>
          <cell r="N1216">
            <v>2216572</v>
          </cell>
          <cell r="O1216">
            <v>2431291</v>
          </cell>
        </row>
        <row r="1217">
          <cell r="A1217" t="str">
            <v>Czech RepublicOUTSIDE SERVICES  AND FEES</v>
          </cell>
          <cell r="B1217">
            <v>909891.68</v>
          </cell>
          <cell r="C1217">
            <v>56567.519999999997</v>
          </cell>
          <cell r="D1217">
            <v>599112.57999999996</v>
          </cell>
          <cell r="E1217">
            <v>3845714.23</v>
          </cell>
          <cell r="F1217">
            <v>5411286.0099999998</v>
          </cell>
          <cell r="G1217">
            <v>1057249</v>
          </cell>
          <cell r="H1217">
            <v>1926251</v>
          </cell>
          <cell r="I1217">
            <v>1789523</v>
          </cell>
          <cell r="J1217">
            <v>1938677</v>
          </cell>
          <cell r="K1217">
            <v>6711700</v>
          </cell>
          <cell r="L1217">
            <v>1073383.8700000001</v>
          </cell>
          <cell r="M1217">
            <v>7136316</v>
          </cell>
          <cell r="N1217">
            <v>7468531</v>
          </cell>
          <cell r="O1217">
            <v>7806636</v>
          </cell>
        </row>
        <row r="1218">
          <cell r="A1218" t="str">
            <v>Czech RepublicSTATE, FOREIGN, LOCAL TAXES</v>
          </cell>
          <cell r="B1218">
            <v>358503.26</v>
          </cell>
          <cell r="C1218">
            <v>-156281.60999999999</v>
          </cell>
          <cell r="D1218">
            <v>1236.52</v>
          </cell>
          <cell r="E1218">
            <v>388793.23</v>
          </cell>
          <cell r="F1218">
            <v>592251.4</v>
          </cell>
          <cell r="G1218">
            <v>9062</v>
          </cell>
          <cell r="H1218">
            <v>7618</v>
          </cell>
          <cell r="I1218">
            <v>7610</v>
          </cell>
          <cell r="J1218">
            <v>13141</v>
          </cell>
          <cell r="K1218">
            <v>37431</v>
          </cell>
          <cell r="L1218">
            <v>29717.99</v>
          </cell>
          <cell r="M1218">
            <v>76844</v>
          </cell>
          <cell r="N1218">
            <v>80782</v>
          </cell>
          <cell r="O1218">
            <v>84924</v>
          </cell>
        </row>
        <row r="1219">
          <cell r="A1219" t="str">
            <v>Czech RepublicS/L TAX - INSURANCE PREMIUMS</v>
          </cell>
          <cell r="B1219">
            <v>0</v>
          </cell>
          <cell r="C1219">
            <v>0</v>
          </cell>
          <cell r="D1219">
            <v>0</v>
          </cell>
          <cell r="E1219">
            <v>0</v>
          </cell>
          <cell r="F1219">
            <v>0</v>
          </cell>
          <cell r="G1219">
            <v>0</v>
          </cell>
          <cell r="H1219">
            <v>0</v>
          </cell>
          <cell r="I1219">
            <v>0</v>
          </cell>
          <cell r="J1219">
            <v>0</v>
          </cell>
          <cell r="K1219">
            <v>0</v>
          </cell>
          <cell r="L1219">
            <v>0</v>
          </cell>
          <cell r="M1219">
            <v>0</v>
          </cell>
          <cell r="N1219">
            <v>0</v>
          </cell>
          <cell r="O1219">
            <v>0</v>
          </cell>
        </row>
        <row r="1220">
          <cell r="A1220" t="str">
            <v>Czech RepublicSATELLITE LEASE EXPENSE</v>
          </cell>
          <cell r="B1220">
            <v>0</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row>
        <row r="1221">
          <cell r="A1221" t="str">
            <v>Czech RepublicBUSINESS SHARE EXPENSE</v>
          </cell>
          <cell r="B1221">
            <v>0</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row>
        <row r="1222">
          <cell r="A1222" t="str">
            <v>Czech RepublicINSURANCE AFFILIATE EXPENSE</v>
          </cell>
          <cell r="B1222">
            <v>0</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row>
        <row r="1223">
          <cell r="A1223" t="str">
            <v>Czech RepublicOTHER FACILITY EXPENSE</v>
          </cell>
          <cell r="B1223">
            <v>693386.39</v>
          </cell>
          <cell r="C1223">
            <v>455859.23</v>
          </cell>
          <cell r="D1223">
            <v>-16845.77</v>
          </cell>
          <cell r="E1223">
            <v>219877.11</v>
          </cell>
          <cell r="F1223">
            <v>1352276.96</v>
          </cell>
          <cell r="G1223">
            <v>427272</v>
          </cell>
          <cell r="H1223">
            <v>406742</v>
          </cell>
          <cell r="I1223">
            <v>393973</v>
          </cell>
          <cell r="J1223">
            <v>391184</v>
          </cell>
          <cell r="K1223">
            <v>1619171</v>
          </cell>
          <cell r="L1223">
            <v>756737.58</v>
          </cell>
          <cell r="M1223">
            <v>2076072</v>
          </cell>
          <cell r="N1223">
            <v>2075282</v>
          </cell>
          <cell r="O1223">
            <v>2067779</v>
          </cell>
        </row>
        <row r="1224">
          <cell r="A1224" t="str">
            <v>Czech RepublicGROSS OP &amp; ADMIN BUS SHARE</v>
          </cell>
          <cell r="B1224">
            <v>0</v>
          </cell>
          <cell r="C1224">
            <v>0</v>
          </cell>
          <cell r="D1224">
            <v>0</v>
          </cell>
          <cell r="E1224">
            <v>0</v>
          </cell>
          <cell r="F1224">
            <v>0</v>
          </cell>
          <cell r="G1224">
            <v>0</v>
          </cell>
          <cell r="H1224">
            <v>0</v>
          </cell>
          <cell r="I1224">
            <v>0</v>
          </cell>
          <cell r="J1224">
            <v>0</v>
          </cell>
          <cell r="K1224">
            <v>0</v>
          </cell>
          <cell r="L1224">
            <v>0</v>
          </cell>
          <cell r="M1224">
            <v>0</v>
          </cell>
          <cell r="N1224">
            <v>0</v>
          </cell>
          <cell r="O1224">
            <v>0</v>
          </cell>
        </row>
        <row r="1225">
          <cell r="A1225" t="str">
            <v>Czech RepublicOTHER EXPENSE</v>
          </cell>
          <cell r="B1225">
            <v>393575.55</v>
          </cell>
          <cell r="C1225">
            <v>850348.73</v>
          </cell>
          <cell r="D1225">
            <v>1275064.1200000001</v>
          </cell>
          <cell r="E1225">
            <v>2562043.58</v>
          </cell>
          <cell r="F1225">
            <v>5081031.9800000004</v>
          </cell>
          <cell r="G1225">
            <v>37336</v>
          </cell>
          <cell r="H1225">
            <v>49403</v>
          </cell>
          <cell r="I1225">
            <v>33139</v>
          </cell>
          <cell r="J1225">
            <v>21596</v>
          </cell>
          <cell r="K1225">
            <v>141474</v>
          </cell>
          <cell r="L1225">
            <v>-19451.02</v>
          </cell>
          <cell r="M1225">
            <v>668828</v>
          </cell>
          <cell r="N1225">
            <v>715591</v>
          </cell>
          <cell r="O1225">
            <v>766013</v>
          </cell>
        </row>
        <row r="1226">
          <cell r="A1226" t="str">
            <v>Czech RepublicGECC INTERCO EXPENSES EXCL GECIS</v>
          </cell>
          <cell r="B1226">
            <v>0</v>
          </cell>
          <cell r="C1226">
            <v>0</v>
          </cell>
          <cell r="D1226">
            <v>0</v>
          </cell>
          <cell r="E1226">
            <v>0</v>
          </cell>
          <cell r="F1226">
            <v>0</v>
          </cell>
          <cell r="G1226">
            <v>0</v>
          </cell>
          <cell r="H1226">
            <v>0</v>
          </cell>
          <cell r="I1226">
            <v>0</v>
          </cell>
          <cell r="J1226">
            <v>0</v>
          </cell>
          <cell r="K1226">
            <v>0</v>
          </cell>
          <cell r="L1226">
            <v>0</v>
          </cell>
          <cell r="M1226">
            <v>0</v>
          </cell>
          <cell r="N1226">
            <v>0</v>
          </cell>
          <cell r="O1226">
            <v>0</v>
          </cell>
        </row>
        <row r="1227">
          <cell r="A1227" t="str">
            <v>Czech RepublicGECIS INTERCO CHARGES</v>
          </cell>
          <cell r="B1227">
            <v>0</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row>
        <row r="1228">
          <cell r="A1228" t="str">
            <v>Czech RepublicLOSS ADJUSTED EXPENSE</v>
          </cell>
          <cell r="B1228">
            <v>0</v>
          </cell>
          <cell r="C1228">
            <v>0</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Czech RepublicALL OTHER EXPENSES</v>
          </cell>
          <cell r="B1229">
            <v>0</v>
          </cell>
          <cell r="C1229">
            <v>0</v>
          </cell>
          <cell r="D1229">
            <v>0</v>
          </cell>
          <cell r="E1229">
            <v>0</v>
          </cell>
          <cell r="F1229">
            <v>0</v>
          </cell>
          <cell r="G1229">
            <v>0</v>
          </cell>
          <cell r="H1229">
            <v>0</v>
          </cell>
          <cell r="I1229">
            <v>0</v>
          </cell>
          <cell r="J1229">
            <v>0</v>
          </cell>
          <cell r="K1229">
            <v>0</v>
          </cell>
          <cell r="L1229">
            <v>0</v>
          </cell>
          <cell r="M1229">
            <v>0</v>
          </cell>
          <cell r="N1229">
            <v>0</v>
          </cell>
          <cell r="O1229">
            <v>0</v>
          </cell>
        </row>
        <row r="1230">
          <cell r="A1230" t="str">
            <v>Czech RepublicASSESSMENTS</v>
          </cell>
          <cell r="B1230">
            <v>1094470.9099999999</v>
          </cell>
          <cell r="C1230">
            <v>1046889.85</v>
          </cell>
          <cell r="D1230">
            <v>1175407.47</v>
          </cell>
          <cell r="E1230">
            <v>1102661.68</v>
          </cell>
          <cell r="F1230">
            <v>4419429.91</v>
          </cell>
          <cell r="G1230">
            <v>1176043</v>
          </cell>
          <cell r="H1230">
            <v>1176043</v>
          </cell>
          <cell r="I1230">
            <v>1176043</v>
          </cell>
          <cell r="J1230">
            <v>1176043</v>
          </cell>
          <cell r="K1230">
            <v>4704172</v>
          </cell>
          <cell r="L1230">
            <v>1192101.03</v>
          </cell>
          <cell r="M1230">
            <v>4883629</v>
          </cell>
          <cell r="N1230">
            <v>5972995</v>
          </cell>
          <cell r="O1230">
            <v>6926542</v>
          </cell>
        </row>
        <row r="1231">
          <cell r="A1231" t="str">
            <v>Czech RepublicFAS 91</v>
          </cell>
          <cell r="B1231">
            <v>0</v>
          </cell>
          <cell r="C1231">
            <v>0</v>
          </cell>
          <cell r="D1231">
            <v>0.01</v>
          </cell>
          <cell r="E1231">
            <v>-3955082.1</v>
          </cell>
          <cell r="F1231">
            <v>-3955082.09</v>
          </cell>
          <cell r="G1231">
            <v>-2601061</v>
          </cell>
          <cell r="H1231">
            <v>-3103246</v>
          </cell>
          <cell r="I1231">
            <v>-2902962</v>
          </cell>
          <cell r="J1231">
            <v>-3541888</v>
          </cell>
          <cell r="K1231">
            <v>-12149157</v>
          </cell>
          <cell r="L1231">
            <v>-362883.72</v>
          </cell>
          <cell r="M1231">
            <v>0</v>
          </cell>
          <cell r="N1231">
            <v>0</v>
          </cell>
          <cell r="O1231">
            <v>0</v>
          </cell>
        </row>
        <row r="1232">
          <cell r="A1232" t="str">
            <v>Czech RepublicGOODWILL AMORTIZATION</v>
          </cell>
          <cell r="B1232">
            <v>-2529753.19</v>
          </cell>
          <cell r="C1232">
            <v>-2544573.58</v>
          </cell>
          <cell r="D1232">
            <v>452125.71</v>
          </cell>
          <cell r="E1232">
            <v>543536.17000000004</v>
          </cell>
          <cell r="F1232">
            <v>-4078664.89</v>
          </cell>
          <cell r="G1232">
            <v>0</v>
          </cell>
          <cell r="H1232">
            <v>0</v>
          </cell>
          <cell r="I1232">
            <v>0</v>
          </cell>
          <cell r="J1232">
            <v>0</v>
          </cell>
          <cell r="K1232">
            <v>0</v>
          </cell>
          <cell r="L1232">
            <v>0</v>
          </cell>
          <cell r="M1232">
            <v>-9999899</v>
          </cell>
          <cell r="N1232">
            <v>-9999899</v>
          </cell>
          <cell r="O1232">
            <v>-3406372</v>
          </cell>
        </row>
        <row r="1233">
          <cell r="A1233" t="str">
            <v>Czech RepublicDEPRECIATION EXPENSE</v>
          </cell>
          <cell r="B1233">
            <v>1190177.8700000001</v>
          </cell>
          <cell r="C1233">
            <v>433967.96</v>
          </cell>
          <cell r="D1233">
            <v>878681.72</v>
          </cell>
          <cell r="E1233">
            <v>1203854.72</v>
          </cell>
          <cell r="F1233">
            <v>3706682.27</v>
          </cell>
          <cell r="G1233">
            <v>1088843</v>
          </cell>
          <cell r="H1233">
            <v>1147382</v>
          </cell>
          <cell r="I1233">
            <v>1298270</v>
          </cell>
          <cell r="J1233">
            <v>1384124</v>
          </cell>
          <cell r="K1233">
            <v>4918619</v>
          </cell>
          <cell r="L1233">
            <v>1091944.3</v>
          </cell>
          <cell r="M1233">
            <v>13356211</v>
          </cell>
          <cell r="N1233">
            <v>16103478</v>
          </cell>
          <cell r="O1233">
            <v>16802160</v>
          </cell>
        </row>
        <row r="1234">
          <cell r="A1234" t="str">
            <v>Czech RepublicELTO AMORTIZATION</v>
          </cell>
          <cell r="B1234">
            <v>0</v>
          </cell>
          <cell r="C1234">
            <v>0.01</v>
          </cell>
          <cell r="D1234">
            <v>0.04</v>
          </cell>
          <cell r="E1234">
            <v>0.03</v>
          </cell>
          <cell r="F1234">
            <v>0.08</v>
          </cell>
          <cell r="G1234">
            <v>0</v>
          </cell>
          <cell r="H1234">
            <v>0</v>
          </cell>
          <cell r="I1234">
            <v>0</v>
          </cell>
          <cell r="J1234">
            <v>0</v>
          </cell>
          <cell r="K1234">
            <v>0</v>
          </cell>
          <cell r="L1234">
            <v>0</v>
          </cell>
          <cell r="M1234">
            <v>0</v>
          </cell>
          <cell r="N1234">
            <v>0</v>
          </cell>
          <cell r="O1234">
            <v>0</v>
          </cell>
        </row>
        <row r="1235">
          <cell r="A1235" t="str">
            <v>Czech RepublicINSURANCE LOSSES AND BENEFITS</v>
          </cell>
          <cell r="B1235">
            <v>0</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row>
        <row r="1236">
          <cell r="A1236" t="str">
            <v>Czech RepublicWRITE OFFS</v>
          </cell>
          <cell r="B1236">
            <v>-4774918.22</v>
          </cell>
          <cell r="C1236">
            <v>-784781.95</v>
          </cell>
          <cell r="D1236">
            <v>-2780785.22</v>
          </cell>
          <cell r="E1236">
            <v>-4079224.82</v>
          </cell>
          <cell r="F1236">
            <v>-12419710.210000001</v>
          </cell>
          <cell r="G1236">
            <v>4261992</v>
          </cell>
          <cell r="H1236">
            <v>6091780</v>
          </cell>
          <cell r="I1236">
            <v>7430174</v>
          </cell>
          <cell r="J1236">
            <v>11027004</v>
          </cell>
          <cell r="K1236">
            <v>28810950</v>
          </cell>
          <cell r="L1236">
            <v>2078054.06</v>
          </cell>
          <cell r="M1236">
            <v>37400880</v>
          </cell>
          <cell r="N1236">
            <v>52781675</v>
          </cell>
          <cell r="O1236">
            <v>70343118</v>
          </cell>
        </row>
        <row r="1237">
          <cell r="A1237" t="str">
            <v>Czech RepublicRESERVE CHANGE</v>
          </cell>
          <cell r="B1237">
            <v>1314791.33</v>
          </cell>
          <cell r="C1237">
            <v>1055490.3999999999</v>
          </cell>
          <cell r="D1237">
            <v>977599.35</v>
          </cell>
          <cell r="E1237">
            <v>-1977581.61</v>
          </cell>
          <cell r="F1237">
            <v>1370299.47</v>
          </cell>
          <cell r="G1237">
            <v>0</v>
          </cell>
          <cell r="H1237">
            <v>0</v>
          </cell>
          <cell r="I1237">
            <v>0</v>
          </cell>
          <cell r="J1237">
            <v>0</v>
          </cell>
          <cell r="K1237">
            <v>0</v>
          </cell>
          <cell r="L1237">
            <v>857549.29</v>
          </cell>
          <cell r="M1237">
            <v>0</v>
          </cell>
          <cell r="N1237">
            <v>0</v>
          </cell>
          <cell r="O1237">
            <v>0</v>
          </cell>
        </row>
        <row r="1238">
          <cell r="A1238" t="str">
            <v>Czech RepublicMINORITY INTEREST</v>
          </cell>
          <cell r="B1238">
            <v>0</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row>
        <row r="1239">
          <cell r="A1239" t="str">
            <v>Czech RepublicINCOME TAXES</v>
          </cell>
          <cell r="B1239">
            <v>6862825.46</v>
          </cell>
          <cell r="C1239">
            <v>13773406.060000001</v>
          </cell>
          <cell r="D1239">
            <v>10315200.359999999</v>
          </cell>
          <cell r="E1239">
            <v>2762532.76</v>
          </cell>
          <cell r="F1239">
            <v>33713964.640000001</v>
          </cell>
          <cell r="G1239">
            <v>4894399</v>
          </cell>
          <cell r="H1239">
            <v>3856053</v>
          </cell>
          <cell r="I1239">
            <v>4246426</v>
          </cell>
          <cell r="J1239">
            <v>4259387</v>
          </cell>
          <cell r="K1239">
            <v>17256265</v>
          </cell>
          <cell r="L1239">
            <v>4795380.7699999996</v>
          </cell>
          <cell r="M1239">
            <v>15338037</v>
          </cell>
          <cell r="N1239">
            <v>19204259</v>
          </cell>
          <cell r="O1239">
            <v>22161201</v>
          </cell>
        </row>
        <row r="1240">
          <cell r="A1240" t="str">
            <v>Czech RepublicCUMULATIVE TRANSITION ADJUSTMENT</v>
          </cell>
          <cell r="B1240">
            <v>148936.76</v>
          </cell>
          <cell r="C1240">
            <v>0</v>
          </cell>
          <cell r="D1240">
            <v>0</v>
          </cell>
          <cell r="E1240">
            <v>0</v>
          </cell>
          <cell r="F1240">
            <v>148936.76</v>
          </cell>
          <cell r="G1240">
            <v>0</v>
          </cell>
          <cell r="H1240">
            <v>0</v>
          </cell>
          <cell r="I1240">
            <v>0</v>
          </cell>
          <cell r="J1240">
            <v>0</v>
          </cell>
          <cell r="K1240">
            <v>0</v>
          </cell>
          <cell r="L1240">
            <v>0</v>
          </cell>
          <cell r="M1240">
            <v>0</v>
          </cell>
          <cell r="N1240">
            <v>0</v>
          </cell>
          <cell r="O1240">
            <v>0</v>
          </cell>
        </row>
        <row r="1241">
          <cell r="A1241" t="str">
            <v>Czech RepublicASIA PACIFIC NI DIVIDEND</v>
          </cell>
          <cell r="B1241">
            <v>0</v>
          </cell>
          <cell r="C1241">
            <v>0</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Czech RepublicNet Income</v>
          </cell>
          <cell r="B1242">
            <v>-12091052.699999999</v>
          </cell>
          <cell r="C1242">
            <v>-25093984.370000001</v>
          </cell>
          <cell r="D1242">
            <v>-19210042.93</v>
          </cell>
          <cell r="E1242">
            <v>-5041310.25</v>
          </cell>
          <cell r="F1242">
            <v>-61436390.25</v>
          </cell>
          <cell r="G1242">
            <v>-8514917</v>
          </cell>
          <cell r="H1242">
            <v>-6708478</v>
          </cell>
          <cell r="I1242">
            <v>-7387618</v>
          </cell>
          <cell r="J1242">
            <v>-7410169</v>
          </cell>
          <cell r="K1242">
            <v>-30021182</v>
          </cell>
          <cell r="L1242">
            <v>-8792688.4600000009</v>
          </cell>
          <cell r="M1242">
            <v>-26038541</v>
          </cell>
          <cell r="N1242">
            <v>-32572276</v>
          </cell>
          <cell r="O1242">
            <v>-37615577</v>
          </cell>
        </row>
        <row r="1243">
          <cell r="A1243" t="str">
            <v>Czech RepublicSubPart F</v>
          </cell>
          <cell r="B1243">
            <v>0</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Czech RepublicAssets</v>
          </cell>
          <cell r="B1244">
            <v>1473730765.96</v>
          </cell>
          <cell r="C1244">
            <v>1517246658.9100001</v>
          </cell>
          <cell r="D1244">
            <v>1654143591.9400001</v>
          </cell>
          <cell r="E1244">
            <v>1746864237.8699999</v>
          </cell>
          <cell r="F1244">
            <v>1746864237.8699999</v>
          </cell>
          <cell r="G1244">
            <v>1709863442</v>
          </cell>
          <cell r="H1244">
            <v>1817763752</v>
          </cell>
          <cell r="I1244">
            <v>1913453882</v>
          </cell>
          <cell r="J1244">
            <v>2029710476</v>
          </cell>
          <cell r="K1244">
            <v>2029710476</v>
          </cell>
          <cell r="L1244">
            <v>1752588022.25</v>
          </cell>
          <cell r="M1244">
            <v>2184114941</v>
          </cell>
          <cell r="N1244">
            <v>2627868441</v>
          </cell>
          <cell r="O1244">
            <v>3001791337</v>
          </cell>
        </row>
        <row r="1245">
          <cell r="A1245" t="str">
            <v>Czech RepublicEnding Net Investment (ENI) incl Asia</v>
          </cell>
          <cell r="B1245">
            <v>1419031701.49</v>
          </cell>
          <cell r="C1245">
            <v>1449811774.49</v>
          </cell>
          <cell r="D1245">
            <v>1584255334.9400001</v>
          </cell>
          <cell r="E1245">
            <v>1672153904.74</v>
          </cell>
          <cell r="F1245">
            <v>1672153904.74</v>
          </cell>
          <cell r="G1245">
            <v>1642179241</v>
          </cell>
          <cell r="H1245">
            <v>1746728107</v>
          </cell>
          <cell r="I1245">
            <v>1838399355</v>
          </cell>
          <cell r="J1245">
            <v>1949402446</v>
          </cell>
          <cell r="K1245">
            <v>1949402446</v>
          </cell>
          <cell r="L1245">
            <v>1690867226.75</v>
          </cell>
          <cell r="M1245">
            <v>2103544185</v>
          </cell>
          <cell r="N1245">
            <v>2515052979</v>
          </cell>
          <cell r="O1245">
            <v>2852008374</v>
          </cell>
        </row>
        <row r="1246">
          <cell r="A1246" t="str">
            <v>Czech RepublicANR YTD</v>
          </cell>
          <cell r="B1246">
            <v>453922454.70999998</v>
          </cell>
          <cell r="C1246">
            <v>465059109.65666699</v>
          </cell>
          <cell r="D1246">
            <v>491393995.50749999</v>
          </cell>
          <cell r="E1246">
            <v>523240508.796</v>
          </cell>
          <cell r="F1246">
            <v>523240508.796</v>
          </cell>
          <cell r="G1246">
            <v>674142518.47500002</v>
          </cell>
          <cell r="H1246">
            <v>705375257.98333299</v>
          </cell>
          <cell r="I1246">
            <v>739972388.73749995</v>
          </cell>
          <cell r="J1246">
            <v>785484114.19000006</v>
          </cell>
          <cell r="K1246">
            <v>785484114.19000006</v>
          </cell>
          <cell r="L1246">
            <v>669853535.81500006</v>
          </cell>
          <cell r="M1246">
            <v>350082110.80000001</v>
          </cell>
          <cell r="N1246">
            <v>482357608</v>
          </cell>
          <cell r="O1246">
            <v>617346275</v>
          </cell>
        </row>
        <row r="1247">
          <cell r="A1247" t="str">
            <v>Czech RepublicASA YTD</v>
          </cell>
          <cell r="B1247">
            <v>453948836.19999999</v>
          </cell>
          <cell r="C1247">
            <v>465090555.033333</v>
          </cell>
          <cell r="D1247">
            <v>491421259.69</v>
          </cell>
          <cell r="E1247">
            <v>523264335.25999999</v>
          </cell>
          <cell r="F1247">
            <v>523264335.25999999</v>
          </cell>
          <cell r="G1247">
            <v>674147556.26999998</v>
          </cell>
          <cell r="H1247">
            <v>705378616.51333296</v>
          </cell>
          <cell r="I1247">
            <v>739974907.63499999</v>
          </cell>
          <cell r="J1247">
            <v>785486129.30799997</v>
          </cell>
          <cell r="K1247">
            <v>785486129.30799997</v>
          </cell>
          <cell r="L1247">
            <v>669863615.94000006</v>
          </cell>
          <cell r="M1247">
            <v>350082110.80000001</v>
          </cell>
          <cell r="N1247">
            <v>482357608</v>
          </cell>
          <cell r="O1247">
            <v>617346275</v>
          </cell>
        </row>
        <row r="1248">
          <cell r="A1248" t="str">
            <v>Czech RepublicANI YTD incl Asia - 5 pt</v>
          </cell>
          <cell r="B1248">
            <v>1386011966.9000001</v>
          </cell>
          <cell r="C1248">
            <v>1407278569.4300001</v>
          </cell>
          <cell r="D1248">
            <v>1451522760.8074999</v>
          </cell>
          <cell r="E1248">
            <v>1495648989.5940001</v>
          </cell>
          <cell r="F1248">
            <v>1495648989.5940001</v>
          </cell>
          <cell r="G1248">
            <v>1657166572.8699999</v>
          </cell>
          <cell r="H1248">
            <v>1687020417.5799999</v>
          </cell>
          <cell r="I1248">
            <v>1724865151.9349999</v>
          </cell>
          <cell r="J1248">
            <v>1769772610.7479999</v>
          </cell>
          <cell r="K1248">
            <v>1769772610.7479999</v>
          </cell>
          <cell r="L1248">
            <v>1681510565.7449999</v>
          </cell>
          <cell r="M1248">
            <v>743641690</v>
          </cell>
          <cell r="N1248">
            <v>923719432.79999995</v>
          </cell>
          <cell r="O1248">
            <v>1073412270.6</v>
          </cell>
        </row>
        <row r="1249">
          <cell r="A1249" t="str">
            <v>Czech RepublicOff Balance Sheet Assets</v>
          </cell>
          <cell r="B1249">
            <v>0</v>
          </cell>
          <cell r="C1249">
            <v>0</v>
          </cell>
          <cell r="D1249">
            <v>0</v>
          </cell>
          <cell r="E1249">
            <v>0</v>
          </cell>
          <cell r="F1249">
            <v>0</v>
          </cell>
          <cell r="G1249">
            <v>0</v>
          </cell>
          <cell r="H1249">
            <v>0</v>
          </cell>
          <cell r="I1249">
            <v>0</v>
          </cell>
          <cell r="J1249">
            <v>0</v>
          </cell>
          <cell r="K1249">
            <v>0</v>
          </cell>
          <cell r="L1249">
            <v>0</v>
          </cell>
          <cell r="M1249">
            <v>0</v>
          </cell>
          <cell r="N1249">
            <v>0</v>
          </cell>
          <cell r="O1249">
            <v>0</v>
          </cell>
        </row>
        <row r="1250">
          <cell r="A1250" t="str">
            <v>Czech RepublicJV Receivables</v>
          </cell>
          <cell r="B1250">
            <v>0</v>
          </cell>
          <cell r="C1250">
            <v>0</v>
          </cell>
          <cell r="D1250">
            <v>0</v>
          </cell>
          <cell r="E1250">
            <v>0</v>
          </cell>
          <cell r="F1250">
            <v>0</v>
          </cell>
          <cell r="G1250">
            <v>0</v>
          </cell>
          <cell r="H1250">
            <v>0</v>
          </cell>
          <cell r="I1250">
            <v>0</v>
          </cell>
          <cell r="J1250">
            <v>0</v>
          </cell>
          <cell r="K1250">
            <v>0</v>
          </cell>
          <cell r="L1250">
            <v>0</v>
          </cell>
          <cell r="M1250">
            <v>0</v>
          </cell>
          <cell r="N1250">
            <v>0</v>
          </cell>
          <cell r="O1250">
            <v>0</v>
          </cell>
        </row>
        <row r="1251">
          <cell r="A1251" t="str">
            <v>Czech Republic30+ DELINQUENCY $</v>
          </cell>
          <cell r="B1251">
            <v>26110632</v>
          </cell>
          <cell r="C1251">
            <v>27534314</v>
          </cell>
          <cell r="D1251">
            <v>34396544</v>
          </cell>
          <cell r="E1251">
            <v>47683128.829999998</v>
          </cell>
          <cell r="F1251">
            <v>47683128.829999998</v>
          </cell>
          <cell r="G1251">
            <v>51072289.111296996</v>
          </cell>
          <cell r="H1251">
            <v>58109346.398562998</v>
          </cell>
          <cell r="I1251">
            <v>61856128.900604002</v>
          </cell>
          <cell r="J1251">
            <v>69407460.867981002</v>
          </cell>
          <cell r="K1251">
            <v>69407460.867981002</v>
          </cell>
          <cell r="L1251">
            <v>29255977.41</v>
          </cell>
          <cell r="M1251">
            <v>65172362</v>
          </cell>
          <cell r="N1251">
            <v>92398885</v>
          </cell>
          <cell r="O1251">
            <v>114857496</v>
          </cell>
        </row>
        <row r="1252">
          <cell r="A1252" t="str">
            <v>Czech Republic90+ DELINQUENCY $</v>
          </cell>
          <cell r="B1252">
            <v>14537629</v>
          </cell>
          <cell r="C1252">
            <v>16082098</v>
          </cell>
          <cell r="D1252">
            <v>19000539</v>
          </cell>
          <cell r="E1252">
            <v>26435304.449999999</v>
          </cell>
          <cell r="F1252">
            <v>26435304.449999999</v>
          </cell>
          <cell r="G1252">
            <v>29203491.770955998</v>
          </cell>
          <cell r="H1252">
            <v>34991509.022233002</v>
          </cell>
          <cell r="I1252">
            <v>37574026.625012003</v>
          </cell>
          <cell r="J1252">
            <v>42534739.743575998</v>
          </cell>
          <cell r="K1252">
            <v>42534739.743575998</v>
          </cell>
          <cell r="L1252">
            <v>16425306.5</v>
          </cell>
          <cell r="M1252">
            <v>28039318</v>
          </cell>
          <cell r="N1252">
            <v>44713032</v>
          </cell>
          <cell r="O1252">
            <v>57147896</v>
          </cell>
        </row>
        <row r="1253">
          <cell r="A1253" t="str">
            <v>Czech RepublicTemporary Staff</v>
          </cell>
          <cell r="B1253">
            <v>0</v>
          </cell>
          <cell r="C1253">
            <v>73</v>
          </cell>
          <cell r="D1253">
            <v>80</v>
          </cell>
          <cell r="E1253">
            <v>71.5</v>
          </cell>
          <cell r="F1253">
            <v>71.5</v>
          </cell>
          <cell r="G1253">
            <v>69</v>
          </cell>
          <cell r="H1253">
            <v>69</v>
          </cell>
          <cell r="I1253">
            <v>69</v>
          </cell>
          <cell r="J1253">
            <v>69</v>
          </cell>
          <cell r="K1253">
            <v>69</v>
          </cell>
          <cell r="L1253">
            <v>66.5</v>
          </cell>
          <cell r="M1253">
            <v>80</v>
          </cell>
          <cell r="N1253">
            <v>80</v>
          </cell>
          <cell r="O1253">
            <v>80</v>
          </cell>
        </row>
        <row r="1254">
          <cell r="A1254" t="str">
            <v>Czech RepublicContractors</v>
          </cell>
          <cell r="B1254">
            <v>0</v>
          </cell>
          <cell r="C1254">
            <v>13</v>
          </cell>
          <cell r="D1254">
            <v>14</v>
          </cell>
          <cell r="E1254">
            <v>16</v>
          </cell>
          <cell r="F1254">
            <v>16</v>
          </cell>
          <cell r="G1254">
            <v>54</v>
          </cell>
          <cell r="H1254">
            <v>54</v>
          </cell>
          <cell r="I1254">
            <v>54</v>
          </cell>
          <cell r="J1254">
            <v>54</v>
          </cell>
          <cell r="K1254">
            <v>54</v>
          </cell>
          <cell r="L1254">
            <v>16</v>
          </cell>
          <cell r="M1254">
            <v>13</v>
          </cell>
          <cell r="N1254">
            <v>13</v>
          </cell>
          <cell r="O1254">
            <v>13</v>
          </cell>
        </row>
        <row r="1255">
          <cell r="A1255" t="str">
            <v>Czech RepublicOutsourced to LCC</v>
          </cell>
          <cell r="B1255">
            <v>0</v>
          </cell>
          <cell r="C1255">
            <v>0</v>
          </cell>
          <cell r="D1255">
            <v>0</v>
          </cell>
          <cell r="E1255">
            <v>0</v>
          </cell>
          <cell r="F1255">
            <v>0</v>
          </cell>
          <cell r="G1255">
            <v>0</v>
          </cell>
          <cell r="H1255">
            <v>0</v>
          </cell>
          <cell r="I1255">
            <v>0</v>
          </cell>
          <cell r="J1255">
            <v>0</v>
          </cell>
          <cell r="K1255">
            <v>0</v>
          </cell>
          <cell r="L1255">
            <v>0</v>
          </cell>
          <cell r="M1255">
            <v>0</v>
          </cell>
          <cell r="N1255">
            <v>0</v>
          </cell>
          <cell r="O1255">
            <v>0</v>
          </cell>
        </row>
        <row r="1256">
          <cell r="A1256" t="str">
            <v>Czech RepublicTotal Headcount</v>
          </cell>
          <cell r="B1256">
            <v>2379</v>
          </cell>
          <cell r="C1256">
            <v>2189.5</v>
          </cell>
          <cell r="D1256">
            <v>2100.5</v>
          </cell>
          <cell r="E1256">
            <v>1995.5</v>
          </cell>
          <cell r="F1256">
            <v>1995.5</v>
          </cell>
          <cell r="G1256">
            <v>2033</v>
          </cell>
          <cell r="H1256">
            <v>2033</v>
          </cell>
          <cell r="I1256">
            <v>2033</v>
          </cell>
          <cell r="J1256">
            <v>2033</v>
          </cell>
          <cell r="K1256">
            <v>2033</v>
          </cell>
          <cell r="L1256">
            <v>2013</v>
          </cell>
          <cell r="M1256">
            <v>2075</v>
          </cell>
          <cell r="N1256">
            <v>2075</v>
          </cell>
          <cell r="O1256">
            <v>2075</v>
          </cell>
        </row>
        <row r="1257">
          <cell r="A1257" t="str">
            <v>Czech RepublicTotal Workforce</v>
          </cell>
          <cell r="B1257">
            <v>2379</v>
          </cell>
          <cell r="C1257">
            <v>2275.5</v>
          </cell>
          <cell r="D1257">
            <v>2194.5</v>
          </cell>
          <cell r="E1257">
            <v>2083</v>
          </cell>
          <cell r="F1257">
            <v>2083</v>
          </cell>
          <cell r="G1257">
            <v>2156</v>
          </cell>
          <cell r="H1257">
            <v>2156</v>
          </cell>
          <cell r="I1257">
            <v>2156</v>
          </cell>
          <cell r="J1257">
            <v>2156</v>
          </cell>
          <cell r="K1257">
            <v>2156</v>
          </cell>
          <cell r="L1257">
            <v>2095.5</v>
          </cell>
          <cell r="M1257">
            <v>2168</v>
          </cell>
          <cell r="N1257">
            <v>2168</v>
          </cell>
          <cell r="O1257">
            <v>2168</v>
          </cell>
        </row>
        <row r="1258">
          <cell r="A1258" t="str">
            <v>Czech RepublicTotal Earned Revenue</v>
          </cell>
          <cell r="B1258">
            <v>-35561424.799999997</v>
          </cell>
          <cell r="C1258">
            <v>-56970732.799999997</v>
          </cell>
          <cell r="D1258">
            <v>-38206726.359999999</v>
          </cell>
          <cell r="E1258">
            <v>-31443093.129999999</v>
          </cell>
          <cell r="F1258">
            <v>-162181977.09</v>
          </cell>
          <cell r="G1258">
            <v>-38216350</v>
          </cell>
          <cell r="H1258">
            <v>-40113396</v>
          </cell>
          <cell r="I1258">
            <v>-42840217</v>
          </cell>
          <cell r="J1258">
            <v>-47187437</v>
          </cell>
          <cell r="K1258">
            <v>-168357400</v>
          </cell>
          <cell r="L1258">
            <v>-37099619.350000001</v>
          </cell>
          <cell r="M1258">
            <v>-190782587</v>
          </cell>
          <cell r="N1258">
            <v>-242650699</v>
          </cell>
          <cell r="O1258">
            <v>-291544373</v>
          </cell>
        </row>
        <row r="1259">
          <cell r="A1259" t="str">
            <v>Czech RepublicOrdinary Gains - PreTax</v>
          </cell>
          <cell r="B1259">
            <v>0</v>
          </cell>
          <cell r="C1259">
            <v>0</v>
          </cell>
          <cell r="D1259">
            <v>0</v>
          </cell>
          <cell r="E1259">
            <v>0</v>
          </cell>
          <cell r="F1259">
            <v>0</v>
          </cell>
          <cell r="G1259">
            <v>0</v>
          </cell>
          <cell r="H1259">
            <v>0</v>
          </cell>
          <cell r="I1259">
            <v>0</v>
          </cell>
          <cell r="J1259">
            <v>0</v>
          </cell>
          <cell r="K1259">
            <v>0</v>
          </cell>
          <cell r="L1259">
            <v>0</v>
          </cell>
          <cell r="M1259">
            <v>0</v>
          </cell>
          <cell r="N1259">
            <v>0</v>
          </cell>
          <cell r="O1259">
            <v>0</v>
          </cell>
        </row>
        <row r="1260">
          <cell r="A1260" t="str">
            <v>Czech RepublicOrdinary Gains - AfterTax</v>
          </cell>
          <cell r="B1260">
            <v>0</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row>
        <row r="1261">
          <cell r="A1261" t="str">
            <v>Czech RepublicTotal Volume</v>
          </cell>
          <cell r="B1261">
            <v>56233419</v>
          </cell>
          <cell r="C1261">
            <v>157221943</v>
          </cell>
          <cell r="D1261">
            <v>220333312</v>
          </cell>
          <cell r="E1261">
            <v>184080167.80000001</v>
          </cell>
          <cell r="F1261">
            <v>617868841.79999995</v>
          </cell>
          <cell r="G1261">
            <v>152770645.73957801</v>
          </cell>
          <cell r="H1261">
            <v>236303528.44837499</v>
          </cell>
          <cell r="I1261">
            <v>238985343.45941001</v>
          </cell>
          <cell r="J1261">
            <v>273581948.24324799</v>
          </cell>
          <cell r="K1261">
            <v>901641465.89061105</v>
          </cell>
          <cell r="L1261">
            <v>128074076.81</v>
          </cell>
          <cell r="M1261">
            <v>805058524</v>
          </cell>
          <cell r="N1261">
            <v>1001966684</v>
          </cell>
          <cell r="O1261">
            <v>1239914153</v>
          </cell>
        </row>
        <row r="1262">
          <cell r="A1262" t="str">
            <v>Czech RepublicTOTAL # ACTIVE ACCOUNTS</v>
          </cell>
          <cell r="B1262">
            <v>1436002</v>
          </cell>
          <cell r="C1262">
            <v>1552787</v>
          </cell>
          <cell r="D1262">
            <v>1657172</v>
          </cell>
          <cell r="E1262">
            <v>1626413.17</v>
          </cell>
          <cell r="F1262">
            <v>1626413.17</v>
          </cell>
          <cell r="G1262">
            <v>1884915.576928</v>
          </cell>
          <cell r="H1262">
            <v>2134786.3012600001</v>
          </cell>
          <cell r="I1262">
            <v>2292818.216279</v>
          </cell>
          <cell r="J1262">
            <v>2593419.0348979998</v>
          </cell>
          <cell r="K1262">
            <v>2593419.0348979998</v>
          </cell>
          <cell r="L1262">
            <v>0</v>
          </cell>
          <cell r="M1262">
            <v>2988170</v>
          </cell>
          <cell r="N1262">
            <v>3648166</v>
          </cell>
          <cell r="O1262">
            <v>4303734</v>
          </cell>
        </row>
        <row r="1263">
          <cell r="A1263" t="str">
            <v>DenmarkTOTAL FINANCING RECEIVABLES</v>
          </cell>
          <cell r="B1263">
            <v>476370369.57999998</v>
          </cell>
          <cell r="C1263">
            <v>449623047.13999999</v>
          </cell>
          <cell r="D1263">
            <v>665496615.35000002</v>
          </cell>
          <cell r="E1263">
            <v>625089644.79999995</v>
          </cell>
          <cell r="F1263">
            <v>625089644.79999995</v>
          </cell>
          <cell r="G1263">
            <v>607806511.20000005</v>
          </cell>
          <cell r="H1263">
            <v>598269711.60000002</v>
          </cell>
          <cell r="I1263">
            <v>588973566</v>
          </cell>
          <cell r="J1263">
            <v>584023832.39999998</v>
          </cell>
          <cell r="K1263">
            <v>584023832.39999998</v>
          </cell>
          <cell r="L1263">
            <v>613873982.25999999</v>
          </cell>
          <cell r="M1263">
            <v>515758751.23000002</v>
          </cell>
          <cell r="N1263">
            <v>596508933.44959998</v>
          </cell>
          <cell r="O1263">
            <v>714099535.13018</v>
          </cell>
        </row>
        <row r="1264">
          <cell r="A1264" t="str">
            <v>DenmarkRECEIVABLE RESERVES</v>
          </cell>
          <cell r="B1264">
            <v>-17808335.960000001</v>
          </cell>
          <cell r="C1264">
            <v>-19910590.210000001</v>
          </cell>
          <cell r="D1264">
            <v>-63905402.609999999</v>
          </cell>
          <cell r="E1264">
            <v>-48028431.520000003</v>
          </cell>
          <cell r="F1264">
            <v>-48028431.520000003</v>
          </cell>
          <cell r="G1264">
            <v>-48252165.600000001</v>
          </cell>
          <cell r="H1264">
            <v>-48318301.200000003</v>
          </cell>
          <cell r="I1264">
            <v>-48524455.200000003</v>
          </cell>
          <cell r="J1264">
            <v>-49113890.399999999</v>
          </cell>
          <cell r="K1264">
            <v>-49113890.399999999</v>
          </cell>
          <cell r="L1264">
            <v>-50356567.030000001</v>
          </cell>
          <cell r="M1264">
            <v>-27141123.059999999</v>
          </cell>
          <cell r="N1264">
            <v>-32311585.169939</v>
          </cell>
          <cell r="O1264">
            <v>-39504672.165050998</v>
          </cell>
        </row>
        <row r="1265">
          <cell r="A1265" t="str">
            <v>DenmarkCASH</v>
          </cell>
          <cell r="B1265">
            <v>18108925.370000001</v>
          </cell>
          <cell r="C1265">
            <v>15256000.52</v>
          </cell>
          <cell r="D1265">
            <v>5694154.9800000004</v>
          </cell>
          <cell r="E1265">
            <v>5165477.53</v>
          </cell>
          <cell r="F1265">
            <v>5165477.53</v>
          </cell>
          <cell r="G1265">
            <v>280800</v>
          </cell>
          <cell r="H1265">
            <v>280800</v>
          </cell>
          <cell r="I1265">
            <v>280800</v>
          </cell>
          <cell r="J1265">
            <v>280800</v>
          </cell>
          <cell r="K1265">
            <v>280800</v>
          </cell>
          <cell r="L1265">
            <v>10609847.35</v>
          </cell>
          <cell r="M1265">
            <v>240000</v>
          </cell>
          <cell r="N1265">
            <v>240000</v>
          </cell>
          <cell r="O1265">
            <v>20000</v>
          </cell>
        </row>
        <row r="1266">
          <cell r="A1266" t="str">
            <v>DenmarkINVESTMENT SECURITIES</v>
          </cell>
          <cell r="B1266">
            <v>0</v>
          </cell>
          <cell r="C1266">
            <v>0</v>
          </cell>
          <cell r="D1266">
            <v>0</v>
          </cell>
          <cell r="E1266">
            <v>0</v>
          </cell>
          <cell r="F1266">
            <v>0</v>
          </cell>
          <cell r="G1266">
            <v>0</v>
          </cell>
          <cell r="H1266">
            <v>0</v>
          </cell>
          <cell r="I1266">
            <v>0</v>
          </cell>
          <cell r="J1266">
            <v>0</v>
          </cell>
          <cell r="K1266">
            <v>0</v>
          </cell>
          <cell r="L1266">
            <v>0</v>
          </cell>
          <cell r="M1266">
            <v>0</v>
          </cell>
          <cell r="N1266">
            <v>0</v>
          </cell>
          <cell r="O1266">
            <v>0</v>
          </cell>
        </row>
        <row r="1267">
          <cell r="A1267" t="str">
            <v>DenmarkINV IN NON CONSOL AFFILIATES</v>
          </cell>
          <cell r="B1267">
            <v>0</v>
          </cell>
          <cell r="C1267">
            <v>0</v>
          </cell>
          <cell r="D1267">
            <v>0</v>
          </cell>
          <cell r="E1267">
            <v>0</v>
          </cell>
          <cell r="F1267">
            <v>0</v>
          </cell>
          <cell r="G1267">
            <v>0</v>
          </cell>
          <cell r="H1267">
            <v>0</v>
          </cell>
          <cell r="I1267">
            <v>0</v>
          </cell>
          <cell r="J1267">
            <v>0</v>
          </cell>
          <cell r="K1267">
            <v>0</v>
          </cell>
          <cell r="L1267">
            <v>0</v>
          </cell>
          <cell r="M1267">
            <v>0</v>
          </cell>
          <cell r="N1267">
            <v>0</v>
          </cell>
          <cell r="O1267">
            <v>0</v>
          </cell>
        </row>
        <row r="1268">
          <cell r="A1268" t="str">
            <v>DenmarkINVESTMENT IN JOINT VENTURE</v>
          </cell>
          <cell r="B1268">
            <v>0</v>
          </cell>
          <cell r="C1268">
            <v>0</v>
          </cell>
          <cell r="D1268">
            <v>0</v>
          </cell>
          <cell r="E1268">
            <v>0</v>
          </cell>
          <cell r="F1268">
            <v>0</v>
          </cell>
          <cell r="G1268">
            <v>0</v>
          </cell>
          <cell r="H1268">
            <v>0</v>
          </cell>
          <cell r="I1268">
            <v>0</v>
          </cell>
          <cell r="J1268">
            <v>0</v>
          </cell>
          <cell r="K1268">
            <v>0</v>
          </cell>
          <cell r="L1268">
            <v>0</v>
          </cell>
          <cell r="M1268">
            <v>0</v>
          </cell>
          <cell r="N1268">
            <v>0</v>
          </cell>
          <cell r="O1268">
            <v>0</v>
          </cell>
        </row>
        <row r="1269">
          <cell r="A1269" t="str">
            <v>DenmarkALL OTHER RECEIVABLES (NON-FINANCING)</v>
          </cell>
          <cell r="B1269">
            <v>15894993.24</v>
          </cell>
          <cell r="C1269">
            <v>15490847.970000001</v>
          </cell>
          <cell r="D1269">
            <v>16868720.760000002</v>
          </cell>
          <cell r="E1269">
            <v>16381113.09</v>
          </cell>
          <cell r="F1269">
            <v>16381113.09</v>
          </cell>
          <cell r="G1269">
            <v>0</v>
          </cell>
          <cell r="H1269">
            <v>0</v>
          </cell>
          <cell r="I1269">
            <v>0</v>
          </cell>
          <cell r="J1269">
            <v>0</v>
          </cell>
          <cell r="K1269">
            <v>0</v>
          </cell>
          <cell r="L1269">
            <v>17175989.789999999</v>
          </cell>
          <cell r="M1269">
            <v>0</v>
          </cell>
          <cell r="N1269">
            <v>0</v>
          </cell>
          <cell r="O1269">
            <v>0</v>
          </cell>
        </row>
        <row r="1270">
          <cell r="A1270" t="str">
            <v>DenmarkELTO (NET)</v>
          </cell>
          <cell r="B1270">
            <v>0</v>
          </cell>
          <cell r="C1270">
            <v>0</v>
          </cell>
          <cell r="D1270">
            <v>0</v>
          </cell>
          <cell r="E1270">
            <v>0</v>
          </cell>
          <cell r="F1270">
            <v>0</v>
          </cell>
          <cell r="G1270">
            <v>0</v>
          </cell>
          <cell r="H1270">
            <v>0</v>
          </cell>
          <cell r="I1270">
            <v>0</v>
          </cell>
          <cell r="J1270">
            <v>0</v>
          </cell>
          <cell r="K1270">
            <v>0</v>
          </cell>
          <cell r="L1270">
            <v>0</v>
          </cell>
          <cell r="M1270">
            <v>0</v>
          </cell>
          <cell r="N1270">
            <v>0</v>
          </cell>
          <cell r="O1270">
            <v>0</v>
          </cell>
        </row>
        <row r="1271">
          <cell r="A1271" t="str">
            <v>DenmarkGOODWILL</v>
          </cell>
          <cell r="B1271">
            <v>30500080.289999999</v>
          </cell>
          <cell r="C1271">
            <v>28949477.140000001</v>
          </cell>
          <cell r="D1271">
            <v>80558913.810000002</v>
          </cell>
          <cell r="E1271">
            <v>96504737.739999995</v>
          </cell>
          <cell r="F1271">
            <v>96504737.739999995</v>
          </cell>
          <cell r="G1271">
            <v>101798160</v>
          </cell>
          <cell r="H1271">
            <v>101430600</v>
          </cell>
          <cell r="I1271">
            <v>101063040</v>
          </cell>
          <cell r="J1271">
            <v>100695480</v>
          </cell>
          <cell r="K1271">
            <v>100695480</v>
          </cell>
          <cell r="L1271">
            <v>95029679.260000005</v>
          </cell>
          <cell r="M1271">
            <v>27740851.199999999</v>
          </cell>
          <cell r="N1271">
            <v>26185651.199999999</v>
          </cell>
          <cell r="O1271">
            <v>24630451.199999999</v>
          </cell>
        </row>
        <row r="1272">
          <cell r="A1272" t="str">
            <v>DenmarkOTHER ASSETS</v>
          </cell>
          <cell r="B1272">
            <v>1110156.99</v>
          </cell>
          <cell r="C1272">
            <v>920214.64</v>
          </cell>
          <cell r="D1272">
            <v>8323668.1299999999</v>
          </cell>
          <cell r="E1272">
            <v>8649837.0700000003</v>
          </cell>
          <cell r="F1272">
            <v>8649837.0700000003</v>
          </cell>
          <cell r="G1272">
            <v>2382631.67</v>
          </cell>
          <cell r="H1272">
            <v>2936795</v>
          </cell>
          <cell r="I1272">
            <v>3670430</v>
          </cell>
          <cell r="J1272">
            <v>4568110</v>
          </cell>
          <cell r="K1272">
            <v>4568110</v>
          </cell>
          <cell r="L1272">
            <v>7523326.8399999999</v>
          </cell>
          <cell r="M1272">
            <v>998294.34</v>
          </cell>
          <cell r="N1272">
            <v>0</v>
          </cell>
          <cell r="O1272">
            <v>0</v>
          </cell>
        </row>
        <row r="1273">
          <cell r="A1273" t="str">
            <v>DenmarkACCOUNTS PAYABLE</v>
          </cell>
          <cell r="B1273">
            <v>-7091505.29</v>
          </cell>
          <cell r="C1273">
            <v>-7051220.9100000001</v>
          </cell>
          <cell r="D1273">
            <v>-6318373.0199999996</v>
          </cell>
          <cell r="E1273">
            <v>-4874273.8499999996</v>
          </cell>
          <cell r="F1273">
            <v>-4874273.8499999996</v>
          </cell>
          <cell r="G1273">
            <v>-3095147.55</v>
          </cell>
          <cell r="H1273">
            <v>-4069718.72</v>
          </cell>
          <cell r="I1273">
            <v>-5394739.5300000003</v>
          </cell>
          <cell r="J1273">
            <v>-8405673.9800000004</v>
          </cell>
          <cell r="K1273">
            <v>-8405673.9800000004</v>
          </cell>
          <cell r="L1273">
            <v>-8220585.2800000003</v>
          </cell>
          <cell r="M1273">
            <v>-198484.85</v>
          </cell>
          <cell r="N1273">
            <v>-13297444.339732001</v>
          </cell>
          <cell r="O1273">
            <v>-17852175.117571</v>
          </cell>
        </row>
        <row r="1274">
          <cell r="A1274" t="str">
            <v>DenmarkDEFERRED INCOME TAXES</v>
          </cell>
          <cell r="B1274">
            <v>-553620.93000000005</v>
          </cell>
          <cell r="C1274">
            <v>-221171.26</v>
          </cell>
          <cell r="D1274">
            <v>2282780.31</v>
          </cell>
          <cell r="E1274">
            <v>-11002532.220000001</v>
          </cell>
          <cell r="F1274">
            <v>-11002532.220000001</v>
          </cell>
          <cell r="G1274">
            <v>-12436131.640000001</v>
          </cell>
          <cell r="H1274">
            <v>-12414967.77</v>
          </cell>
          <cell r="I1274">
            <v>-1308997.6100000001</v>
          </cell>
          <cell r="J1274">
            <v>-1120376.48</v>
          </cell>
          <cell r="K1274">
            <v>-1120376.48</v>
          </cell>
          <cell r="L1274">
            <v>-10079792.439999999</v>
          </cell>
          <cell r="M1274">
            <v>1717414.96</v>
          </cell>
          <cell r="N1274">
            <v>-1654546.68478</v>
          </cell>
          <cell r="O1274">
            <v>-2301787.8374529998</v>
          </cell>
        </row>
        <row r="1275">
          <cell r="A1275" t="str">
            <v>DenmarkWRITE-OFF (MEMO)</v>
          </cell>
          <cell r="B1275">
            <v>2769130.88</v>
          </cell>
          <cell r="C1275">
            <v>5256492.71</v>
          </cell>
          <cell r="D1275">
            <v>-28110795.239999998</v>
          </cell>
          <cell r="E1275">
            <v>13970915.560000001</v>
          </cell>
          <cell r="F1275">
            <v>13970915.560000001</v>
          </cell>
          <cell r="G1275">
            <v>3767318.13</v>
          </cell>
          <cell r="H1275">
            <v>9100963.4800000004</v>
          </cell>
          <cell r="I1275">
            <v>14320466.48</v>
          </cell>
          <cell r="J1275">
            <v>13712521.91</v>
          </cell>
          <cell r="K1275">
            <v>13712521.91</v>
          </cell>
          <cell r="L1275">
            <v>1230764.95</v>
          </cell>
          <cell r="M1275">
            <v>7324539.5999999996</v>
          </cell>
          <cell r="N1275">
            <v>8119339.857752</v>
          </cell>
          <cell r="O1275">
            <v>9268841.2711730003</v>
          </cell>
        </row>
        <row r="1276">
          <cell r="A1276" t="str">
            <v>DenmarkINSURANCE RESERVES AND ANNUITY BENEFITS</v>
          </cell>
          <cell r="B1276">
            <v>0</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row>
        <row r="1277">
          <cell r="A1277" t="str">
            <v>DenmarkALL OTHER NON DEBT LIABILITIES</v>
          </cell>
          <cell r="B1277">
            <v>-40081912.460000001</v>
          </cell>
          <cell r="C1277">
            <v>-38614928.200000003</v>
          </cell>
          <cell r="D1277">
            <v>-45808160.490000002</v>
          </cell>
          <cell r="E1277">
            <v>-44106170.700000003</v>
          </cell>
          <cell r="F1277">
            <v>-44106170.700000003</v>
          </cell>
          <cell r="G1277">
            <v>-19486800</v>
          </cell>
          <cell r="H1277">
            <v>-19486800</v>
          </cell>
          <cell r="I1277">
            <v>-19486800</v>
          </cell>
          <cell r="J1277">
            <v>-19486800</v>
          </cell>
          <cell r="K1277">
            <v>-19486800</v>
          </cell>
          <cell r="L1277">
            <v>-38203620.450000003</v>
          </cell>
          <cell r="M1277">
            <v>-1200000</v>
          </cell>
          <cell r="N1277">
            <v>0</v>
          </cell>
          <cell r="O1277">
            <v>0</v>
          </cell>
        </row>
        <row r="1278">
          <cell r="A1278" t="str">
            <v>DenmarkMINORITY INTEREST (BS)</v>
          </cell>
          <cell r="B1278">
            <v>0</v>
          </cell>
          <cell r="C1278">
            <v>0</v>
          </cell>
          <cell r="D1278">
            <v>0</v>
          </cell>
          <cell r="E1278">
            <v>0</v>
          </cell>
          <cell r="F1278">
            <v>0</v>
          </cell>
          <cell r="G1278">
            <v>0</v>
          </cell>
          <cell r="H1278">
            <v>0</v>
          </cell>
          <cell r="I1278">
            <v>0</v>
          </cell>
          <cell r="J1278">
            <v>0</v>
          </cell>
          <cell r="K1278">
            <v>0</v>
          </cell>
          <cell r="L1278">
            <v>0</v>
          </cell>
          <cell r="M1278">
            <v>0</v>
          </cell>
          <cell r="N1278">
            <v>0</v>
          </cell>
          <cell r="O1278">
            <v>0</v>
          </cell>
        </row>
        <row r="1279">
          <cell r="A1279" t="str">
            <v>DenmarkASIA PACIFIC ENI DIVIDEND</v>
          </cell>
          <cell r="B1279">
            <v>0</v>
          </cell>
          <cell r="C1279">
            <v>0</v>
          </cell>
          <cell r="D1279">
            <v>0</v>
          </cell>
          <cell r="E1279">
            <v>0</v>
          </cell>
          <cell r="F1279">
            <v>0</v>
          </cell>
          <cell r="G1279">
            <v>0</v>
          </cell>
          <cell r="H1279">
            <v>0</v>
          </cell>
          <cell r="I1279">
            <v>0</v>
          </cell>
          <cell r="J1279">
            <v>0</v>
          </cell>
          <cell r="K1279">
            <v>0</v>
          </cell>
          <cell r="L1279">
            <v>0</v>
          </cell>
          <cell r="M1279">
            <v>0</v>
          </cell>
          <cell r="N1279">
            <v>0</v>
          </cell>
          <cell r="O1279">
            <v>0</v>
          </cell>
        </row>
        <row r="1280">
          <cell r="A1280" t="str">
            <v>DenmarkFINANCING INCOME</v>
          </cell>
          <cell r="B1280">
            <v>-12977396.75</v>
          </cell>
          <cell r="C1280">
            <v>-12728060.84</v>
          </cell>
          <cell r="D1280">
            <v>-17405109.469999999</v>
          </cell>
          <cell r="E1280">
            <v>-20737857.800000001</v>
          </cell>
          <cell r="F1280">
            <v>-63848424.859999999</v>
          </cell>
          <cell r="G1280">
            <v>-19206760.800000001</v>
          </cell>
          <cell r="H1280">
            <v>-19068314.399999999</v>
          </cell>
          <cell r="I1280">
            <v>-18831612</v>
          </cell>
          <cell r="J1280">
            <v>-19415487.600000001</v>
          </cell>
          <cell r="K1280">
            <v>-76522174.799999997</v>
          </cell>
          <cell r="L1280">
            <v>-19161590.690000001</v>
          </cell>
          <cell r="M1280">
            <v>-60555910.32</v>
          </cell>
          <cell r="N1280">
            <v>-72335267.333518997</v>
          </cell>
          <cell r="O1280">
            <v>-87804948.985698998</v>
          </cell>
        </row>
        <row r="1281">
          <cell r="A1281" t="str">
            <v>DenmarkINSURANCE PREMIUM INCOME</v>
          </cell>
          <cell r="B1281">
            <v>0</v>
          </cell>
          <cell r="C1281">
            <v>0</v>
          </cell>
          <cell r="D1281">
            <v>0</v>
          </cell>
          <cell r="E1281">
            <v>0</v>
          </cell>
          <cell r="F1281">
            <v>0</v>
          </cell>
          <cell r="G1281">
            <v>0</v>
          </cell>
          <cell r="H1281">
            <v>0</v>
          </cell>
          <cell r="I1281">
            <v>0</v>
          </cell>
          <cell r="J1281">
            <v>0</v>
          </cell>
          <cell r="K1281">
            <v>0</v>
          </cell>
          <cell r="L1281">
            <v>0</v>
          </cell>
          <cell r="M1281">
            <v>0</v>
          </cell>
          <cell r="N1281">
            <v>0</v>
          </cell>
          <cell r="O1281">
            <v>0</v>
          </cell>
        </row>
        <row r="1282">
          <cell r="A1282" t="str">
            <v>DenmarkINSURANCE INCOME (COMMISSIONS)</v>
          </cell>
          <cell r="B1282">
            <v>0</v>
          </cell>
          <cell r="C1282">
            <v>0</v>
          </cell>
          <cell r="D1282">
            <v>0</v>
          </cell>
          <cell r="E1282">
            <v>0</v>
          </cell>
          <cell r="F1282">
            <v>0</v>
          </cell>
          <cell r="G1282">
            <v>0</v>
          </cell>
          <cell r="H1282">
            <v>0</v>
          </cell>
          <cell r="I1282">
            <v>0</v>
          </cell>
          <cell r="J1282">
            <v>0</v>
          </cell>
          <cell r="K1282">
            <v>0</v>
          </cell>
          <cell r="L1282">
            <v>0</v>
          </cell>
          <cell r="M1282">
            <v>0</v>
          </cell>
          <cell r="N1282">
            <v>0</v>
          </cell>
          <cell r="O1282">
            <v>0</v>
          </cell>
        </row>
        <row r="1283">
          <cell r="A1283" t="str">
            <v>DenmarkSUNDRY INCOME</v>
          </cell>
          <cell r="B1283">
            <v>-2371241.7799999998</v>
          </cell>
          <cell r="C1283">
            <v>-1991732.56</v>
          </cell>
          <cell r="D1283">
            <v>-3040778.88</v>
          </cell>
          <cell r="E1283">
            <v>-3300378.29</v>
          </cell>
          <cell r="F1283">
            <v>-10704131.51</v>
          </cell>
          <cell r="G1283">
            <v>-4951539.5999999996</v>
          </cell>
          <cell r="H1283">
            <v>-4314792</v>
          </cell>
          <cell r="I1283">
            <v>-4428124.8</v>
          </cell>
          <cell r="J1283">
            <v>-4413169.2</v>
          </cell>
          <cell r="K1283">
            <v>-18107625.600000001</v>
          </cell>
          <cell r="L1283">
            <v>-4454960.2</v>
          </cell>
          <cell r="M1283">
            <v>-8335540.7999999998</v>
          </cell>
          <cell r="N1283">
            <v>-8802791.9684769996</v>
          </cell>
          <cell r="O1283">
            <v>-10619353.582762999</v>
          </cell>
        </row>
        <row r="1284">
          <cell r="A1284" t="str">
            <v>DenmarkINTEREST EXPENSE</v>
          </cell>
          <cell r="B1284">
            <v>5256232.7699999996</v>
          </cell>
          <cell r="C1284">
            <v>5171965.5</v>
          </cell>
          <cell r="D1284">
            <v>6261158.6100000003</v>
          </cell>
          <cell r="E1284">
            <v>6362218.9400000004</v>
          </cell>
          <cell r="F1284">
            <v>23051575.82</v>
          </cell>
          <cell r="G1284">
            <v>6315311.4355210001</v>
          </cell>
          <cell r="H1284">
            <v>6199724.3289219998</v>
          </cell>
          <cell r="I1284">
            <v>6134137.3397589996</v>
          </cell>
          <cell r="J1284">
            <v>6227284.7855660003</v>
          </cell>
          <cell r="K1284">
            <v>24876457.889766999</v>
          </cell>
          <cell r="L1284">
            <v>6100282.5499999998</v>
          </cell>
          <cell r="M1284">
            <v>22797654.77</v>
          </cell>
          <cell r="N1284">
            <v>25795846.122021999</v>
          </cell>
          <cell r="O1284">
            <v>30697913.979727998</v>
          </cell>
        </row>
        <row r="1285">
          <cell r="A1285" t="str">
            <v>DenmarkINTEREST EXPENSE REDUCTIONS / BUS SHARING</v>
          </cell>
          <cell r="B1285">
            <v>0</v>
          </cell>
          <cell r="C1285">
            <v>0</v>
          </cell>
          <cell r="D1285">
            <v>0</v>
          </cell>
          <cell r="E1285">
            <v>0</v>
          </cell>
          <cell r="F1285">
            <v>0</v>
          </cell>
          <cell r="G1285">
            <v>0</v>
          </cell>
          <cell r="H1285">
            <v>0</v>
          </cell>
          <cell r="I1285">
            <v>0</v>
          </cell>
          <cell r="J1285">
            <v>0</v>
          </cell>
          <cell r="K1285">
            <v>0</v>
          </cell>
          <cell r="L1285">
            <v>0</v>
          </cell>
          <cell r="M1285">
            <v>0</v>
          </cell>
          <cell r="N1285">
            <v>0</v>
          </cell>
          <cell r="O1285">
            <v>0</v>
          </cell>
        </row>
        <row r="1286">
          <cell r="A1286" t="str">
            <v>DenmarkALLOCATED COST OF PREFERRED EQUITY</v>
          </cell>
          <cell r="B1286">
            <v>62343.23</v>
          </cell>
          <cell r="C1286">
            <v>49337.25</v>
          </cell>
          <cell r="D1286">
            <v>40627.96</v>
          </cell>
          <cell r="E1286">
            <v>55194.41</v>
          </cell>
          <cell r="F1286">
            <v>207502.85</v>
          </cell>
          <cell r="G1286">
            <v>99761.155492999998</v>
          </cell>
          <cell r="H1286">
            <v>97967.065558999995</v>
          </cell>
          <cell r="I1286">
            <v>97096.179086000004</v>
          </cell>
          <cell r="J1286">
            <v>98704.582934999999</v>
          </cell>
          <cell r="K1286">
            <v>393528.98307299998</v>
          </cell>
          <cell r="L1286">
            <v>38429.14</v>
          </cell>
          <cell r="M1286">
            <v>308731.49</v>
          </cell>
          <cell r="N1286">
            <v>345059.49254800001</v>
          </cell>
          <cell r="O1286">
            <v>402598.679756</v>
          </cell>
        </row>
        <row r="1287">
          <cell r="A1287" t="str">
            <v>DenmarkSALARIES &amp; BENEFITS</v>
          </cell>
          <cell r="B1287">
            <v>1872285.82</v>
          </cell>
          <cell r="C1287">
            <v>1754410.13</v>
          </cell>
          <cell r="D1287">
            <v>2512149.12</v>
          </cell>
          <cell r="E1287">
            <v>4267785.47</v>
          </cell>
          <cell r="F1287">
            <v>10406630.539999999</v>
          </cell>
          <cell r="G1287">
            <v>3587572</v>
          </cell>
          <cell r="H1287">
            <v>3357384</v>
          </cell>
          <cell r="I1287">
            <v>3052892.4</v>
          </cell>
          <cell r="J1287">
            <v>3580304.4</v>
          </cell>
          <cell r="K1287">
            <v>13578152.800000001</v>
          </cell>
          <cell r="L1287">
            <v>3773701.66</v>
          </cell>
          <cell r="M1287">
            <v>8405092.8000000007</v>
          </cell>
          <cell r="N1287">
            <v>8690245.8979320005</v>
          </cell>
          <cell r="O1287">
            <v>9543790.4877259992</v>
          </cell>
        </row>
        <row r="1288">
          <cell r="A1288" t="str">
            <v>DenmarkLOSSES ON OTHER ASSETS</v>
          </cell>
          <cell r="B1288">
            <v>19478.68</v>
          </cell>
          <cell r="C1288">
            <v>-187491.17</v>
          </cell>
          <cell r="D1288">
            <v>-15242.65</v>
          </cell>
          <cell r="E1288">
            <v>-5.2</v>
          </cell>
          <cell r="F1288">
            <v>-183260.34</v>
          </cell>
          <cell r="G1288">
            <v>0</v>
          </cell>
          <cell r="H1288">
            <v>0</v>
          </cell>
          <cell r="I1288">
            <v>0</v>
          </cell>
          <cell r="J1288">
            <v>0</v>
          </cell>
          <cell r="K1288">
            <v>0</v>
          </cell>
          <cell r="L1288">
            <v>565465.9</v>
          </cell>
          <cell r="M1288">
            <v>0</v>
          </cell>
          <cell r="N1288">
            <v>0</v>
          </cell>
          <cell r="O1288">
            <v>0</v>
          </cell>
        </row>
        <row r="1289">
          <cell r="A1289" t="str">
            <v>DenmarkCOST OF GOODS SOLD</v>
          </cell>
          <cell r="B1289">
            <v>0</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row>
        <row r="1290">
          <cell r="A1290" t="str">
            <v>DenmarkCOST OF GOODS SOLD - DISTRIBUTION</v>
          </cell>
          <cell r="B1290">
            <v>0</v>
          </cell>
          <cell r="C1290">
            <v>0</v>
          </cell>
          <cell r="D1290">
            <v>0</v>
          </cell>
          <cell r="E1290">
            <v>0</v>
          </cell>
          <cell r="F1290">
            <v>0</v>
          </cell>
          <cell r="G1290">
            <v>0</v>
          </cell>
          <cell r="H1290">
            <v>0</v>
          </cell>
          <cell r="I1290">
            <v>0</v>
          </cell>
          <cell r="J1290">
            <v>0</v>
          </cell>
          <cell r="K1290">
            <v>0</v>
          </cell>
          <cell r="L1290">
            <v>0</v>
          </cell>
          <cell r="M1290">
            <v>0</v>
          </cell>
          <cell r="N1290">
            <v>0</v>
          </cell>
          <cell r="O1290">
            <v>0</v>
          </cell>
        </row>
        <row r="1291">
          <cell r="A1291" t="str">
            <v>DenmarkPOSTAGE</v>
          </cell>
          <cell r="B1291">
            <v>108186.46</v>
          </cell>
          <cell r="C1291">
            <v>87985.82</v>
          </cell>
          <cell r="D1291">
            <v>333096.51</v>
          </cell>
          <cell r="E1291">
            <v>383696.49</v>
          </cell>
          <cell r="F1291">
            <v>912965.28</v>
          </cell>
          <cell r="G1291">
            <v>290488.8</v>
          </cell>
          <cell r="H1291">
            <v>170526</v>
          </cell>
          <cell r="I1291">
            <v>170128.8</v>
          </cell>
          <cell r="J1291">
            <v>170128.8</v>
          </cell>
          <cell r="K1291">
            <v>801272.4</v>
          </cell>
          <cell r="L1291">
            <v>514721.64</v>
          </cell>
          <cell r="M1291">
            <v>282283.2</v>
          </cell>
          <cell r="N1291">
            <v>0</v>
          </cell>
          <cell r="O1291">
            <v>0</v>
          </cell>
        </row>
        <row r="1292">
          <cell r="A1292" t="str">
            <v>DenmarkTELEPHONE</v>
          </cell>
          <cell r="B1292">
            <v>95608.97</v>
          </cell>
          <cell r="C1292">
            <v>43486.31</v>
          </cell>
          <cell r="D1292">
            <v>152141.29999999999</v>
          </cell>
          <cell r="E1292">
            <v>134607.97</v>
          </cell>
          <cell r="F1292">
            <v>425844.55</v>
          </cell>
          <cell r="G1292">
            <v>202332</v>
          </cell>
          <cell r="H1292">
            <v>197196</v>
          </cell>
          <cell r="I1292">
            <v>197136</v>
          </cell>
          <cell r="J1292">
            <v>194388</v>
          </cell>
          <cell r="K1292">
            <v>791052</v>
          </cell>
          <cell r="L1292">
            <v>128658.6</v>
          </cell>
          <cell r="M1292">
            <v>405129.6</v>
          </cell>
          <cell r="N1292">
            <v>0</v>
          </cell>
          <cell r="O1292">
            <v>0</v>
          </cell>
        </row>
        <row r="1293">
          <cell r="A1293" t="str">
            <v>DenmarkCUSTOMER SERVICE / COLLECTIONS</v>
          </cell>
          <cell r="B1293">
            <v>179280.18</v>
          </cell>
          <cell r="C1293">
            <v>293399.59000000003</v>
          </cell>
          <cell r="D1293">
            <v>204858.38</v>
          </cell>
          <cell r="E1293">
            <v>297697.95</v>
          </cell>
          <cell r="F1293">
            <v>975236.1</v>
          </cell>
          <cell r="G1293">
            <v>558151.19999999995</v>
          </cell>
          <cell r="H1293">
            <v>525734.40000000002</v>
          </cell>
          <cell r="I1293">
            <v>527985.6</v>
          </cell>
          <cell r="J1293">
            <v>524763.6</v>
          </cell>
          <cell r="K1293">
            <v>2136634.7999999998</v>
          </cell>
          <cell r="L1293">
            <v>561266.43000000005</v>
          </cell>
          <cell r="M1293">
            <v>1100980.8</v>
          </cell>
          <cell r="N1293">
            <v>0</v>
          </cell>
          <cell r="O1293">
            <v>0</v>
          </cell>
        </row>
        <row r="1294">
          <cell r="A1294" t="str">
            <v>DenmarkSTATIONARY - OFFICE SUPPLIES</v>
          </cell>
          <cell r="B1294">
            <v>103488.72</v>
          </cell>
          <cell r="C1294">
            <v>-14542.18</v>
          </cell>
          <cell r="D1294">
            <v>57516.97</v>
          </cell>
          <cell r="E1294">
            <v>37564.6</v>
          </cell>
          <cell r="F1294">
            <v>184028.11</v>
          </cell>
          <cell r="G1294">
            <v>95340</v>
          </cell>
          <cell r="H1294">
            <v>94980</v>
          </cell>
          <cell r="I1294">
            <v>94980</v>
          </cell>
          <cell r="J1294">
            <v>94980</v>
          </cell>
          <cell r="K1294">
            <v>380280</v>
          </cell>
          <cell r="L1294">
            <v>59149.53</v>
          </cell>
          <cell r="M1294">
            <v>182289.6</v>
          </cell>
          <cell r="N1294">
            <v>0</v>
          </cell>
          <cell r="O1294">
            <v>0</v>
          </cell>
        </row>
        <row r="1295">
          <cell r="A1295" t="str">
            <v>DenmarkT&amp;L</v>
          </cell>
          <cell r="B1295">
            <v>105315.13</v>
          </cell>
          <cell r="C1295">
            <v>56892</v>
          </cell>
          <cell r="D1295">
            <v>97201.54</v>
          </cell>
          <cell r="E1295">
            <v>142497.63</v>
          </cell>
          <cell r="F1295">
            <v>401906.3</v>
          </cell>
          <cell r="G1295">
            <v>134709.6</v>
          </cell>
          <cell r="H1295">
            <v>138895.20000000001</v>
          </cell>
          <cell r="I1295">
            <v>112723.2</v>
          </cell>
          <cell r="J1295">
            <v>107316</v>
          </cell>
          <cell r="K1295">
            <v>493644</v>
          </cell>
          <cell r="L1295">
            <v>170999.67999999999</v>
          </cell>
          <cell r="M1295">
            <v>356587.2</v>
          </cell>
          <cell r="N1295">
            <v>0</v>
          </cell>
          <cell r="O1295">
            <v>0</v>
          </cell>
        </row>
        <row r="1296">
          <cell r="A1296" t="str">
            <v>DenmarkRENTAL - BLDG/FACILITIES</v>
          </cell>
          <cell r="B1296">
            <v>66315.509999999995</v>
          </cell>
          <cell r="C1296">
            <v>99866.04</v>
          </cell>
          <cell r="D1296">
            <v>178255.64</v>
          </cell>
          <cell r="E1296">
            <v>238234.23999999999</v>
          </cell>
          <cell r="F1296">
            <v>582671.43000000005</v>
          </cell>
          <cell r="G1296">
            <v>246301.2</v>
          </cell>
          <cell r="H1296">
            <v>311800.8</v>
          </cell>
          <cell r="I1296">
            <v>162000</v>
          </cell>
          <cell r="J1296">
            <v>162000</v>
          </cell>
          <cell r="K1296">
            <v>882102</v>
          </cell>
          <cell r="L1296">
            <v>258961.59</v>
          </cell>
          <cell r="M1296">
            <v>376128</v>
          </cell>
          <cell r="N1296">
            <v>0</v>
          </cell>
          <cell r="O1296">
            <v>0</v>
          </cell>
        </row>
        <row r="1297">
          <cell r="A1297" t="str">
            <v>DenmarkRENTAL - FURNITURE/EQUIP</v>
          </cell>
          <cell r="B1297">
            <v>0</v>
          </cell>
          <cell r="C1297">
            <v>0</v>
          </cell>
          <cell r="D1297">
            <v>0</v>
          </cell>
          <cell r="E1297">
            <v>0</v>
          </cell>
          <cell r="F1297">
            <v>0</v>
          </cell>
          <cell r="G1297">
            <v>0</v>
          </cell>
          <cell r="H1297">
            <v>0</v>
          </cell>
          <cell r="I1297">
            <v>0</v>
          </cell>
          <cell r="J1297">
            <v>0</v>
          </cell>
          <cell r="K1297">
            <v>0</v>
          </cell>
          <cell r="L1297">
            <v>0</v>
          </cell>
          <cell r="M1297">
            <v>0</v>
          </cell>
          <cell r="N1297">
            <v>0</v>
          </cell>
          <cell r="O1297">
            <v>0</v>
          </cell>
        </row>
        <row r="1298">
          <cell r="A1298" t="str">
            <v>DenmarkRENTAL - COMPUTERS</v>
          </cell>
          <cell r="B1298">
            <v>0</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row>
        <row r="1299">
          <cell r="A1299" t="str">
            <v>DenmarkLEASE IN - LEASE OUT</v>
          </cell>
          <cell r="B1299">
            <v>0</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row>
        <row r="1300">
          <cell r="A1300" t="str">
            <v>DenmarkFURNITURE / EQUIPMENT / COMPUTER EXP</v>
          </cell>
          <cell r="B1300">
            <v>8730.49</v>
          </cell>
          <cell r="C1300">
            <v>13335.6</v>
          </cell>
          <cell r="D1300">
            <v>-6810.47</v>
          </cell>
          <cell r="E1300">
            <v>3161.25</v>
          </cell>
          <cell r="F1300">
            <v>18416.87</v>
          </cell>
          <cell r="G1300">
            <v>16650</v>
          </cell>
          <cell r="H1300">
            <v>16650</v>
          </cell>
          <cell r="I1300">
            <v>9450</v>
          </cell>
          <cell r="J1300">
            <v>9450</v>
          </cell>
          <cell r="K1300">
            <v>52200</v>
          </cell>
          <cell r="L1300">
            <v>3720.87</v>
          </cell>
          <cell r="M1300">
            <v>36115.199999999997</v>
          </cell>
          <cell r="N1300">
            <v>0</v>
          </cell>
          <cell r="O1300">
            <v>0</v>
          </cell>
        </row>
        <row r="1301">
          <cell r="A1301" t="str">
            <v>DenmarkSOFTWARE EXPENSE</v>
          </cell>
          <cell r="B1301">
            <v>0</v>
          </cell>
          <cell r="C1301">
            <v>0</v>
          </cell>
          <cell r="D1301">
            <v>0</v>
          </cell>
          <cell r="E1301">
            <v>0</v>
          </cell>
          <cell r="F1301">
            <v>0</v>
          </cell>
          <cell r="G1301">
            <v>0</v>
          </cell>
          <cell r="H1301">
            <v>0</v>
          </cell>
          <cell r="I1301">
            <v>0</v>
          </cell>
          <cell r="J1301">
            <v>0</v>
          </cell>
          <cell r="K1301">
            <v>0</v>
          </cell>
          <cell r="L1301">
            <v>0</v>
          </cell>
          <cell r="M1301">
            <v>0</v>
          </cell>
          <cell r="N1301">
            <v>0</v>
          </cell>
          <cell r="O1301">
            <v>0</v>
          </cell>
        </row>
        <row r="1302">
          <cell r="A1302" t="str">
            <v>DenmarkAMORTIZATION OF INTANGIBLES</v>
          </cell>
          <cell r="B1302">
            <v>0</v>
          </cell>
          <cell r="C1302">
            <v>49837.24</v>
          </cell>
          <cell r="D1302">
            <v>19284.150000000001</v>
          </cell>
          <cell r="E1302">
            <v>30493.71</v>
          </cell>
          <cell r="F1302">
            <v>99615.1</v>
          </cell>
          <cell r="G1302">
            <v>367560</v>
          </cell>
          <cell r="H1302">
            <v>367560</v>
          </cell>
          <cell r="I1302">
            <v>367560</v>
          </cell>
          <cell r="J1302">
            <v>367560</v>
          </cell>
          <cell r="K1302">
            <v>1470240</v>
          </cell>
          <cell r="L1302">
            <v>365001.28</v>
          </cell>
          <cell r="M1302">
            <v>0</v>
          </cell>
          <cell r="N1302">
            <v>0</v>
          </cell>
          <cell r="O1302">
            <v>0</v>
          </cell>
        </row>
        <row r="1303">
          <cell r="A1303" t="str">
            <v>DenmarkELTO MAINTENANCE</v>
          </cell>
          <cell r="B1303">
            <v>0</v>
          </cell>
          <cell r="C1303">
            <v>0</v>
          </cell>
          <cell r="D1303">
            <v>0</v>
          </cell>
          <cell r="E1303">
            <v>0</v>
          </cell>
          <cell r="F1303">
            <v>0</v>
          </cell>
          <cell r="G1303">
            <v>0</v>
          </cell>
          <cell r="H1303">
            <v>0</v>
          </cell>
          <cell r="I1303">
            <v>0</v>
          </cell>
          <cell r="J1303">
            <v>0</v>
          </cell>
          <cell r="K1303">
            <v>0</v>
          </cell>
          <cell r="L1303">
            <v>0</v>
          </cell>
          <cell r="M1303">
            <v>0</v>
          </cell>
          <cell r="N1303">
            <v>0</v>
          </cell>
          <cell r="O1303">
            <v>0</v>
          </cell>
        </row>
        <row r="1304">
          <cell r="A1304" t="str">
            <v>DenmarkELTO OTHER</v>
          </cell>
          <cell r="B1304">
            <v>0</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row>
        <row r="1305">
          <cell r="A1305" t="str">
            <v>DenmarkLEGAL</v>
          </cell>
          <cell r="B1305">
            <v>13305.53</v>
          </cell>
          <cell r="C1305">
            <v>9408.1</v>
          </cell>
          <cell r="D1305">
            <v>-34184.85</v>
          </cell>
          <cell r="E1305">
            <v>26831.07</v>
          </cell>
          <cell r="F1305">
            <v>15359.85</v>
          </cell>
          <cell r="G1305">
            <v>285360</v>
          </cell>
          <cell r="H1305">
            <v>17040</v>
          </cell>
          <cell r="I1305">
            <v>7800</v>
          </cell>
          <cell r="J1305">
            <v>5400</v>
          </cell>
          <cell r="K1305">
            <v>315600</v>
          </cell>
          <cell r="L1305">
            <v>116270.02</v>
          </cell>
          <cell r="M1305">
            <v>47188.800000000003</v>
          </cell>
          <cell r="N1305">
            <v>0</v>
          </cell>
          <cell r="O1305">
            <v>0</v>
          </cell>
        </row>
        <row r="1306">
          <cell r="A1306" t="str">
            <v>DenmarkADVERTISING</v>
          </cell>
          <cell r="B1306">
            <v>423324.69</v>
          </cell>
          <cell r="C1306">
            <v>307585.27</v>
          </cell>
          <cell r="D1306">
            <v>32183.53</v>
          </cell>
          <cell r="E1306">
            <v>594275.57999999996</v>
          </cell>
          <cell r="F1306">
            <v>1357369.07</v>
          </cell>
          <cell r="G1306">
            <v>290490</v>
          </cell>
          <cell r="H1306">
            <v>376947.6</v>
          </cell>
          <cell r="I1306">
            <v>585254.40000000002</v>
          </cell>
          <cell r="J1306">
            <v>761268</v>
          </cell>
          <cell r="K1306">
            <v>2013960</v>
          </cell>
          <cell r="L1306">
            <v>59178.57</v>
          </cell>
          <cell r="M1306">
            <v>1415044.8</v>
          </cell>
          <cell r="N1306">
            <v>3808487.1693839999</v>
          </cell>
          <cell r="O1306">
            <v>4570184.6032609995</v>
          </cell>
        </row>
        <row r="1307">
          <cell r="A1307" t="str">
            <v>DenmarkSALES PROMOTIONS</v>
          </cell>
          <cell r="B1307">
            <v>461366.78</v>
          </cell>
          <cell r="C1307">
            <v>368718.78</v>
          </cell>
          <cell r="D1307">
            <v>883120.5</v>
          </cell>
          <cell r="E1307">
            <v>623032.19999999995</v>
          </cell>
          <cell r="F1307">
            <v>2336238.2599999998</v>
          </cell>
          <cell r="G1307">
            <v>725349.6</v>
          </cell>
          <cell r="H1307">
            <v>764958</v>
          </cell>
          <cell r="I1307">
            <v>643063.19999999995</v>
          </cell>
          <cell r="J1307">
            <v>626743.19999999995</v>
          </cell>
          <cell r="K1307">
            <v>2760114</v>
          </cell>
          <cell r="L1307">
            <v>382914.94</v>
          </cell>
          <cell r="M1307">
            <v>1758700.8</v>
          </cell>
          <cell r="N1307">
            <v>0</v>
          </cell>
          <cell r="O1307">
            <v>0</v>
          </cell>
        </row>
        <row r="1308">
          <cell r="A1308" t="str">
            <v>DenmarkDIRECT MAIL</v>
          </cell>
          <cell r="B1308">
            <v>0</v>
          </cell>
          <cell r="C1308">
            <v>0</v>
          </cell>
          <cell r="D1308">
            <v>0</v>
          </cell>
          <cell r="E1308">
            <v>0</v>
          </cell>
          <cell r="F1308">
            <v>0</v>
          </cell>
          <cell r="G1308">
            <v>0</v>
          </cell>
          <cell r="H1308">
            <v>0</v>
          </cell>
          <cell r="I1308">
            <v>0</v>
          </cell>
          <cell r="J1308">
            <v>0</v>
          </cell>
          <cell r="K1308">
            <v>0</v>
          </cell>
          <cell r="L1308">
            <v>0</v>
          </cell>
          <cell r="M1308">
            <v>0</v>
          </cell>
          <cell r="N1308">
            <v>0</v>
          </cell>
          <cell r="O1308">
            <v>0</v>
          </cell>
        </row>
        <row r="1309">
          <cell r="A1309" t="str">
            <v>DenmarkDATA PROCESSING</v>
          </cell>
          <cell r="B1309">
            <v>212124.92</v>
          </cell>
          <cell r="C1309">
            <v>394356.25</v>
          </cell>
          <cell r="D1309">
            <v>633777.84</v>
          </cell>
          <cell r="E1309">
            <v>963564.64</v>
          </cell>
          <cell r="F1309">
            <v>2203823.65</v>
          </cell>
          <cell r="G1309">
            <v>866792.4</v>
          </cell>
          <cell r="H1309">
            <v>856476</v>
          </cell>
          <cell r="I1309">
            <v>793900.8</v>
          </cell>
          <cell r="J1309">
            <v>785778</v>
          </cell>
          <cell r="K1309">
            <v>3302947.2</v>
          </cell>
          <cell r="L1309">
            <v>771546.31</v>
          </cell>
          <cell r="M1309">
            <v>1408521.6</v>
          </cell>
          <cell r="N1309">
            <v>0</v>
          </cell>
          <cell r="O1309">
            <v>0</v>
          </cell>
        </row>
        <row r="1310">
          <cell r="A1310" t="str">
            <v>DenmarkCONSULTING</v>
          </cell>
          <cell r="B1310">
            <v>7977.77</v>
          </cell>
          <cell r="C1310">
            <v>0</v>
          </cell>
          <cell r="D1310">
            <v>0</v>
          </cell>
          <cell r="E1310">
            <v>6316.87</v>
          </cell>
          <cell r="F1310">
            <v>14294.64</v>
          </cell>
          <cell r="G1310">
            <v>66960</v>
          </cell>
          <cell r="H1310">
            <v>360</v>
          </cell>
          <cell r="I1310">
            <v>0</v>
          </cell>
          <cell r="J1310">
            <v>0</v>
          </cell>
          <cell r="K1310">
            <v>67320</v>
          </cell>
          <cell r="L1310">
            <v>81886.91</v>
          </cell>
          <cell r="M1310">
            <v>14961.6</v>
          </cell>
          <cell r="N1310">
            <v>0</v>
          </cell>
          <cell r="O1310">
            <v>0</v>
          </cell>
        </row>
        <row r="1311">
          <cell r="A1311" t="str">
            <v>DenmarkTEMP SERVICES</v>
          </cell>
          <cell r="B1311">
            <v>9637.92</v>
          </cell>
          <cell r="C1311">
            <v>5436.99</v>
          </cell>
          <cell r="D1311">
            <v>97369.93</v>
          </cell>
          <cell r="E1311">
            <v>66047.039999999994</v>
          </cell>
          <cell r="F1311">
            <v>178491.88</v>
          </cell>
          <cell r="G1311">
            <v>12600</v>
          </cell>
          <cell r="H1311">
            <v>12600</v>
          </cell>
          <cell r="I1311">
            <v>12600</v>
          </cell>
          <cell r="J1311">
            <v>12600</v>
          </cell>
          <cell r="K1311">
            <v>50400</v>
          </cell>
          <cell r="L1311">
            <v>-39867.15</v>
          </cell>
          <cell r="M1311">
            <v>26884.799999999999</v>
          </cell>
          <cell r="N1311">
            <v>0</v>
          </cell>
          <cell r="O1311">
            <v>0</v>
          </cell>
        </row>
        <row r="1312">
          <cell r="A1312" t="str">
            <v>DenmarkGDC CHARGES</v>
          </cell>
          <cell r="B1312">
            <v>0</v>
          </cell>
          <cell r="C1312">
            <v>0</v>
          </cell>
          <cell r="D1312">
            <v>0</v>
          </cell>
          <cell r="E1312">
            <v>0</v>
          </cell>
          <cell r="F1312">
            <v>0</v>
          </cell>
          <cell r="G1312">
            <v>0</v>
          </cell>
          <cell r="H1312">
            <v>0</v>
          </cell>
          <cell r="I1312">
            <v>0</v>
          </cell>
          <cell r="J1312">
            <v>0</v>
          </cell>
          <cell r="K1312">
            <v>0</v>
          </cell>
          <cell r="L1312">
            <v>0</v>
          </cell>
          <cell r="M1312">
            <v>0</v>
          </cell>
          <cell r="N1312">
            <v>0</v>
          </cell>
          <cell r="O1312">
            <v>0</v>
          </cell>
        </row>
        <row r="1313">
          <cell r="A1313" t="str">
            <v>DenmarkTRAINING AND EDUCATION</v>
          </cell>
          <cell r="B1313">
            <v>3191.55</v>
          </cell>
          <cell r="C1313">
            <v>5295.94</v>
          </cell>
          <cell r="D1313">
            <v>5138.3100000000004</v>
          </cell>
          <cell r="E1313">
            <v>3740.03</v>
          </cell>
          <cell r="F1313">
            <v>17365.830000000002</v>
          </cell>
          <cell r="G1313">
            <v>7200</v>
          </cell>
          <cell r="H1313">
            <v>2400</v>
          </cell>
          <cell r="I1313">
            <v>0</v>
          </cell>
          <cell r="J1313">
            <v>7200</v>
          </cell>
          <cell r="K1313">
            <v>16800</v>
          </cell>
          <cell r="L1313">
            <v>151.65</v>
          </cell>
          <cell r="M1313">
            <v>27907.200000000001</v>
          </cell>
          <cell r="N1313">
            <v>0</v>
          </cell>
          <cell r="O1313">
            <v>0</v>
          </cell>
        </row>
        <row r="1314">
          <cell r="A1314" t="str">
            <v>DenmarkOUTSIDE SERVICES  AND FEES</v>
          </cell>
          <cell r="B1314">
            <v>6186.3</v>
          </cell>
          <cell r="C1314">
            <v>2102.4899999999998</v>
          </cell>
          <cell r="D1314">
            <v>35920.160000000003</v>
          </cell>
          <cell r="E1314">
            <v>16417.2</v>
          </cell>
          <cell r="F1314">
            <v>60626.15</v>
          </cell>
          <cell r="G1314">
            <v>53371.199999999997</v>
          </cell>
          <cell r="H1314">
            <v>56971.199999999997</v>
          </cell>
          <cell r="I1314">
            <v>34171.199999999997</v>
          </cell>
          <cell r="J1314">
            <v>46171.199999999997</v>
          </cell>
          <cell r="K1314">
            <v>190684.79999999999</v>
          </cell>
          <cell r="L1314">
            <v>34362</v>
          </cell>
          <cell r="M1314">
            <v>40291.199999999997</v>
          </cell>
          <cell r="N1314">
            <v>0</v>
          </cell>
          <cell r="O1314">
            <v>0</v>
          </cell>
        </row>
        <row r="1315">
          <cell r="A1315" t="str">
            <v>DenmarkSTATE, FOREIGN, LOCAL TAXES</v>
          </cell>
          <cell r="B1315">
            <v>37300.660000000003</v>
          </cell>
          <cell r="C1315">
            <v>37300.660000000003</v>
          </cell>
          <cell r="D1315">
            <v>40602.36</v>
          </cell>
          <cell r="E1315">
            <v>257341.31</v>
          </cell>
          <cell r="F1315">
            <v>372544.99</v>
          </cell>
          <cell r="G1315">
            <v>0</v>
          </cell>
          <cell r="H1315">
            <v>0</v>
          </cell>
          <cell r="I1315">
            <v>0</v>
          </cell>
          <cell r="J1315">
            <v>0</v>
          </cell>
          <cell r="K1315">
            <v>0</v>
          </cell>
          <cell r="L1315">
            <v>167342.69</v>
          </cell>
          <cell r="M1315">
            <v>0</v>
          </cell>
          <cell r="N1315">
            <v>0</v>
          </cell>
          <cell r="O1315">
            <v>0</v>
          </cell>
        </row>
        <row r="1316">
          <cell r="A1316" t="str">
            <v>DenmarkS/L TAX - INSURANCE PREMIUMS</v>
          </cell>
          <cell r="B1316">
            <v>0</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row>
        <row r="1317">
          <cell r="A1317" t="str">
            <v>DenmarkSATELLITE LEASE EXPENSE</v>
          </cell>
          <cell r="B1317">
            <v>0</v>
          </cell>
          <cell r="C1317">
            <v>0</v>
          </cell>
          <cell r="D1317">
            <v>0</v>
          </cell>
          <cell r="E1317">
            <v>0</v>
          </cell>
          <cell r="F1317">
            <v>0</v>
          </cell>
          <cell r="G1317">
            <v>0</v>
          </cell>
          <cell r="H1317">
            <v>0</v>
          </cell>
          <cell r="I1317">
            <v>0</v>
          </cell>
          <cell r="J1317">
            <v>0</v>
          </cell>
          <cell r="K1317">
            <v>0</v>
          </cell>
          <cell r="L1317">
            <v>0</v>
          </cell>
          <cell r="M1317">
            <v>0</v>
          </cell>
          <cell r="N1317">
            <v>0</v>
          </cell>
          <cell r="O1317">
            <v>0</v>
          </cell>
        </row>
        <row r="1318">
          <cell r="A1318" t="str">
            <v>DenmarkBUSINESS SHARE EXPENSE</v>
          </cell>
          <cell r="B1318">
            <v>0</v>
          </cell>
          <cell r="C1318">
            <v>0</v>
          </cell>
          <cell r="D1318">
            <v>0</v>
          </cell>
          <cell r="E1318">
            <v>0</v>
          </cell>
          <cell r="F1318">
            <v>0</v>
          </cell>
          <cell r="G1318">
            <v>0</v>
          </cell>
          <cell r="H1318">
            <v>0</v>
          </cell>
          <cell r="I1318">
            <v>0</v>
          </cell>
          <cell r="J1318">
            <v>0</v>
          </cell>
          <cell r="K1318">
            <v>0</v>
          </cell>
          <cell r="L1318">
            <v>0</v>
          </cell>
          <cell r="M1318">
            <v>0</v>
          </cell>
          <cell r="N1318">
            <v>0</v>
          </cell>
          <cell r="O1318">
            <v>0</v>
          </cell>
        </row>
        <row r="1319">
          <cell r="A1319" t="str">
            <v>DenmarkINSURANCE AFFILIATE EXPENSE</v>
          </cell>
          <cell r="B1319">
            <v>0</v>
          </cell>
          <cell r="C1319">
            <v>0</v>
          </cell>
          <cell r="D1319">
            <v>0</v>
          </cell>
          <cell r="E1319">
            <v>0</v>
          </cell>
          <cell r="F1319">
            <v>0</v>
          </cell>
          <cell r="G1319">
            <v>0</v>
          </cell>
          <cell r="H1319">
            <v>0</v>
          </cell>
          <cell r="I1319">
            <v>0</v>
          </cell>
          <cell r="J1319">
            <v>0</v>
          </cell>
          <cell r="K1319">
            <v>0</v>
          </cell>
          <cell r="L1319">
            <v>0</v>
          </cell>
          <cell r="M1319">
            <v>0</v>
          </cell>
          <cell r="N1319">
            <v>0</v>
          </cell>
          <cell r="O1319">
            <v>0</v>
          </cell>
        </row>
        <row r="1320">
          <cell r="A1320" t="str">
            <v>DenmarkOTHER FACILITY EXPENSE</v>
          </cell>
          <cell r="B1320">
            <v>70503.97</v>
          </cell>
          <cell r="C1320">
            <v>70491.460000000006</v>
          </cell>
          <cell r="D1320">
            <v>120739.5</v>
          </cell>
          <cell r="E1320">
            <v>148240.56</v>
          </cell>
          <cell r="F1320">
            <v>409975.49</v>
          </cell>
          <cell r="G1320">
            <v>174398.4</v>
          </cell>
          <cell r="H1320">
            <v>174398.4</v>
          </cell>
          <cell r="I1320">
            <v>62798.400000000001</v>
          </cell>
          <cell r="J1320">
            <v>62798.400000000001</v>
          </cell>
          <cell r="K1320">
            <v>474393.59999999998</v>
          </cell>
          <cell r="L1320">
            <v>160507.38</v>
          </cell>
          <cell r="M1320">
            <v>280814.40000000002</v>
          </cell>
          <cell r="N1320">
            <v>0</v>
          </cell>
          <cell r="O1320">
            <v>0</v>
          </cell>
        </row>
        <row r="1321">
          <cell r="A1321" t="str">
            <v>DenmarkGROSS OP &amp; ADMIN BUS SHARE</v>
          </cell>
          <cell r="B1321">
            <v>0</v>
          </cell>
          <cell r="C1321">
            <v>0</v>
          </cell>
          <cell r="D1321">
            <v>0</v>
          </cell>
          <cell r="E1321">
            <v>0</v>
          </cell>
          <cell r="F1321">
            <v>0</v>
          </cell>
          <cell r="G1321">
            <v>0</v>
          </cell>
          <cell r="H1321">
            <v>0</v>
          </cell>
          <cell r="I1321">
            <v>0</v>
          </cell>
          <cell r="J1321">
            <v>0</v>
          </cell>
          <cell r="K1321">
            <v>0</v>
          </cell>
          <cell r="L1321">
            <v>0</v>
          </cell>
          <cell r="M1321">
            <v>0</v>
          </cell>
          <cell r="N1321">
            <v>0</v>
          </cell>
          <cell r="O1321">
            <v>0</v>
          </cell>
        </row>
        <row r="1322">
          <cell r="A1322" t="str">
            <v>DenmarkOTHER EXPENSE</v>
          </cell>
          <cell r="B1322">
            <v>-47997.49</v>
          </cell>
          <cell r="C1322">
            <v>-7869.61</v>
          </cell>
          <cell r="D1322">
            <v>557106.42000000004</v>
          </cell>
          <cell r="E1322">
            <v>3950710.4</v>
          </cell>
          <cell r="F1322">
            <v>4451949.72</v>
          </cell>
          <cell r="G1322">
            <v>250526.4</v>
          </cell>
          <cell r="H1322">
            <v>950701.2</v>
          </cell>
          <cell r="I1322">
            <v>213901.2</v>
          </cell>
          <cell r="J1322">
            <v>831901.2</v>
          </cell>
          <cell r="K1322">
            <v>2247030</v>
          </cell>
          <cell r="L1322">
            <v>273884.93</v>
          </cell>
          <cell r="M1322">
            <v>-2157206.52</v>
          </cell>
          <cell r="N1322">
            <v>5732068.0056119999</v>
          </cell>
          <cell r="O1322">
            <v>6096139.0598999998</v>
          </cell>
        </row>
        <row r="1323">
          <cell r="A1323" t="str">
            <v>DenmarkGECC INTERCO EXPENSES EXCL GECIS</v>
          </cell>
          <cell r="B1323">
            <v>0</v>
          </cell>
          <cell r="C1323">
            <v>0</v>
          </cell>
          <cell r="D1323">
            <v>0</v>
          </cell>
          <cell r="E1323">
            <v>0</v>
          </cell>
          <cell r="F1323">
            <v>0</v>
          </cell>
          <cell r="G1323">
            <v>0</v>
          </cell>
          <cell r="H1323">
            <v>0</v>
          </cell>
          <cell r="I1323">
            <v>0</v>
          </cell>
          <cell r="J1323">
            <v>0</v>
          </cell>
          <cell r="K1323">
            <v>0</v>
          </cell>
          <cell r="L1323">
            <v>-150.26</v>
          </cell>
          <cell r="M1323">
            <v>0</v>
          </cell>
          <cell r="N1323">
            <v>0</v>
          </cell>
          <cell r="O1323">
            <v>0</v>
          </cell>
        </row>
        <row r="1324">
          <cell r="A1324" t="str">
            <v>DenmarkGECIS INTERCO CHARGES</v>
          </cell>
          <cell r="B1324">
            <v>0</v>
          </cell>
          <cell r="C1324">
            <v>0</v>
          </cell>
          <cell r="D1324">
            <v>0</v>
          </cell>
          <cell r="E1324">
            <v>0</v>
          </cell>
          <cell r="F1324">
            <v>0</v>
          </cell>
          <cell r="G1324">
            <v>0</v>
          </cell>
          <cell r="H1324">
            <v>0</v>
          </cell>
          <cell r="I1324">
            <v>0</v>
          </cell>
          <cell r="J1324">
            <v>0</v>
          </cell>
          <cell r="K1324">
            <v>0</v>
          </cell>
          <cell r="L1324">
            <v>0</v>
          </cell>
          <cell r="M1324">
            <v>0</v>
          </cell>
          <cell r="N1324">
            <v>0</v>
          </cell>
          <cell r="O1324">
            <v>0</v>
          </cell>
        </row>
        <row r="1325">
          <cell r="A1325" t="str">
            <v>DenmarkLOSS ADJUSTED EXPENSE</v>
          </cell>
          <cell r="B1325">
            <v>0</v>
          </cell>
          <cell r="C1325">
            <v>0</v>
          </cell>
          <cell r="D1325">
            <v>0</v>
          </cell>
          <cell r="E1325">
            <v>0</v>
          </cell>
          <cell r="F1325">
            <v>0</v>
          </cell>
          <cell r="G1325">
            <v>0</v>
          </cell>
          <cell r="H1325">
            <v>0</v>
          </cell>
          <cell r="I1325">
            <v>0</v>
          </cell>
          <cell r="J1325">
            <v>0</v>
          </cell>
          <cell r="K1325">
            <v>0</v>
          </cell>
          <cell r="L1325">
            <v>0</v>
          </cell>
          <cell r="M1325">
            <v>0</v>
          </cell>
          <cell r="N1325">
            <v>0</v>
          </cell>
          <cell r="O1325">
            <v>0</v>
          </cell>
        </row>
        <row r="1326">
          <cell r="A1326" t="str">
            <v>DenmarkALL OTHER EXPENSES</v>
          </cell>
          <cell r="B1326">
            <v>0</v>
          </cell>
          <cell r="C1326">
            <v>-0.01</v>
          </cell>
          <cell r="D1326">
            <v>0.04</v>
          </cell>
          <cell r="E1326">
            <v>-0.03</v>
          </cell>
          <cell r="F1326">
            <v>0</v>
          </cell>
          <cell r="G1326">
            <v>0</v>
          </cell>
          <cell r="H1326">
            <v>0</v>
          </cell>
          <cell r="I1326">
            <v>0</v>
          </cell>
          <cell r="J1326">
            <v>0</v>
          </cell>
          <cell r="K1326">
            <v>0</v>
          </cell>
          <cell r="L1326">
            <v>-0.01</v>
          </cell>
          <cell r="M1326">
            <v>0</v>
          </cell>
          <cell r="N1326">
            <v>0</v>
          </cell>
          <cell r="O1326">
            <v>0</v>
          </cell>
        </row>
        <row r="1327">
          <cell r="A1327" t="str">
            <v>DenmarkASSESSMENTS</v>
          </cell>
          <cell r="B1327">
            <v>337090.46</v>
          </cell>
          <cell r="C1327">
            <v>299500.34000000003</v>
          </cell>
          <cell r="D1327">
            <v>382756.36</v>
          </cell>
          <cell r="E1327">
            <v>-1830856.2</v>
          </cell>
          <cell r="F1327">
            <v>-811509.04</v>
          </cell>
          <cell r="G1327">
            <v>548945.28</v>
          </cell>
          <cell r="H1327">
            <v>748945.28</v>
          </cell>
          <cell r="I1327">
            <v>548945.28</v>
          </cell>
          <cell r="J1327">
            <v>573137.28</v>
          </cell>
          <cell r="K1327">
            <v>2419973.1200000001</v>
          </cell>
          <cell r="L1327">
            <v>242258.18</v>
          </cell>
          <cell r="M1327">
            <v>1744847.88</v>
          </cell>
          <cell r="N1327">
            <v>2222481.2224900001</v>
          </cell>
          <cell r="O1327">
            <v>2593083.2951409998</v>
          </cell>
        </row>
        <row r="1328">
          <cell r="A1328" t="str">
            <v>DenmarkFAS 91</v>
          </cell>
          <cell r="B1328">
            <v>-411531.54</v>
          </cell>
          <cell r="C1328">
            <v>-355644.28</v>
          </cell>
          <cell r="D1328">
            <v>-245758.07999999999</v>
          </cell>
          <cell r="E1328">
            <v>-442495.96</v>
          </cell>
          <cell r="F1328">
            <v>-1455429.86</v>
          </cell>
          <cell r="G1328">
            <v>-360973.2</v>
          </cell>
          <cell r="H1328">
            <v>-396690</v>
          </cell>
          <cell r="I1328">
            <v>-381210</v>
          </cell>
          <cell r="J1328">
            <v>-402943.2</v>
          </cell>
          <cell r="K1328">
            <v>-1541816.4</v>
          </cell>
          <cell r="L1328">
            <v>-135984.57</v>
          </cell>
          <cell r="M1328">
            <v>0</v>
          </cell>
          <cell r="N1328">
            <v>-2149556.7809310001</v>
          </cell>
          <cell r="O1328">
            <v>-2364512.459024</v>
          </cell>
        </row>
        <row r="1329">
          <cell r="A1329" t="str">
            <v>DenmarkGOODWILL AMORTIZATION</v>
          </cell>
          <cell r="B1329">
            <v>394546.6</v>
          </cell>
          <cell r="C1329">
            <v>391376.25</v>
          </cell>
          <cell r="D1329">
            <v>556649.52</v>
          </cell>
          <cell r="E1329">
            <v>820370.22</v>
          </cell>
          <cell r="F1329">
            <v>2162942.59</v>
          </cell>
          <cell r="G1329">
            <v>0</v>
          </cell>
          <cell r="H1329">
            <v>0</v>
          </cell>
          <cell r="I1329">
            <v>0</v>
          </cell>
          <cell r="J1329">
            <v>0</v>
          </cell>
          <cell r="K1329">
            <v>0</v>
          </cell>
          <cell r="L1329">
            <v>0</v>
          </cell>
          <cell r="M1329">
            <v>1554854.4</v>
          </cell>
          <cell r="N1329">
            <v>1555200</v>
          </cell>
          <cell r="O1329">
            <v>1555200</v>
          </cell>
        </row>
        <row r="1330">
          <cell r="A1330" t="str">
            <v>DenmarkDEPRECIATION EXPENSE</v>
          </cell>
          <cell r="B1330">
            <v>157068.51999999999</v>
          </cell>
          <cell r="C1330">
            <v>88284.15</v>
          </cell>
          <cell r="D1330">
            <v>136829.96</v>
          </cell>
          <cell r="E1330">
            <v>351157.89</v>
          </cell>
          <cell r="F1330">
            <v>733340.52</v>
          </cell>
          <cell r="G1330">
            <v>435528</v>
          </cell>
          <cell r="H1330">
            <v>608060.4</v>
          </cell>
          <cell r="I1330">
            <v>768735.6</v>
          </cell>
          <cell r="J1330">
            <v>823662</v>
          </cell>
          <cell r="K1330">
            <v>2635986</v>
          </cell>
          <cell r="L1330">
            <v>602260.65</v>
          </cell>
          <cell r="M1330">
            <v>749649.6</v>
          </cell>
          <cell r="N1330">
            <v>0</v>
          </cell>
          <cell r="O1330">
            <v>0</v>
          </cell>
        </row>
        <row r="1331">
          <cell r="A1331" t="str">
            <v>DenmarkELTO AMORTIZATION</v>
          </cell>
          <cell r="B1331">
            <v>0</v>
          </cell>
          <cell r="C1331">
            <v>0</v>
          </cell>
          <cell r="D1331">
            <v>0</v>
          </cell>
          <cell r="E1331">
            <v>0</v>
          </cell>
          <cell r="F1331">
            <v>0</v>
          </cell>
          <cell r="G1331">
            <v>0</v>
          </cell>
          <cell r="H1331">
            <v>0</v>
          </cell>
          <cell r="I1331">
            <v>0</v>
          </cell>
          <cell r="J1331">
            <v>0</v>
          </cell>
          <cell r="K1331">
            <v>0</v>
          </cell>
          <cell r="L1331">
            <v>0</v>
          </cell>
          <cell r="M1331">
            <v>0</v>
          </cell>
          <cell r="N1331">
            <v>0</v>
          </cell>
          <cell r="O1331">
            <v>0</v>
          </cell>
        </row>
        <row r="1332">
          <cell r="A1332" t="str">
            <v>DenmarkINSURANCE LOSSES AND BENEFITS</v>
          </cell>
          <cell r="B1332">
            <v>0</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row>
        <row r="1333">
          <cell r="A1333" t="str">
            <v>DenmarkWRITE OFFS</v>
          </cell>
          <cell r="B1333">
            <v>3805060.98</v>
          </cell>
          <cell r="C1333">
            <v>5469301.8499999996</v>
          </cell>
          <cell r="D1333">
            <v>6225187.3300000001</v>
          </cell>
          <cell r="E1333">
            <v>8016910.75</v>
          </cell>
          <cell r="F1333">
            <v>23516460.91</v>
          </cell>
          <cell r="G1333">
            <v>4501407.5999999996</v>
          </cell>
          <cell r="H1333">
            <v>5399784</v>
          </cell>
          <cell r="I1333">
            <v>5425658.4000000004</v>
          </cell>
          <cell r="J1333">
            <v>-18502.8</v>
          </cell>
          <cell r="K1333">
            <v>15308347.199999999</v>
          </cell>
          <cell r="L1333">
            <v>4014047.82</v>
          </cell>
          <cell r="M1333">
            <v>11799612</v>
          </cell>
          <cell r="N1333">
            <v>13289798.24769</v>
          </cell>
          <cell r="O1333">
            <v>16461928.263214</v>
          </cell>
        </row>
        <row r="1334">
          <cell r="A1334" t="str">
            <v>DenmarkRESERVE CHANGE</v>
          </cell>
          <cell r="B1334">
            <v>0</v>
          </cell>
          <cell r="C1334">
            <v>0</v>
          </cell>
          <cell r="D1334">
            <v>0</v>
          </cell>
          <cell r="E1334">
            <v>0</v>
          </cell>
          <cell r="F1334">
            <v>0</v>
          </cell>
          <cell r="G1334">
            <v>0</v>
          </cell>
          <cell r="H1334">
            <v>0</v>
          </cell>
          <cell r="I1334">
            <v>0</v>
          </cell>
          <cell r="J1334">
            <v>0</v>
          </cell>
          <cell r="K1334">
            <v>0</v>
          </cell>
          <cell r="L1334">
            <v>0</v>
          </cell>
          <cell r="M1334">
            <v>0</v>
          </cell>
          <cell r="N1334">
            <v>0</v>
          </cell>
          <cell r="O1334">
            <v>0</v>
          </cell>
        </row>
        <row r="1335">
          <cell r="A1335" t="str">
            <v>DenmarkMINORITY INTEREST</v>
          </cell>
          <cell r="B1335">
            <v>0</v>
          </cell>
          <cell r="C1335">
            <v>0</v>
          </cell>
          <cell r="D1335">
            <v>0</v>
          </cell>
          <cell r="E1335">
            <v>0</v>
          </cell>
          <cell r="F1335">
            <v>0</v>
          </cell>
          <cell r="G1335">
            <v>0</v>
          </cell>
          <cell r="H1335">
            <v>0</v>
          </cell>
          <cell r="I1335">
            <v>0</v>
          </cell>
          <cell r="J1335">
            <v>0</v>
          </cell>
          <cell r="K1335">
            <v>0</v>
          </cell>
          <cell r="L1335">
            <v>0</v>
          </cell>
          <cell r="M1335">
            <v>0</v>
          </cell>
          <cell r="N1335">
            <v>0</v>
          </cell>
          <cell r="O1335">
            <v>0</v>
          </cell>
        </row>
        <row r="1336">
          <cell r="A1336" t="str">
            <v>DenmarkINCOME TAXES</v>
          </cell>
          <cell r="B1336">
            <v>-346521.02</v>
          </cell>
          <cell r="C1336">
            <v>-257338.49</v>
          </cell>
          <cell r="D1336">
            <v>147326.99</v>
          </cell>
          <cell r="E1336">
            <v>387509.69</v>
          </cell>
          <cell r="F1336">
            <v>-69022.83</v>
          </cell>
          <cell r="G1336">
            <v>927436.110078</v>
          </cell>
          <cell r="H1336">
            <v>198388.800189</v>
          </cell>
          <cell r="I1336">
            <v>639366.44810399995</v>
          </cell>
          <cell r="J1336">
            <v>2226151.5738860001</v>
          </cell>
          <cell r="K1336">
            <v>3991342.9322580001</v>
          </cell>
          <cell r="L1336">
            <v>513994.44</v>
          </cell>
          <cell r="M1336">
            <v>3545694.8679300002</v>
          </cell>
          <cell r="N1336">
            <v>5336716.3155420003</v>
          </cell>
          <cell r="O1336">
            <v>7502540.4058499997</v>
          </cell>
        </row>
        <row r="1337">
          <cell r="A1337" t="str">
            <v>DenmarkCUMULATIVE TRANSITION ADJUSTMENT</v>
          </cell>
          <cell r="B1337">
            <v>0</v>
          </cell>
          <cell r="C1337">
            <v>0</v>
          </cell>
          <cell r="D1337">
            <v>0</v>
          </cell>
          <cell r="E1337">
            <v>0</v>
          </cell>
          <cell r="F1337">
            <v>0</v>
          </cell>
          <cell r="G1337">
            <v>0</v>
          </cell>
          <cell r="H1337">
            <v>0</v>
          </cell>
          <cell r="I1337">
            <v>0</v>
          </cell>
          <cell r="J1337">
            <v>0</v>
          </cell>
          <cell r="K1337">
            <v>0</v>
          </cell>
          <cell r="L1337">
            <v>0</v>
          </cell>
          <cell r="M1337">
            <v>0</v>
          </cell>
          <cell r="N1337">
            <v>0</v>
          </cell>
          <cell r="O1337">
            <v>0</v>
          </cell>
        </row>
        <row r="1338">
          <cell r="A1338" t="str">
            <v>DenmarkASIA PACIFIC NI DIVIDEND</v>
          </cell>
          <cell r="B1338">
            <v>0</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row>
        <row r="1339">
          <cell r="A1339" t="str">
            <v>DenmarkNet Income</v>
          </cell>
          <cell r="B1339">
            <v>-2338735.9700000002</v>
          </cell>
          <cell r="C1339">
            <v>-473005.13</v>
          </cell>
          <cell r="D1339">
            <v>-1036885.47</v>
          </cell>
          <cell r="E1339">
            <v>1874024.63</v>
          </cell>
          <cell r="F1339">
            <v>-1974601.94</v>
          </cell>
          <cell r="G1339">
            <v>-3458731.2189079998</v>
          </cell>
          <cell r="H1339">
            <v>-2133347.7253310001</v>
          </cell>
          <cell r="I1339">
            <v>-2978662.3530509998</v>
          </cell>
          <cell r="J1339">
            <v>-5950411.7776119998</v>
          </cell>
          <cell r="K1339">
            <v>-14521153.074902</v>
          </cell>
          <cell r="L1339">
            <v>-3831587.52</v>
          </cell>
          <cell r="M1339">
            <v>-12382691.03207</v>
          </cell>
          <cell r="N1339">
            <v>-16511713.609705999</v>
          </cell>
          <cell r="O1339">
            <v>-21365436.252911001</v>
          </cell>
        </row>
        <row r="1340">
          <cell r="A1340" t="str">
            <v>DenmarkSubPart F</v>
          </cell>
          <cell r="B1340">
            <v>1066000</v>
          </cell>
          <cell r="C1340">
            <v>349000</v>
          </cell>
          <cell r="D1340">
            <v>-690514.40500000003</v>
          </cell>
          <cell r="E1340">
            <v>84115.005000000005</v>
          </cell>
          <cell r="F1340">
            <v>808600.6</v>
          </cell>
          <cell r="G1340">
            <v>642892.38151500002</v>
          </cell>
          <cell r="H1340">
            <v>651905.73270299996</v>
          </cell>
          <cell r="I1340">
            <v>661045.451076</v>
          </cell>
          <cell r="J1340">
            <v>670313.30830000003</v>
          </cell>
          <cell r="K1340">
            <v>2626156.873594</v>
          </cell>
          <cell r="L1340">
            <v>843000</v>
          </cell>
          <cell r="M1340">
            <v>2061102.1320700001</v>
          </cell>
          <cell r="N1340">
            <v>2353931.0181450001</v>
          </cell>
          <cell r="O1340">
            <v>2658987.3780339998</v>
          </cell>
        </row>
        <row r="1341">
          <cell r="A1341" t="str">
            <v>DenmarkAssets</v>
          </cell>
          <cell r="B1341">
            <v>524176189.50999999</v>
          </cell>
          <cell r="C1341">
            <v>490328997.19999999</v>
          </cell>
          <cell r="D1341">
            <v>713036670.41999996</v>
          </cell>
          <cell r="E1341">
            <v>703762378.71000004</v>
          </cell>
          <cell r="F1341">
            <v>703762378.71000004</v>
          </cell>
          <cell r="G1341">
            <v>664015937.26999998</v>
          </cell>
          <cell r="H1341">
            <v>654599605.39999998</v>
          </cell>
          <cell r="I1341">
            <v>645463380.79999995</v>
          </cell>
          <cell r="J1341">
            <v>640454332</v>
          </cell>
          <cell r="K1341">
            <v>640454332</v>
          </cell>
          <cell r="L1341">
            <v>693856258.47000003</v>
          </cell>
          <cell r="M1341">
            <v>517596773.70999998</v>
          </cell>
          <cell r="N1341">
            <v>590622999.47966099</v>
          </cell>
          <cell r="O1341">
            <v>699245314.16512895</v>
          </cell>
        </row>
        <row r="1342">
          <cell r="A1342" t="str">
            <v>DenmarkEnding Net Investment (ENI) incl Asia</v>
          </cell>
          <cell r="B1342">
            <v>476449150.82999998</v>
          </cell>
          <cell r="C1342">
            <v>444441676.82999998</v>
          </cell>
          <cell r="D1342">
            <v>663192917.22000003</v>
          </cell>
          <cell r="E1342">
            <v>643779401.94000006</v>
          </cell>
          <cell r="F1342">
            <v>643779401.94000006</v>
          </cell>
          <cell r="G1342">
            <v>628997858.08000004</v>
          </cell>
          <cell r="H1342">
            <v>618628118.90999997</v>
          </cell>
          <cell r="I1342">
            <v>619272843.65999997</v>
          </cell>
          <cell r="J1342">
            <v>611441481.53999996</v>
          </cell>
          <cell r="K1342">
            <v>611441481.53999996</v>
          </cell>
          <cell r="L1342">
            <v>637352260.29999995</v>
          </cell>
          <cell r="M1342">
            <v>517915703.81999999</v>
          </cell>
          <cell r="N1342">
            <v>575671008.45514905</v>
          </cell>
          <cell r="O1342">
            <v>679091351.21010494</v>
          </cell>
        </row>
        <row r="1343">
          <cell r="A1343" t="str">
            <v>DenmarkANR YTD</v>
          </cell>
          <cell r="B1343">
            <v>476909467.26499999</v>
          </cell>
          <cell r="C1343">
            <v>467813993.88999999</v>
          </cell>
          <cell r="D1343">
            <v>517234649.255</v>
          </cell>
          <cell r="E1343">
            <v>538805648.36399996</v>
          </cell>
          <cell r="F1343">
            <v>538805648.36399996</v>
          </cell>
          <cell r="G1343">
            <v>616448078</v>
          </cell>
          <cell r="H1343">
            <v>610388622.53333294</v>
          </cell>
          <cell r="I1343">
            <v>605034858.39999998</v>
          </cell>
          <cell r="J1343">
            <v>600832653.20000005</v>
          </cell>
          <cell r="K1343">
            <v>600832653.20000005</v>
          </cell>
          <cell r="L1343">
            <v>619481813.52999997</v>
          </cell>
          <cell r="M1343">
            <v>198948753.75540501</v>
          </cell>
          <cell r="N1343">
            <v>222453536.93592</v>
          </cell>
          <cell r="O1343">
            <v>262121693.715956</v>
          </cell>
        </row>
        <row r="1344">
          <cell r="A1344" t="str">
            <v>DenmarkASA YTD</v>
          </cell>
          <cell r="B1344">
            <v>476909467.26499999</v>
          </cell>
          <cell r="C1344">
            <v>467813993.88999999</v>
          </cell>
          <cell r="D1344">
            <v>517234649.255</v>
          </cell>
          <cell r="E1344">
            <v>538805648.36399996</v>
          </cell>
          <cell r="F1344">
            <v>538805648.36399996</v>
          </cell>
          <cell r="G1344">
            <v>616448078</v>
          </cell>
          <cell r="H1344">
            <v>610388622.53333294</v>
          </cell>
          <cell r="I1344">
            <v>605034858.39999998</v>
          </cell>
          <cell r="J1344">
            <v>600832653.20000005</v>
          </cell>
          <cell r="K1344">
            <v>600832653.20000005</v>
          </cell>
          <cell r="L1344">
            <v>619481813.52999997</v>
          </cell>
          <cell r="M1344">
            <v>198948753.75540501</v>
          </cell>
          <cell r="N1344">
            <v>222453536.93592</v>
          </cell>
          <cell r="O1344">
            <v>262121693.715956</v>
          </cell>
        </row>
        <row r="1345">
          <cell r="A1345" t="str">
            <v>DenmarkANI YTD incl Asia - 5 pt</v>
          </cell>
          <cell r="B1345">
            <v>484731024.06</v>
          </cell>
          <cell r="C1345">
            <v>471301241.64999998</v>
          </cell>
          <cell r="D1345">
            <v>519274160.54250002</v>
          </cell>
          <cell r="E1345">
            <v>544175208.82200003</v>
          </cell>
          <cell r="F1345">
            <v>544175208.82200003</v>
          </cell>
          <cell r="G1345">
            <v>636388630.00999999</v>
          </cell>
          <cell r="H1345">
            <v>630468459.64333296</v>
          </cell>
          <cell r="I1345">
            <v>627669555.64750004</v>
          </cell>
          <cell r="J1345">
            <v>624423940.82599998</v>
          </cell>
          <cell r="K1345">
            <v>624423940.82599998</v>
          </cell>
          <cell r="L1345">
            <v>640565831.12</v>
          </cell>
          <cell r="M1345">
            <v>200569575.561405</v>
          </cell>
          <cell r="N1345">
            <v>218717342.45502999</v>
          </cell>
          <cell r="O1345">
            <v>250952471.93305099</v>
          </cell>
        </row>
        <row r="1346">
          <cell r="A1346" t="str">
            <v>DenmarkOff Balance Sheet Assets</v>
          </cell>
          <cell r="B1346">
            <v>0</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row>
        <row r="1347">
          <cell r="A1347" t="str">
            <v>DenmarkJV Receivables</v>
          </cell>
          <cell r="B1347">
            <v>0</v>
          </cell>
          <cell r="C1347">
            <v>0</v>
          </cell>
          <cell r="D1347">
            <v>0</v>
          </cell>
          <cell r="E1347">
            <v>0</v>
          </cell>
          <cell r="F1347">
            <v>0</v>
          </cell>
          <cell r="G1347">
            <v>0</v>
          </cell>
          <cell r="H1347">
            <v>0</v>
          </cell>
          <cell r="I1347">
            <v>0</v>
          </cell>
          <cell r="J1347">
            <v>0</v>
          </cell>
          <cell r="K1347">
            <v>0</v>
          </cell>
          <cell r="L1347">
            <v>0</v>
          </cell>
          <cell r="M1347">
            <v>0</v>
          </cell>
          <cell r="N1347">
            <v>0</v>
          </cell>
          <cell r="O1347">
            <v>0</v>
          </cell>
        </row>
        <row r="1348">
          <cell r="A1348" t="str">
            <v>Denmark30+ DELINQUENCY $</v>
          </cell>
          <cell r="B1348">
            <v>17098.8</v>
          </cell>
          <cell r="C1348">
            <v>17326.57</v>
          </cell>
          <cell r="D1348">
            <v>20264.740000000002</v>
          </cell>
          <cell r="E1348">
            <v>38357158</v>
          </cell>
          <cell r="F1348">
            <v>38357158</v>
          </cell>
          <cell r="G1348">
            <v>37525798</v>
          </cell>
          <cell r="H1348">
            <v>37205417</v>
          </cell>
          <cell r="I1348">
            <v>37092241</v>
          </cell>
          <cell r="J1348">
            <v>37482206</v>
          </cell>
          <cell r="K1348">
            <v>37482206</v>
          </cell>
          <cell r="L1348">
            <v>14026364.869999999</v>
          </cell>
          <cell r="M1348">
            <v>16408219.557686999</v>
          </cell>
          <cell r="N1348">
            <v>18977403.855145998</v>
          </cell>
          <cell r="O1348">
            <v>23127560.750135001</v>
          </cell>
        </row>
        <row r="1349">
          <cell r="A1349" t="str">
            <v>Denmark90+ DELINQUENCY $</v>
          </cell>
          <cell r="B1349">
            <v>10847.16</v>
          </cell>
          <cell r="C1349">
            <v>12371.92</v>
          </cell>
          <cell r="D1349">
            <v>6511.34</v>
          </cell>
          <cell r="E1349">
            <v>14245960</v>
          </cell>
          <cell r="F1349">
            <v>14245960</v>
          </cell>
          <cell r="G1349">
            <v>14065034</v>
          </cell>
          <cell r="H1349">
            <v>14199819</v>
          </cell>
          <cell r="I1349">
            <v>14257487</v>
          </cell>
          <cell r="J1349">
            <v>14306635</v>
          </cell>
          <cell r="K1349">
            <v>14306635</v>
          </cell>
          <cell r="L1349">
            <v>7376390.2300000004</v>
          </cell>
          <cell r="M1349">
            <v>10784592.293945</v>
          </cell>
          <cell r="N1349">
            <v>12606660.858902</v>
          </cell>
          <cell r="O1349">
            <v>15318912.938635999</v>
          </cell>
        </row>
        <row r="1350">
          <cell r="A1350" t="str">
            <v>DenmarkTemporary Staff</v>
          </cell>
          <cell r="B1350">
            <v>0</v>
          </cell>
          <cell r="C1350">
            <v>4</v>
          </cell>
          <cell r="D1350">
            <v>4</v>
          </cell>
          <cell r="E1350">
            <v>4</v>
          </cell>
          <cell r="F1350">
            <v>4</v>
          </cell>
          <cell r="G1350">
            <v>0</v>
          </cell>
          <cell r="H1350">
            <v>0</v>
          </cell>
          <cell r="I1350">
            <v>0</v>
          </cell>
          <cell r="J1350">
            <v>0</v>
          </cell>
          <cell r="K1350">
            <v>0</v>
          </cell>
          <cell r="L1350">
            <v>8</v>
          </cell>
          <cell r="M1350">
            <v>0</v>
          </cell>
          <cell r="N1350">
            <v>0</v>
          </cell>
          <cell r="O1350">
            <v>0</v>
          </cell>
        </row>
        <row r="1351">
          <cell r="A1351" t="str">
            <v>DenmarkContractors</v>
          </cell>
          <cell r="B1351">
            <v>0</v>
          </cell>
          <cell r="C1351">
            <v>0</v>
          </cell>
          <cell r="D1351">
            <v>0</v>
          </cell>
          <cell r="E1351">
            <v>0</v>
          </cell>
          <cell r="F1351">
            <v>0</v>
          </cell>
          <cell r="G1351">
            <v>4</v>
          </cell>
          <cell r="H1351">
            <v>4</v>
          </cell>
          <cell r="I1351">
            <v>4</v>
          </cell>
          <cell r="J1351">
            <v>4</v>
          </cell>
          <cell r="K1351">
            <v>4</v>
          </cell>
          <cell r="L1351">
            <v>1</v>
          </cell>
          <cell r="M1351">
            <v>4</v>
          </cell>
          <cell r="N1351">
            <v>4</v>
          </cell>
          <cell r="O1351">
            <v>4</v>
          </cell>
        </row>
        <row r="1352">
          <cell r="A1352" t="str">
            <v>DenmarkOutsourced to LCC</v>
          </cell>
          <cell r="B1352">
            <v>0</v>
          </cell>
          <cell r="C1352">
            <v>0</v>
          </cell>
          <cell r="D1352">
            <v>0</v>
          </cell>
          <cell r="E1352">
            <v>0</v>
          </cell>
          <cell r="F1352">
            <v>0</v>
          </cell>
          <cell r="G1352">
            <v>0</v>
          </cell>
          <cell r="H1352">
            <v>0</v>
          </cell>
          <cell r="I1352">
            <v>0</v>
          </cell>
          <cell r="J1352">
            <v>0</v>
          </cell>
          <cell r="K1352">
            <v>0</v>
          </cell>
          <cell r="L1352">
            <v>2</v>
          </cell>
          <cell r="M1352">
            <v>0</v>
          </cell>
          <cell r="N1352">
            <v>0</v>
          </cell>
          <cell r="O1352">
            <v>0</v>
          </cell>
        </row>
        <row r="1353">
          <cell r="A1353" t="str">
            <v>DenmarkTotal Headcount</v>
          </cell>
          <cell r="B1353">
            <v>105</v>
          </cell>
          <cell r="C1353">
            <v>103</v>
          </cell>
          <cell r="D1353">
            <v>244</v>
          </cell>
          <cell r="E1353">
            <v>209</v>
          </cell>
          <cell r="F1353">
            <v>209</v>
          </cell>
          <cell r="G1353">
            <v>206</v>
          </cell>
          <cell r="H1353">
            <v>206</v>
          </cell>
          <cell r="I1353">
            <v>176</v>
          </cell>
          <cell r="J1353">
            <v>176</v>
          </cell>
          <cell r="K1353">
            <v>176</v>
          </cell>
          <cell r="L1353">
            <v>195</v>
          </cell>
          <cell r="M1353">
            <v>118</v>
          </cell>
          <cell r="N1353">
            <v>125</v>
          </cell>
          <cell r="O1353">
            <v>130</v>
          </cell>
        </row>
        <row r="1354">
          <cell r="A1354" t="str">
            <v>DenmarkTotal Workforce</v>
          </cell>
          <cell r="B1354">
            <v>105</v>
          </cell>
          <cell r="C1354">
            <v>107</v>
          </cell>
          <cell r="D1354">
            <v>248</v>
          </cell>
          <cell r="E1354">
            <v>213</v>
          </cell>
          <cell r="F1354">
            <v>213</v>
          </cell>
          <cell r="G1354">
            <v>210</v>
          </cell>
          <cell r="H1354">
            <v>210</v>
          </cell>
          <cell r="I1354">
            <v>180</v>
          </cell>
          <cell r="J1354">
            <v>180</v>
          </cell>
          <cell r="K1354">
            <v>180</v>
          </cell>
          <cell r="L1354">
            <v>206</v>
          </cell>
          <cell r="M1354">
            <v>122</v>
          </cell>
          <cell r="N1354">
            <v>129</v>
          </cell>
          <cell r="O1354">
            <v>134</v>
          </cell>
        </row>
        <row r="1355">
          <cell r="A1355" t="str">
            <v>DenmarkTotal Earned Revenue</v>
          </cell>
          <cell r="B1355">
            <v>-15348638.529999999</v>
          </cell>
          <cell r="C1355">
            <v>-14719793.4</v>
          </cell>
          <cell r="D1355">
            <v>-20445888.350000001</v>
          </cell>
          <cell r="E1355">
            <v>-24038236.09</v>
          </cell>
          <cell r="F1355">
            <v>-74552556.370000005</v>
          </cell>
          <cell r="G1355">
            <v>-24158300.399999999</v>
          </cell>
          <cell r="H1355">
            <v>-23383106.399999999</v>
          </cell>
          <cell r="I1355">
            <v>-23259736.800000001</v>
          </cell>
          <cell r="J1355">
            <v>-23828656.800000001</v>
          </cell>
          <cell r="K1355">
            <v>-94629800.400000006</v>
          </cell>
          <cell r="L1355">
            <v>-23616550.890000001</v>
          </cell>
          <cell r="M1355">
            <v>-68891451.120000005</v>
          </cell>
          <cell r="N1355">
            <v>-81138059.301995993</v>
          </cell>
          <cell r="O1355">
            <v>-98424302.568461999</v>
          </cell>
        </row>
        <row r="1356">
          <cell r="A1356" t="str">
            <v>DenmarkOrdinary Gains - PreTax</v>
          </cell>
          <cell r="B1356">
            <v>0</v>
          </cell>
          <cell r="C1356">
            <v>0</v>
          </cell>
          <cell r="D1356">
            <v>0</v>
          </cell>
          <cell r="E1356">
            <v>0</v>
          </cell>
          <cell r="F1356">
            <v>0</v>
          </cell>
          <cell r="G1356">
            <v>0</v>
          </cell>
          <cell r="H1356">
            <v>0</v>
          </cell>
          <cell r="I1356">
            <v>0</v>
          </cell>
          <cell r="J1356">
            <v>0</v>
          </cell>
          <cell r="K1356">
            <v>0</v>
          </cell>
          <cell r="L1356">
            <v>0</v>
          </cell>
          <cell r="M1356">
            <v>0</v>
          </cell>
          <cell r="N1356">
            <v>0</v>
          </cell>
          <cell r="O1356">
            <v>0</v>
          </cell>
        </row>
        <row r="1357">
          <cell r="A1357" t="str">
            <v>DenmarkOrdinary Gains - AfterTax</v>
          </cell>
          <cell r="B1357">
            <v>0</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row>
        <row r="1358">
          <cell r="A1358" t="str">
            <v>DenmarkTotal Volume</v>
          </cell>
          <cell r="B1358">
            <v>59287563</v>
          </cell>
          <cell r="C1358">
            <v>53992094</v>
          </cell>
          <cell r="D1358">
            <v>49109420</v>
          </cell>
          <cell r="E1358">
            <v>100308999.81</v>
          </cell>
          <cell r="F1358">
            <v>262698076.81</v>
          </cell>
          <cell r="G1358">
            <v>66639375.600000001</v>
          </cell>
          <cell r="H1358">
            <v>70587648</v>
          </cell>
          <cell r="I1358">
            <v>71658703.200000003</v>
          </cell>
          <cell r="J1358">
            <v>83636740.799999997</v>
          </cell>
          <cell r="K1358">
            <v>292522467.60000002</v>
          </cell>
          <cell r="L1358">
            <v>72693230</v>
          </cell>
          <cell r="M1358">
            <v>297866999.53916103</v>
          </cell>
          <cell r="N1358">
            <v>354206771.72524601</v>
          </cell>
          <cell r="O1358">
            <v>431382681.43226701</v>
          </cell>
        </row>
        <row r="1359">
          <cell r="A1359" t="str">
            <v>DenmarkTOTAL # ACTIVE ACCOUNTS</v>
          </cell>
          <cell r="B1359">
            <v>101030.45</v>
          </cell>
          <cell r="C1359">
            <v>101495.19</v>
          </cell>
          <cell r="D1359">
            <v>100835.95</v>
          </cell>
          <cell r="E1359">
            <v>201861.75</v>
          </cell>
          <cell r="F1359">
            <v>201861.75</v>
          </cell>
          <cell r="G1359">
            <v>203920.095615</v>
          </cell>
          <cell r="H1359">
            <v>207813.90119800001</v>
          </cell>
          <cell r="I1359">
            <v>211901.81510899999</v>
          </cell>
          <cell r="J1359">
            <v>215578.80265699999</v>
          </cell>
          <cell r="K1359">
            <v>215578.80265699999</v>
          </cell>
          <cell r="L1359">
            <v>0</v>
          </cell>
          <cell r="M1359">
            <v>125651</v>
          </cell>
          <cell r="N1359">
            <v>151879</v>
          </cell>
          <cell r="O1359">
            <v>188226</v>
          </cell>
        </row>
        <row r="1360">
          <cell r="A1360" t="str">
            <v>DOMsTOTAL FINANCING RECEIVABLES</v>
          </cell>
          <cell r="B1360">
            <v>676565372.50999999</v>
          </cell>
          <cell r="C1360">
            <v>677436927.54999995</v>
          </cell>
          <cell r="D1360">
            <v>744024374.08000004</v>
          </cell>
          <cell r="E1360">
            <v>756815627.38999999</v>
          </cell>
          <cell r="F1360">
            <v>756815627.38999999</v>
          </cell>
          <cell r="G1360">
            <v>761580016</v>
          </cell>
          <cell r="H1360">
            <v>776957092</v>
          </cell>
          <cell r="I1360">
            <v>792339483</v>
          </cell>
          <cell r="J1360">
            <v>808846937</v>
          </cell>
          <cell r="K1360">
            <v>808846937</v>
          </cell>
          <cell r="L1360">
            <v>763357305.75999999</v>
          </cell>
          <cell r="M1360">
            <v>794609301.88576996</v>
          </cell>
          <cell r="N1360">
            <v>863811257.10214305</v>
          </cell>
          <cell r="O1360">
            <v>921634947.33497095</v>
          </cell>
        </row>
        <row r="1361">
          <cell r="A1361" t="str">
            <v>DOMsRECEIVABLE RESERVES</v>
          </cell>
          <cell r="B1361">
            <v>-28420059.469999999</v>
          </cell>
          <cell r="C1361">
            <v>-26761602.379999999</v>
          </cell>
          <cell r="D1361">
            <v>-29937847.27</v>
          </cell>
          <cell r="E1361">
            <v>-30849478.300000001</v>
          </cell>
          <cell r="F1361">
            <v>-30849478.300000001</v>
          </cell>
          <cell r="G1361">
            <v>-29954041</v>
          </cell>
          <cell r="H1361">
            <v>-30490441</v>
          </cell>
          <cell r="I1361">
            <v>-31028475</v>
          </cell>
          <cell r="J1361">
            <v>-32193792</v>
          </cell>
          <cell r="K1361">
            <v>-32193792</v>
          </cell>
          <cell r="L1361">
            <v>-29939809.969999999</v>
          </cell>
          <cell r="M1361">
            <v>-30694689.288456999</v>
          </cell>
          <cell r="N1361">
            <v>-32361933.082396001</v>
          </cell>
          <cell r="O1361">
            <v>-34512578.271810003</v>
          </cell>
        </row>
        <row r="1362">
          <cell r="A1362" t="str">
            <v>DOMsCASH</v>
          </cell>
          <cell r="B1362">
            <v>8590560.3499999996</v>
          </cell>
          <cell r="C1362">
            <v>6530102.9000000004</v>
          </cell>
          <cell r="D1362">
            <v>11421113.99</v>
          </cell>
          <cell r="E1362">
            <v>5219784.05</v>
          </cell>
          <cell r="F1362">
            <v>5219784.05</v>
          </cell>
          <cell r="G1362">
            <v>5285996</v>
          </cell>
          <cell r="H1362">
            <v>5370395</v>
          </cell>
          <cell r="I1362">
            <v>5465976</v>
          </cell>
          <cell r="J1362">
            <v>5529700</v>
          </cell>
          <cell r="K1362">
            <v>5529700</v>
          </cell>
          <cell r="L1362">
            <v>4547740.12</v>
          </cell>
          <cell r="M1362">
            <v>10075698.800612001</v>
          </cell>
          <cell r="N1362">
            <v>10782028.175534001</v>
          </cell>
          <cell r="O1362">
            <v>11246971.526114</v>
          </cell>
        </row>
        <row r="1363">
          <cell r="A1363" t="str">
            <v>DOMsINVESTMENT SECURITIES</v>
          </cell>
          <cell r="B1363">
            <v>0</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row>
        <row r="1364">
          <cell r="A1364" t="str">
            <v>DOMsINV IN NON CONSOL AFFILIATES</v>
          </cell>
          <cell r="B1364">
            <v>70422.2</v>
          </cell>
          <cell r="C1364">
            <v>43516.37</v>
          </cell>
          <cell r="D1364">
            <v>0</v>
          </cell>
          <cell r="E1364">
            <v>9632.0300000000007</v>
          </cell>
          <cell r="F1364">
            <v>9632.0300000000007</v>
          </cell>
          <cell r="G1364">
            <v>0</v>
          </cell>
          <cell r="H1364">
            <v>0</v>
          </cell>
          <cell r="I1364">
            <v>0</v>
          </cell>
          <cell r="J1364">
            <v>0</v>
          </cell>
          <cell r="K1364">
            <v>0</v>
          </cell>
          <cell r="L1364">
            <v>9417.5300000000007</v>
          </cell>
          <cell r="M1364">
            <v>0</v>
          </cell>
          <cell r="N1364">
            <v>0</v>
          </cell>
          <cell r="O1364">
            <v>0</v>
          </cell>
        </row>
        <row r="1365">
          <cell r="A1365" t="str">
            <v>DOMsINVESTMENT IN JOINT VENTURE</v>
          </cell>
          <cell r="B1365">
            <v>0</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row>
        <row r="1366">
          <cell r="A1366" t="str">
            <v>DOMsALL OTHER RECEIVABLES (NON-FINANCING)</v>
          </cell>
          <cell r="B1366">
            <v>8018263.9900000002</v>
          </cell>
          <cell r="C1366">
            <v>912534.46</v>
          </cell>
          <cell r="D1366">
            <v>46601991.740000002</v>
          </cell>
          <cell r="E1366">
            <v>16941762.109999999</v>
          </cell>
          <cell r="F1366">
            <v>16941762.109999999</v>
          </cell>
          <cell r="G1366">
            <v>0</v>
          </cell>
          <cell r="H1366">
            <v>0</v>
          </cell>
          <cell r="I1366">
            <v>0</v>
          </cell>
          <cell r="J1366">
            <v>0</v>
          </cell>
          <cell r="K1366">
            <v>0</v>
          </cell>
          <cell r="L1366">
            <v>4121051.37</v>
          </cell>
          <cell r="M1366">
            <v>0</v>
          </cell>
          <cell r="N1366">
            <v>0</v>
          </cell>
          <cell r="O1366">
            <v>0</v>
          </cell>
        </row>
        <row r="1367">
          <cell r="A1367" t="str">
            <v>DOMsELTO (NET)</v>
          </cell>
          <cell r="B1367">
            <v>0</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row>
        <row r="1368">
          <cell r="A1368" t="str">
            <v>DOMsGOODWILL</v>
          </cell>
          <cell r="B1368">
            <v>69026621.150000006</v>
          </cell>
          <cell r="C1368">
            <v>65161927.899999999</v>
          </cell>
          <cell r="D1368">
            <v>68328267.019999996</v>
          </cell>
          <cell r="E1368">
            <v>65625089.479999997</v>
          </cell>
          <cell r="F1368">
            <v>65625089.479999997</v>
          </cell>
          <cell r="G1368">
            <v>66479951</v>
          </cell>
          <cell r="H1368">
            <v>66479951</v>
          </cell>
          <cell r="I1368">
            <v>66479951</v>
          </cell>
          <cell r="J1368">
            <v>66479951</v>
          </cell>
          <cell r="K1368">
            <v>66479951</v>
          </cell>
          <cell r="L1368">
            <v>64191320.960000001</v>
          </cell>
          <cell r="M1368">
            <v>60776926.494046003</v>
          </cell>
          <cell r="N1368">
            <v>55833143.797985002</v>
          </cell>
          <cell r="O1368">
            <v>50889361.101924002</v>
          </cell>
        </row>
        <row r="1369">
          <cell r="A1369" t="str">
            <v>DOMsOTHER ASSETS</v>
          </cell>
          <cell r="B1369">
            <v>2788531.4</v>
          </cell>
          <cell r="C1369">
            <v>2783558.53</v>
          </cell>
          <cell r="D1369">
            <v>3052874.53</v>
          </cell>
          <cell r="E1369">
            <v>4283634.8099999996</v>
          </cell>
          <cell r="F1369">
            <v>4283634.8099999996</v>
          </cell>
          <cell r="G1369">
            <v>21624408</v>
          </cell>
          <cell r="H1369">
            <v>21903996</v>
          </cell>
          <cell r="I1369">
            <v>22125525</v>
          </cell>
          <cell r="J1369">
            <v>22316470</v>
          </cell>
          <cell r="K1369">
            <v>22316470</v>
          </cell>
          <cell r="L1369">
            <v>4349730.32</v>
          </cell>
          <cell r="M1369">
            <v>10002026.691049</v>
          </cell>
          <cell r="N1369">
            <v>10515472.814758001</v>
          </cell>
          <cell r="O1369">
            <v>10857951.181530001</v>
          </cell>
        </row>
        <row r="1370">
          <cell r="A1370" t="str">
            <v>DOMsACCOUNTS PAYABLE</v>
          </cell>
          <cell r="B1370">
            <v>-31224120.84</v>
          </cell>
          <cell r="C1370">
            <v>-34589304.869999997</v>
          </cell>
          <cell r="D1370">
            <v>-43071871.479999997</v>
          </cell>
          <cell r="E1370">
            <v>-23381805.010000002</v>
          </cell>
          <cell r="F1370">
            <v>-23381805.010000002</v>
          </cell>
          <cell r="G1370">
            <v>-23842785</v>
          </cell>
          <cell r="H1370">
            <v>-24220508</v>
          </cell>
          <cell r="I1370">
            <v>-24547298</v>
          </cell>
          <cell r="J1370">
            <v>-24825032</v>
          </cell>
          <cell r="K1370">
            <v>-24825032</v>
          </cell>
          <cell r="L1370">
            <v>-9340445.6099999994</v>
          </cell>
          <cell r="M1370">
            <v>-54360447.419724002</v>
          </cell>
          <cell r="N1370">
            <v>-57972560.724049002</v>
          </cell>
          <cell r="O1370">
            <v>-60308144.011514999</v>
          </cell>
        </row>
        <row r="1371">
          <cell r="A1371" t="str">
            <v>DOMsDEFERRED INCOME TAXES</v>
          </cell>
          <cell r="B1371">
            <v>5159242.97</v>
          </cell>
          <cell r="C1371">
            <v>8000255.7000000002</v>
          </cell>
          <cell r="D1371">
            <v>14062839.279999999</v>
          </cell>
          <cell r="E1371">
            <v>2101920.2599999998</v>
          </cell>
          <cell r="F1371">
            <v>2101920.2599999998</v>
          </cell>
          <cell r="G1371">
            <v>2212205</v>
          </cell>
          <cell r="H1371">
            <v>2248472</v>
          </cell>
          <cell r="I1371">
            <v>2245111</v>
          </cell>
          <cell r="J1371">
            <v>2263079</v>
          </cell>
          <cell r="K1371">
            <v>2263079</v>
          </cell>
          <cell r="L1371">
            <v>-1224955.24</v>
          </cell>
          <cell r="M1371">
            <v>0</v>
          </cell>
          <cell r="N1371">
            <v>0</v>
          </cell>
          <cell r="O1371">
            <v>0</v>
          </cell>
        </row>
        <row r="1372">
          <cell r="A1372" t="str">
            <v>DOMsWRITE-OFF (MEMO)</v>
          </cell>
          <cell r="B1372">
            <v>2668654.0099999998</v>
          </cell>
          <cell r="C1372">
            <v>6760733.4699999997</v>
          </cell>
          <cell r="D1372">
            <v>7828910.0899999999</v>
          </cell>
          <cell r="E1372">
            <v>8617700.1799999997</v>
          </cell>
          <cell r="F1372">
            <v>8617700.1799999997</v>
          </cell>
          <cell r="G1372">
            <v>3032102</v>
          </cell>
          <cell r="H1372">
            <v>5601335</v>
          </cell>
          <cell r="I1372">
            <v>7901206</v>
          </cell>
          <cell r="J1372">
            <v>10256817</v>
          </cell>
          <cell r="K1372">
            <v>10256817</v>
          </cell>
          <cell r="L1372">
            <v>2829527.23</v>
          </cell>
          <cell r="M1372">
            <v>10100454</v>
          </cell>
          <cell r="N1372">
            <v>10550153</v>
          </cell>
          <cell r="O1372">
            <v>10970686</v>
          </cell>
        </row>
        <row r="1373">
          <cell r="A1373" t="str">
            <v>DOMsINSURANCE RESERVES AND ANNUITY BENEFITS</v>
          </cell>
          <cell r="B1373">
            <v>0</v>
          </cell>
          <cell r="C1373">
            <v>0</v>
          </cell>
          <cell r="D1373">
            <v>0</v>
          </cell>
          <cell r="E1373">
            <v>0</v>
          </cell>
          <cell r="F1373">
            <v>0</v>
          </cell>
          <cell r="G1373">
            <v>0</v>
          </cell>
          <cell r="H1373">
            <v>0</v>
          </cell>
          <cell r="I1373">
            <v>0</v>
          </cell>
          <cell r="J1373">
            <v>0</v>
          </cell>
          <cell r="K1373">
            <v>0</v>
          </cell>
          <cell r="L1373">
            <v>0</v>
          </cell>
          <cell r="M1373">
            <v>0</v>
          </cell>
          <cell r="N1373">
            <v>0</v>
          </cell>
          <cell r="O1373">
            <v>0</v>
          </cell>
        </row>
        <row r="1374">
          <cell r="A1374" t="str">
            <v>DOMsALL OTHER NON DEBT LIABILITIES</v>
          </cell>
          <cell r="B1374">
            <v>22330509.84</v>
          </cell>
          <cell r="C1374">
            <v>9835246.7699999996</v>
          </cell>
          <cell r="D1374">
            <v>-62337608.210000001</v>
          </cell>
          <cell r="E1374">
            <v>-30996547.600000001</v>
          </cell>
          <cell r="F1374">
            <v>-30996547.600000001</v>
          </cell>
          <cell r="G1374">
            <v>-31614566</v>
          </cell>
          <cell r="H1374">
            <v>-32113357</v>
          </cell>
          <cell r="I1374">
            <v>-32515407</v>
          </cell>
          <cell r="J1374">
            <v>-32883264</v>
          </cell>
          <cell r="K1374">
            <v>-32883264</v>
          </cell>
          <cell r="L1374">
            <v>-23910956.73</v>
          </cell>
          <cell r="M1374">
            <v>0</v>
          </cell>
          <cell r="N1374">
            <v>0</v>
          </cell>
          <cell r="O1374">
            <v>0</v>
          </cell>
        </row>
        <row r="1375">
          <cell r="A1375" t="str">
            <v>DOMsMINORITY INTEREST (BS)</v>
          </cell>
          <cell r="B1375">
            <v>-262087.31</v>
          </cell>
          <cell r="C1375">
            <v>-356977</v>
          </cell>
          <cell r="D1375">
            <v>-560988.23</v>
          </cell>
          <cell r="E1375">
            <v>-1712755.67</v>
          </cell>
          <cell r="F1375">
            <v>-1712755.67</v>
          </cell>
          <cell r="G1375">
            <v>-1895720</v>
          </cell>
          <cell r="H1375">
            <v>-1926410</v>
          </cell>
          <cell r="I1375">
            <v>-1948708</v>
          </cell>
          <cell r="J1375">
            <v>-1968813</v>
          </cell>
          <cell r="K1375">
            <v>-1968813</v>
          </cell>
          <cell r="L1375">
            <v>-3129437.26</v>
          </cell>
          <cell r="M1375">
            <v>-3245013.2643539999</v>
          </cell>
          <cell r="N1375">
            <v>-3468914.2221639999</v>
          </cell>
          <cell r="O1375">
            <v>-3619215.3633039999</v>
          </cell>
        </row>
        <row r="1376">
          <cell r="A1376" t="str">
            <v>DOMsASIA PACIFIC ENI DIVIDEND</v>
          </cell>
          <cell r="B1376">
            <v>0</v>
          </cell>
          <cell r="C1376">
            <v>0</v>
          </cell>
          <cell r="D1376">
            <v>0</v>
          </cell>
          <cell r="E1376">
            <v>0</v>
          </cell>
          <cell r="F1376">
            <v>0</v>
          </cell>
          <cell r="G1376">
            <v>0</v>
          </cell>
          <cell r="H1376">
            <v>0</v>
          </cell>
          <cell r="I1376">
            <v>0</v>
          </cell>
          <cell r="J1376">
            <v>0</v>
          </cell>
          <cell r="K1376">
            <v>0</v>
          </cell>
          <cell r="L1376">
            <v>0</v>
          </cell>
          <cell r="M1376">
            <v>0</v>
          </cell>
          <cell r="N1376">
            <v>0</v>
          </cell>
          <cell r="O1376">
            <v>0</v>
          </cell>
        </row>
        <row r="1377">
          <cell r="A1377" t="str">
            <v>DOMsFINANCING INCOME</v>
          </cell>
          <cell r="B1377">
            <v>-18985519.280000001</v>
          </cell>
          <cell r="C1377">
            <v>-19861392.190000001</v>
          </cell>
          <cell r="D1377">
            <v>-19543013.829999998</v>
          </cell>
          <cell r="E1377">
            <v>-20524995.52</v>
          </cell>
          <cell r="F1377">
            <v>-78914920.819999993</v>
          </cell>
          <cell r="G1377">
            <v>-20339750</v>
          </cell>
          <cell r="H1377">
            <v>-21130308</v>
          </cell>
          <cell r="I1377">
            <v>-21630482</v>
          </cell>
          <cell r="J1377">
            <v>-22270960</v>
          </cell>
          <cell r="K1377">
            <v>-85371500</v>
          </cell>
          <cell r="L1377">
            <v>-20405576.649999999</v>
          </cell>
          <cell r="M1377">
            <v>-85429905.049658999</v>
          </cell>
          <cell r="N1377">
            <v>-91158159.128726006</v>
          </cell>
          <cell r="O1377">
            <v>-97170678.691294</v>
          </cell>
        </row>
        <row r="1378">
          <cell r="A1378" t="str">
            <v>DOMsINSURANCE PREMIUM INCOME</v>
          </cell>
          <cell r="B1378">
            <v>0</v>
          </cell>
          <cell r="C1378">
            <v>0</v>
          </cell>
          <cell r="D1378">
            <v>0</v>
          </cell>
          <cell r="E1378">
            <v>8412.93</v>
          </cell>
          <cell r="F1378">
            <v>8412.93</v>
          </cell>
          <cell r="G1378">
            <v>0</v>
          </cell>
          <cell r="H1378">
            <v>0</v>
          </cell>
          <cell r="I1378">
            <v>0</v>
          </cell>
          <cell r="J1378">
            <v>0</v>
          </cell>
          <cell r="K1378">
            <v>0</v>
          </cell>
          <cell r="L1378">
            <v>10816.63</v>
          </cell>
          <cell r="M1378">
            <v>0</v>
          </cell>
          <cell r="N1378">
            <v>0</v>
          </cell>
          <cell r="O1378">
            <v>0</v>
          </cell>
        </row>
        <row r="1379">
          <cell r="A1379" t="str">
            <v>DOMsINSURANCE INCOME (COMMISSIONS)</v>
          </cell>
          <cell r="B1379">
            <v>-1648884.53</v>
          </cell>
          <cell r="C1379">
            <v>-969915.15</v>
          </cell>
          <cell r="D1379">
            <v>-1846801.63</v>
          </cell>
          <cell r="E1379">
            <v>-1000119.97</v>
          </cell>
          <cell r="F1379">
            <v>-5465721.2800000003</v>
          </cell>
          <cell r="G1379">
            <v>-2313512</v>
          </cell>
          <cell r="H1379">
            <v>-1789270</v>
          </cell>
          <cell r="I1379">
            <v>-1634023</v>
          </cell>
          <cell r="J1379">
            <v>-1672871</v>
          </cell>
          <cell r="K1379">
            <v>-7409676</v>
          </cell>
          <cell r="L1379">
            <v>-2495901.0699999998</v>
          </cell>
          <cell r="M1379">
            <v>-7448944.8697629999</v>
          </cell>
          <cell r="N1379">
            <v>-8096118.0717900004</v>
          </cell>
          <cell r="O1379">
            <v>-8919746.9302190002</v>
          </cell>
        </row>
        <row r="1380">
          <cell r="A1380" t="str">
            <v>DOMsSUNDRY INCOME</v>
          </cell>
          <cell r="B1380">
            <v>-2354568.75</v>
          </cell>
          <cell r="C1380">
            <v>-2705964.05</v>
          </cell>
          <cell r="D1380">
            <v>-1338598.19</v>
          </cell>
          <cell r="E1380">
            <v>-3397574.27</v>
          </cell>
          <cell r="F1380">
            <v>-9796705.2599999998</v>
          </cell>
          <cell r="G1380">
            <v>-1827145</v>
          </cell>
          <cell r="H1380">
            <v>-1889618</v>
          </cell>
          <cell r="I1380">
            <v>-1950626</v>
          </cell>
          <cell r="J1380">
            <v>-2692809</v>
          </cell>
          <cell r="K1380">
            <v>-8360198</v>
          </cell>
          <cell r="L1380">
            <v>-1369520.83</v>
          </cell>
          <cell r="M1380">
            <v>-7429970.3621850004</v>
          </cell>
          <cell r="N1380">
            <v>-8085344.8311170004</v>
          </cell>
          <cell r="O1380">
            <v>-8626895.4313639998</v>
          </cell>
        </row>
        <row r="1381">
          <cell r="A1381" t="str">
            <v>DOMsINTEREST EXPENSE</v>
          </cell>
          <cell r="B1381">
            <v>7810246.7400000002</v>
          </cell>
          <cell r="C1381">
            <v>7794153</v>
          </cell>
          <cell r="D1381">
            <v>7903915.25</v>
          </cell>
          <cell r="E1381">
            <v>8101113.3399999999</v>
          </cell>
          <cell r="F1381">
            <v>31609428.329999998</v>
          </cell>
          <cell r="G1381">
            <v>8456673</v>
          </cell>
          <cell r="H1381">
            <v>8662258</v>
          </cell>
          <cell r="I1381">
            <v>8838267</v>
          </cell>
          <cell r="J1381">
            <v>9137008</v>
          </cell>
          <cell r="K1381">
            <v>35094206</v>
          </cell>
          <cell r="L1381">
            <v>7727410.7491730005</v>
          </cell>
          <cell r="M1381">
            <v>35988988.725729004</v>
          </cell>
          <cell r="N1381">
            <v>38951532.537134998</v>
          </cell>
          <cell r="O1381">
            <v>41160246.731744997</v>
          </cell>
        </row>
        <row r="1382">
          <cell r="A1382" t="str">
            <v>DOMsINTEREST EXPENSE REDUCTIONS / BUS SHARING</v>
          </cell>
          <cell r="B1382">
            <v>0</v>
          </cell>
          <cell r="C1382">
            <v>0</v>
          </cell>
          <cell r="D1382">
            <v>0</v>
          </cell>
          <cell r="E1382">
            <v>0</v>
          </cell>
          <cell r="F1382">
            <v>0</v>
          </cell>
          <cell r="G1382">
            <v>0</v>
          </cell>
          <cell r="H1382">
            <v>0</v>
          </cell>
          <cell r="I1382">
            <v>0</v>
          </cell>
          <cell r="J1382">
            <v>0</v>
          </cell>
          <cell r="K1382">
            <v>0</v>
          </cell>
          <cell r="L1382">
            <v>0</v>
          </cell>
          <cell r="M1382">
            <v>0</v>
          </cell>
          <cell r="N1382">
            <v>0</v>
          </cell>
          <cell r="O1382">
            <v>0</v>
          </cell>
        </row>
        <row r="1383">
          <cell r="A1383" t="str">
            <v>DOMsALLOCATED COST OF PREFERRED EQUITY</v>
          </cell>
          <cell r="B1383">
            <v>86990.07</v>
          </cell>
          <cell r="C1383">
            <v>76846</v>
          </cell>
          <cell r="D1383">
            <v>63999.45</v>
          </cell>
          <cell r="E1383">
            <v>38359</v>
          </cell>
          <cell r="F1383">
            <v>266194.52</v>
          </cell>
          <cell r="G1383">
            <v>128460</v>
          </cell>
          <cell r="H1383">
            <v>130663</v>
          </cell>
          <cell r="I1383">
            <v>132591</v>
          </cell>
          <cell r="J1383">
            <v>134192</v>
          </cell>
          <cell r="K1383">
            <v>525906</v>
          </cell>
          <cell r="L1383">
            <v>45868.250827000003</v>
          </cell>
          <cell r="M1383">
            <v>512763.00920899998</v>
          </cell>
          <cell r="N1383">
            <v>546507.77785700001</v>
          </cell>
          <cell r="O1383">
            <v>574982.85219999996</v>
          </cell>
        </row>
        <row r="1384">
          <cell r="A1384" t="str">
            <v>DOMsSALARIES &amp; BENEFITS</v>
          </cell>
          <cell r="B1384">
            <v>3101263.72</v>
          </cell>
          <cell r="C1384">
            <v>3185895.81</v>
          </cell>
          <cell r="D1384">
            <v>3014495.98</v>
          </cell>
          <cell r="E1384">
            <v>2901354.38</v>
          </cell>
          <cell r="F1384">
            <v>12203009.890000001</v>
          </cell>
          <cell r="G1384">
            <v>3265191</v>
          </cell>
          <cell r="H1384">
            <v>3265191</v>
          </cell>
          <cell r="I1384">
            <v>3265191</v>
          </cell>
          <cell r="J1384">
            <v>3265191</v>
          </cell>
          <cell r="K1384">
            <v>13060764</v>
          </cell>
          <cell r="L1384">
            <v>1209011.48</v>
          </cell>
          <cell r="M1384">
            <v>12415488.721457999</v>
          </cell>
          <cell r="N1384">
            <v>13427157.629721999</v>
          </cell>
          <cell r="O1384">
            <v>13992522.685845001</v>
          </cell>
        </row>
        <row r="1385">
          <cell r="A1385" t="str">
            <v>DOMsLOSSES ON OTHER ASSETS</v>
          </cell>
          <cell r="B1385">
            <v>0</v>
          </cell>
          <cell r="C1385">
            <v>0</v>
          </cell>
          <cell r="D1385">
            <v>0</v>
          </cell>
          <cell r="E1385">
            <v>0</v>
          </cell>
          <cell r="F1385">
            <v>0</v>
          </cell>
          <cell r="G1385">
            <v>0</v>
          </cell>
          <cell r="H1385">
            <v>0</v>
          </cell>
          <cell r="I1385">
            <v>0</v>
          </cell>
          <cell r="J1385">
            <v>0</v>
          </cell>
          <cell r="K1385">
            <v>0</v>
          </cell>
          <cell r="L1385">
            <v>0</v>
          </cell>
          <cell r="M1385">
            <v>0</v>
          </cell>
          <cell r="N1385">
            <v>0</v>
          </cell>
          <cell r="O1385">
            <v>0</v>
          </cell>
        </row>
        <row r="1386">
          <cell r="A1386" t="str">
            <v>DOMsCOST OF GOODS SOLD</v>
          </cell>
          <cell r="B1386">
            <v>0</v>
          </cell>
          <cell r="C1386">
            <v>0</v>
          </cell>
          <cell r="D1386">
            <v>0</v>
          </cell>
          <cell r="E1386">
            <v>0</v>
          </cell>
          <cell r="F1386">
            <v>0</v>
          </cell>
          <cell r="G1386">
            <v>0</v>
          </cell>
          <cell r="H1386">
            <v>0</v>
          </cell>
          <cell r="I1386">
            <v>0</v>
          </cell>
          <cell r="J1386">
            <v>0</v>
          </cell>
          <cell r="K1386">
            <v>0</v>
          </cell>
          <cell r="L1386">
            <v>0</v>
          </cell>
          <cell r="M1386">
            <v>0</v>
          </cell>
          <cell r="N1386">
            <v>0</v>
          </cell>
          <cell r="O1386">
            <v>0</v>
          </cell>
        </row>
        <row r="1387">
          <cell r="A1387" t="str">
            <v>DOMsCOST OF GOODS SOLD - DISTRIBUTION</v>
          </cell>
          <cell r="B1387">
            <v>0</v>
          </cell>
          <cell r="C1387">
            <v>0</v>
          </cell>
          <cell r="D1387">
            <v>0</v>
          </cell>
          <cell r="E1387">
            <v>0</v>
          </cell>
          <cell r="F1387">
            <v>0</v>
          </cell>
          <cell r="G1387">
            <v>0</v>
          </cell>
          <cell r="H1387">
            <v>0</v>
          </cell>
          <cell r="I1387">
            <v>0</v>
          </cell>
          <cell r="J1387">
            <v>0</v>
          </cell>
          <cell r="K1387">
            <v>0</v>
          </cell>
          <cell r="L1387">
            <v>0</v>
          </cell>
          <cell r="M1387">
            <v>0</v>
          </cell>
          <cell r="N1387">
            <v>0</v>
          </cell>
          <cell r="O1387">
            <v>0</v>
          </cell>
        </row>
        <row r="1388">
          <cell r="A1388" t="str">
            <v>DOMsPOSTAGE</v>
          </cell>
          <cell r="B1388">
            <v>72155.28</v>
          </cell>
          <cell r="C1388">
            <v>79086.039999999994</v>
          </cell>
          <cell r="D1388">
            <v>94762.79</v>
          </cell>
          <cell r="E1388">
            <v>109733.57</v>
          </cell>
          <cell r="F1388">
            <v>355737.68</v>
          </cell>
          <cell r="G1388">
            <v>97399</v>
          </cell>
          <cell r="H1388">
            <v>97399</v>
          </cell>
          <cell r="I1388">
            <v>97399</v>
          </cell>
          <cell r="J1388">
            <v>97399</v>
          </cell>
          <cell r="K1388">
            <v>389596</v>
          </cell>
          <cell r="L1388">
            <v>-267415.38</v>
          </cell>
          <cell r="M1388">
            <v>300509.90149600001</v>
          </cell>
          <cell r="N1388">
            <v>325241.74402300001</v>
          </cell>
          <cell r="O1388">
            <v>352682.76388799999</v>
          </cell>
        </row>
        <row r="1389">
          <cell r="A1389" t="str">
            <v>DOMsTELEPHONE</v>
          </cell>
          <cell r="B1389">
            <v>103551.24</v>
          </cell>
          <cell r="C1389">
            <v>67670.210000000006</v>
          </cell>
          <cell r="D1389">
            <v>106431.37</v>
          </cell>
          <cell r="E1389">
            <v>94313.15</v>
          </cell>
          <cell r="F1389">
            <v>371965.97</v>
          </cell>
          <cell r="G1389">
            <v>103274</v>
          </cell>
          <cell r="H1389">
            <v>103274</v>
          </cell>
          <cell r="I1389">
            <v>103274</v>
          </cell>
          <cell r="J1389">
            <v>103274</v>
          </cell>
          <cell r="K1389">
            <v>413096</v>
          </cell>
          <cell r="L1389">
            <v>-308079.03999999998</v>
          </cell>
          <cell r="M1389">
            <v>360524.28567000001</v>
          </cell>
          <cell r="N1389">
            <v>391361.43225999997</v>
          </cell>
          <cell r="O1389">
            <v>426060.410126</v>
          </cell>
        </row>
        <row r="1390">
          <cell r="A1390" t="str">
            <v>DOMsCUSTOMER SERVICE / COLLECTIONS</v>
          </cell>
          <cell r="B1390">
            <v>163461.96</v>
          </cell>
          <cell r="C1390">
            <v>128701.32</v>
          </cell>
          <cell r="D1390">
            <v>100806.93</v>
          </cell>
          <cell r="E1390">
            <v>178452.38</v>
          </cell>
          <cell r="F1390">
            <v>571422.59</v>
          </cell>
          <cell r="G1390">
            <v>157335</v>
          </cell>
          <cell r="H1390">
            <v>157335</v>
          </cell>
          <cell r="I1390">
            <v>157335</v>
          </cell>
          <cell r="J1390">
            <v>157335</v>
          </cell>
          <cell r="K1390">
            <v>629340</v>
          </cell>
          <cell r="L1390">
            <v>-473497.79</v>
          </cell>
          <cell r="M1390">
            <v>643163.25406900002</v>
          </cell>
          <cell r="N1390">
            <v>687783.89945799997</v>
          </cell>
          <cell r="O1390">
            <v>736687.55955899996</v>
          </cell>
        </row>
        <row r="1391">
          <cell r="A1391" t="str">
            <v>DOMsSTATIONARY - OFFICE SUPPLIES</v>
          </cell>
          <cell r="B1391">
            <v>72054.789999999994</v>
          </cell>
          <cell r="C1391">
            <v>64928.39</v>
          </cell>
          <cell r="D1391">
            <v>71176.22</v>
          </cell>
          <cell r="E1391">
            <v>88789.26</v>
          </cell>
          <cell r="F1391">
            <v>296948.65999999997</v>
          </cell>
          <cell r="G1391">
            <v>76436</v>
          </cell>
          <cell r="H1391">
            <v>76436</v>
          </cell>
          <cell r="I1391">
            <v>76436</v>
          </cell>
          <cell r="J1391">
            <v>76436</v>
          </cell>
          <cell r="K1391">
            <v>305744</v>
          </cell>
          <cell r="L1391">
            <v>-232151.88</v>
          </cell>
          <cell r="M1391">
            <v>248467.74986499999</v>
          </cell>
          <cell r="N1391">
            <v>268072.58795199997</v>
          </cell>
          <cell r="O1391">
            <v>288590.64456300001</v>
          </cell>
        </row>
        <row r="1392">
          <cell r="A1392" t="str">
            <v>DOMsT&amp;L</v>
          </cell>
          <cell r="B1392">
            <v>199888</v>
          </cell>
          <cell r="C1392">
            <v>183419.18</v>
          </cell>
          <cell r="D1392">
            <v>183503.92</v>
          </cell>
          <cell r="E1392">
            <v>167108.07</v>
          </cell>
          <cell r="F1392">
            <v>733919.17</v>
          </cell>
          <cell r="G1392">
            <v>127617</v>
          </cell>
          <cell r="H1392">
            <v>127617</v>
          </cell>
          <cell r="I1392">
            <v>127617</v>
          </cell>
          <cell r="J1392">
            <v>127617</v>
          </cell>
          <cell r="K1392">
            <v>510468</v>
          </cell>
          <cell r="L1392">
            <v>-632607.63</v>
          </cell>
          <cell r="M1392">
            <v>495260.78103100002</v>
          </cell>
          <cell r="N1392">
            <v>529755.53482900001</v>
          </cell>
          <cell r="O1392">
            <v>571576.94807699998</v>
          </cell>
        </row>
        <row r="1393">
          <cell r="A1393" t="str">
            <v>DOMsRENTAL - BLDG/FACILITIES</v>
          </cell>
          <cell r="B1393">
            <v>165558.94</v>
          </cell>
          <cell r="C1393">
            <v>117537.69</v>
          </cell>
          <cell r="D1393">
            <v>176803.22</v>
          </cell>
          <cell r="E1393">
            <v>173408.63</v>
          </cell>
          <cell r="F1393">
            <v>633308.48</v>
          </cell>
          <cell r="G1393">
            <v>233834</v>
          </cell>
          <cell r="H1393">
            <v>233834</v>
          </cell>
          <cell r="I1393">
            <v>233834</v>
          </cell>
          <cell r="J1393">
            <v>233834</v>
          </cell>
          <cell r="K1393">
            <v>935336</v>
          </cell>
          <cell r="L1393">
            <v>-482142.51</v>
          </cell>
          <cell r="M1393">
            <v>633368.18548600003</v>
          </cell>
          <cell r="N1393">
            <v>670437.48143699998</v>
          </cell>
          <cell r="O1393">
            <v>715171.47860699997</v>
          </cell>
        </row>
        <row r="1394">
          <cell r="A1394" t="str">
            <v>DOMsRENTAL - FURNITURE/EQUIP</v>
          </cell>
          <cell r="B1394">
            <v>0</v>
          </cell>
          <cell r="C1394">
            <v>0</v>
          </cell>
          <cell r="D1394">
            <v>0</v>
          </cell>
          <cell r="E1394">
            <v>0</v>
          </cell>
          <cell r="F1394">
            <v>0</v>
          </cell>
          <cell r="G1394">
            <v>0</v>
          </cell>
          <cell r="H1394">
            <v>0</v>
          </cell>
          <cell r="I1394">
            <v>0</v>
          </cell>
          <cell r="J1394">
            <v>0</v>
          </cell>
          <cell r="K1394">
            <v>0</v>
          </cell>
          <cell r="L1394">
            <v>0</v>
          </cell>
          <cell r="M1394">
            <v>0</v>
          </cell>
          <cell r="N1394">
            <v>0</v>
          </cell>
          <cell r="O1394">
            <v>0</v>
          </cell>
        </row>
        <row r="1395">
          <cell r="A1395" t="str">
            <v>DOMsRENTAL - COMPUTERS</v>
          </cell>
          <cell r="B1395">
            <v>0</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row>
        <row r="1396">
          <cell r="A1396" t="str">
            <v>DOMsLEASE IN - LEASE OUT</v>
          </cell>
          <cell r="B1396">
            <v>0</v>
          </cell>
          <cell r="C1396">
            <v>0</v>
          </cell>
          <cell r="D1396">
            <v>0</v>
          </cell>
          <cell r="E1396">
            <v>0</v>
          </cell>
          <cell r="F1396">
            <v>0</v>
          </cell>
          <cell r="G1396">
            <v>0</v>
          </cell>
          <cell r="H1396">
            <v>0</v>
          </cell>
          <cell r="I1396">
            <v>0</v>
          </cell>
          <cell r="J1396">
            <v>0</v>
          </cell>
          <cell r="K1396">
            <v>0</v>
          </cell>
          <cell r="L1396">
            <v>0</v>
          </cell>
          <cell r="M1396">
            <v>0</v>
          </cell>
          <cell r="N1396">
            <v>0</v>
          </cell>
          <cell r="O1396">
            <v>0</v>
          </cell>
        </row>
        <row r="1397">
          <cell r="A1397" t="str">
            <v>DOMsFURNITURE / EQUIPMENT / COMPUTER EXP</v>
          </cell>
          <cell r="B1397">
            <v>40716.81</v>
          </cell>
          <cell r="C1397">
            <v>78052.429999999993</v>
          </cell>
          <cell r="D1397">
            <v>103075.05</v>
          </cell>
          <cell r="E1397">
            <v>71881.399999999994</v>
          </cell>
          <cell r="F1397">
            <v>293725.69</v>
          </cell>
          <cell r="G1397">
            <v>30077</v>
          </cell>
          <cell r="H1397">
            <v>30077</v>
          </cell>
          <cell r="I1397">
            <v>30077</v>
          </cell>
          <cell r="J1397">
            <v>30077</v>
          </cell>
          <cell r="K1397">
            <v>120308</v>
          </cell>
          <cell r="L1397">
            <v>-269983.40999999997</v>
          </cell>
          <cell r="M1397">
            <v>183000.21215599999</v>
          </cell>
          <cell r="N1397">
            <v>198115.08088299999</v>
          </cell>
          <cell r="O1397">
            <v>214000.60722800001</v>
          </cell>
        </row>
        <row r="1398">
          <cell r="A1398" t="str">
            <v>DOMsSOFTWARE EXPENSE</v>
          </cell>
          <cell r="B1398">
            <v>0</v>
          </cell>
          <cell r="C1398">
            <v>0</v>
          </cell>
          <cell r="D1398">
            <v>0</v>
          </cell>
          <cell r="E1398">
            <v>0</v>
          </cell>
          <cell r="F1398">
            <v>0</v>
          </cell>
          <cell r="G1398">
            <v>0</v>
          </cell>
          <cell r="H1398">
            <v>0</v>
          </cell>
          <cell r="I1398">
            <v>0</v>
          </cell>
          <cell r="J1398">
            <v>0</v>
          </cell>
          <cell r="K1398">
            <v>0</v>
          </cell>
          <cell r="L1398">
            <v>0</v>
          </cell>
          <cell r="M1398">
            <v>0</v>
          </cell>
          <cell r="N1398">
            <v>0</v>
          </cell>
          <cell r="O1398">
            <v>0</v>
          </cell>
        </row>
        <row r="1399">
          <cell r="A1399" t="str">
            <v>DOMsAMORTIZATION OF INTANGIBLES</v>
          </cell>
          <cell r="B1399">
            <v>0</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row>
        <row r="1400">
          <cell r="A1400" t="str">
            <v>DOMsELTO MAINTENANCE</v>
          </cell>
          <cell r="B1400">
            <v>0</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row>
        <row r="1401">
          <cell r="A1401" t="str">
            <v>DOMsELTO OTHER</v>
          </cell>
          <cell r="B1401">
            <v>0</v>
          </cell>
          <cell r="C1401">
            <v>0</v>
          </cell>
          <cell r="D1401">
            <v>0</v>
          </cell>
          <cell r="E1401">
            <v>0</v>
          </cell>
          <cell r="F1401">
            <v>0</v>
          </cell>
          <cell r="G1401">
            <v>0</v>
          </cell>
          <cell r="H1401">
            <v>0</v>
          </cell>
          <cell r="I1401">
            <v>0</v>
          </cell>
          <cell r="J1401">
            <v>0</v>
          </cell>
          <cell r="K1401">
            <v>0</v>
          </cell>
          <cell r="L1401">
            <v>0</v>
          </cell>
          <cell r="M1401">
            <v>0</v>
          </cell>
          <cell r="N1401">
            <v>0</v>
          </cell>
          <cell r="O1401">
            <v>0</v>
          </cell>
        </row>
        <row r="1402">
          <cell r="A1402" t="str">
            <v>DOMsLEGAL</v>
          </cell>
          <cell r="B1402">
            <v>2165.6999999999998</v>
          </cell>
          <cell r="C1402">
            <v>723.43</v>
          </cell>
          <cell r="D1402">
            <v>9300.1200000000008</v>
          </cell>
          <cell r="E1402">
            <v>2594.02</v>
          </cell>
          <cell r="F1402">
            <v>14783.27</v>
          </cell>
          <cell r="G1402">
            <v>5926</v>
          </cell>
          <cell r="H1402">
            <v>5926</v>
          </cell>
          <cell r="I1402">
            <v>5926</v>
          </cell>
          <cell r="J1402">
            <v>5926</v>
          </cell>
          <cell r="K1402">
            <v>23704</v>
          </cell>
          <cell r="L1402">
            <v>25241.11</v>
          </cell>
          <cell r="M1402">
            <v>21687.51959</v>
          </cell>
          <cell r="N1402">
            <v>21934.214219000001</v>
          </cell>
          <cell r="O1402">
            <v>22811.582788</v>
          </cell>
        </row>
        <row r="1403">
          <cell r="A1403" t="str">
            <v>DOMsADVERTISING</v>
          </cell>
          <cell r="B1403">
            <v>140018.85999999999</v>
          </cell>
          <cell r="C1403">
            <v>97440.3</v>
          </cell>
          <cell r="D1403">
            <v>151956.69</v>
          </cell>
          <cell r="E1403">
            <v>151208.62</v>
          </cell>
          <cell r="F1403">
            <v>540624.47</v>
          </cell>
          <cell r="G1403">
            <v>109140</v>
          </cell>
          <cell r="H1403">
            <v>109140</v>
          </cell>
          <cell r="I1403">
            <v>109140</v>
          </cell>
          <cell r="J1403">
            <v>109140</v>
          </cell>
          <cell r="K1403">
            <v>436560</v>
          </cell>
          <cell r="L1403">
            <v>-475364.23</v>
          </cell>
          <cell r="M1403">
            <v>575215.32140699995</v>
          </cell>
          <cell r="N1403">
            <v>625597.76827799994</v>
          </cell>
          <cell r="O1403">
            <v>687931.25309500005</v>
          </cell>
        </row>
        <row r="1404">
          <cell r="A1404" t="str">
            <v>DOMsSALES PROMOTIONS</v>
          </cell>
          <cell r="B1404">
            <v>0</v>
          </cell>
          <cell r="C1404">
            <v>0</v>
          </cell>
          <cell r="D1404">
            <v>0</v>
          </cell>
          <cell r="E1404">
            <v>0</v>
          </cell>
          <cell r="F1404">
            <v>0</v>
          </cell>
          <cell r="G1404">
            <v>0</v>
          </cell>
          <cell r="H1404">
            <v>0</v>
          </cell>
          <cell r="I1404">
            <v>0</v>
          </cell>
          <cell r="J1404">
            <v>0</v>
          </cell>
          <cell r="K1404">
            <v>0</v>
          </cell>
          <cell r="L1404">
            <v>-6479.08</v>
          </cell>
          <cell r="M1404">
            <v>0</v>
          </cell>
          <cell r="N1404">
            <v>0</v>
          </cell>
          <cell r="O1404">
            <v>0</v>
          </cell>
        </row>
        <row r="1405">
          <cell r="A1405" t="str">
            <v>DOMsDIRECT MAIL</v>
          </cell>
          <cell r="B1405">
            <v>0</v>
          </cell>
          <cell r="C1405">
            <v>0</v>
          </cell>
          <cell r="D1405">
            <v>0</v>
          </cell>
          <cell r="E1405">
            <v>0</v>
          </cell>
          <cell r="F1405">
            <v>0</v>
          </cell>
          <cell r="G1405">
            <v>0</v>
          </cell>
          <cell r="H1405">
            <v>0</v>
          </cell>
          <cell r="I1405">
            <v>0</v>
          </cell>
          <cell r="J1405">
            <v>0</v>
          </cell>
          <cell r="K1405">
            <v>0</v>
          </cell>
          <cell r="L1405">
            <v>0</v>
          </cell>
          <cell r="M1405">
            <v>0</v>
          </cell>
          <cell r="N1405">
            <v>0</v>
          </cell>
          <cell r="O1405">
            <v>0</v>
          </cell>
        </row>
        <row r="1406">
          <cell r="A1406" t="str">
            <v>DOMsDATA PROCESSING</v>
          </cell>
          <cell r="B1406">
            <v>140413.26</v>
          </cell>
          <cell r="C1406">
            <v>179717.22</v>
          </cell>
          <cell r="D1406">
            <v>107685.99</v>
          </cell>
          <cell r="E1406">
            <v>193341.45</v>
          </cell>
          <cell r="F1406">
            <v>621157.92000000004</v>
          </cell>
          <cell r="G1406">
            <v>125701</v>
          </cell>
          <cell r="H1406">
            <v>125701</v>
          </cell>
          <cell r="I1406">
            <v>125701</v>
          </cell>
          <cell r="J1406">
            <v>125701</v>
          </cell>
          <cell r="K1406">
            <v>502804</v>
          </cell>
          <cell r="L1406">
            <v>-532283.34</v>
          </cell>
          <cell r="M1406">
            <v>546402.95623500005</v>
          </cell>
          <cell r="N1406">
            <v>592606.10280400002</v>
          </cell>
          <cell r="O1406">
            <v>645121.27650499996</v>
          </cell>
        </row>
        <row r="1407">
          <cell r="A1407" t="str">
            <v>DOMsCONSULTING</v>
          </cell>
          <cell r="B1407">
            <v>377122.17</v>
          </cell>
          <cell r="C1407">
            <v>269505.23</v>
          </cell>
          <cell r="D1407">
            <v>397687.45</v>
          </cell>
          <cell r="E1407">
            <v>-385341.37</v>
          </cell>
          <cell r="F1407">
            <v>658973.48</v>
          </cell>
          <cell r="G1407">
            <v>215538</v>
          </cell>
          <cell r="H1407">
            <v>215538</v>
          </cell>
          <cell r="I1407">
            <v>215538</v>
          </cell>
          <cell r="J1407">
            <v>215538</v>
          </cell>
          <cell r="K1407">
            <v>862152</v>
          </cell>
          <cell r="L1407">
            <v>-260236.23</v>
          </cell>
          <cell r="M1407">
            <v>1468474.9462319999</v>
          </cell>
          <cell r="N1407">
            <v>1510112.9750659999</v>
          </cell>
          <cell r="O1407">
            <v>1586929.863626</v>
          </cell>
        </row>
        <row r="1408">
          <cell r="A1408" t="str">
            <v>DOMsTEMP SERVICES</v>
          </cell>
          <cell r="B1408">
            <v>115695.86</v>
          </cell>
          <cell r="C1408">
            <v>133080.4</v>
          </cell>
          <cell r="D1408">
            <v>249612.82</v>
          </cell>
          <cell r="E1408">
            <v>270115.36</v>
          </cell>
          <cell r="F1408">
            <v>768504.44</v>
          </cell>
          <cell r="G1408">
            <v>182143</v>
          </cell>
          <cell r="H1408">
            <v>182143</v>
          </cell>
          <cell r="I1408">
            <v>182143</v>
          </cell>
          <cell r="J1408">
            <v>182143</v>
          </cell>
          <cell r="K1408">
            <v>728572</v>
          </cell>
          <cell r="L1408">
            <v>-588994.37</v>
          </cell>
          <cell r="M1408">
            <v>694055.94488900003</v>
          </cell>
          <cell r="N1408">
            <v>750441.95774400001</v>
          </cell>
          <cell r="O1408">
            <v>810956.78373599995</v>
          </cell>
        </row>
        <row r="1409">
          <cell r="A1409" t="str">
            <v>DOMsGDC CHARGES</v>
          </cell>
          <cell r="B1409">
            <v>0</v>
          </cell>
          <cell r="C1409">
            <v>0</v>
          </cell>
          <cell r="D1409">
            <v>0</v>
          </cell>
          <cell r="E1409">
            <v>0</v>
          </cell>
          <cell r="F1409">
            <v>0</v>
          </cell>
          <cell r="G1409">
            <v>0</v>
          </cell>
          <cell r="H1409">
            <v>0</v>
          </cell>
          <cell r="I1409">
            <v>0</v>
          </cell>
          <cell r="J1409">
            <v>0</v>
          </cell>
          <cell r="K1409">
            <v>0</v>
          </cell>
          <cell r="L1409">
            <v>0</v>
          </cell>
          <cell r="M1409">
            <v>0</v>
          </cell>
          <cell r="N1409">
            <v>0</v>
          </cell>
          <cell r="O1409">
            <v>0</v>
          </cell>
        </row>
        <row r="1410">
          <cell r="A1410" t="str">
            <v>DOMsTRAINING AND EDUCATION</v>
          </cell>
          <cell r="B1410">
            <v>0</v>
          </cell>
          <cell r="C1410">
            <v>0</v>
          </cell>
          <cell r="D1410">
            <v>0</v>
          </cell>
          <cell r="E1410">
            <v>166913.60999999999</v>
          </cell>
          <cell r="F1410">
            <v>166913.60999999999</v>
          </cell>
          <cell r="G1410">
            <v>49648</v>
          </cell>
          <cell r="H1410">
            <v>49648</v>
          </cell>
          <cell r="I1410">
            <v>49648</v>
          </cell>
          <cell r="J1410">
            <v>49648</v>
          </cell>
          <cell r="K1410">
            <v>198592</v>
          </cell>
          <cell r="L1410">
            <v>-161137.9</v>
          </cell>
          <cell r="M1410">
            <v>127806.627528</v>
          </cell>
          <cell r="N1410">
            <v>138435.21084300001</v>
          </cell>
          <cell r="O1410">
            <v>149900.395846</v>
          </cell>
        </row>
        <row r="1411">
          <cell r="A1411" t="str">
            <v>DOMsOUTSIDE SERVICES  AND FEES</v>
          </cell>
          <cell r="B1411">
            <v>1076.74</v>
          </cell>
          <cell r="C1411">
            <v>-14641.98</v>
          </cell>
          <cell r="D1411">
            <v>0</v>
          </cell>
          <cell r="E1411">
            <v>7158.96</v>
          </cell>
          <cell r="F1411">
            <v>-6406.28</v>
          </cell>
          <cell r="G1411">
            <v>0</v>
          </cell>
          <cell r="H1411">
            <v>0</v>
          </cell>
          <cell r="I1411">
            <v>0</v>
          </cell>
          <cell r="J1411">
            <v>0</v>
          </cell>
          <cell r="K1411">
            <v>0</v>
          </cell>
          <cell r="L1411">
            <v>12937.55</v>
          </cell>
          <cell r="M1411">
            <v>6587.7353670000002</v>
          </cell>
          <cell r="N1411">
            <v>7055.3513000000003</v>
          </cell>
          <cell r="O1411">
            <v>7545.0722969999997</v>
          </cell>
        </row>
        <row r="1412">
          <cell r="A1412" t="str">
            <v>DOMsSTATE, FOREIGN, LOCAL TAXES</v>
          </cell>
          <cell r="B1412">
            <v>311940.99</v>
          </cell>
          <cell r="C1412">
            <v>208632.85</v>
          </cell>
          <cell r="D1412">
            <v>326229.90000000002</v>
          </cell>
          <cell r="E1412">
            <v>45875.22</v>
          </cell>
          <cell r="F1412">
            <v>892678.96</v>
          </cell>
          <cell r="G1412">
            <v>177155</v>
          </cell>
          <cell r="H1412">
            <v>177155</v>
          </cell>
          <cell r="I1412">
            <v>177155</v>
          </cell>
          <cell r="J1412">
            <v>177155</v>
          </cell>
          <cell r="K1412">
            <v>708620</v>
          </cell>
          <cell r="L1412">
            <v>-610780.29</v>
          </cell>
          <cell r="M1412">
            <v>1427793.5573170001</v>
          </cell>
          <cell r="N1412">
            <v>1528189.361389</v>
          </cell>
          <cell r="O1412">
            <v>1645485.644298</v>
          </cell>
        </row>
        <row r="1413">
          <cell r="A1413" t="str">
            <v>DOMsS/L TAX - INSURANCE PREMIUMS</v>
          </cell>
          <cell r="B1413">
            <v>0</v>
          </cell>
          <cell r="C1413">
            <v>0</v>
          </cell>
          <cell r="D1413">
            <v>0</v>
          </cell>
          <cell r="E1413">
            <v>0</v>
          </cell>
          <cell r="F1413">
            <v>0</v>
          </cell>
          <cell r="G1413">
            <v>0</v>
          </cell>
          <cell r="H1413">
            <v>0</v>
          </cell>
          <cell r="I1413">
            <v>0</v>
          </cell>
          <cell r="J1413">
            <v>0</v>
          </cell>
          <cell r="K1413">
            <v>0</v>
          </cell>
          <cell r="L1413">
            <v>0</v>
          </cell>
          <cell r="M1413">
            <v>0</v>
          </cell>
          <cell r="N1413">
            <v>0</v>
          </cell>
          <cell r="O1413">
            <v>0</v>
          </cell>
        </row>
        <row r="1414">
          <cell r="A1414" t="str">
            <v>DOMsSATELLITE LEASE EXPENSE</v>
          </cell>
          <cell r="B1414">
            <v>0</v>
          </cell>
          <cell r="C1414">
            <v>0</v>
          </cell>
          <cell r="D1414">
            <v>0</v>
          </cell>
          <cell r="E1414">
            <v>0</v>
          </cell>
          <cell r="F1414">
            <v>0</v>
          </cell>
          <cell r="G1414">
            <v>0</v>
          </cell>
          <cell r="H1414">
            <v>0</v>
          </cell>
          <cell r="I1414">
            <v>0</v>
          </cell>
          <cell r="J1414">
            <v>0</v>
          </cell>
          <cell r="K1414">
            <v>0</v>
          </cell>
          <cell r="L1414">
            <v>0</v>
          </cell>
          <cell r="M1414">
            <v>0</v>
          </cell>
          <cell r="N1414">
            <v>0</v>
          </cell>
          <cell r="O1414">
            <v>0</v>
          </cell>
        </row>
        <row r="1415">
          <cell r="A1415" t="str">
            <v>DOMsBUSINESS SHARE EXPENSE</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row>
        <row r="1416">
          <cell r="A1416" t="str">
            <v>DOMsINSURANCE AFFILIATE EXPENSE</v>
          </cell>
          <cell r="B1416">
            <v>0</v>
          </cell>
          <cell r="C1416">
            <v>0</v>
          </cell>
          <cell r="D1416">
            <v>0</v>
          </cell>
          <cell r="E1416">
            <v>0</v>
          </cell>
          <cell r="F1416">
            <v>0</v>
          </cell>
          <cell r="G1416">
            <v>1837</v>
          </cell>
          <cell r="H1416">
            <v>1837</v>
          </cell>
          <cell r="I1416">
            <v>1837</v>
          </cell>
          <cell r="J1416">
            <v>1837</v>
          </cell>
          <cell r="K1416">
            <v>7348</v>
          </cell>
          <cell r="L1416">
            <v>0</v>
          </cell>
          <cell r="M1416">
            <v>0</v>
          </cell>
          <cell r="N1416">
            <v>0</v>
          </cell>
          <cell r="O1416">
            <v>0</v>
          </cell>
        </row>
        <row r="1417">
          <cell r="A1417" t="str">
            <v>DOMsOTHER FACILITY EXPENSE</v>
          </cell>
          <cell r="B1417">
            <v>89382.66</v>
          </cell>
          <cell r="C1417">
            <v>117222.8</v>
          </cell>
          <cell r="D1417">
            <v>98987.51</v>
          </cell>
          <cell r="E1417">
            <v>169218.77</v>
          </cell>
          <cell r="F1417">
            <v>474811.74</v>
          </cell>
          <cell r="G1417">
            <v>141418</v>
          </cell>
          <cell r="H1417">
            <v>141418</v>
          </cell>
          <cell r="I1417">
            <v>141418</v>
          </cell>
          <cell r="J1417">
            <v>141418</v>
          </cell>
          <cell r="K1417">
            <v>565672</v>
          </cell>
          <cell r="L1417">
            <v>-372207.52</v>
          </cell>
          <cell r="M1417">
            <v>500747.21249300003</v>
          </cell>
          <cell r="N1417">
            <v>545804.30106600001</v>
          </cell>
          <cell r="O1417">
            <v>598818.62190499995</v>
          </cell>
        </row>
        <row r="1418">
          <cell r="A1418" t="str">
            <v>DOMsGROSS OP &amp; ADMIN BUS SHARE</v>
          </cell>
          <cell r="B1418">
            <v>0</v>
          </cell>
          <cell r="C1418">
            <v>0</v>
          </cell>
          <cell r="D1418">
            <v>0</v>
          </cell>
          <cell r="E1418">
            <v>0</v>
          </cell>
          <cell r="F1418">
            <v>0</v>
          </cell>
          <cell r="G1418">
            <v>0</v>
          </cell>
          <cell r="H1418">
            <v>0</v>
          </cell>
          <cell r="I1418">
            <v>0</v>
          </cell>
          <cell r="J1418">
            <v>0</v>
          </cell>
          <cell r="K1418">
            <v>0</v>
          </cell>
          <cell r="L1418">
            <v>0</v>
          </cell>
          <cell r="M1418">
            <v>0</v>
          </cell>
          <cell r="N1418">
            <v>0</v>
          </cell>
          <cell r="O1418">
            <v>0</v>
          </cell>
        </row>
        <row r="1419">
          <cell r="A1419" t="str">
            <v>DOMsOTHER EXPENSE</v>
          </cell>
          <cell r="B1419">
            <v>-63471.199999999997</v>
          </cell>
          <cell r="C1419">
            <v>346011.31</v>
          </cell>
          <cell r="D1419">
            <v>-58414.27</v>
          </cell>
          <cell r="E1419">
            <v>878011.28</v>
          </cell>
          <cell r="F1419">
            <v>1102137.1200000001</v>
          </cell>
          <cell r="G1419">
            <v>218769</v>
          </cell>
          <cell r="H1419">
            <v>218769</v>
          </cell>
          <cell r="I1419">
            <v>218769</v>
          </cell>
          <cell r="J1419">
            <v>218769</v>
          </cell>
          <cell r="K1419">
            <v>875076</v>
          </cell>
          <cell r="L1419">
            <v>11140484.140000001</v>
          </cell>
          <cell r="M1419">
            <v>526799.91232300003</v>
          </cell>
          <cell r="N1419">
            <v>491800.22640500002</v>
          </cell>
          <cell r="O1419">
            <v>475465.97746999998</v>
          </cell>
        </row>
        <row r="1420">
          <cell r="A1420" t="str">
            <v>DOMsGECC INTERCO EXPENSES EXCL GECIS</v>
          </cell>
          <cell r="B1420">
            <v>-0.13</v>
          </cell>
          <cell r="C1420">
            <v>0</v>
          </cell>
          <cell r="D1420">
            <v>0</v>
          </cell>
          <cell r="E1420">
            <v>0</v>
          </cell>
          <cell r="F1420">
            <v>-0.13</v>
          </cell>
          <cell r="G1420">
            <v>0</v>
          </cell>
          <cell r="H1420">
            <v>0</v>
          </cell>
          <cell r="I1420">
            <v>0</v>
          </cell>
          <cell r="J1420">
            <v>0</v>
          </cell>
          <cell r="K1420">
            <v>0</v>
          </cell>
          <cell r="L1420">
            <v>50804.65</v>
          </cell>
          <cell r="M1420">
            <v>0</v>
          </cell>
          <cell r="N1420">
            <v>0</v>
          </cell>
          <cell r="O1420">
            <v>0</v>
          </cell>
        </row>
        <row r="1421">
          <cell r="A1421" t="str">
            <v>DOMsGECIS INTERCO CHARGES</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row>
        <row r="1422">
          <cell r="A1422" t="str">
            <v>DOMsLOSS ADJUSTED EXPENSE</v>
          </cell>
          <cell r="B1422">
            <v>0</v>
          </cell>
          <cell r="C1422">
            <v>0</v>
          </cell>
          <cell r="D1422">
            <v>0</v>
          </cell>
          <cell r="E1422">
            <v>0</v>
          </cell>
          <cell r="F1422">
            <v>0</v>
          </cell>
          <cell r="G1422">
            <v>0</v>
          </cell>
          <cell r="H1422">
            <v>0</v>
          </cell>
          <cell r="I1422">
            <v>0</v>
          </cell>
          <cell r="J1422">
            <v>0</v>
          </cell>
          <cell r="K1422">
            <v>0</v>
          </cell>
          <cell r="L1422">
            <v>0</v>
          </cell>
          <cell r="M1422">
            <v>0</v>
          </cell>
          <cell r="N1422">
            <v>0</v>
          </cell>
          <cell r="O1422">
            <v>0</v>
          </cell>
        </row>
        <row r="1423">
          <cell r="A1423" t="str">
            <v>DOMsALL OTHER EXPENSES</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row>
        <row r="1424">
          <cell r="A1424" t="str">
            <v>DOMsASSESSMENTS</v>
          </cell>
          <cell r="B1424">
            <v>517089</v>
          </cell>
          <cell r="C1424">
            <v>517089</v>
          </cell>
          <cell r="D1424">
            <v>517089</v>
          </cell>
          <cell r="E1424">
            <v>455983.42</v>
          </cell>
          <cell r="F1424">
            <v>2007250.42</v>
          </cell>
          <cell r="G1424">
            <v>481959</v>
          </cell>
          <cell r="H1424">
            <v>481959</v>
          </cell>
          <cell r="I1424">
            <v>481959</v>
          </cell>
          <cell r="J1424">
            <v>481959</v>
          </cell>
          <cell r="K1424">
            <v>1927836</v>
          </cell>
          <cell r="L1424">
            <v>460846.64</v>
          </cell>
          <cell r="M1424">
            <v>1903871.3068329999</v>
          </cell>
          <cell r="N1424">
            <v>2043106.662638</v>
          </cell>
          <cell r="O1424">
            <v>2181202.2472640001</v>
          </cell>
        </row>
        <row r="1425">
          <cell r="A1425" t="str">
            <v>DOMsFAS 91</v>
          </cell>
          <cell r="B1425">
            <v>-99704.61</v>
          </cell>
          <cell r="C1425">
            <v>-105312.89</v>
          </cell>
          <cell r="D1425">
            <v>-141061.38</v>
          </cell>
          <cell r="E1425">
            <v>76746.45</v>
          </cell>
          <cell r="F1425">
            <v>-269332.43</v>
          </cell>
          <cell r="G1425">
            <v>-47565</v>
          </cell>
          <cell r="H1425">
            <v>-47565</v>
          </cell>
          <cell r="I1425">
            <v>-47565</v>
          </cell>
          <cell r="J1425">
            <v>-47565</v>
          </cell>
          <cell r="K1425">
            <v>-190260</v>
          </cell>
          <cell r="L1425">
            <v>-1970900.44</v>
          </cell>
          <cell r="M1425">
            <v>-130416.27552700001</v>
          </cell>
          <cell r="N1425">
            <v>-163210.75429899999</v>
          </cell>
          <cell r="O1425">
            <v>-179149.36378000001</v>
          </cell>
        </row>
        <row r="1426">
          <cell r="A1426" t="str">
            <v>DOMsGOODWILL AMORTIZATION</v>
          </cell>
          <cell r="B1426">
            <v>1274880.96</v>
          </cell>
          <cell r="C1426">
            <v>1212153.3600000001</v>
          </cell>
          <cell r="D1426">
            <v>1174933.44</v>
          </cell>
          <cell r="E1426">
            <v>1290229.47</v>
          </cell>
          <cell r="F1426">
            <v>4952197.2300000004</v>
          </cell>
          <cell r="G1426">
            <v>0</v>
          </cell>
          <cell r="H1426">
            <v>0</v>
          </cell>
          <cell r="I1426">
            <v>0</v>
          </cell>
          <cell r="J1426">
            <v>0</v>
          </cell>
          <cell r="K1426">
            <v>0</v>
          </cell>
          <cell r="L1426">
            <v>0</v>
          </cell>
          <cell r="M1426">
            <v>4943782.6960610002</v>
          </cell>
          <cell r="N1426">
            <v>4943782.6960610002</v>
          </cell>
          <cell r="O1426">
            <v>4943782.6960610002</v>
          </cell>
        </row>
        <row r="1427">
          <cell r="A1427" t="str">
            <v>DOMsDEPRECIATION EXPENSE</v>
          </cell>
          <cell r="B1427">
            <v>185865.12</v>
          </cell>
          <cell r="C1427">
            <v>169867.3</v>
          </cell>
          <cell r="D1427">
            <v>198776.65</v>
          </cell>
          <cell r="E1427">
            <v>232654.32</v>
          </cell>
          <cell r="F1427">
            <v>787163.39</v>
          </cell>
          <cell r="G1427">
            <v>239990</v>
          </cell>
          <cell r="H1427">
            <v>239990</v>
          </cell>
          <cell r="I1427">
            <v>239990</v>
          </cell>
          <cell r="J1427">
            <v>239990</v>
          </cell>
          <cell r="K1427">
            <v>959960</v>
          </cell>
          <cell r="L1427">
            <v>200627.18</v>
          </cell>
          <cell r="M1427">
            <v>987601.60287499998</v>
          </cell>
          <cell r="N1427">
            <v>1069813.3411650001</v>
          </cell>
          <cell r="O1427">
            <v>1160835.899578</v>
          </cell>
        </row>
        <row r="1428">
          <cell r="A1428" t="str">
            <v>DOMsELTO AMORTIZATION</v>
          </cell>
          <cell r="B1428">
            <v>0</v>
          </cell>
          <cell r="C1428">
            <v>0</v>
          </cell>
          <cell r="D1428">
            <v>0</v>
          </cell>
          <cell r="E1428">
            <v>0</v>
          </cell>
          <cell r="F1428">
            <v>0</v>
          </cell>
          <cell r="G1428">
            <v>0</v>
          </cell>
          <cell r="H1428">
            <v>0</v>
          </cell>
          <cell r="I1428">
            <v>0</v>
          </cell>
          <cell r="J1428">
            <v>0</v>
          </cell>
          <cell r="K1428">
            <v>0</v>
          </cell>
          <cell r="L1428">
            <v>0</v>
          </cell>
          <cell r="M1428">
            <v>0</v>
          </cell>
          <cell r="N1428">
            <v>0</v>
          </cell>
          <cell r="O1428">
            <v>0</v>
          </cell>
        </row>
        <row r="1429">
          <cell r="A1429" t="str">
            <v>DOMsINSURANCE LOSSES AND BENEFITS</v>
          </cell>
          <cell r="B1429">
            <v>0</v>
          </cell>
          <cell r="C1429">
            <v>0</v>
          </cell>
          <cell r="D1429">
            <v>0</v>
          </cell>
          <cell r="E1429">
            <v>0</v>
          </cell>
          <cell r="F1429">
            <v>0</v>
          </cell>
          <cell r="G1429">
            <v>0</v>
          </cell>
          <cell r="H1429">
            <v>0</v>
          </cell>
          <cell r="I1429">
            <v>0</v>
          </cell>
          <cell r="J1429">
            <v>0</v>
          </cell>
          <cell r="K1429">
            <v>0</v>
          </cell>
          <cell r="L1429">
            <v>0</v>
          </cell>
          <cell r="M1429">
            <v>0</v>
          </cell>
          <cell r="N1429">
            <v>0</v>
          </cell>
          <cell r="O1429">
            <v>0</v>
          </cell>
        </row>
        <row r="1430">
          <cell r="A1430" t="str">
            <v>DOMsWRITE OFFS</v>
          </cell>
          <cell r="B1430">
            <v>3377638.77</v>
          </cell>
          <cell r="C1430">
            <v>3553426.6</v>
          </cell>
          <cell r="D1430">
            <v>2333682.12</v>
          </cell>
          <cell r="E1430">
            <v>3969838.54</v>
          </cell>
          <cell r="F1430">
            <v>13234586.029999999</v>
          </cell>
          <cell r="G1430">
            <v>2429585</v>
          </cell>
          <cell r="H1430">
            <v>3152920</v>
          </cell>
          <cell r="I1430">
            <v>2852669</v>
          </cell>
          <cell r="J1430">
            <v>3535647</v>
          </cell>
          <cell r="K1430">
            <v>11970821</v>
          </cell>
          <cell r="L1430">
            <v>3312877.91</v>
          </cell>
          <cell r="M1430">
            <v>11696472.285079001</v>
          </cell>
          <cell r="N1430">
            <v>12217396.384093</v>
          </cell>
          <cell r="O1430">
            <v>13121331.358874001</v>
          </cell>
        </row>
        <row r="1431">
          <cell r="A1431" t="str">
            <v>DOMsRESERVE CHANGE</v>
          </cell>
          <cell r="B1431">
            <v>-846207.43</v>
          </cell>
          <cell r="C1431">
            <v>0</v>
          </cell>
          <cell r="D1431">
            <v>0</v>
          </cell>
          <cell r="E1431">
            <v>0</v>
          </cell>
          <cell r="F1431">
            <v>-846207.43</v>
          </cell>
          <cell r="G1431">
            <v>0</v>
          </cell>
          <cell r="H1431">
            <v>0</v>
          </cell>
          <cell r="I1431">
            <v>0</v>
          </cell>
          <cell r="J1431">
            <v>0</v>
          </cell>
          <cell r="K1431">
            <v>0</v>
          </cell>
          <cell r="L1431">
            <v>-725945.01</v>
          </cell>
          <cell r="M1431">
            <v>0</v>
          </cell>
          <cell r="N1431">
            <v>0</v>
          </cell>
          <cell r="O1431">
            <v>0</v>
          </cell>
        </row>
        <row r="1432">
          <cell r="A1432" t="str">
            <v>DOMsMINORITY INTEREST</v>
          </cell>
          <cell r="B1432">
            <v>80673.06</v>
          </cell>
          <cell r="C1432">
            <v>71926.039999999994</v>
          </cell>
          <cell r="D1432">
            <v>83380.09</v>
          </cell>
          <cell r="E1432">
            <v>93679.27</v>
          </cell>
          <cell r="F1432">
            <v>329658.46000000002</v>
          </cell>
          <cell r="G1432">
            <v>102937</v>
          </cell>
          <cell r="H1432">
            <v>92665</v>
          </cell>
          <cell r="I1432">
            <v>97061</v>
          </cell>
          <cell r="J1432">
            <v>109946</v>
          </cell>
          <cell r="K1432">
            <v>402609</v>
          </cell>
          <cell r="L1432">
            <v>117238.17</v>
          </cell>
          <cell r="M1432">
            <v>338256.78382800001</v>
          </cell>
          <cell r="N1432">
            <v>339815.47515399999</v>
          </cell>
          <cell r="O1432">
            <v>362486.53421399998</v>
          </cell>
        </row>
        <row r="1433">
          <cell r="A1433" t="str">
            <v>DOMsINCOME TAXES</v>
          </cell>
          <cell r="B1433">
            <v>2058511.45</v>
          </cell>
          <cell r="C1433">
            <v>1852255.18</v>
          </cell>
          <cell r="D1433">
            <v>2009799.2625</v>
          </cell>
          <cell r="E1433">
            <v>1975698.0674999999</v>
          </cell>
          <cell r="F1433">
            <v>7896263.96</v>
          </cell>
          <cell r="G1433">
            <v>2738104</v>
          </cell>
          <cell r="H1433">
            <v>2426234</v>
          </cell>
          <cell r="I1433">
            <v>2612381</v>
          </cell>
          <cell r="J1433">
            <v>2760054</v>
          </cell>
          <cell r="K1433">
            <v>10536773</v>
          </cell>
          <cell r="L1433">
            <v>2971551</v>
          </cell>
          <cell r="M1433">
            <v>8507193.8151379991</v>
          </cell>
          <cell r="N1433">
            <v>8963226.6603549998</v>
          </cell>
          <cell r="O1433">
            <v>10137370.194375999</v>
          </cell>
        </row>
        <row r="1434">
          <cell r="A1434" t="str">
            <v>DOMsCUMULATIVE TRANSITION ADJUSTMENT</v>
          </cell>
          <cell r="B1434">
            <v>0</v>
          </cell>
          <cell r="C1434">
            <v>0</v>
          </cell>
          <cell r="D1434">
            <v>0</v>
          </cell>
          <cell r="E1434">
            <v>0</v>
          </cell>
          <cell r="F1434">
            <v>0</v>
          </cell>
          <cell r="G1434">
            <v>0</v>
          </cell>
          <cell r="H1434">
            <v>0</v>
          </cell>
          <cell r="I1434">
            <v>0</v>
          </cell>
          <cell r="J1434">
            <v>0</v>
          </cell>
          <cell r="K1434">
            <v>0</v>
          </cell>
          <cell r="L1434">
            <v>0</v>
          </cell>
          <cell r="M1434">
            <v>0</v>
          </cell>
          <cell r="N1434">
            <v>0</v>
          </cell>
          <cell r="O1434">
            <v>0</v>
          </cell>
        </row>
        <row r="1435">
          <cell r="A1435" t="str">
            <v>DOMsASIA PACIFIC NI DIVIDEND</v>
          </cell>
          <cell r="B1435">
            <v>0</v>
          </cell>
          <cell r="C1435">
            <v>0</v>
          </cell>
          <cell r="D1435">
            <v>0</v>
          </cell>
          <cell r="E1435">
            <v>0</v>
          </cell>
          <cell r="F1435">
            <v>0</v>
          </cell>
          <cell r="G1435">
            <v>0</v>
          </cell>
          <cell r="H1435">
            <v>0</v>
          </cell>
          <cell r="I1435">
            <v>0</v>
          </cell>
          <cell r="J1435">
            <v>0</v>
          </cell>
          <cell r="K1435">
            <v>0</v>
          </cell>
          <cell r="L1435">
            <v>0</v>
          </cell>
          <cell r="M1435">
            <v>0</v>
          </cell>
          <cell r="N1435">
            <v>0</v>
          </cell>
          <cell r="O1435">
            <v>0</v>
          </cell>
        </row>
        <row r="1436">
          <cell r="A1436" t="str">
            <v>DOMsNet Income</v>
          </cell>
          <cell r="B1436">
            <v>-3509993.78</v>
          </cell>
          <cell r="C1436">
            <v>-3151885.17</v>
          </cell>
          <cell r="D1436">
            <v>-3449798.0775000001</v>
          </cell>
          <cell r="E1436">
            <v>-3395838.1924999999</v>
          </cell>
          <cell r="F1436">
            <v>-13507515.220000001</v>
          </cell>
          <cell r="G1436">
            <v>-4631826</v>
          </cell>
          <cell r="H1436">
            <v>-4351634</v>
          </cell>
          <cell r="I1436">
            <v>-4689340</v>
          </cell>
          <cell r="J1436">
            <v>-4966971</v>
          </cell>
          <cell r="K1436">
            <v>-18639771</v>
          </cell>
          <cell r="L1436">
            <v>-5355489.1399999997</v>
          </cell>
          <cell r="M1436">
            <v>-14384951.507766999</v>
          </cell>
          <cell r="N1436">
            <v>-15717748.391796</v>
          </cell>
          <cell r="O1436">
            <v>-17325972.332889002</v>
          </cell>
        </row>
        <row r="1437">
          <cell r="A1437" t="str">
            <v>DOMsSubPart F</v>
          </cell>
          <cell r="B1437">
            <v>0</v>
          </cell>
          <cell r="C1437">
            <v>0</v>
          </cell>
          <cell r="D1437">
            <v>0</v>
          </cell>
          <cell r="E1437">
            <v>0</v>
          </cell>
          <cell r="F1437">
            <v>0</v>
          </cell>
          <cell r="G1437">
            <v>0</v>
          </cell>
          <cell r="H1437">
            <v>0</v>
          </cell>
          <cell r="I1437">
            <v>0</v>
          </cell>
          <cell r="J1437">
            <v>0</v>
          </cell>
          <cell r="K1437">
            <v>0</v>
          </cell>
          <cell r="L1437">
            <v>0</v>
          </cell>
          <cell r="M1437">
            <v>0</v>
          </cell>
          <cell r="N1437">
            <v>0</v>
          </cell>
          <cell r="O1437">
            <v>0</v>
          </cell>
        </row>
        <row r="1438">
          <cell r="A1438" t="str">
            <v>DOMsAssets</v>
          </cell>
          <cell r="B1438">
            <v>736639712.13</v>
          </cell>
          <cell r="C1438">
            <v>726106965.33000004</v>
          </cell>
          <cell r="D1438">
            <v>843490774.09000003</v>
          </cell>
          <cell r="E1438">
            <v>818046051.57000005</v>
          </cell>
          <cell r="F1438">
            <v>818046051.57000005</v>
          </cell>
          <cell r="G1438">
            <v>825016330</v>
          </cell>
          <cell r="H1438">
            <v>840220993</v>
          </cell>
          <cell r="I1438">
            <v>855382460</v>
          </cell>
          <cell r="J1438">
            <v>870979266</v>
          </cell>
          <cell r="K1438">
            <v>870979266</v>
          </cell>
          <cell r="L1438">
            <v>810636756.09000003</v>
          </cell>
          <cell r="M1438">
            <v>844769264.58302104</v>
          </cell>
          <cell r="N1438">
            <v>908579968.80802405</v>
          </cell>
          <cell r="O1438">
            <v>960116652.87273002</v>
          </cell>
        </row>
        <row r="1439">
          <cell r="A1439" t="str">
            <v>DOMsEnding Net Investment (ENI) incl Asia</v>
          </cell>
          <cell r="B1439">
            <v>732643256.78999996</v>
          </cell>
          <cell r="C1439">
            <v>708996185.92999995</v>
          </cell>
          <cell r="D1439">
            <v>751583145.45000005</v>
          </cell>
          <cell r="E1439">
            <v>764056863.54999995</v>
          </cell>
          <cell r="F1439">
            <v>764056863.54999995</v>
          </cell>
          <cell r="G1439">
            <v>769875464</v>
          </cell>
          <cell r="H1439">
            <v>784209190</v>
          </cell>
          <cell r="I1439">
            <v>798616158</v>
          </cell>
          <cell r="J1439">
            <v>813565236</v>
          </cell>
          <cell r="K1439">
            <v>813565236</v>
          </cell>
          <cell r="L1439">
            <v>773030961.25</v>
          </cell>
          <cell r="M1439">
            <v>787163803.89894295</v>
          </cell>
          <cell r="N1439">
            <v>847138493.86180997</v>
          </cell>
          <cell r="O1439">
            <v>896189293.49791098</v>
          </cell>
        </row>
        <row r="1440">
          <cell r="A1440" t="str">
            <v>DOMsANR YTD</v>
          </cell>
          <cell r="B1440">
            <v>669540367.755</v>
          </cell>
          <cell r="C1440">
            <v>672172554.353333</v>
          </cell>
          <cell r="D1440">
            <v>690135509.28499997</v>
          </cell>
          <cell r="E1440">
            <v>703471532.90600002</v>
          </cell>
          <cell r="F1440">
            <v>703471532.90600002</v>
          </cell>
          <cell r="G1440">
            <v>759197821.69500005</v>
          </cell>
          <cell r="H1440">
            <v>765117578.46333301</v>
          </cell>
          <cell r="I1440">
            <v>771923054.59749997</v>
          </cell>
          <cell r="J1440">
            <v>779307831.07799995</v>
          </cell>
          <cell r="K1440">
            <v>779307831.07799995</v>
          </cell>
          <cell r="L1440">
            <v>760086466.57500005</v>
          </cell>
          <cell r="M1440">
            <v>305006076.381253</v>
          </cell>
          <cell r="N1440">
            <v>331684111.79758298</v>
          </cell>
          <cell r="O1440">
            <v>357089240.88742298</v>
          </cell>
        </row>
        <row r="1441">
          <cell r="A1441" t="str">
            <v>DOMsASA YTD</v>
          </cell>
          <cell r="B1441">
            <v>669540367.755</v>
          </cell>
          <cell r="C1441">
            <v>672172554.353333</v>
          </cell>
          <cell r="D1441">
            <v>690135509.28499997</v>
          </cell>
          <cell r="E1441">
            <v>703471532.90600002</v>
          </cell>
          <cell r="F1441">
            <v>703471532.90600002</v>
          </cell>
          <cell r="G1441">
            <v>759197821.69500005</v>
          </cell>
          <cell r="H1441">
            <v>765117578.46333301</v>
          </cell>
          <cell r="I1441">
            <v>771923054.59749997</v>
          </cell>
          <cell r="J1441">
            <v>779307831.07799995</v>
          </cell>
          <cell r="K1441">
            <v>779307831.07799995</v>
          </cell>
          <cell r="L1441">
            <v>760086466.57500005</v>
          </cell>
          <cell r="M1441">
            <v>305006076.381253</v>
          </cell>
          <cell r="N1441">
            <v>331684111.79758298</v>
          </cell>
          <cell r="O1441">
            <v>357089240.88742298</v>
          </cell>
        </row>
        <row r="1442">
          <cell r="A1442" t="str">
            <v>DOMsANI YTD incl Asia - 5 pt</v>
          </cell>
          <cell r="B1442">
            <v>728195401.39499998</v>
          </cell>
          <cell r="C1442">
            <v>721795662.90666699</v>
          </cell>
          <cell r="D1442">
            <v>729242533.54250002</v>
          </cell>
          <cell r="E1442">
            <v>736205399.54400003</v>
          </cell>
          <cell r="F1442">
            <v>736205399.54400003</v>
          </cell>
          <cell r="G1442">
            <v>766966163.77499998</v>
          </cell>
          <cell r="H1442">
            <v>772713839.18333304</v>
          </cell>
          <cell r="I1442">
            <v>779189418.88750005</v>
          </cell>
          <cell r="J1442">
            <v>786064582.30999994</v>
          </cell>
          <cell r="K1442">
            <v>786064582.30999994</v>
          </cell>
          <cell r="L1442">
            <v>768543912.39999998</v>
          </cell>
          <cell r="M1442">
            <v>304280738.06887901</v>
          </cell>
          <cell r="N1442">
            <v>326860459.55215001</v>
          </cell>
          <cell r="O1442">
            <v>348665557.47194397</v>
          </cell>
        </row>
        <row r="1443">
          <cell r="A1443" t="str">
            <v>DOMsOff Balance Sheet Assets</v>
          </cell>
          <cell r="B1443">
            <v>0</v>
          </cell>
          <cell r="C1443">
            <v>0</v>
          </cell>
          <cell r="D1443">
            <v>0</v>
          </cell>
          <cell r="E1443">
            <v>0</v>
          </cell>
          <cell r="F1443">
            <v>0</v>
          </cell>
          <cell r="G1443">
            <v>0</v>
          </cell>
          <cell r="H1443">
            <v>0</v>
          </cell>
          <cell r="I1443">
            <v>0</v>
          </cell>
          <cell r="J1443">
            <v>0</v>
          </cell>
          <cell r="K1443">
            <v>0</v>
          </cell>
          <cell r="L1443">
            <v>0</v>
          </cell>
          <cell r="M1443">
            <v>0</v>
          </cell>
          <cell r="N1443">
            <v>0</v>
          </cell>
          <cell r="O1443">
            <v>0</v>
          </cell>
        </row>
        <row r="1444">
          <cell r="A1444" t="str">
            <v>DOMsJV Receivables</v>
          </cell>
          <cell r="B1444">
            <v>0</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row>
        <row r="1445">
          <cell r="A1445" t="str">
            <v>DOMs30+ DELINQUENCY $</v>
          </cell>
          <cell r="B1445">
            <v>40999861.600000001</v>
          </cell>
          <cell r="C1445">
            <v>42030600.32</v>
          </cell>
          <cell r="D1445">
            <v>44926507.359999999</v>
          </cell>
          <cell r="E1445">
            <v>50933691.719999999</v>
          </cell>
          <cell r="F1445">
            <v>50933691.719999999</v>
          </cell>
          <cell r="G1445">
            <v>50949703.0704</v>
          </cell>
          <cell r="H1445">
            <v>51201472.362800002</v>
          </cell>
          <cell r="I1445">
            <v>51819002.188199997</v>
          </cell>
          <cell r="J1445">
            <v>52655935.598700002</v>
          </cell>
          <cell r="K1445">
            <v>52655935.598700002</v>
          </cell>
          <cell r="L1445">
            <v>53792487.450000003</v>
          </cell>
          <cell r="M1445">
            <v>49198234.93</v>
          </cell>
          <cell r="N1445">
            <v>53482873.979999997</v>
          </cell>
          <cell r="O1445">
            <v>57063027.740000002</v>
          </cell>
        </row>
        <row r="1446">
          <cell r="A1446" t="str">
            <v>DOMs90+ DELINQUENCY $</v>
          </cell>
          <cell r="B1446">
            <v>13801933.609999999</v>
          </cell>
          <cell r="C1446">
            <v>12853394.59</v>
          </cell>
          <cell r="D1446">
            <v>14304266.640000001</v>
          </cell>
          <cell r="E1446">
            <v>17633804.120000001</v>
          </cell>
          <cell r="F1446">
            <v>17633804.120000001</v>
          </cell>
          <cell r="G1446">
            <v>16297812.342399999</v>
          </cell>
          <cell r="H1446">
            <v>16160707.513599999</v>
          </cell>
          <cell r="I1446">
            <v>15846789.66</v>
          </cell>
          <cell r="J1446">
            <v>16015169.352600001</v>
          </cell>
          <cell r="K1446">
            <v>16015169.352600001</v>
          </cell>
          <cell r="L1446">
            <v>19818284.850000001</v>
          </cell>
          <cell r="M1446">
            <v>13468627.67</v>
          </cell>
          <cell r="N1446">
            <v>14641600.810000001</v>
          </cell>
          <cell r="O1446">
            <v>15626320.529999999</v>
          </cell>
        </row>
        <row r="1447">
          <cell r="A1447" t="str">
            <v>DOMsTemporary Staff</v>
          </cell>
          <cell r="B1447">
            <v>0</v>
          </cell>
          <cell r="C1447">
            <v>16.399999999999999</v>
          </cell>
          <cell r="D1447">
            <v>18</v>
          </cell>
          <cell r="E1447">
            <v>22</v>
          </cell>
          <cell r="F1447">
            <v>22</v>
          </cell>
          <cell r="G1447">
            <v>14.35</v>
          </cell>
          <cell r="H1447">
            <v>16.350000000000001</v>
          </cell>
          <cell r="I1447">
            <v>18.350000000000001</v>
          </cell>
          <cell r="J1447">
            <v>20.350000000000001</v>
          </cell>
          <cell r="K1447">
            <v>20.350000000000001</v>
          </cell>
          <cell r="L1447">
            <v>32.700000000000003</v>
          </cell>
          <cell r="M1447">
            <v>0</v>
          </cell>
          <cell r="N1447">
            <v>0</v>
          </cell>
          <cell r="O1447">
            <v>0</v>
          </cell>
        </row>
        <row r="1448">
          <cell r="A1448" t="str">
            <v>DOMsContractors</v>
          </cell>
          <cell r="B1448">
            <v>0</v>
          </cell>
          <cell r="C1448">
            <v>1</v>
          </cell>
          <cell r="D1448">
            <v>1</v>
          </cell>
          <cell r="E1448">
            <v>1</v>
          </cell>
          <cell r="F1448">
            <v>1</v>
          </cell>
          <cell r="G1448">
            <v>1</v>
          </cell>
          <cell r="H1448">
            <v>1</v>
          </cell>
          <cell r="I1448">
            <v>1</v>
          </cell>
          <cell r="J1448">
            <v>1</v>
          </cell>
          <cell r="K1448">
            <v>1</v>
          </cell>
          <cell r="L1448">
            <v>1</v>
          </cell>
          <cell r="M1448">
            <v>0</v>
          </cell>
          <cell r="N1448">
            <v>0</v>
          </cell>
          <cell r="O1448">
            <v>0</v>
          </cell>
        </row>
        <row r="1449">
          <cell r="A1449" t="str">
            <v>DOMsOutsourced to LCC</v>
          </cell>
          <cell r="B1449">
            <v>0</v>
          </cell>
          <cell r="C1449">
            <v>0</v>
          </cell>
          <cell r="D1449">
            <v>0</v>
          </cell>
          <cell r="E1449">
            <v>0</v>
          </cell>
          <cell r="F1449">
            <v>0</v>
          </cell>
          <cell r="G1449">
            <v>0</v>
          </cell>
          <cell r="H1449">
            <v>0</v>
          </cell>
          <cell r="I1449">
            <v>0</v>
          </cell>
          <cell r="J1449">
            <v>0</v>
          </cell>
          <cell r="K1449">
            <v>0</v>
          </cell>
          <cell r="L1449">
            <v>0</v>
          </cell>
          <cell r="M1449">
            <v>0</v>
          </cell>
          <cell r="N1449">
            <v>0</v>
          </cell>
          <cell r="O1449">
            <v>0</v>
          </cell>
        </row>
        <row r="1450">
          <cell r="A1450" t="str">
            <v>DOMsTotal Headcount</v>
          </cell>
          <cell r="B1450">
            <v>192</v>
          </cell>
          <cell r="C1450">
            <v>196</v>
          </cell>
          <cell r="D1450">
            <v>194</v>
          </cell>
          <cell r="E1450">
            <v>193</v>
          </cell>
          <cell r="F1450">
            <v>193</v>
          </cell>
          <cell r="G1450">
            <v>204</v>
          </cell>
          <cell r="H1450">
            <v>211</v>
          </cell>
          <cell r="I1450">
            <v>212</v>
          </cell>
          <cell r="J1450">
            <v>212</v>
          </cell>
          <cell r="K1450">
            <v>212</v>
          </cell>
          <cell r="L1450">
            <v>198</v>
          </cell>
          <cell r="M1450">
            <v>206</v>
          </cell>
          <cell r="N1450">
            <v>214</v>
          </cell>
          <cell r="O1450">
            <v>218</v>
          </cell>
        </row>
        <row r="1451">
          <cell r="A1451" t="str">
            <v>DOMsTotal Workforce</v>
          </cell>
          <cell r="B1451">
            <v>192</v>
          </cell>
          <cell r="C1451">
            <v>213.4</v>
          </cell>
          <cell r="D1451">
            <v>213</v>
          </cell>
          <cell r="E1451">
            <v>216</v>
          </cell>
          <cell r="F1451">
            <v>216</v>
          </cell>
          <cell r="G1451">
            <v>219.35</v>
          </cell>
          <cell r="H1451">
            <v>228.35</v>
          </cell>
          <cell r="I1451">
            <v>231.35</v>
          </cell>
          <cell r="J1451">
            <v>233.35</v>
          </cell>
          <cell r="K1451">
            <v>233.35</v>
          </cell>
          <cell r="L1451">
            <v>231.7</v>
          </cell>
          <cell r="M1451">
            <v>206</v>
          </cell>
          <cell r="N1451">
            <v>214</v>
          </cell>
          <cell r="O1451">
            <v>218</v>
          </cell>
        </row>
        <row r="1452">
          <cell r="A1452" t="str">
            <v>DOMsTotal Earned Revenue</v>
          </cell>
          <cell r="B1452">
            <v>-22988972.559999999</v>
          </cell>
          <cell r="C1452">
            <v>-23537271.390000001</v>
          </cell>
          <cell r="D1452">
            <v>-22728413.649999999</v>
          </cell>
          <cell r="E1452">
            <v>-24914276.829999998</v>
          </cell>
          <cell r="F1452">
            <v>-94168934.430000007</v>
          </cell>
          <cell r="G1452">
            <v>-24480407</v>
          </cell>
          <cell r="H1452">
            <v>-24809196</v>
          </cell>
          <cell r="I1452">
            <v>-25215131</v>
          </cell>
          <cell r="J1452">
            <v>-26636640</v>
          </cell>
          <cell r="K1452">
            <v>-101141374</v>
          </cell>
          <cell r="L1452">
            <v>-24260181.920000002</v>
          </cell>
          <cell r="M1452">
            <v>-100308820.281607</v>
          </cell>
          <cell r="N1452">
            <v>-107339622.031633</v>
          </cell>
          <cell r="O1452">
            <v>-114717321.05287699</v>
          </cell>
        </row>
        <row r="1453">
          <cell r="A1453" t="str">
            <v>DOMsOrdinary Gains - PreTax</v>
          </cell>
          <cell r="B1453">
            <v>0</v>
          </cell>
          <cell r="C1453">
            <v>0</v>
          </cell>
          <cell r="D1453">
            <v>0</v>
          </cell>
          <cell r="E1453">
            <v>0</v>
          </cell>
          <cell r="F1453">
            <v>0</v>
          </cell>
          <cell r="G1453">
            <v>0</v>
          </cell>
          <cell r="H1453">
            <v>0</v>
          </cell>
          <cell r="I1453">
            <v>0</v>
          </cell>
          <cell r="J1453">
            <v>0</v>
          </cell>
          <cell r="K1453">
            <v>0</v>
          </cell>
          <cell r="L1453">
            <v>0</v>
          </cell>
          <cell r="M1453">
            <v>0</v>
          </cell>
          <cell r="N1453">
            <v>0</v>
          </cell>
          <cell r="O1453">
            <v>0</v>
          </cell>
        </row>
        <row r="1454">
          <cell r="A1454" t="str">
            <v>DOMsOrdinary Gains - AfterTax</v>
          </cell>
          <cell r="B1454">
            <v>0</v>
          </cell>
          <cell r="C1454">
            <v>0</v>
          </cell>
          <cell r="D1454">
            <v>0</v>
          </cell>
          <cell r="E1454">
            <v>0</v>
          </cell>
          <cell r="F1454">
            <v>0</v>
          </cell>
          <cell r="G1454">
            <v>0</v>
          </cell>
          <cell r="H1454">
            <v>0</v>
          </cell>
          <cell r="I1454">
            <v>0</v>
          </cell>
          <cell r="J1454">
            <v>0</v>
          </cell>
          <cell r="K1454">
            <v>0</v>
          </cell>
          <cell r="L1454">
            <v>0</v>
          </cell>
          <cell r="M1454">
            <v>0</v>
          </cell>
          <cell r="N1454">
            <v>0</v>
          </cell>
          <cell r="O1454">
            <v>0</v>
          </cell>
        </row>
        <row r="1455">
          <cell r="A1455" t="str">
            <v>DOMsTotal Volume</v>
          </cell>
          <cell r="B1455">
            <v>94267748</v>
          </cell>
          <cell r="C1455">
            <v>96469272</v>
          </cell>
          <cell r="D1455">
            <v>100374264</v>
          </cell>
          <cell r="E1455">
            <v>117765318.16</v>
          </cell>
          <cell r="F1455">
            <v>408876602.16000003</v>
          </cell>
          <cell r="G1455">
            <v>103059634.211207</v>
          </cell>
          <cell r="H1455">
            <v>101903551.46673501</v>
          </cell>
          <cell r="I1455">
            <v>104213597.77456</v>
          </cell>
          <cell r="J1455">
            <v>108852795.295404</v>
          </cell>
          <cell r="K1455">
            <v>418029578.74790603</v>
          </cell>
          <cell r="L1455">
            <v>107177188.76000001</v>
          </cell>
          <cell r="M1455">
            <v>403204272.36315101</v>
          </cell>
          <cell r="N1455">
            <v>441255006.67556697</v>
          </cell>
          <cell r="O1455">
            <v>481975967.95727599</v>
          </cell>
        </row>
        <row r="1456">
          <cell r="A1456" t="str">
            <v>DOMsTOTAL # ACTIVE ACCOUNTS</v>
          </cell>
          <cell r="B1456">
            <v>112660</v>
          </cell>
          <cell r="C1456">
            <v>112805.13</v>
          </cell>
          <cell r="D1456">
            <v>123893.11</v>
          </cell>
          <cell r="E1456">
            <v>110269</v>
          </cell>
          <cell r="F1456">
            <v>110269</v>
          </cell>
          <cell r="G1456">
            <v>124850.912213</v>
          </cell>
          <cell r="H1456">
            <v>123494.85356</v>
          </cell>
          <cell r="I1456">
            <v>126402.695146</v>
          </cell>
          <cell r="J1456">
            <v>126744.316856</v>
          </cell>
          <cell r="K1456">
            <v>126744.316856</v>
          </cell>
          <cell r="L1456">
            <v>0</v>
          </cell>
          <cell r="M1456">
            <v>138663.679978</v>
          </cell>
          <cell r="N1456">
            <v>152299.617306</v>
          </cell>
          <cell r="O1456">
            <v>164178.849457</v>
          </cell>
        </row>
        <row r="1457">
          <cell r="A1457" t="str">
            <v>France GECBTOTAL FINANCING RECEIVABLES</v>
          </cell>
          <cell r="B1457">
            <v>2882544136.9699998</v>
          </cell>
          <cell r="C1457">
            <v>2833236957.8400002</v>
          </cell>
          <cell r="D1457">
            <v>3082747138.5999999</v>
          </cell>
          <cell r="E1457">
            <v>3078800908.0700002</v>
          </cell>
          <cell r="F1457">
            <v>3078800908.0700002</v>
          </cell>
          <cell r="G1457">
            <v>3124342630.53619</v>
          </cell>
          <cell r="H1457">
            <v>3207360023.4538002</v>
          </cell>
          <cell r="I1457">
            <v>3287397495.5208602</v>
          </cell>
          <cell r="J1457">
            <v>3368020651.77876</v>
          </cell>
          <cell r="K1457">
            <v>3368020651.77876</v>
          </cell>
          <cell r="L1457">
            <v>3060200050.0599999</v>
          </cell>
          <cell r="M1457">
            <v>3614601081.4426999</v>
          </cell>
          <cell r="N1457">
            <v>4191223985.3508601</v>
          </cell>
          <cell r="O1457">
            <v>3730850329.7529402</v>
          </cell>
        </row>
        <row r="1458">
          <cell r="A1458" t="str">
            <v>France GECBRECEIVABLE RESERVES</v>
          </cell>
          <cell r="B1458">
            <v>-80508417.180000007</v>
          </cell>
          <cell r="C1458">
            <v>-72292589.730000004</v>
          </cell>
          <cell r="D1458">
            <v>-80892211.799999997</v>
          </cell>
          <cell r="E1458">
            <v>-81241130.340000004</v>
          </cell>
          <cell r="F1458">
            <v>-81241130.340000004</v>
          </cell>
          <cell r="G1458">
            <v>-75525898.456801996</v>
          </cell>
          <cell r="H1458">
            <v>-75185254.667775005</v>
          </cell>
          <cell r="I1458">
            <v>-75772549.843815997</v>
          </cell>
          <cell r="J1458">
            <v>-74701213.164385006</v>
          </cell>
          <cell r="K1458">
            <v>-74701213.164385006</v>
          </cell>
          <cell r="L1458">
            <v>-78302319.959999993</v>
          </cell>
          <cell r="M1458">
            <v>-78355392.285938993</v>
          </cell>
          <cell r="N1458">
            <v>-89519494.014774993</v>
          </cell>
          <cell r="O1458">
            <v>-84659513.284728006</v>
          </cell>
        </row>
        <row r="1459">
          <cell r="A1459" t="str">
            <v>France GECBCASH</v>
          </cell>
          <cell r="B1459">
            <v>19790130.300000001</v>
          </cell>
          <cell r="C1459">
            <v>-54375293.020000003</v>
          </cell>
          <cell r="D1459">
            <v>-77340564.900000006</v>
          </cell>
          <cell r="E1459">
            <v>-80212984.700000003</v>
          </cell>
          <cell r="F1459">
            <v>-80212984.700000003</v>
          </cell>
          <cell r="G1459">
            <v>-19837400.184475999</v>
          </cell>
          <cell r="H1459">
            <v>-19837400.184475999</v>
          </cell>
          <cell r="I1459">
            <v>-19837400.184475999</v>
          </cell>
          <cell r="J1459">
            <v>-19837400.184475999</v>
          </cell>
          <cell r="K1459">
            <v>-19837400.184475999</v>
          </cell>
          <cell r="L1459">
            <v>-68469861.409999996</v>
          </cell>
          <cell r="M1459">
            <v>0</v>
          </cell>
          <cell r="N1459">
            <v>0</v>
          </cell>
          <cell r="O1459">
            <v>0</v>
          </cell>
        </row>
        <row r="1460">
          <cell r="A1460" t="str">
            <v>France GECBINVESTMENT SECURITIES</v>
          </cell>
          <cell r="B1460">
            <v>25103777.82</v>
          </cell>
          <cell r="C1460">
            <v>22974705.289999999</v>
          </cell>
          <cell r="D1460">
            <v>23123465.43</v>
          </cell>
          <cell r="E1460">
            <v>21601023.199999999</v>
          </cell>
          <cell r="F1460">
            <v>21601023.199999999</v>
          </cell>
          <cell r="G1460">
            <v>20491446.12548</v>
          </cell>
          <cell r="H1460">
            <v>19341260.868530001</v>
          </cell>
          <cell r="I1460">
            <v>18232383.852077998</v>
          </cell>
          <cell r="J1460">
            <v>17203359.108410001</v>
          </cell>
          <cell r="K1460">
            <v>17203359.108410001</v>
          </cell>
          <cell r="L1460">
            <v>19681518.530000001</v>
          </cell>
          <cell r="M1460">
            <v>16705648.650281001</v>
          </cell>
          <cell r="N1460">
            <v>13188034.609823</v>
          </cell>
          <cell r="O1460">
            <v>10334070.800954999</v>
          </cell>
        </row>
        <row r="1461">
          <cell r="A1461" t="str">
            <v>France GECBINV IN NON CONSOL AFFILIATES</v>
          </cell>
          <cell r="B1461">
            <v>141387.49</v>
          </cell>
          <cell r="C1461">
            <v>135758.48000000001</v>
          </cell>
          <cell r="D1461">
            <v>2556811.3199999998</v>
          </cell>
          <cell r="E1461">
            <v>1846388.18</v>
          </cell>
          <cell r="F1461">
            <v>1846388.18</v>
          </cell>
          <cell r="G1461">
            <v>0</v>
          </cell>
          <cell r="H1461">
            <v>0</v>
          </cell>
          <cell r="I1461">
            <v>0</v>
          </cell>
          <cell r="J1461">
            <v>0</v>
          </cell>
          <cell r="K1461">
            <v>0</v>
          </cell>
          <cell r="L1461">
            <v>2564359.94</v>
          </cell>
          <cell r="M1461">
            <v>0</v>
          </cell>
          <cell r="N1461">
            <v>0</v>
          </cell>
          <cell r="O1461">
            <v>0</v>
          </cell>
        </row>
        <row r="1462">
          <cell r="A1462" t="str">
            <v>France GECBINVESTMENT IN JOINT VENTURE</v>
          </cell>
          <cell r="B1462">
            <v>0</v>
          </cell>
          <cell r="C1462">
            <v>0</v>
          </cell>
          <cell r="D1462">
            <v>0</v>
          </cell>
          <cell r="E1462">
            <v>0</v>
          </cell>
          <cell r="F1462">
            <v>0</v>
          </cell>
          <cell r="G1462">
            <v>0</v>
          </cell>
          <cell r="H1462">
            <v>0</v>
          </cell>
          <cell r="I1462">
            <v>0</v>
          </cell>
          <cell r="J1462">
            <v>0</v>
          </cell>
          <cell r="K1462">
            <v>0</v>
          </cell>
          <cell r="L1462">
            <v>0</v>
          </cell>
          <cell r="M1462">
            <v>0</v>
          </cell>
          <cell r="N1462">
            <v>0</v>
          </cell>
          <cell r="O1462">
            <v>0</v>
          </cell>
        </row>
        <row r="1463">
          <cell r="A1463" t="str">
            <v>France GECBALL OTHER RECEIVABLES (NON-FINANCING)</v>
          </cell>
          <cell r="B1463">
            <v>114457200.48999999</v>
          </cell>
          <cell r="C1463">
            <v>92496463.609999999</v>
          </cell>
          <cell r="D1463">
            <v>39071645.829999998</v>
          </cell>
          <cell r="E1463">
            <v>31340695.16</v>
          </cell>
          <cell r="F1463">
            <v>31340695.16</v>
          </cell>
          <cell r="G1463">
            <v>14787880.137518</v>
          </cell>
          <cell r="H1463">
            <v>14787880.137518</v>
          </cell>
          <cell r="I1463">
            <v>14787880.137518</v>
          </cell>
          <cell r="J1463">
            <v>14787880.137518</v>
          </cell>
          <cell r="K1463">
            <v>14787880.137518</v>
          </cell>
          <cell r="L1463">
            <v>18820746.48</v>
          </cell>
          <cell r="M1463">
            <v>38874578.619828001</v>
          </cell>
          <cell r="N1463">
            <v>57245851.664668001</v>
          </cell>
          <cell r="O1463">
            <v>58720444.578537002</v>
          </cell>
        </row>
        <row r="1464">
          <cell r="A1464" t="str">
            <v>France GECBELTO (NET)</v>
          </cell>
          <cell r="B1464">
            <v>0</v>
          </cell>
          <cell r="C1464">
            <v>0</v>
          </cell>
          <cell r="D1464">
            <v>0</v>
          </cell>
          <cell r="E1464">
            <v>0</v>
          </cell>
          <cell r="F1464">
            <v>0</v>
          </cell>
          <cell r="G1464">
            <v>0</v>
          </cell>
          <cell r="H1464">
            <v>0</v>
          </cell>
          <cell r="I1464">
            <v>0</v>
          </cell>
          <cell r="J1464">
            <v>0</v>
          </cell>
          <cell r="K1464">
            <v>0</v>
          </cell>
          <cell r="L1464">
            <v>0</v>
          </cell>
          <cell r="M1464">
            <v>0</v>
          </cell>
          <cell r="N1464">
            <v>0</v>
          </cell>
          <cell r="O1464">
            <v>0</v>
          </cell>
        </row>
        <row r="1465">
          <cell r="A1465" t="str">
            <v>France GECBGOODWILL</v>
          </cell>
          <cell r="B1465">
            <v>164006911.13</v>
          </cell>
          <cell r="C1465">
            <v>154843275.30000001</v>
          </cell>
          <cell r="D1465">
            <v>162480554.43000001</v>
          </cell>
          <cell r="E1465">
            <v>149905501.84999999</v>
          </cell>
          <cell r="F1465">
            <v>149905501.84999999</v>
          </cell>
          <cell r="G1465">
            <v>149776254.700102</v>
          </cell>
          <cell r="H1465">
            <v>149776254.700102</v>
          </cell>
          <cell r="I1465">
            <v>149776254.700102</v>
          </cell>
          <cell r="J1465">
            <v>149776254.700102</v>
          </cell>
          <cell r="K1465">
            <v>149776254.700102</v>
          </cell>
          <cell r="L1465">
            <v>146631893.34999999</v>
          </cell>
          <cell r="M1465">
            <v>143309443.31157801</v>
          </cell>
          <cell r="N1465">
            <v>132241310.578299</v>
          </cell>
          <cell r="O1465">
            <v>121173177.84502</v>
          </cell>
        </row>
        <row r="1466">
          <cell r="A1466" t="str">
            <v>France GECBOTHER ASSETS</v>
          </cell>
          <cell r="B1466">
            <v>96311839.609999999</v>
          </cell>
          <cell r="C1466">
            <v>90229281.069999993</v>
          </cell>
          <cell r="D1466">
            <v>86332304</v>
          </cell>
          <cell r="E1466">
            <v>90829157.519999996</v>
          </cell>
          <cell r="F1466">
            <v>90829157.519999996</v>
          </cell>
          <cell r="G1466">
            <v>37847788.456068002</v>
          </cell>
          <cell r="H1466">
            <v>37825215.039936997</v>
          </cell>
          <cell r="I1466">
            <v>37951258.198817</v>
          </cell>
          <cell r="J1466">
            <v>38014513.61716</v>
          </cell>
          <cell r="K1466">
            <v>38014513.61716</v>
          </cell>
          <cell r="L1466">
            <v>78438570.209999993</v>
          </cell>
          <cell r="M1466">
            <v>273533156.23281902</v>
          </cell>
          <cell r="N1466">
            <v>297463398.19221097</v>
          </cell>
          <cell r="O1466">
            <v>320833408.94421101</v>
          </cell>
        </row>
        <row r="1467">
          <cell r="A1467" t="str">
            <v>France GECBACCOUNTS PAYABLE</v>
          </cell>
          <cell r="B1467">
            <v>-74677136.760000005</v>
          </cell>
          <cell r="C1467">
            <v>-68123242.180000007</v>
          </cell>
          <cell r="D1467">
            <v>-67531352.959999993</v>
          </cell>
          <cell r="E1467">
            <v>-95671544.810000002</v>
          </cell>
          <cell r="F1467">
            <v>-95671544.810000002</v>
          </cell>
          <cell r="G1467">
            <v>-114966751.069121</v>
          </cell>
          <cell r="H1467">
            <v>-114966751.069121</v>
          </cell>
          <cell r="I1467">
            <v>-114966751.069121</v>
          </cell>
          <cell r="J1467">
            <v>-114966751.069121</v>
          </cell>
          <cell r="K1467">
            <v>-114966751.069121</v>
          </cell>
          <cell r="L1467">
            <v>-115636517.98</v>
          </cell>
          <cell r="M1467">
            <v>0</v>
          </cell>
          <cell r="N1467">
            <v>0</v>
          </cell>
          <cell r="O1467">
            <v>0</v>
          </cell>
        </row>
        <row r="1468">
          <cell r="A1468" t="str">
            <v>France GECBDEFERRED INCOME TAXES</v>
          </cell>
          <cell r="B1468">
            <v>125301223.84</v>
          </cell>
          <cell r="C1468">
            <v>109143674.19</v>
          </cell>
          <cell r="D1468">
            <v>110017147.66</v>
          </cell>
          <cell r="E1468">
            <v>101767264.83</v>
          </cell>
          <cell r="F1468">
            <v>101767264.83</v>
          </cell>
          <cell r="G1468">
            <v>114515901.064928</v>
          </cell>
          <cell r="H1468">
            <v>114515901.064928</v>
          </cell>
          <cell r="I1468">
            <v>114515901.064928</v>
          </cell>
          <cell r="J1468">
            <v>114515901.064928</v>
          </cell>
          <cell r="K1468">
            <v>114515901.064928</v>
          </cell>
          <cell r="L1468">
            <v>111570077.13</v>
          </cell>
          <cell r="M1468">
            <v>0</v>
          </cell>
          <cell r="N1468">
            <v>0</v>
          </cell>
          <cell r="O1468">
            <v>0</v>
          </cell>
        </row>
        <row r="1469">
          <cell r="A1469" t="str">
            <v>France GECBWRITE-OFF (MEMO)</v>
          </cell>
          <cell r="B1469">
            <v>8153110.3600000003</v>
          </cell>
          <cell r="C1469">
            <v>15617683.25</v>
          </cell>
          <cell r="D1469">
            <v>19719242.140000001</v>
          </cell>
          <cell r="E1469">
            <v>24309712.93</v>
          </cell>
          <cell r="F1469">
            <v>24309712.93</v>
          </cell>
          <cell r="G1469">
            <v>13295410.744752999</v>
          </cell>
          <cell r="H1469">
            <v>17237512.100513998</v>
          </cell>
          <cell r="I1469">
            <v>25845172.609919</v>
          </cell>
          <cell r="J1469">
            <v>33608559.711301997</v>
          </cell>
          <cell r="K1469">
            <v>33608559.711301997</v>
          </cell>
          <cell r="L1469">
            <v>6133804</v>
          </cell>
          <cell r="M1469">
            <v>22698767</v>
          </cell>
          <cell r="N1469">
            <v>28783177</v>
          </cell>
          <cell r="O1469">
            <v>34027657</v>
          </cell>
        </row>
        <row r="1470">
          <cell r="A1470" t="str">
            <v>France GECBINSURANCE RESERVES AND ANNUITY BENEFITS</v>
          </cell>
          <cell r="B1470">
            <v>0</v>
          </cell>
          <cell r="C1470">
            <v>0</v>
          </cell>
          <cell r="D1470">
            <v>0</v>
          </cell>
          <cell r="E1470">
            <v>0</v>
          </cell>
          <cell r="F1470">
            <v>0</v>
          </cell>
          <cell r="G1470">
            <v>0</v>
          </cell>
          <cell r="H1470">
            <v>0</v>
          </cell>
          <cell r="I1470">
            <v>0</v>
          </cell>
          <cell r="J1470">
            <v>0</v>
          </cell>
          <cell r="K1470">
            <v>0</v>
          </cell>
          <cell r="L1470">
            <v>0</v>
          </cell>
          <cell r="M1470">
            <v>0</v>
          </cell>
          <cell r="N1470">
            <v>0</v>
          </cell>
          <cell r="O1470">
            <v>0</v>
          </cell>
        </row>
        <row r="1471">
          <cell r="A1471" t="str">
            <v>France GECBALL OTHER NON DEBT LIABILITIES</v>
          </cell>
          <cell r="B1471">
            <v>-259196511.41999999</v>
          </cell>
          <cell r="C1471">
            <v>-106205982.5</v>
          </cell>
          <cell r="D1471">
            <v>-110720253.95999999</v>
          </cell>
          <cell r="E1471">
            <v>-132986616.48999999</v>
          </cell>
          <cell r="F1471">
            <v>-132986616.48999999</v>
          </cell>
          <cell r="G1471">
            <v>-52591966.423995003</v>
          </cell>
          <cell r="H1471">
            <v>-51441781.167044997</v>
          </cell>
          <cell r="I1471">
            <v>-50332904.150594003</v>
          </cell>
          <cell r="J1471">
            <v>-49303879.406925</v>
          </cell>
          <cell r="K1471">
            <v>-49303879.406925</v>
          </cell>
          <cell r="L1471">
            <v>-171900241.72999999</v>
          </cell>
          <cell r="M1471">
            <v>-215364504.70983499</v>
          </cell>
          <cell r="N1471">
            <v>-230333912.53084999</v>
          </cell>
          <cell r="O1471">
            <v>-245642134.15587199</v>
          </cell>
        </row>
        <row r="1472">
          <cell r="A1472" t="str">
            <v>France GECBMINORITY INTEREST (BS)</v>
          </cell>
          <cell r="B1472">
            <v>-452</v>
          </cell>
          <cell r="C1472">
            <v>-452</v>
          </cell>
          <cell r="D1472">
            <v>-452</v>
          </cell>
          <cell r="E1472">
            <v>11416.67</v>
          </cell>
          <cell r="F1472">
            <v>11416.67</v>
          </cell>
          <cell r="G1472">
            <v>0</v>
          </cell>
          <cell r="H1472">
            <v>0</v>
          </cell>
          <cell r="I1472">
            <v>0</v>
          </cell>
          <cell r="J1472">
            <v>0</v>
          </cell>
          <cell r="K1472">
            <v>0</v>
          </cell>
          <cell r="L1472">
            <v>1310860.0900000001</v>
          </cell>
          <cell r="M1472">
            <v>0</v>
          </cell>
          <cell r="N1472">
            <v>0</v>
          </cell>
          <cell r="O1472">
            <v>0</v>
          </cell>
        </row>
        <row r="1473">
          <cell r="A1473" t="str">
            <v>France GECBASIA PACIFIC ENI DIVIDEND</v>
          </cell>
          <cell r="B1473">
            <v>0</v>
          </cell>
          <cell r="C1473">
            <v>0</v>
          </cell>
          <cell r="D1473">
            <v>0</v>
          </cell>
          <cell r="E1473">
            <v>0</v>
          </cell>
          <cell r="F1473">
            <v>0</v>
          </cell>
          <cell r="G1473">
            <v>0</v>
          </cell>
          <cell r="H1473">
            <v>0</v>
          </cell>
          <cell r="I1473">
            <v>0</v>
          </cell>
          <cell r="J1473">
            <v>0</v>
          </cell>
          <cell r="K1473">
            <v>0</v>
          </cell>
          <cell r="L1473">
            <v>0</v>
          </cell>
          <cell r="M1473">
            <v>0</v>
          </cell>
          <cell r="N1473">
            <v>0</v>
          </cell>
          <cell r="O1473">
            <v>0</v>
          </cell>
        </row>
        <row r="1474">
          <cell r="A1474" t="str">
            <v>France GECBFINANCING INCOME</v>
          </cell>
          <cell r="B1474">
            <v>-56656504.640000001</v>
          </cell>
          <cell r="C1474">
            <v>-57225820.450000003</v>
          </cell>
          <cell r="D1474">
            <v>-56886462.170000002</v>
          </cell>
          <cell r="E1474">
            <v>-55461326.969999999</v>
          </cell>
          <cell r="F1474">
            <v>-226230114.22999999</v>
          </cell>
          <cell r="G1474">
            <v>-57339272.783344999</v>
          </cell>
          <cell r="H1474">
            <v>-59779246.961191997</v>
          </cell>
          <cell r="I1474">
            <v>-61981404.261887997</v>
          </cell>
          <cell r="J1474">
            <v>-63794411.393100001</v>
          </cell>
          <cell r="K1474">
            <v>-242894335.399526</v>
          </cell>
          <cell r="L1474">
            <v>-56726866.990000002</v>
          </cell>
          <cell r="M1474">
            <v>-268363868.099695</v>
          </cell>
          <cell r="N1474">
            <v>-316011608.24104297</v>
          </cell>
          <cell r="O1474">
            <v>-344308299.14664298</v>
          </cell>
        </row>
        <row r="1475">
          <cell r="A1475" t="str">
            <v>France GECBINSURANCE PREMIUM INCOME</v>
          </cell>
          <cell r="B1475">
            <v>0</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row>
        <row r="1476">
          <cell r="A1476" t="str">
            <v>France GECBINSURANCE INCOME (COMMISSIONS)</v>
          </cell>
          <cell r="B1476">
            <v>-7398215.1299999999</v>
          </cell>
          <cell r="C1476">
            <v>-2515234.41</v>
          </cell>
          <cell r="D1476">
            <v>-6595999.8099999996</v>
          </cell>
          <cell r="E1476">
            <v>-9541753.5600000005</v>
          </cell>
          <cell r="F1476">
            <v>-26051202.91</v>
          </cell>
          <cell r="G1476">
            <v>-6742943.7086220002</v>
          </cell>
          <cell r="H1476">
            <v>-6743582.5288720001</v>
          </cell>
          <cell r="I1476">
            <v>-6746695.8918270003</v>
          </cell>
          <cell r="J1476">
            <v>-6753843.0072189998</v>
          </cell>
          <cell r="K1476">
            <v>-26987065.136539001</v>
          </cell>
          <cell r="L1476">
            <v>-6775905.6100000003</v>
          </cell>
          <cell r="M1476">
            <v>-25480529.562164001</v>
          </cell>
          <cell r="N1476">
            <v>-29635619.309854999</v>
          </cell>
          <cell r="O1476">
            <v>-35363813.012870997</v>
          </cell>
        </row>
        <row r="1477">
          <cell r="A1477" t="str">
            <v>France GECBSUNDRY INCOME</v>
          </cell>
          <cell r="B1477">
            <v>-7727626.5999999996</v>
          </cell>
          <cell r="C1477">
            <v>-5494320.8700000001</v>
          </cell>
          <cell r="D1477">
            <v>-4324648.75</v>
          </cell>
          <cell r="E1477">
            <v>2554160.4900000002</v>
          </cell>
          <cell r="F1477">
            <v>-14992435.73</v>
          </cell>
          <cell r="G1477">
            <v>-4349000.6497170003</v>
          </cell>
          <cell r="H1477">
            <v>-4246929.0679909997</v>
          </cell>
          <cell r="I1477">
            <v>-4050597.3210570002</v>
          </cell>
          <cell r="J1477">
            <v>-3785642.9235680001</v>
          </cell>
          <cell r="K1477">
            <v>-16432169.962332999</v>
          </cell>
          <cell r="L1477">
            <v>-4396042.82</v>
          </cell>
          <cell r="M1477">
            <v>-19940315.78999</v>
          </cell>
          <cell r="N1477">
            <v>-20466250.63995</v>
          </cell>
          <cell r="O1477">
            <v>-37632107.354470998</v>
          </cell>
        </row>
        <row r="1478">
          <cell r="A1478" t="str">
            <v>France GECBINTEREST EXPENSE</v>
          </cell>
          <cell r="B1478">
            <v>35248074.659999996</v>
          </cell>
          <cell r="C1478">
            <v>37514040.850000001</v>
          </cell>
          <cell r="D1478">
            <v>29694538.739999998</v>
          </cell>
          <cell r="E1478">
            <v>30924824.98</v>
          </cell>
          <cell r="F1478">
            <v>133381479.23</v>
          </cell>
          <cell r="G1478">
            <v>34249453.689452</v>
          </cell>
          <cell r="H1478">
            <v>34923304.126515001</v>
          </cell>
          <cell r="I1478">
            <v>36039144.562812001</v>
          </cell>
          <cell r="J1478">
            <v>36930924.487590998</v>
          </cell>
          <cell r="K1478">
            <v>142142826.86636999</v>
          </cell>
          <cell r="L1478">
            <v>29538065.210827</v>
          </cell>
          <cell r="M1478">
            <v>167859239.60186201</v>
          </cell>
          <cell r="N1478">
            <v>191768726.74104899</v>
          </cell>
          <cell r="O1478">
            <v>214998800.79904899</v>
          </cell>
        </row>
        <row r="1479">
          <cell r="A1479" t="str">
            <v>France GECBINTEREST EXPENSE REDUCTIONS / BUS SHARING</v>
          </cell>
          <cell r="B1479">
            <v>-192915</v>
          </cell>
          <cell r="C1479">
            <v>-78365.55</v>
          </cell>
          <cell r="D1479">
            <v>-17534.189999999999</v>
          </cell>
          <cell r="E1479">
            <v>-46533.440000000002</v>
          </cell>
          <cell r="F1479">
            <v>-335348.18</v>
          </cell>
          <cell r="G1479">
            <v>0</v>
          </cell>
          <cell r="H1479">
            <v>0</v>
          </cell>
          <cell r="I1479">
            <v>0</v>
          </cell>
          <cell r="J1479">
            <v>0</v>
          </cell>
          <cell r="K1479">
            <v>0</v>
          </cell>
          <cell r="L1479">
            <v>-123706.46</v>
          </cell>
          <cell r="M1479">
            <v>0</v>
          </cell>
          <cell r="N1479">
            <v>0</v>
          </cell>
          <cell r="O1479">
            <v>0</v>
          </cell>
        </row>
        <row r="1480">
          <cell r="A1480" t="str">
            <v>France GECBALLOCATED COST OF PREFERRED EQUITY</v>
          </cell>
          <cell r="B1480">
            <v>363979.55</v>
          </cell>
          <cell r="C1480">
            <v>307225.65000000002</v>
          </cell>
          <cell r="D1480">
            <v>264471.83</v>
          </cell>
          <cell r="E1480">
            <v>158016.01</v>
          </cell>
          <cell r="F1480">
            <v>1093693.04</v>
          </cell>
          <cell r="G1480">
            <v>439202.63827200001</v>
          </cell>
          <cell r="H1480">
            <v>448931.49289699999</v>
          </cell>
          <cell r="I1480">
            <v>458636.84422099998</v>
          </cell>
          <cell r="J1480">
            <v>465155.47705400002</v>
          </cell>
          <cell r="K1480">
            <v>1811926.4524439999</v>
          </cell>
          <cell r="L1480">
            <v>182898.76917300001</v>
          </cell>
          <cell r="M1480">
            <v>0</v>
          </cell>
          <cell r="N1480">
            <v>0</v>
          </cell>
          <cell r="O1480">
            <v>0</v>
          </cell>
        </row>
        <row r="1481">
          <cell r="A1481" t="str">
            <v>France GECBSALARIES &amp; BENEFITS</v>
          </cell>
          <cell r="B1481">
            <v>16518550.029999999</v>
          </cell>
          <cell r="C1481">
            <v>10266253.310000001</v>
          </cell>
          <cell r="D1481">
            <v>19139219.989999998</v>
          </cell>
          <cell r="E1481">
            <v>16419818.59</v>
          </cell>
          <cell r="F1481">
            <v>62343841.920000002</v>
          </cell>
          <cell r="G1481">
            <v>13038743.617974</v>
          </cell>
          <cell r="H1481">
            <v>13142817.894662</v>
          </cell>
          <cell r="I1481">
            <v>12827128.080071</v>
          </cell>
          <cell r="J1481">
            <v>15162616.44452</v>
          </cell>
          <cell r="K1481">
            <v>54171306.037225999</v>
          </cell>
          <cell r="L1481">
            <v>12495171.93</v>
          </cell>
          <cell r="M1481">
            <v>52128675.252233997</v>
          </cell>
          <cell r="N1481">
            <v>50801562.967312999</v>
          </cell>
          <cell r="O1481">
            <v>48899974.736015998</v>
          </cell>
        </row>
        <row r="1482">
          <cell r="A1482" t="str">
            <v>France GECBLOSSES ON OTHER ASSETS</v>
          </cell>
          <cell r="B1482">
            <v>0</v>
          </cell>
          <cell r="C1482">
            <v>0</v>
          </cell>
          <cell r="D1482">
            <v>0</v>
          </cell>
          <cell r="E1482">
            <v>0</v>
          </cell>
          <cell r="F1482">
            <v>0</v>
          </cell>
          <cell r="G1482">
            <v>0</v>
          </cell>
          <cell r="H1482">
            <v>0</v>
          </cell>
          <cell r="I1482">
            <v>0</v>
          </cell>
          <cell r="J1482">
            <v>0</v>
          </cell>
          <cell r="K1482">
            <v>0</v>
          </cell>
          <cell r="L1482">
            <v>0</v>
          </cell>
          <cell r="M1482">
            <v>0</v>
          </cell>
          <cell r="N1482">
            <v>0</v>
          </cell>
          <cell r="O1482">
            <v>0</v>
          </cell>
        </row>
        <row r="1483">
          <cell r="A1483" t="str">
            <v>France GECBCOST OF GOODS SOLD</v>
          </cell>
          <cell r="B1483">
            <v>0</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row>
        <row r="1484">
          <cell r="A1484" t="str">
            <v>France GECBCOST OF GOODS SOLD - DISTRIBUTION</v>
          </cell>
          <cell r="B1484">
            <v>0</v>
          </cell>
          <cell r="C1484">
            <v>0</v>
          </cell>
          <cell r="D1484">
            <v>0</v>
          </cell>
          <cell r="E1484">
            <v>0</v>
          </cell>
          <cell r="F1484">
            <v>0</v>
          </cell>
          <cell r="G1484">
            <v>0</v>
          </cell>
          <cell r="H1484">
            <v>0</v>
          </cell>
          <cell r="I1484">
            <v>0</v>
          </cell>
          <cell r="J1484">
            <v>0</v>
          </cell>
          <cell r="K1484">
            <v>0</v>
          </cell>
          <cell r="L1484">
            <v>0</v>
          </cell>
          <cell r="M1484">
            <v>0</v>
          </cell>
          <cell r="N1484">
            <v>0</v>
          </cell>
          <cell r="O1484">
            <v>0</v>
          </cell>
        </row>
        <row r="1485">
          <cell r="A1485" t="str">
            <v>France GECBPOSTAGE</v>
          </cell>
          <cell r="B1485">
            <v>824688.47</v>
          </cell>
          <cell r="C1485">
            <v>236211.76</v>
          </cell>
          <cell r="D1485">
            <v>606173.71</v>
          </cell>
          <cell r="E1485">
            <v>576387.67000000004</v>
          </cell>
          <cell r="F1485">
            <v>2243461.61</v>
          </cell>
          <cell r="G1485">
            <v>658784.41360700002</v>
          </cell>
          <cell r="H1485">
            <v>658784.41360700002</v>
          </cell>
          <cell r="I1485">
            <v>658784.41360700002</v>
          </cell>
          <cell r="J1485">
            <v>658784.41360700002</v>
          </cell>
          <cell r="K1485">
            <v>2635137.6544269999</v>
          </cell>
          <cell r="L1485">
            <v>512871.02</v>
          </cell>
          <cell r="M1485">
            <v>2232735.8459970001</v>
          </cell>
          <cell r="N1485">
            <v>2135983.9593369998</v>
          </cell>
          <cell r="O1485">
            <v>2035361.997211</v>
          </cell>
        </row>
        <row r="1486">
          <cell r="A1486" t="str">
            <v>France GECBTELEPHONE</v>
          </cell>
          <cell r="B1486">
            <v>647887.96</v>
          </cell>
          <cell r="C1486">
            <v>339492.33</v>
          </cell>
          <cell r="D1486">
            <v>493366.32</v>
          </cell>
          <cell r="E1486">
            <v>446449.2</v>
          </cell>
          <cell r="F1486">
            <v>1927195.81</v>
          </cell>
          <cell r="G1486">
            <v>415868.90937499999</v>
          </cell>
          <cell r="H1486">
            <v>415868.90937499999</v>
          </cell>
          <cell r="I1486">
            <v>415868.90937499999</v>
          </cell>
          <cell r="J1486">
            <v>415868.90937499999</v>
          </cell>
          <cell r="K1486">
            <v>1663475.6375</v>
          </cell>
          <cell r="L1486">
            <v>148764.17000000001</v>
          </cell>
          <cell r="M1486">
            <v>1940676.3374890001</v>
          </cell>
          <cell r="N1486">
            <v>1856580.362864</v>
          </cell>
          <cell r="O1486">
            <v>1769120.549255</v>
          </cell>
        </row>
        <row r="1487">
          <cell r="A1487" t="str">
            <v>France GECBCUSTOMER SERVICE / COLLECTIONS</v>
          </cell>
          <cell r="B1487">
            <v>1217998.6599999999</v>
          </cell>
          <cell r="C1487">
            <v>324715.78999999998</v>
          </cell>
          <cell r="D1487">
            <v>690925.59</v>
          </cell>
          <cell r="E1487">
            <v>922799.58</v>
          </cell>
          <cell r="F1487">
            <v>3156439.62</v>
          </cell>
          <cell r="G1487">
            <v>741408.85554500006</v>
          </cell>
          <cell r="H1487">
            <v>741408.85554500006</v>
          </cell>
          <cell r="I1487">
            <v>741408.85554500006</v>
          </cell>
          <cell r="J1487">
            <v>741408.85554500006</v>
          </cell>
          <cell r="K1487">
            <v>2965635.422179</v>
          </cell>
          <cell r="L1487">
            <v>160333.37</v>
          </cell>
          <cell r="M1487">
            <v>3137857.7997349999</v>
          </cell>
          <cell r="N1487">
            <v>3001883.961747</v>
          </cell>
          <cell r="O1487">
            <v>2860471.1702390001</v>
          </cell>
        </row>
        <row r="1488">
          <cell r="A1488" t="str">
            <v>France GECBSTATIONARY - OFFICE SUPPLIES</v>
          </cell>
          <cell r="B1488">
            <v>534621</v>
          </cell>
          <cell r="C1488">
            <v>348964.84</v>
          </cell>
          <cell r="D1488">
            <v>131256.57</v>
          </cell>
          <cell r="E1488">
            <v>282672.43</v>
          </cell>
          <cell r="F1488">
            <v>1297514.8400000001</v>
          </cell>
          <cell r="G1488">
            <v>339511.07346500002</v>
          </cell>
          <cell r="H1488">
            <v>339511.07346500002</v>
          </cell>
          <cell r="I1488">
            <v>339511.07346500002</v>
          </cell>
          <cell r="J1488">
            <v>339511.07346500002</v>
          </cell>
          <cell r="K1488">
            <v>1358044.2938600001</v>
          </cell>
          <cell r="L1488">
            <v>302840.69</v>
          </cell>
          <cell r="M1488">
            <v>1359685.831188</v>
          </cell>
          <cell r="N1488">
            <v>1300676.760705</v>
          </cell>
          <cell r="O1488">
            <v>1239307.3274020001</v>
          </cell>
        </row>
        <row r="1489">
          <cell r="A1489" t="str">
            <v>France GECBT&amp;L</v>
          </cell>
          <cell r="B1489">
            <v>397382.53</v>
          </cell>
          <cell r="C1489">
            <v>957765.62</v>
          </cell>
          <cell r="D1489">
            <v>1039307.71</v>
          </cell>
          <cell r="E1489">
            <v>802909.42</v>
          </cell>
          <cell r="F1489">
            <v>3197365.28</v>
          </cell>
          <cell r="G1489">
            <v>893303.71346400003</v>
          </cell>
          <cell r="H1489">
            <v>893303.71346400003</v>
          </cell>
          <cell r="I1489">
            <v>893303.71346400003</v>
          </cell>
          <cell r="J1489">
            <v>893303.71346400003</v>
          </cell>
          <cell r="K1489">
            <v>3573214.8538549999</v>
          </cell>
          <cell r="L1489">
            <v>630342</v>
          </cell>
          <cell r="M1489">
            <v>3322759.5194540001</v>
          </cell>
          <cell r="N1489">
            <v>3177063.6886169999</v>
          </cell>
          <cell r="O1489">
            <v>3025540.0245469999</v>
          </cell>
        </row>
        <row r="1490">
          <cell r="A1490" t="str">
            <v>France GECBRENTAL - BLDG/FACILITIES</v>
          </cell>
          <cell r="B1490">
            <v>1690338.44</v>
          </cell>
          <cell r="C1490">
            <v>1794308.07</v>
          </cell>
          <cell r="D1490">
            <v>1454764.85</v>
          </cell>
          <cell r="E1490">
            <v>1286988.21</v>
          </cell>
          <cell r="F1490">
            <v>6226399.5700000003</v>
          </cell>
          <cell r="G1490">
            <v>1349419.3606970001</v>
          </cell>
          <cell r="H1490">
            <v>1349419.3606970001</v>
          </cell>
          <cell r="I1490">
            <v>1349419.3606970001</v>
          </cell>
          <cell r="J1490">
            <v>1349419.3606970001</v>
          </cell>
          <cell r="K1490">
            <v>5397677.4427880002</v>
          </cell>
          <cell r="L1490">
            <v>1831369.16</v>
          </cell>
          <cell r="M1490">
            <v>5564230.0150039997</v>
          </cell>
          <cell r="N1490">
            <v>5045866.5003509996</v>
          </cell>
          <cell r="O1490">
            <v>4492418.6258640001</v>
          </cell>
        </row>
        <row r="1491">
          <cell r="A1491" t="str">
            <v>France GECBRENTAL - FURNITURE/EQUIP</v>
          </cell>
          <cell r="B1491">
            <v>0</v>
          </cell>
          <cell r="C1491">
            <v>0</v>
          </cell>
          <cell r="D1491">
            <v>0</v>
          </cell>
          <cell r="E1491">
            <v>0</v>
          </cell>
          <cell r="F1491">
            <v>0</v>
          </cell>
          <cell r="G1491">
            <v>0</v>
          </cell>
          <cell r="H1491">
            <v>0</v>
          </cell>
          <cell r="I1491">
            <v>0</v>
          </cell>
          <cell r="J1491">
            <v>0</v>
          </cell>
          <cell r="K1491">
            <v>0</v>
          </cell>
          <cell r="L1491">
            <v>0</v>
          </cell>
          <cell r="M1491">
            <v>0</v>
          </cell>
          <cell r="N1491">
            <v>0</v>
          </cell>
          <cell r="O1491">
            <v>0</v>
          </cell>
        </row>
        <row r="1492">
          <cell r="A1492" t="str">
            <v>France GECBRENTAL - COMPUTERS</v>
          </cell>
          <cell r="B1492">
            <v>0</v>
          </cell>
          <cell r="C1492">
            <v>0</v>
          </cell>
          <cell r="D1492">
            <v>0</v>
          </cell>
          <cell r="E1492">
            <v>0</v>
          </cell>
          <cell r="F1492">
            <v>0</v>
          </cell>
          <cell r="G1492">
            <v>0</v>
          </cell>
          <cell r="H1492">
            <v>0</v>
          </cell>
          <cell r="I1492">
            <v>0</v>
          </cell>
          <cell r="J1492">
            <v>0</v>
          </cell>
          <cell r="K1492">
            <v>0</v>
          </cell>
          <cell r="L1492">
            <v>0</v>
          </cell>
          <cell r="M1492">
            <v>0</v>
          </cell>
          <cell r="N1492">
            <v>0</v>
          </cell>
          <cell r="O1492">
            <v>0</v>
          </cell>
        </row>
        <row r="1493">
          <cell r="A1493" t="str">
            <v>France GECBLEASE IN - LEASE OUT</v>
          </cell>
          <cell r="B1493">
            <v>0</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row>
        <row r="1494">
          <cell r="A1494" t="str">
            <v>France GECBFURNITURE / EQUIPMENT / COMPUTER EXP</v>
          </cell>
          <cell r="B1494">
            <v>59298.05</v>
          </cell>
          <cell r="C1494">
            <v>134509.89000000001</v>
          </cell>
          <cell r="D1494">
            <v>51666.36</v>
          </cell>
          <cell r="E1494">
            <v>26897</v>
          </cell>
          <cell r="F1494">
            <v>272371.3</v>
          </cell>
          <cell r="G1494">
            <v>74948.550747000001</v>
          </cell>
          <cell r="H1494">
            <v>74948.550747000001</v>
          </cell>
          <cell r="I1494">
            <v>74948.550747000001</v>
          </cell>
          <cell r="J1494">
            <v>74948.550747000001</v>
          </cell>
          <cell r="K1494">
            <v>299794.202988</v>
          </cell>
          <cell r="L1494">
            <v>94859.47</v>
          </cell>
          <cell r="M1494">
            <v>323656.75644000003</v>
          </cell>
          <cell r="N1494">
            <v>309398.244083</v>
          </cell>
          <cell r="O1494">
            <v>294569.39123100002</v>
          </cell>
        </row>
        <row r="1495">
          <cell r="A1495" t="str">
            <v>France GECBSOFTWARE EXPENSE</v>
          </cell>
          <cell r="B1495">
            <v>57760</v>
          </cell>
          <cell r="C1495">
            <v>28135</v>
          </cell>
          <cell r="D1495">
            <v>-53647</v>
          </cell>
          <cell r="E1495">
            <v>31348</v>
          </cell>
          <cell r="F1495">
            <v>63596</v>
          </cell>
          <cell r="G1495">
            <v>0</v>
          </cell>
          <cell r="H1495">
            <v>0</v>
          </cell>
          <cell r="I1495">
            <v>0</v>
          </cell>
          <cell r="J1495">
            <v>0</v>
          </cell>
          <cell r="K1495">
            <v>0</v>
          </cell>
          <cell r="L1495">
            <v>310781</v>
          </cell>
          <cell r="M1495">
            <v>0</v>
          </cell>
          <cell r="N1495">
            <v>0</v>
          </cell>
          <cell r="O1495">
            <v>0</v>
          </cell>
        </row>
        <row r="1496">
          <cell r="A1496" t="str">
            <v>France GECBAMORTIZATION OF INTANGIBLES</v>
          </cell>
          <cell r="B1496">
            <v>0</v>
          </cell>
          <cell r="C1496">
            <v>0</v>
          </cell>
          <cell r="D1496">
            <v>0</v>
          </cell>
          <cell r="E1496">
            <v>0</v>
          </cell>
          <cell r="F1496">
            <v>0</v>
          </cell>
          <cell r="G1496">
            <v>0</v>
          </cell>
          <cell r="H1496">
            <v>0</v>
          </cell>
          <cell r="I1496">
            <v>0</v>
          </cell>
          <cell r="J1496">
            <v>0</v>
          </cell>
          <cell r="K1496">
            <v>0</v>
          </cell>
          <cell r="L1496">
            <v>0</v>
          </cell>
          <cell r="M1496">
            <v>0</v>
          </cell>
          <cell r="N1496">
            <v>0</v>
          </cell>
          <cell r="O1496">
            <v>0</v>
          </cell>
        </row>
        <row r="1497">
          <cell r="A1497" t="str">
            <v>France GECBELTO MAINTENANCE</v>
          </cell>
          <cell r="B1497">
            <v>0</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row>
        <row r="1498">
          <cell r="A1498" t="str">
            <v>France GECBELTO OTHER</v>
          </cell>
          <cell r="B1498">
            <v>0</v>
          </cell>
          <cell r="C1498">
            <v>0</v>
          </cell>
          <cell r="D1498">
            <v>0</v>
          </cell>
          <cell r="E1498">
            <v>0</v>
          </cell>
          <cell r="F1498">
            <v>0</v>
          </cell>
          <cell r="G1498">
            <v>0</v>
          </cell>
          <cell r="H1498">
            <v>0</v>
          </cell>
          <cell r="I1498">
            <v>0</v>
          </cell>
          <cell r="J1498">
            <v>0</v>
          </cell>
          <cell r="K1498">
            <v>0</v>
          </cell>
          <cell r="L1498">
            <v>0</v>
          </cell>
          <cell r="M1498">
            <v>0</v>
          </cell>
          <cell r="N1498">
            <v>0</v>
          </cell>
          <cell r="O1498">
            <v>0</v>
          </cell>
        </row>
        <row r="1499">
          <cell r="A1499" t="str">
            <v>France GECBLEGAL</v>
          </cell>
          <cell r="B1499">
            <v>-614984.66</v>
          </cell>
          <cell r="C1499">
            <v>1272002.47</v>
          </cell>
          <cell r="D1499">
            <v>-494658.3</v>
          </cell>
          <cell r="E1499">
            <v>-186731.67</v>
          </cell>
          <cell r="F1499">
            <v>-24372.16</v>
          </cell>
          <cell r="G1499">
            <v>97032.123449999999</v>
          </cell>
          <cell r="H1499">
            <v>97032.123449999999</v>
          </cell>
          <cell r="I1499">
            <v>97032.123449999999</v>
          </cell>
          <cell r="J1499">
            <v>97032.123449999999</v>
          </cell>
          <cell r="K1499">
            <v>388128.493801</v>
          </cell>
          <cell r="L1499">
            <v>-135840.66</v>
          </cell>
          <cell r="M1499">
            <v>319850.82308900001</v>
          </cell>
          <cell r="N1499">
            <v>305990.62075499998</v>
          </cell>
          <cell r="O1499">
            <v>291576.010328</v>
          </cell>
        </row>
        <row r="1500">
          <cell r="A1500" t="str">
            <v>France GECBADVERTISING</v>
          </cell>
          <cell r="B1500">
            <v>903484.64</v>
          </cell>
          <cell r="C1500">
            <v>-161696.38</v>
          </cell>
          <cell r="D1500">
            <v>-54970.16</v>
          </cell>
          <cell r="E1500">
            <v>174783.94</v>
          </cell>
          <cell r="F1500">
            <v>861602.04</v>
          </cell>
          <cell r="G1500">
            <v>374851.44179700001</v>
          </cell>
          <cell r="H1500">
            <v>374851.44179700001</v>
          </cell>
          <cell r="I1500">
            <v>374851.44179700001</v>
          </cell>
          <cell r="J1500">
            <v>374851.44179700001</v>
          </cell>
          <cell r="K1500">
            <v>1499405.767188</v>
          </cell>
          <cell r="L1500">
            <v>286407.33</v>
          </cell>
          <cell r="M1500">
            <v>3837761.0063410001</v>
          </cell>
          <cell r="N1500">
            <v>6611222.4760710001</v>
          </cell>
          <cell r="O1500">
            <v>8152486.1401000004</v>
          </cell>
        </row>
        <row r="1501">
          <cell r="A1501" t="str">
            <v>France GECBSALES PROMOTIONS</v>
          </cell>
          <cell r="B1501">
            <v>51233.19</v>
          </cell>
          <cell r="C1501">
            <v>154597.91</v>
          </cell>
          <cell r="D1501">
            <v>169098.78</v>
          </cell>
          <cell r="E1501">
            <v>137342.85999999999</v>
          </cell>
          <cell r="F1501">
            <v>512272.74</v>
          </cell>
          <cell r="G1501">
            <v>198973.270403</v>
          </cell>
          <cell r="H1501">
            <v>198973.270403</v>
          </cell>
          <cell r="I1501">
            <v>198973.270403</v>
          </cell>
          <cell r="J1501">
            <v>198973.270403</v>
          </cell>
          <cell r="K1501">
            <v>795893.081611</v>
          </cell>
          <cell r="L1501">
            <v>85623.55</v>
          </cell>
          <cell r="M1501">
            <v>574866.55477199994</v>
          </cell>
          <cell r="N1501">
            <v>549955.67073100002</v>
          </cell>
          <cell r="O1501">
            <v>524048.35132999998</v>
          </cell>
        </row>
        <row r="1502">
          <cell r="A1502" t="str">
            <v>France GECBDIRECT MAIL</v>
          </cell>
          <cell r="B1502">
            <v>0</v>
          </cell>
          <cell r="C1502">
            <v>1849355.93</v>
          </cell>
          <cell r="D1502">
            <v>636433.13</v>
          </cell>
          <cell r="E1502">
            <v>821476.46</v>
          </cell>
          <cell r="F1502">
            <v>3307265.52</v>
          </cell>
          <cell r="G1502">
            <v>676206.44683100004</v>
          </cell>
          <cell r="H1502">
            <v>676206.44683100004</v>
          </cell>
          <cell r="I1502">
            <v>676206.44683100004</v>
          </cell>
          <cell r="J1502">
            <v>676206.44683100004</v>
          </cell>
          <cell r="K1502">
            <v>2704825.7873220001</v>
          </cell>
          <cell r="L1502">
            <v>1302390.58</v>
          </cell>
          <cell r="M1502">
            <v>3792007.060114</v>
          </cell>
          <cell r="N1502">
            <v>3627686.7541760001</v>
          </cell>
          <cell r="O1502">
            <v>3456793.6359999999</v>
          </cell>
        </row>
        <row r="1503">
          <cell r="A1503" t="str">
            <v>France GECBDATA PROCESSING</v>
          </cell>
          <cell r="B1503">
            <v>2364182.5099999998</v>
          </cell>
          <cell r="C1503">
            <v>2546408.29</v>
          </cell>
          <cell r="D1503">
            <v>830981.8</v>
          </cell>
          <cell r="E1503">
            <v>3827397.92</v>
          </cell>
          <cell r="F1503">
            <v>9568970.5199999996</v>
          </cell>
          <cell r="G1503">
            <v>2692708.9758799998</v>
          </cell>
          <cell r="H1503">
            <v>2533039.4462580001</v>
          </cell>
          <cell r="I1503">
            <v>2533039.4462580001</v>
          </cell>
          <cell r="J1503">
            <v>2533039.4462580001</v>
          </cell>
          <cell r="K1503">
            <v>10291827.314653</v>
          </cell>
          <cell r="L1503">
            <v>2468456.12</v>
          </cell>
          <cell r="M1503">
            <v>10811905.16192</v>
          </cell>
          <cell r="N1503">
            <v>11353709.827741999</v>
          </cell>
          <cell r="O1503">
            <v>10918371.560006</v>
          </cell>
        </row>
        <row r="1504">
          <cell r="A1504" t="str">
            <v>France GECBCONSULTING</v>
          </cell>
          <cell r="B1504">
            <v>4720301.79</v>
          </cell>
          <cell r="C1504">
            <v>2658636.7999999998</v>
          </cell>
          <cell r="D1504">
            <v>582765.03</v>
          </cell>
          <cell r="E1504">
            <v>2980144.82</v>
          </cell>
          <cell r="F1504">
            <v>10941848.439999999</v>
          </cell>
          <cell r="G1504">
            <v>1575954.630284</v>
          </cell>
          <cell r="H1504">
            <v>1575954.630284</v>
          </cell>
          <cell r="I1504">
            <v>1575954.630284</v>
          </cell>
          <cell r="J1504">
            <v>1575954.630284</v>
          </cell>
          <cell r="K1504">
            <v>6303818.5211370001</v>
          </cell>
          <cell r="L1504">
            <v>2841283.86</v>
          </cell>
          <cell r="M1504">
            <v>4816337.0543160001</v>
          </cell>
          <cell r="N1504">
            <v>4405151.7297679996</v>
          </cell>
          <cell r="O1504">
            <v>3977518.9922389998</v>
          </cell>
        </row>
        <row r="1505">
          <cell r="A1505" t="str">
            <v>France GECBTEMP SERVICES</v>
          </cell>
          <cell r="B1505">
            <v>571025</v>
          </cell>
          <cell r="C1505">
            <v>475070.3</v>
          </cell>
          <cell r="D1505">
            <v>779436.11</v>
          </cell>
          <cell r="E1505">
            <v>977650.26</v>
          </cell>
          <cell r="F1505">
            <v>2803181.67</v>
          </cell>
          <cell r="G1505">
            <v>688944.797594</v>
          </cell>
          <cell r="H1505">
            <v>668325.30557500001</v>
          </cell>
          <cell r="I1505">
            <v>410581.655348</v>
          </cell>
          <cell r="J1505">
            <v>291405.42467400001</v>
          </cell>
          <cell r="K1505">
            <v>2059257.183191</v>
          </cell>
          <cell r="L1505">
            <v>638259.51</v>
          </cell>
          <cell r="M1505">
            <v>0</v>
          </cell>
          <cell r="N1505">
            <v>0</v>
          </cell>
          <cell r="O1505">
            <v>0</v>
          </cell>
        </row>
        <row r="1506">
          <cell r="A1506" t="str">
            <v>France GECBGDC CHARGES</v>
          </cell>
          <cell r="B1506">
            <v>0</v>
          </cell>
          <cell r="C1506">
            <v>0</v>
          </cell>
          <cell r="D1506">
            <v>0</v>
          </cell>
          <cell r="E1506">
            <v>0</v>
          </cell>
          <cell r="F1506">
            <v>0</v>
          </cell>
          <cell r="G1506">
            <v>0</v>
          </cell>
          <cell r="H1506">
            <v>0</v>
          </cell>
          <cell r="I1506">
            <v>0</v>
          </cell>
          <cell r="J1506">
            <v>0</v>
          </cell>
          <cell r="K1506">
            <v>0</v>
          </cell>
          <cell r="L1506">
            <v>-7201.54</v>
          </cell>
          <cell r="M1506">
            <v>0</v>
          </cell>
          <cell r="N1506">
            <v>0</v>
          </cell>
          <cell r="O1506">
            <v>0</v>
          </cell>
        </row>
        <row r="1507">
          <cell r="A1507" t="str">
            <v>France GECBTRAINING AND EDUCATION</v>
          </cell>
          <cell r="B1507">
            <v>55599.839999999997</v>
          </cell>
          <cell r="C1507">
            <v>73108.679999999993</v>
          </cell>
          <cell r="D1507">
            <v>82515.199999999997</v>
          </cell>
          <cell r="E1507">
            <v>230847.38</v>
          </cell>
          <cell r="F1507">
            <v>442071.1</v>
          </cell>
          <cell r="G1507">
            <v>159741.21747100001</v>
          </cell>
          <cell r="H1507">
            <v>159741.21747100001</v>
          </cell>
          <cell r="I1507">
            <v>159741.21747100001</v>
          </cell>
          <cell r="J1507">
            <v>159741.21747100001</v>
          </cell>
          <cell r="K1507">
            <v>638964.86988400004</v>
          </cell>
          <cell r="L1507">
            <v>154365.85999999999</v>
          </cell>
          <cell r="M1507">
            <v>676715.23244399996</v>
          </cell>
          <cell r="N1507">
            <v>647390.90570400003</v>
          </cell>
          <cell r="O1507">
            <v>616893.60589600005</v>
          </cell>
        </row>
        <row r="1508">
          <cell r="A1508" t="str">
            <v>France GECBOUTSIDE SERVICES  AND FEES</v>
          </cell>
          <cell r="B1508">
            <v>69299.600000000006</v>
          </cell>
          <cell r="C1508">
            <v>72880.100000000006</v>
          </cell>
          <cell r="D1508">
            <v>91927.34</v>
          </cell>
          <cell r="E1508">
            <v>-47017.760000000002</v>
          </cell>
          <cell r="F1508">
            <v>187089.28</v>
          </cell>
          <cell r="G1508">
            <v>215812.20373199999</v>
          </cell>
          <cell r="H1508">
            <v>215812.20373199999</v>
          </cell>
          <cell r="I1508">
            <v>215812.20373199999</v>
          </cell>
          <cell r="J1508">
            <v>215812.20373199999</v>
          </cell>
          <cell r="K1508">
            <v>863248.81492799998</v>
          </cell>
          <cell r="L1508">
            <v>1409607.93</v>
          </cell>
          <cell r="M1508">
            <v>1807971.8461460001</v>
          </cell>
          <cell r="N1508">
            <v>1764038.5378310001</v>
          </cell>
          <cell r="O1508">
            <v>1625472.796319</v>
          </cell>
        </row>
        <row r="1509">
          <cell r="A1509" t="str">
            <v>France GECBSTATE, FOREIGN, LOCAL TAXES</v>
          </cell>
          <cell r="B1509">
            <v>1189008.93</v>
          </cell>
          <cell r="C1509">
            <v>-17723.310000000001</v>
          </cell>
          <cell r="D1509">
            <v>1383032.04</v>
          </cell>
          <cell r="E1509">
            <v>2015364.91</v>
          </cell>
          <cell r="F1509">
            <v>4569682.57</v>
          </cell>
          <cell r="G1509">
            <v>827715.53523299994</v>
          </cell>
          <cell r="H1509">
            <v>827715.53523299994</v>
          </cell>
          <cell r="I1509">
            <v>827715.53523299994</v>
          </cell>
          <cell r="J1509">
            <v>827715.53523299994</v>
          </cell>
          <cell r="K1509">
            <v>3310862.140931</v>
          </cell>
          <cell r="L1509">
            <v>-28912.71</v>
          </cell>
          <cell r="M1509">
            <v>0</v>
          </cell>
          <cell r="N1509">
            <v>0</v>
          </cell>
          <cell r="O1509">
            <v>0</v>
          </cell>
        </row>
        <row r="1510">
          <cell r="A1510" t="str">
            <v>France GECBS/L TAX - INSURANCE PREMIUMS</v>
          </cell>
          <cell r="B1510">
            <v>0</v>
          </cell>
          <cell r="C1510">
            <v>0</v>
          </cell>
          <cell r="D1510">
            <v>0</v>
          </cell>
          <cell r="E1510">
            <v>0</v>
          </cell>
          <cell r="F1510">
            <v>0</v>
          </cell>
          <cell r="G1510">
            <v>0</v>
          </cell>
          <cell r="H1510">
            <v>0</v>
          </cell>
          <cell r="I1510">
            <v>0</v>
          </cell>
          <cell r="J1510">
            <v>0</v>
          </cell>
          <cell r="K1510">
            <v>0</v>
          </cell>
          <cell r="L1510">
            <v>0</v>
          </cell>
          <cell r="M1510">
            <v>0</v>
          </cell>
          <cell r="N1510">
            <v>0</v>
          </cell>
          <cell r="O1510">
            <v>0</v>
          </cell>
        </row>
        <row r="1511">
          <cell r="A1511" t="str">
            <v>France GECBSATELLITE LEASE EXPENSE</v>
          </cell>
          <cell r="B1511">
            <v>0</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row>
        <row r="1512">
          <cell r="A1512" t="str">
            <v>France GECBBUSINESS SHARE EXPENSE</v>
          </cell>
          <cell r="B1512">
            <v>0</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row>
        <row r="1513">
          <cell r="A1513" t="str">
            <v>France GECBINSURANCE AFFILIATE EXPENSE</v>
          </cell>
          <cell r="B1513">
            <v>0</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row>
        <row r="1514">
          <cell r="A1514" t="str">
            <v>France GECBOTHER FACILITY EXPENSE</v>
          </cell>
          <cell r="B1514">
            <v>534778.82999999996</v>
          </cell>
          <cell r="C1514">
            <v>810194.18</v>
          </cell>
          <cell r="D1514">
            <v>444761.49</v>
          </cell>
          <cell r="E1514">
            <v>757407.24</v>
          </cell>
          <cell r="F1514">
            <v>2547141.7400000002</v>
          </cell>
          <cell r="G1514">
            <v>614434.56290599995</v>
          </cell>
          <cell r="H1514">
            <v>614434.56290599995</v>
          </cell>
          <cell r="I1514">
            <v>614434.56290599995</v>
          </cell>
          <cell r="J1514">
            <v>614434.56290599995</v>
          </cell>
          <cell r="K1514">
            <v>2457738.251623</v>
          </cell>
          <cell r="L1514">
            <v>135178.69</v>
          </cell>
          <cell r="M1514">
            <v>2006654.3005550001</v>
          </cell>
          <cell r="N1514">
            <v>1917421.7084949999</v>
          </cell>
          <cell r="O1514">
            <v>1824619.8127530001</v>
          </cell>
        </row>
        <row r="1515">
          <cell r="A1515" t="str">
            <v>France GECBGROSS OP &amp; ADMIN BUS SHARE</v>
          </cell>
          <cell r="B1515">
            <v>-26344</v>
          </cell>
          <cell r="C1515">
            <v>0</v>
          </cell>
          <cell r="D1515">
            <v>0</v>
          </cell>
          <cell r="E1515">
            <v>-43160.6</v>
          </cell>
          <cell r="F1515">
            <v>-69504.600000000006</v>
          </cell>
          <cell r="G1515">
            <v>0</v>
          </cell>
          <cell r="H1515">
            <v>0</v>
          </cell>
          <cell r="I1515">
            <v>0</v>
          </cell>
          <cell r="J1515">
            <v>0</v>
          </cell>
          <cell r="K1515">
            <v>0</v>
          </cell>
          <cell r="L1515">
            <v>-43796</v>
          </cell>
          <cell r="M1515">
            <v>0</v>
          </cell>
          <cell r="N1515">
            <v>0</v>
          </cell>
          <cell r="O1515">
            <v>0</v>
          </cell>
        </row>
        <row r="1516">
          <cell r="A1516" t="str">
            <v>France GECBOTHER EXPENSE</v>
          </cell>
          <cell r="B1516">
            <v>-1440010.06</v>
          </cell>
          <cell r="C1516">
            <v>1537286.32</v>
          </cell>
          <cell r="D1516">
            <v>129564.78</v>
          </cell>
          <cell r="E1516">
            <v>-4255166.42</v>
          </cell>
          <cell r="F1516">
            <v>-4028325.38</v>
          </cell>
          <cell r="G1516">
            <v>-1152107.818522</v>
          </cell>
          <cell r="H1516">
            <v>-1152107.818522</v>
          </cell>
          <cell r="I1516">
            <v>-1152107.818522</v>
          </cell>
          <cell r="J1516">
            <v>-1152107.818522</v>
          </cell>
          <cell r="K1516">
            <v>-4608431.2740890002</v>
          </cell>
          <cell r="L1516">
            <v>-2709183.67</v>
          </cell>
          <cell r="M1516">
            <v>2751545.7479150002</v>
          </cell>
          <cell r="N1516">
            <v>3974491.4698720002</v>
          </cell>
          <cell r="O1516">
            <v>3882085.1472979998</v>
          </cell>
        </row>
        <row r="1517">
          <cell r="A1517" t="str">
            <v>France GECBGECC INTERCO EXPENSES EXCL GECIS</v>
          </cell>
          <cell r="B1517">
            <v>-6602.33</v>
          </cell>
          <cell r="C1517">
            <v>4582.66</v>
          </cell>
          <cell r="D1517">
            <v>2019.8</v>
          </cell>
          <cell r="E1517">
            <v>0.04</v>
          </cell>
          <cell r="F1517">
            <v>0.17</v>
          </cell>
          <cell r="G1517">
            <v>0</v>
          </cell>
          <cell r="H1517">
            <v>0</v>
          </cell>
          <cell r="I1517">
            <v>0</v>
          </cell>
          <cell r="J1517">
            <v>0</v>
          </cell>
          <cell r="K1517">
            <v>0</v>
          </cell>
          <cell r="L1517">
            <v>481063.79</v>
          </cell>
          <cell r="M1517">
            <v>0</v>
          </cell>
          <cell r="N1517">
            <v>0</v>
          </cell>
          <cell r="O1517">
            <v>0</v>
          </cell>
        </row>
        <row r="1518">
          <cell r="A1518" t="str">
            <v>France GECBGECIS INTERCO CHARGES</v>
          </cell>
          <cell r="B1518">
            <v>49742.09</v>
          </cell>
          <cell r="C1518">
            <v>84218.98</v>
          </cell>
          <cell r="D1518">
            <v>342832.74</v>
          </cell>
          <cell r="E1518">
            <v>93074.880000000005</v>
          </cell>
          <cell r="F1518">
            <v>569868.68999999994</v>
          </cell>
          <cell r="G1518">
            <v>162853.710203</v>
          </cell>
          <cell r="H1518">
            <v>162853.710203</v>
          </cell>
          <cell r="I1518">
            <v>162853.710203</v>
          </cell>
          <cell r="J1518">
            <v>72683.709363999995</v>
          </cell>
          <cell r="K1518">
            <v>561244.83997199999</v>
          </cell>
          <cell r="L1518">
            <v>81697.47</v>
          </cell>
          <cell r="M1518">
            <v>0</v>
          </cell>
          <cell r="N1518">
            <v>0</v>
          </cell>
          <cell r="O1518">
            <v>0</v>
          </cell>
        </row>
        <row r="1519">
          <cell r="A1519" t="str">
            <v>France GECBLOSS ADJUSTED EXPENSE</v>
          </cell>
          <cell r="B1519">
            <v>0</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row>
        <row r="1520">
          <cell r="A1520" t="str">
            <v>France GECBALL OTHER EXPENSES</v>
          </cell>
          <cell r="B1520">
            <v>7.0000000000000007E-2</v>
          </cell>
          <cell r="C1520">
            <v>0</v>
          </cell>
          <cell r="D1520">
            <v>-7.0000000000000007E-2</v>
          </cell>
          <cell r="E1520">
            <v>0.22</v>
          </cell>
          <cell r="F1520">
            <v>0.22</v>
          </cell>
          <cell r="G1520">
            <v>0</v>
          </cell>
          <cell r="H1520">
            <v>0</v>
          </cell>
          <cell r="I1520">
            <v>0</v>
          </cell>
          <cell r="J1520">
            <v>0</v>
          </cell>
          <cell r="K1520">
            <v>0</v>
          </cell>
          <cell r="L1520">
            <v>0</v>
          </cell>
          <cell r="M1520">
            <v>163395.86603899999</v>
          </cell>
          <cell r="N1520">
            <v>156315.37851099999</v>
          </cell>
          <cell r="O1520">
            <v>148951.671481</v>
          </cell>
        </row>
        <row r="1521">
          <cell r="A1521" t="str">
            <v>France GECBASSESSMENTS</v>
          </cell>
          <cell r="B1521">
            <v>1920941.78</v>
          </cell>
          <cell r="C1521">
            <v>2228727.34</v>
          </cell>
          <cell r="D1521">
            <v>2193089.2599999998</v>
          </cell>
          <cell r="E1521">
            <v>-457193.17</v>
          </cell>
          <cell r="F1521">
            <v>5885565.21</v>
          </cell>
          <cell r="G1521">
            <v>2089773.9247729999</v>
          </cell>
          <cell r="H1521">
            <v>2119381.4004910002</v>
          </cell>
          <cell r="I1521">
            <v>2147931.466362</v>
          </cell>
          <cell r="J1521">
            <v>2173732.2666310002</v>
          </cell>
          <cell r="K1521">
            <v>8530819.0582570005</v>
          </cell>
          <cell r="L1521">
            <v>1861452.21</v>
          </cell>
          <cell r="M1521">
            <v>8822481.9724920001</v>
          </cell>
          <cell r="N1521">
            <v>10162347.369182</v>
          </cell>
          <cell r="O1521">
            <v>11309773.897464</v>
          </cell>
        </row>
        <row r="1522">
          <cell r="A1522" t="str">
            <v>France GECBFAS 91</v>
          </cell>
          <cell r="B1522">
            <v>-798763.57</v>
          </cell>
          <cell r="C1522">
            <v>-421093.81</v>
          </cell>
          <cell r="D1522">
            <v>-948255.42</v>
          </cell>
          <cell r="E1522">
            <v>895528.86</v>
          </cell>
          <cell r="F1522">
            <v>-1272583.94</v>
          </cell>
          <cell r="G1522">
            <v>-529905.21565799997</v>
          </cell>
          <cell r="H1522">
            <v>-643268.18050300004</v>
          </cell>
          <cell r="I1522">
            <v>-652616.416356</v>
          </cell>
          <cell r="J1522">
            <v>-519633.82349799998</v>
          </cell>
          <cell r="K1522">
            <v>-2345423.6360149998</v>
          </cell>
          <cell r="L1522">
            <v>-107607.49</v>
          </cell>
          <cell r="M1522">
            <v>-829287.97873600002</v>
          </cell>
          <cell r="N1522">
            <v>-831122.35725</v>
          </cell>
          <cell r="O1522">
            <v>1015895.724972</v>
          </cell>
        </row>
        <row r="1523">
          <cell r="A1523" t="str">
            <v>France GECBGOODWILL AMORTIZATION</v>
          </cell>
          <cell r="B1523">
            <v>3076037.47</v>
          </cell>
          <cell r="C1523">
            <v>2858853.79</v>
          </cell>
          <cell r="D1523">
            <v>2699809.75</v>
          </cell>
          <cell r="E1523">
            <v>48482.06</v>
          </cell>
          <cell r="F1523">
            <v>8683183.0700000003</v>
          </cell>
          <cell r="G1523">
            <v>0</v>
          </cell>
          <cell r="H1523">
            <v>0</v>
          </cell>
          <cell r="I1523">
            <v>0</v>
          </cell>
          <cell r="J1523">
            <v>0</v>
          </cell>
          <cell r="K1523">
            <v>0</v>
          </cell>
          <cell r="L1523">
            <v>0</v>
          </cell>
          <cell r="M1523">
            <v>11473915.967597</v>
          </cell>
          <cell r="N1523">
            <v>11473915.967597</v>
          </cell>
          <cell r="O1523">
            <v>11473915.967597</v>
          </cell>
        </row>
        <row r="1524">
          <cell r="A1524" t="str">
            <v>France GECBDEPRECIATION EXPENSE</v>
          </cell>
          <cell r="B1524">
            <v>-72038.66</v>
          </cell>
          <cell r="C1524">
            <v>1334321.6299999999</v>
          </cell>
          <cell r="D1524">
            <v>955045.91</v>
          </cell>
          <cell r="E1524">
            <v>1103763.6299999999</v>
          </cell>
          <cell r="F1524">
            <v>3321092.51</v>
          </cell>
          <cell r="G1524">
            <v>1788864.5246600001</v>
          </cell>
          <cell r="H1524">
            <v>1887280.185389</v>
          </cell>
          <cell r="I1524">
            <v>1887280.185389</v>
          </cell>
          <cell r="J1524">
            <v>1887280.185389</v>
          </cell>
          <cell r="K1524">
            <v>7450705.0808260003</v>
          </cell>
          <cell r="L1524">
            <v>2310285.8199999998</v>
          </cell>
          <cell r="M1524">
            <v>7987053.6269610003</v>
          </cell>
          <cell r="N1524">
            <v>8352508.1104140002</v>
          </cell>
          <cell r="O1524">
            <v>8352508.1104140002</v>
          </cell>
        </row>
        <row r="1525">
          <cell r="A1525" t="str">
            <v>France GECBELTO AMORTIZATION</v>
          </cell>
          <cell r="B1525">
            <v>0</v>
          </cell>
          <cell r="C1525">
            <v>0</v>
          </cell>
          <cell r="D1525">
            <v>0</v>
          </cell>
          <cell r="E1525">
            <v>0</v>
          </cell>
          <cell r="F1525">
            <v>0</v>
          </cell>
          <cell r="G1525">
            <v>0</v>
          </cell>
          <cell r="H1525">
            <v>0</v>
          </cell>
          <cell r="I1525">
            <v>0</v>
          </cell>
          <cell r="J1525">
            <v>0</v>
          </cell>
          <cell r="K1525">
            <v>0</v>
          </cell>
          <cell r="L1525">
            <v>0</v>
          </cell>
          <cell r="M1525">
            <v>0</v>
          </cell>
          <cell r="N1525">
            <v>0</v>
          </cell>
          <cell r="O1525">
            <v>0</v>
          </cell>
        </row>
        <row r="1526">
          <cell r="A1526" t="str">
            <v>France GECBINSURANCE LOSSES AND BENEFITS</v>
          </cell>
          <cell r="B1526">
            <v>0</v>
          </cell>
          <cell r="C1526">
            <v>0</v>
          </cell>
          <cell r="D1526">
            <v>0</v>
          </cell>
          <cell r="E1526">
            <v>0</v>
          </cell>
          <cell r="F1526">
            <v>0</v>
          </cell>
          <cell r="G1526">
            <v>0</v>
          </cell>
          <cell r="H1526">
            <v>0</v>
          </cell>
          <cell r="I1526">
            <v>0</v>
          </cell>
          <cell r="J1526">
            <v>0</v>
          </cell>
          <cell r="K1526">
            <v>0</v>
          </cell>
          <cell r="L1526">
            <v>0</v>
          </cell>
          <cell r="M1526">
            <v>0</v>
          </cell>
          <cell r="N1526">
            <v>0</v>
          </cell>
          <cell r="O1526">
            <v>0</v>
          </cell>
        </row>
        <row r="1527">
          <cell r="A1527" t="str">
            <v>France GECBWRITE OFFS</v>
          </cell>
          <cell r="B1527">
            <v>10704825.529999999</v>
          </cell>
          <cell r="C1527">
            <v>3443182.5</v>
          </cell>
          <cell r="D1527">
            <v>7544929.5800000001</v>
          </cell>
          <cell r="E1527">
            <v>6837296.0099999998</v>
          </cell>
          <cell r="F1527">
            <v>28530233.620000001</v>
          </cell>
          <cell r="G1527">
            <v>7580178.8615549998</v>
          </cell>
          <cell r="H1527">
            <v>3601457.5667340001</v>
          </cell>
          <cell r="I1527">
            <v>9194955.6854459997</v>
          </cell>
          <cell r="J1527">
            <v>6692050.4219519999</v>
          </cell>
          <cell r="K1527">
            <v>27068642.535687</v>
          </cell>
          <cell r="L1527">
            <v>5377981.7300000004</v>
          </cell>
          <cell r="M1527">
            <v>28613063.572082002</v>
          </cell>
          <cell r="N1527">
            <v>39947278.874756001</v>
          </cell>
          <cell r="O1527">
            <v>29167676.146274</v>
          </cell>
        </row>
        <row r="1528">
          <cell r="A1528" t="str">
            <v>France GECBRESERVE CHANGE</v>
          </cell>
          <cell r="B1528">
            <v>-425125.52</v>
          </cell>
          <cell r="C1528">
            <v>-1309389.71</v>
          </cell>
          <cell r="D1528">
            <v>-49753.07</v>
          </cell>
          <cell r="E1528">
            <v>-367333.57</v>
          </cell>
          <cell r="F1528">
            <v>-2151601.87</v>
          </cell>
          <cell r="G1528">
            <v>0</v>
          </cell>
          <cell r="H1528">
            <v>0</v>
          </cell>
          <cell r="I1528">
            <v>0</v>
          </cell>
          <cell r="J1528">
            <v>0</v>
          </cell>
          <cell r="K1528">
            <v>0</v>
          </cell>
          <cell r="L1528">
            <v>-355908.01</v>
          </cell>
          <cell r="M1528">
            <v>0</v>
          </cell>
          <cell r="N1528">
            <v>0</v>
          </cell>
          <cell r="O1528">
            <v>0</v>
          </cell>
        </row>
        <row r="1529">
          <cell r="A1529" t="str">
            <v>France GECBMINORITY INTEREST</v>
          </cell>
          <cell r="B1529">
            <v>0</v>
          </cell>
          <cell r="C1529">
            <v>22963.65</v>
          </cell>
          <cell r="D1529">
            <v>-22964</v>
          </cell>
          <cell r="E1529">
            <v>0.35</v>
          </cell>
          <cell r="F1529">
            <v>0</v>
          </cell>
          <cell r="G1529">
            <v>0</v>
          </cell>
          <cell r="H1529">
            <v>0</v>
          </cell>
          <cell r="I1529">
            <v>0</v>
          </cell>
          <cell r="J1529">
            <v>0</v>
          </cell>
          <cell r="K1529">
            <v>0</v>
          </cell>
          <cell r="L1529">
            <v>0</v>
          </cell>
          <cell r="M1529">
            <v>0</v>
          </cell>
          <cell r="N1529">
            <v>0</v>
          </cell>
          <cell r="O1529">
            <v>0</v>
          </cell>
        </row>
        <row r="1530">
          <cell r="A1530" t="str">
            <v>France GECBINCOME TAXES</v>
          </cell>
          <cell r="B1530">
            <v>-7528615.8899999997</v>
          </cell>
          <cell r="C1530">
            <v>-6628533.6399999997</v>
          </cell>
          <cell r="D1530">
            <v>-5397934.2625000002</v>
          </cell>
          <cell r="E1530">
            <v>-5908195.4775</v>
          </cell>
          <cell r="F1530">
            <v>-25463279.27</v>
          </cell>
          <cell r="G1530">
            <v>-7304858.984069</v>
          </cell>
          <cell r="H1530">
            <v>-5266997.2619740004</v>
          </cell>
          <cell r="I1530">
            <v>-6718217.4523189999</v>
          </cell>
          <cell r="J1530">
            <v>-6363522.1728879996</v>
          </cell>
          <cell r="K1530">
            <v>-25653595.87125</v>
          </cell>
          <cell r="L1530">
            <v>-4207241.72</v>
          </cell>
          <cell r="M1530">
            <v>-22220041.209445</v>
          </cell>
          <cell r="N1530">
            <v>-19073156.950091999</v>
          </cell>
          <cell r="O1530">
            <v>-6759692.7927289996</v>
          </cell>
        </row>
        <row r="1531">
          <cell r="A1531" t="str">
            <v>France GECBCUMULATIVE TRANSITION ADJUSTMENT</v>
          </cell>
          <cell r="B1531">
            <v>-28628</v>
          </cell>
          <cell r="C1531">
            <v>0</v>
          </cell>
          <cell r="D1531">
            <v>0.01</v>
          </cell>
          <cell r="E1531">
            <v>0</v>
          </cell>
          <cell r="F1531">
            <v>-28627.99</v>
          </cell>
          <cell r="G1531">
            <v>0</v>
          </cell>
          <cell r="H1531">
            <v>0</v>
          </cell>
          <cell r="I1531">
            <v>0</v>
          </cell>
          <cell r="J1531">
            <v>0</v>
          </cell>
          <cell r="K1531">
            <v>0</v>
          </cell>
          <cell r="L1531">
            <v>0</v>
          </cell>
          <cell r="M1531">
            <v>0</v>
          </cell>
          <cell r="N1531">
            <v>0</v>
          </cell>
          <cell r="O1531">
            <v>0</v>
          </cell>
        </row>
        <row r="1532">
          <cell r="A1532" t="str">
            <v>France GECBASIA PACIFIC NI DIVIDEND</v>
          </cell>
          <cell r="B1532">
            <v>0</v>
          </cell>
          <cell r="C1532">
            <v>0</v>
          </cell>
          <cell r="D1532">
            <v>0</v>
          </cell>
          <cell r="E1532">
            <v>0</v>
          </cell>
          <cell r="F1532">
            <v>0</v>
          </cell>
          <cell r="G1532">
            <v>0</v>
          </cell>
          <cell r="H1532">
            <v>0</v>
          </cell>
          <cell r="I1532">
            <v>0</v>
          </cell>
          <cell r="J1532">
            <v>0</v>
          </cell>
          <cell r="K1532">
            <v>0</v>
          </cell>
          <cell r="L1532">
            <v>0</v>
          </cell>
          <cell r="M1532">
            <v>0</v>
          </cell>
          <cell r="N1532">
            <v>0</v>
          </cell>
          <cell r="O1532">
            <v>0</v>
          </cell>
        </row>
        <row r="1533">
          <cell r="A1533" t="str">
            <v>France GECBNet Income</v>
          </cell>
          <cell r="B1533">
            <v>854666.56</v>
          </cell>
          <cell r="C1533">
            <v>-174163.49</v>
          </cell>
          <cell r="D1533">
            <v>-2412892.7825000002</v>
          </cell>
          <cell r="E1533">
            <v>-980579.21750000003</v>
          </cell>
          <cell r="F1533">
            <v>-2712968.93</v>
          </cell>
          <cell r="G1533">
            <v>-5473398.1105660005</v>
          </cell>
          <cell r="H1533">
            <v>-9130774.3813259993</v>
          </cell>
          <cell r="I1533">
            <v>-6426121.2168549998</v>
          </cell>
          <cell r="J1533">
            <v>-6946306.9663570002</v>
          </cell>
          <cell r="K1533">
            <v>-27976600.675105002</v>
          </cell>
          <cell r="L1533">
            <v>-9975862.4399999995</v>
          </cell>
          <cell r="M1533">
            <v>-10508999.887845</v>
          </cell>
          <cell r="N1533">
            <v>-21370588.910517</v>
          </cell>
          <cell r="O1533">
            <v>-47709760.115429997</v>
          </cell>
        </row>
        <row r="1534">
          <cell r="A1534" t="str">
            <v>France GECBSubPart F</v>
          </cell>
          <cell r="B1534">
            <v>4798000</v>
          </cell>
          <cell r="C1534">
            <v>4603000</v>
          </cell>
          <cell r="D1534">
            <v>4547140</v>
          </cell>
          <cell r="E1534">
            <v>4453841</v>
          </cell>
          <cell r="F1534">
            <v>18401981</v>
          </cell>
          <cell r="G1534">
            <v>6817495.289171</v>
          </cell>
          <cell r="H1534">
            <v>6776586.2059909999</v>
          </cell>
          <cell r="I1534">
            <v>6776586.2059909999</v>
          </cell>
          <cell r="J1534">
            <v>6730203.5788470004</v>
          </cell>
          <cell r="K1534">
            <v>27100871.280000001</v>
          </cell>
          <cell r="L1534">
            <v>6280000</v>
          </cell>
          <cell r="M1534">
            <v>19450222.603</v>
          </cell>
          <cell r="N1534">
            <v>21339718.68</v>
          </cell>
          <cell r="O1534">
            <v>22707117.083000001</v>
          </cell>
        </row>
        <row r="1535">
          <cell r="A1535" t="str">
            <v>France GECBAssets</v>
          </cell>
          <cell r="B1535">
            <v>3221846966.6300001</v>
          </cell>
          <cell r="C1535">
            <v>3067248558.8400002</v>
          </cell>
          <cell r="D1535">
            <v>3238079142.9099998</v>
          </cell>
          <cell r="E1535">
            <v>3212869558.9400001</v>
          </cell>
          <cell r="F1535">
            <v>3212869558.9400001</v>
          </cell>
          <cell r="G1535">
            <v>3251882701.3140802</v>
          </cell>
          <cell r="H1535">
            <v>3334067979.34763</v>
          </cell>
          <cell r="I1535">
            <v>3412535322.3810802</v>
          </cell>
          <cell r="J1535">
            <v>3493264045.9930801</v>
          </cell>
          <cell r="K1535">
            <v>3493264045.9930801</v>
          </cell>
          <cell r="L1535">
            <v>3179564957.1999998</v>
          </cell>
          <cell r="M1535">
            <v>4008668515.9712701</v>
          </cell>
          <cell r="N1535">
            <v>4601843086.3810902</v>
          </cell>
          <cell r="O1535">
            <v>4157251918.63693</v>
          </cell>
        </row>
        <row r="1536">
          <cell r="A1536" t="str">
            <v>France GECBEnding Net Investment (ENI) incl Asia</v>
          </cell>
          <cell r="B1536">
            <v>3013274090.29</v>
          </cell>
          <cell r="C1536">
            <v>3002062556.3499999</v>
          </cell>
          <cell r="D1536">
            <v>3169844231.6500001</v>
          </cell>
          <cell r="E1536">
            <v>3085990079.1399999</v>
          </cell>
          <cell r="F1536">
            <v>3085990079.1399999</v>
          </cell>
          <cell r="G1536">
            <v>3198839884.88589</v>
          </cell>
          <cell r="H1536">
            <v>3282175348.1763902</v>
          </cell>
          <cell r="I1536">
            <v>3361751568.2262902</v>
          </cell>
          <cell r="J1536">
            <v>3443509316.5819702</v>
          </cell>
          <cell r="K1536">
            <v>3443509316.5819702</v>
          </cell>
          <cell r="L1536">
            <v>3004909134.71</v>
          </cell>
          <cell r="M1536">
            <v>3793304011.2614298</v>
          </cell>
          <cell r="N1536">
            <v>4371509173.8502398</v>
          </cell>
          <cell r="O1536">
            <v>3911609784.48106</v>
          </cell>
        </row>
        <row r="1537">
          <cell r="A1537" t="str">
            <v>France GECBANR YTD</v>
          </cell>
          <cell r="B1537">
            <v>2844478866.4850001</v>
          </cell>
          <cell r="C1537">
            <v>2840731563.6033301</v>
          </cell>
          <cell r="D1537">
            <v>2901235457.3525</v>
          </cell>
          <cell r="E1537">
            <v>2936748547.4959998</v>
          </cell>
          <cell r="F1537">
            <v>2936748547.4959998</v>
          </cell>
          <cell r="G1537">
            <v>3101571769.3030901</v>
          </cell>
          <cell r="H1537">
            <v>3136834520.6866598</v>
          </cell>
          <cell r="I1537">
            <v>3174475264.3952098</v>
          </cell>
          <cell r="J1537">
            <v>3213184341.8719201</v>
          </cell>
          <cell r="K1537">
            <v>3213184341.8719201</v>
          </cell>
          <cell r="L1537">
            <v>3069500479.0650001</v>
          </cell>
          <cell r="M1537">
            <v>1348925715.54952</v>
          </cell>
          <cell r="N1537">
            <v>1561165013.3587101</v>
          </cell>
          <cell r="O1537">
            <v>1584414863.0207601</v>
          </cell>
        </row>
        <row r="1538">
          <cell r="A1538" t="str">
            <v>France GECBASA YTD</v>
          </cell>
          <cell r="B1538">
            <v>3698419080.27</v>
          </cell>
          <cell r="C1538">
            <v>3668063039.46</v>
          </cell>
          <cell r="D1538">
            <v>3714046564.2449999</v>
          </cell>
          <cell r="E1538">
            <v>3734845549.6100001</v>
          </cell>
          <cell r="F1538">
            <v>3734845549.6100001</v>
          </cell>
          <cell r="G1538">
            <v>3436243070.3030901</v>
          </cell>
          <cell r="H1538">
            <v>3573427069.3533301</v>
          </cell>
          <cell r="I1538">
            <v>3655130825.8952098</v>
          </cell>
          <cell r="J1538">
            <v>3720277711.0719199</v>
          </cell>
          <cell r="K1538">
            <v>3720277711.0719199</v>
          </cell>
          <cell r="L1538">
            <v>3784582963.5650001</v>
          </cell>
          <cell r="M1538">
            <v>1628736846.67261</v>
          </cell>
          <cell r="N1538">
            <v>1792250631.7644801</v>
          </cell>
          <cell r="O1538">
            <v>1996278188.7858</v>
          </cell>
        </row>
        <row r="1539">
          <cell r="A1539" t="str">
            <v>France GECBANI YTD incl Asia - 5 pt</v>
          </cell>
          <cell r="B1539">
            <v>2876903567.145</v>
          </cell>
          <cell r="C1539">
            <v>2918623230.2133298</v>
          </cell>
          <cell r="D1539">
            <v>2981428480.5725002</v>
          </cell>
          <cell r="E1539">
            <v>3002340800.2859998</v>
          </cell>
          <cell r="F1539">
            <v>3002340800.2859998</v>
          </cell>
          <cell r="G1539">
            <v>3142414982.0129399</v>
          </cell>
          <cell r="H1539">
            <v>3189001770.7340899</v>
          </cell>
          <cell r="I1539">
            <v>3232189220.1071401</v>
          </cell>
          <cell r="J1539">
            <v>3274453239.4021101</v>
          </cell>
          <cell r="K1539">
            <v>3274453239.4021101</v>
          </cell>
          <cell r="L1539">
            <v>3045449606.9250002</v>
          </cell>
          <cell r="M1539">
            <v>1420503982.9484701</v>
          </cell>
          <cell r="N1539">
            <v>1632962637.02233</v>
          </cell>
          <cell r="O1539">
            <v>1656623791.66626</v>
          </cell>
        </row>
        <row r="1540">
          <cell r="A1540" t="str">
            <v>France GECBOff Balance Sheet Assets</v>
          </cell>
          <cell r="B1540">
            <v>838272000</v>
          </cell>
          <cell r="C1540">
            <v>774114000</v>
          </cell>
          <cell r="D1540">
            <v>769250000</v>
          </cell>
          <cell r="E1540">
            <v>739240583</v>
          </cell>
          <cell r="F1540">
            <v>739240583</v>
          </cell>
          <cell r="G1540">
            <v>669342602</v>
          </cell>
          <cell r="H1540">
            <v>640435044</v>
          </cell>
          <cell r="I1540">
            <v>612844600</v>
          </cell>
          <cell r="J1540">
            <v>612844600</v>
          </cell>
          <cell r="K1540">
            <v>612844600</v>
          </cell>
          <cell r="L1540">
            <v>690924386</v>
          </cell>
          <cell r="M1540">
            <v>628591975.27306902</v>
          </cell>
          <cell r="N1540">
            <v>526836116.755804</v>
          </cell>
          <cell r="O1540">
            <v>1532480512.0694101</v>
          </cell>
        </row>
        <row r="1541">
          <cell r="A1541" t="str">
            <v>France GECBJV Receivables</v>
          </cell>
          <cell r="B1541">
            <v>0</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row>
        <row r="1542">
          <cell r="A1542" t="str">
            <v>France GECB30+ DELINQUENCY $</v>
          </cell>
          <cell r="B1542">
            <v>106525913.78</v>
          </cell>
          <cell r="C1542">
            <v>94457909.079999998</v>
          </cell>
          <cell r="D1542">
            <v>98711589.010000005</v>
          </cell>
          <cell r="E1542">
            <v>95707043.640000001</v>
          </cell>
          <cell r="F1542">
            <v>95707043.640000001</v>
          </cell>
          <cell r="G1542">
            <v>94887239.155652002</v>
          </cell>
          <cell r="H1542">
            <v>95709180.003234997</v>
          </cell>
          <cell r="I1542">
            <v>100886038.08279499</v>
          </cell>
          <cell r="J1542">
            <v>96774039.891331002</v>
          </cell>
          <cell r="K1542">
            <v>96774039.891331002</v>
          </cell>
          <cell r="L1542">
            <v>80967446.420000002</v>
          </cell>
          <cell r="M1542">
            <v>112584798.84729099</v>
          </cell>
          <cell r="N1542">
            <v>128187097.245876</v>
          </cell>
          <cell r="O1542">
            <v>145748867.23349699</v>
          </cell>
        </row>
        <row r="1543">
          <cell r="A1543" t="str">
            <v>France GECB90+ DELINQUENCY $</v>
          </cell>
          <cell r="B1543">
            <v>58121832.310000002</v>
          </cell>
          <cell r="C1543">
            <v>53407123.719999999</v>
          </cell>
          <cell r="D1543">
            <v>57314120.210000001</v>
          </cell>
          <cell r="E1543">
            <v>60530997.939999998</v>
          </cell>
          <cell r="F1543">
            <v>60530997.939999998</v>
          </cell>
          <cell r="G1543">
            <v>59736605.823103003</v>
          </cell>
          <cell r="H1543">
            <v>60428158.317254998</v>
          </cell>
          <cell r="I1543">
            <v>61347090.201044001</v>
          </cell>
          <cell r="J1543">
            <v>60134090.797831997</v>
          </cell>
          <cell r="K1543">
            <v>60134090.797831997</v>
          </cell>
          <cell r="L1543">
            <v>18615456.530000001</v>
          </cell>
          <cell r="M1543">
            <v>63279758.093157999</v>
          </cell>
          <cell r="N1543">
            <v>73066501.607642993</v>
          </cell>
          <cell r="O1543">
            <v>87384631.592923</v>
          </cell>
        </row>
        <row r="1544">
          <cell r="A1544" t="str">
            <v>France GECBTemporary Staff</v>
          </cell>
          <cell r="B1544">
            <v>0</v>
          </cell>
          <cell r="C1544">
            <v>61</v>
          </cell>
          <cell r="D1544">
            <v>43</v>
          </cell>
          <cell r="E1544">
            <v>95</v>
          </cell>
          <cell r="F1544">
            <v>95</v>
          </cell>
          <cell r="G1544">
            <v>67</v>
          </cell>
          <cell r="H1544">
            <v>65</v>
          </cell>
          <cell r="I1544">
            <v>40</v>
          </cell>
          <cell r="J1544">
            <v>28</v>
          </cell>
          <cell r="K1544">
            <v>28</v>
          </cell>
          <cell r="L1544">
            <v>119</v>
          </cell>
          <cell r="M1544">
            <v>10</v>
          </cell>
          <cell r="N1544">
            <v>10</v>
          </cell>
          <cell r="O1544">
            <v>10</v>
          </cell>
        </row>
        <row r="1545">
          <cell r="A1545" t="str">
            <v>France GECBContractors</v>
          </cell>
          <cell r="B1545">
            <v>0</v>
          </cell>
          <cell r="C1545">
            <v>67</v>
          </cell>
          <cell r="D1545">
            <v>38</v>
          </cell>
          <cell r="E1545">
            <v>46</v>
          </cell>
          <cell r="F1545">
            <v>46</v>
          </cell>
          <cell r="G1545">
            <v>22</v>
          </cell>
          <cell r="H1545">
            <v>19</v>
          </cell>
          <cell r="I1545">
            <v>16</v>
          </cell>
          <cell r="J1545">
            <v>16</v>
          </cell>
          <cell r="K1545">
            <v>16</v>
          </cell>
          <cell r="L1545">
            <v>27</v>
          </cell>
          <cell r="M1545">
            <v>24</v>
          </cell>
          <cell r="N1545">
            <v>24</v>
          </cell>
          <cell r="O1545">
            <v>24</v>
          </cell>
        </row>
        <row r="1546">
          <cell r="A1546" t="str">
            <v>France GECBOutsourced to LCC</v>
          </cell>
          <cell r="B1546">
            <v>0</v>
          </cell>
          <cell r="C1546">
            <v>0</v>
          </cell>
          <cell r="D1546">
            <v>0</v>
          </cell>
          <cell r="E1546">
            <v>0</v>
          </cell>
          <cell r="F1546">
            <v>0</v>
          </cell>
          <cell r="G1546">
            <v>45</v>
          </cell>
          <cell r="H1546">
            <v>43</v>
          </cell>
          <cell r="I1546">
            <v>59</v>
          </cell>
          <cell r="J1546">
            <v>71</v>
          </cell>
          <cell r="K1546">
            <v>71</v>
          </cell>
          <cell r="L1546">
            <v>0</v>
          </cell>
          <cell r="M1546">
            <v>97.333332999999996</v>
          </cell>
          <cell r="N1546">
            <v>145.136943</v>
          </cell>
          <cell r="O1546">
            <v>206.758679</v>
          </cell>
        </row>
        <row r="1547">
          <cell r="A1547" t="str">
            <v>France GECBTotal Headcount</v>
          </cell>
          <cell r="B1547">
            <v>833.5</v>
          </cell>
          <cell r="C1547">
            <v>806</v>
          </cell>
          <cell r="D1547">
            <v>784</v>
          </cell>
          <cell r="E1547">
            <v>777</v>
          </cell>
          <cell r="F1547">
            <v>777</v>
          </cell>
          <cell r="G1547">
            <v>784</v>
          </cell>
          <cell r="H1547">
            <v>774</v>
          </cell>
          <cell r="I1547">
            <v>763</v>
          </cell>
          <cell r="J1547">
            <v>760</v>
          </cell>
          <cell r="K1547">
            <v>760</v>
          </cell>
          <cell r="L1547">
            <v>769.5</v>
          </cell>
          <cell r="M1547">
            <v>744</v>
          </cell>
          <cell r="N1547">
            <v>654.5</v>
          </cell>
          <cell r="O1547">
            <v>596.5</v>
          </cell>
        </row>
        <row r="1548">
          <cell r="A1548" t="str">
            <v>France GECBTotal Workforce</v>
          </cell>
          <cell r="B1548">
            <v>833.5</v>
          </cell>
          <cell r="C1548">
            <v>934</v>
          </cell>
          <cell r="D1548">
            <v>865</v>
          </cell>
          <cell r="E1548">
            <v>918</v>
          </cell>
          <cell r="F1548">
            <v>918</v>
          </cell>
          <cell r="G1548">
            <v>918</v>
          </cell>
          <cell r="H1548">
            <v>901</v>
          </cell>
          <cell r="I1548">
            <v>878</v>
          </cell>
          <cell r="J1548">
            <v>875</v>
          </cell>
          <cell r="K1548">
            <v>875</v>
          </cell>
          <cell r="L1548">
            <v>915.5</v>
          </cell>
          <cell r="M1548">
            <v>875.33333300000004</v>
          </cell>
          <cell r="N1548">
            <v>833.63694299999997</v>
          </cell>
          <cell r="O1548">
            <v>837.25867900000003</v>
          </cell>
        </row>
        <row r="1549">
          <cell r="A1549" t="str">
            <v>France GECBTotal Earned Revenue</v>
          </cell>
          <cell r="B1549">
            <v>-71782346.370000005</v>
          </cell>
          <cell r="C1549">
            <v>-65235375.729999997</v>
          </cell>
          <cell r="D1549">
            <v>-67807110.730000004</v>
          </cell>
          <cell r="E1549">
            <v>-62448920.039999999</v>
          </cell>
          <cell r="F1549">
            <v>-267273752.87</v>
          </cell>
          <cell r="G1549">
            <v>-68431217.141683996</v>
          </cell>
          <cell r="H1549">
            <v>-70769758.558054999</v>
          </cell>
          <cell r="I1549">
            <v>-72778697.474772006</v>
          </cell>
          <cell r="J1549">
            <v>-74333897.323887005</v>
          </cell>
          <cell r="K1549">
            <v>-286313570.49839801</v>
          </cell>
          <cell r="L1549">
            <v>-67898815.420000002</v>
          </cell>
          <cell r="M1549">
            <v>-313784713.45184898</v>
          </cell>
          <cell r="N1549">
            <v>-366113478.19084799</v>
          </cell>
          <cell r="O1549">
            <v>-417304219.51398498</v>
          </cell>
        </row>
        <row r="1550">
          <cell r="A1550" t="str">
            <v>France GECBOrdinary Gains - PreTax</v>
          </cell>
          <cell r="B1550">
            <v>0</v>
          </cell>
          <cell r="C1550">
            <v>0</v>
          </cell>
          <cell r="D1550">
            <v>0</v>
          </cell>
          <cell r="E1550">
            <v>0</v>
          </cell>
          <cell r="F1550">
            <v>0</v>
          </cell>
          <cell r="G1550">
            <v>0</v>
          </cell>
          <cell r="H1550">
            <v>0</v>
          </cell>
          <cell r="I1550">
            <v>0</v>
          </cell>
          <cell r="J1550">
            <v>0</v>
          </cell>
          <cell r="K1550">
            <v>0</v>
          </cell>
          <cell r="L1550">
            <v>0</v>
          </cell>
          <cell r="M1550">
            <v>0</v>
          </cell>
          <cell r="N1550">
            <v>0</v>
          </cell>
          <cell r="O1550">
            <v>0</v>
          </cell>
        </row>
        <row r="1551">
          <cell r="A1551" t="str">
            <v>France GECBOrdinary Gains - AfterTax</v>
          </cell>
          <cell r="B1551">
            <v>0</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row>
        <row r="1552">
          <cell r="A1552" t="str">
            <v>France GECBTotal Volume</v>
          </cell>
          <cell r="B1552">
            <v>305583914.87</v>
          </cell>
          <cell r="C1552">
            <v>272655569.94999999</v>
          </cell>
          <cell r="D1552">
            <v>279773769.82999998</v>
          </cell>
          <cell r="E1552">
            <v>273372745.35000002</v>
          </cell>
          <cell r="F1552">
            <v>1131386000</v>
          </cell>
          <cell r="G1552">
            <v>296280066.235385</v>
          </cell>
          <cell r="H1552">
            <v>321905830.09668499</v>
          </cell>
          <cell r="I1552">
            <v>320038753.17225701</v>
          </cell>
          <cell r="J1552">
            <v>347518359.34796298</v>
          </cell>
          <cell r="K1552">
            <v>1285743008.8522899</v>
          </cell>
          <cell r="L1552">
            <v>280391000</v>
          </cell>
          <cell r="M1552">
            <v>1528111258.23366</v>
          </cell>
          <cell r="N1552">
            <v>1780287825.9283299</v>
          </cell>
          <cell r="O1552">
            <v>2044339409.5659399</v>
          </cell>
        </row>
        <row r="1553">
          <cell r="A1553" t="str">
            <v>France GECBTOTAL # ACTIVE ACCOUNTS</v>
          </cell>
          <cell r="B1553">
            <v>330603</v>
          </cell>
          <cell r="C1553">
            <v>333483.89</v>
          </cell>
          <cell r="D1553">
            <v>345347.81</v>
          </cell>
          <cell r="E1553">
            <v>324021.65999999997</v>
          </cell>
          <cell r="F1553">
            <v>324021.65999999997</v>
          </cell>
          <cell r="G1553">
            <v>330020.70518200001</v>
          </cell>
          <cell r="H1553">
            <v>338872.69854200003</v>
          </cell>
          <cell r="I1553">
            <v>346811.35322799999</v>
          </cell>
          <cell r="J1553">
            <v>357415.13207599998</v>
          </cell>
          <cell r="K1553">
            <v>357415.13207599998</v>
          </cell>
          <cell r="L1553">
            <v>0</v>
          </cell>
          <cell r="M1553">
            <v>431010.96532399999</v>
          </cell>
          <cell r="N1553">
            <v>529934.71736999997</v>
          </cell>
          <cell r="O1553">
            <v>627341.28953299997</v>
          </cell>
        </row>
        <row r="1554">
          <cell r="A1554" t="str">
            <v>GCF UKTOTAL FINANCING RECEIVABLES</v>
          </cell>
          <cell r="B1554">
            <v>2459141338.54</v>
          </cell>
          <cell r="C1554">
            <v>2337237312.1599898</v>
          </cell>
          <cell r="D1554">
            <v>2367023821.4400001</v>
          </cell>
          <cell r="E1554">
            <v>2570481475.6199999</v>
          </cell>
          <cell r="F1554">
            <v>2570481475.6199999</v>
          </cell>
          <cell r="G1554">
            <v>2391332724.90344</v>
          </cell>
          <cell r="H1554">
            <v>2405978931.98276</v>
          </cell>
          <cell r="I1554">
            <v>2420460263.6670799</v>
          </cell>
          <cell r="J1554">
            <v>2717460358.3074799</v>
          </cell>
          <cell r="K1554">
            <v>2717460358.3074799</v>
          </cell>
          <cell r="L1554">
            <v>2786854765.1500001</v>
          </cell>
          <cell r="M1554">
            <v>2832611531.8605299</v>
          </cell>
          <cell r="N1554">
            <v>2983490327.1248698</v>
          </cell>
          <cell r="O1554">
            <v>3192380011.09131</v>
          </cell>
        </row>
        <row r="1555">
          <cell r="A1555" t="str">
            <v>GCF UKRECEIVABLE RESERVES</v>
          </cell>
          <cell r="B1555">
            <v>-133939110.78</v>
          </cell>
          <cell r="C1555">
            <v>-127092269.55</v>
          </cell>
          <cell r="D1555">
            <v>-124791766.04000001</v>
          </cell>
          <cell r="E1555">
            <v>-124528282.38</v>
          </cell>
          <cell r="F1555">
            <v>-124528282.38</v>
          </cell>
          <cell r="G1555">
            <v>-117847055.550052</v>
          </cell>
          <cell r="H1555">
            <v>-116274230.924741</v>
          </cell>
          <cell r="I1555">
            <v>-116020515.653401</v>
          </cell>
          <cell r="J1555">
            <v>-119685343.31127</v>
          </cell>
          <cell r="K1555">
            <v>-119685343.31127</v>
          </cell>
          <cell r="L1555">
            <v>-145016245.55000001</v>
          </cell>
          <cell r="M1555">
            <v>-110039925.987</v>
          </cell>
          <cell r="N1555">
            <v>-118024039.98899999</v>
          </cell>
          <cell r="O1555">
            <v>-124579870.568</v>
          </cell>
        </row>
        <row r="1556">
          <cell r="A1556" t="str">
            <v>GCF UKCASH</v>
          </cell>
          <cell r="B1556">
            <v>11413278.09</v>
          </cell>
          <cell r="C1556">
            <v>36141807</v>
          </cell>
          <cell r="D1556">
            <v>28899702.489999998</v>
          </cell>
          <cell r="E1556">
            <v>123816253.68000001</v>
          </cell>
          <cell r="F1556">
            <v>123816253.68000001</v>
          </cell>
          <cell r="G1556">
            <v>12048237.017495999</v>
          </cell>
          <cell r="H1556">
            <v>39025346.722482003</v>
          </cell>
          <cell r="I1556">
            <v>29742781.752728999</v>
          </cell>
          <cell r="J1556">
            <v>84181806.498595998</v>
          </cell>
          <cell r="K1556">
            <v>84181806.498595998</v>
          </cell>
          <cell r="L1556">
            <v>2696574.6</v>
          </cell>
          <cell r="M1556">
            <v>84181806.517149001</v>
          </cell>
          <cell r="N1556">
            <v>88390896.843006998</v>
          </cell>
          <cell r="O1556">
            <v>92810441.685157001</v>
          </cell>
        </row>
        <row r="1557">
          <cell r="A1557" t="str">
            <v>GCF UKINVESTMENT SECURITIES</v>
          </cell>
          <cell r="B1557">
            <v>0</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row>
        <row r="1558">
          <cell r="A1558" t="str">
            <v>GCF UKINV IN NON CONSOL AFFILIATES</v>
          </cell>
          <cell r="B1558">
            <v>5884320</v>
          </cell>
          <cell r="C1558">
            <v>5752710</v>
          </cell>
          <cell r="D1558">
            <v>6035610</v>
          </cell>
          <cell r="E1558">
            <v>5746065</v>
          </cell>
          <cell r="F1558">
            <v>5746065</v>
          </cell>
          <cell r="G1558">
            <v>5699455.000209</v>
          </cell>
          <cell r="H1558">
            <v>5699455.000209</v>
          </cell>
          <cell r="I1558">
            <v>5699455.000209</v>
          </cell>
          <cell r="J1558">
            <v>5699455.000209</v>
          </cell>
          <cell r="K1558">
            <v>5699455.000209</v>
          </cell>
          <cell r="L1558">
            <v>5625590</v>
          </cell>
          <cell r="M1558">
            <v>5884320</v>
          </cell>
          <cell r="N1558">
            <v>5884320</v>
          </cell>
          <cell r="O1558">
            <v>5884320</v>
          </cell>
        </row>
        <row r="1559">
          <cell r="A1559" t="str">
            <v>GCF UKINVESTMENT IN JOINT VENTURE</v>
          </cell>
          <cell r="B1559">
            <v>0</v>
          </cell>
          <cell r="C1559">
            <v>0</v>
          </cell>
          <cell r="D1559">
            <v>0</v>
          </cell>
          <cell r="E1559">
            <v>0</v>
          </cell>
          <cell r="F1559">
            <v>0</v>
          </cell>
          <cell r="G1559">
            <v>0</v>
          </cell>
          <cell r="H1559">
            <v>0</v>
          </cell>
          <cell r="I1559">
            <v>0</v>
          </cell>
          <cell r="J1559">
            <v>0</v>
          </cell>
          <cell r="K1559">
            <v>0</v>
          </cell>
          <cell r="L1559">
            <v>0</v>
          </cell>
          <cell r="M1559">
            <v>0</v>
          </cell>
          <cell r="N1559">
            <v>0</v>
          </cell>
          <cell r="O1559">
            <v>0</v>
          </cell>
        </row>
        <row r="1560">
          <cell r="A1560" t="str">
            <v>GCF UKALL OTHER RECEIVABLES (NON-FINANCING)</v>
          </cell>
          <cell r="B1560">
            <v>44583801.369999997</v>
          </cell>
          <cell r="C1560">
            <v>48514718.439999998</v>
          </cell>
          <cell r="D1560">
            <v>59914459.460000001</v>
          </cell>
          <cell r="E1560">
            <v>65729990.759999998</v>
          </cell>
          <cell r="F1560">
            <v>65729990.759999998</v>
          </cell>
          <cell r="G1560">
            <v>44822997.814172</v>
          </cell>
          <cell r="H1560">
            <v>49890874.921388</v>
          </cell>
          <cell r="I1560">
            <v>58726019.220339999</v>
          </cell>
          <cell r="J1560">
            <v>49470792.745177999</v>
          </cell>
          <cell r="K1560">
            <v>49470792.745177999</v>
          </cell>
          <cell r="L1560">
            <v>116299563.15000001</v>
          </cell>
          <cell r="M1560">
            <v>49470792.756081</v>
          </cell>
          <cell r="N1560">
            <v>49470792.756081</v>
          </cell>
          <cell r="O1560">
            <v>49470792.756081</v>
          </cell>
        </row>
        <row r="1561">
          <cell r="A1561" t="str">
            <v>GCF UKELTO (NET)</v>
          </cell>
          <cell r="B1561">
            <v>0</v>
          </cell>
          <cell r="C1561">
            <v>0</v>
          </cell>
          <cell r="D1561">
            <v>0</v>
          </cell>
          <cell r="E1561">
            <v>0</v>
          </cell>
          <cell r="F1561">
            <v>0</v>
          </cell>
          <cell r="G1561">
            <v>0</v>
          </cell>
          <cell r="H1561">
            <v>0</v>
          </cell>
          <cell r="I1561">
            <v>0</v>
          </cell>
          <cell r="J1561">
            <v>0</v>
          </cell>
          <cell r="K1561">
            <v>0</v>
          </cell>
          <cell r="L1561">
            <v>0</v>
          </cell>
          <cell r="M1561">
            <v>0</v>
          </cell>
          <cell r="N1561">
            <v>0</v>
          </cell>
          <cell r="O1561">
            <v>0</v>
          </cell>
        </row>
        <row r="1562">
          <cell r="A1562" t="str">
            <v>GCF UKGOODWILL</v>
          </cell>
          <cell r="B1562">
            <v>97337105.200000003</v>
          </cell>
          <cell r="C1562">
            <v>94449991.200000003</v>
          </cell>
          <cell r="D1562">
            <v>91897259.409999996</v>
          </cell>
          <cell r="E1562">
            <v>89059368.489999995</v>
          </cell>
          <cell r="F1562">
            <v>89059368.489999995</v>
          </cell>
          <cell r="G1562">
            <v>87416376.960977003</v>
          </cell>
          <cell r="H1562">
            <v>87416376.960977003</v>
          </cell>
          <cell r="I1562">
            <v>87416376.960977003</v>
          </cell>
          <cell r="J1562">
            <v>87416376.960977003</v>
          </cell>
          <cell r="K1562">
            <v>87416376.960977003</v>
          </cell>
          <cell r="L1562">
            <v>217145711.16999999</v>
          </cell>
          <cell r="M1562">
            <v>78472197.730000004</v>
          </cell>
          <cell r="N1562">
            <v>67664732.439999998</v>
          </cell>
          <cell r="O1562">
            <v>56857267.149999999</v>
          </cell>
        </row>
        <row r="1563">
          <cell r="A1563" t="str">
            <v>GCF UKOTHER ASSETS</v>
          </cell>
          <cell r="B1563">
            <v>31340031.050000001</v>
          </cell>
          <cell r="C1563">
            <v>35809038.130000003</v>
          </cell>
          <cell r="D1563">
            <v>38112246.850000001</v>
          </cell>
          <cell r="E1563">
            <v>34567546.640000001</v>
          </cell>
          <cell r="F1563">
            <v>34567546.640000001</v>
          </cell>
          <cell r="G1563">
            <v>35801767.959299996</v>
          </cell>
          <cell r="H1563">
            <v>36378946.44585</v>
          </cell>
          <cell r="I1563">
            <v>36956124.932398997</v>
          </cell>
          <cell r="J1563">
            <v>37533303.418949001</v>
          </cell>
          <cell r="K1563">
            <v>37533303.418949001</v>
          </cell>
          <cell r="L1563">
            <v>31527499.52</v>
          </cell>
          <cell r="M1563">
            <v>17181753.511627998</v>
          </cell>
          <cell r="N1563">
            <v>15486043.663357999</v>
          </cell>
          <cell r="O1563">
            <v>13790333.815088</v>
          </cell>
        </row>
        <row r="1564">
          <cell r="A1564" t="str">
            <v>GCF UKACCOUNTS PAYABLE</v>
          </cell>
          <cell r="B1564">
            <v>-69830543.840000004</v>
          </cell>
          <cell r="C1564">
            <v>-97657062.030000001</v>
          </cell>
          <cell r="D1564">
            <v>-109704510.94</v>
          </cell>
          <cell r="E1564">
            <v>-168578362.44</v>
          </cell>
          <cell r="F1564">
            <v>-168578362.44</v>
          </cell>
          <cell r="G1564">
            <v>-74502805.209090993</v>
          </cell>
          <cell r="H1564">
            <v>-88274449.735644996</v>
          </cell>
          <cell r="I1564">
            <v>-47425959.319959</v>
          </cell>
          <cell r="J1564">
            <v>-100102030.39754701</v>
          </cell>
          <cell r="K1564">
            <v>-100102030.39754701</v>
          </cell>
          <cell r="L1564">
            <v>-95338573.230000004</v>
          </cell>
          <cell r="M1564">
            <v>-85518419.300429001</v>
          </cell>
          <cell r="N1564">
            <v>-85518419.300429001</v>
          </cell>
          <cell r="O1564">
            <v>-85518419.300429001</v>
          </cell>
        </row>
        <row r="1565">
          <cell r="A1565" t="str">
            <v>GCF UKDEFERRED INCOME TAXES</v>
          </cell>
          <cell r="B1565">
            <v>34489930.189999998</v>
          </cell>
          <cell r="C1565">
            <v>33069959.059999999</v>
          </cell>
          <cell r="D1565">
            <v>31947692.18</v>
          </cell>
          <cell r="E1565">
            <v>31211322.559999999</v>
          </cell>
          <cell r="F1565">
            <v>31211322.559999999</v>
          </cell>
          <cell r="G1565">
            <v>28159393.423239999</v>
          </cell>
          <cell r="H1565">
            <v>26651796.666375998</v>
          </cell>
          <cell r="I1565">
            <v>25692047.498688001</v>
          </cell>
          <cell r="J1565">
            <v>23815222.302762002</v>
          </cell>
          <cell r="K1565">
            <v>23815222.302762002</v>
          </cell>
          <cell r="L1565">
            <v>56403605.960000001</v>
          </cell>
          <cell r="M1565">
            <v>33428697.164388001</v>
          </cell>
          <cell r="N1565">
            <v>34294437.164388001</v>
          </cell>
          <cell r="O1565">
            <v>35160177.164388001</v>
          </cell>
        </row>
        <row r="1566">
          <cell r="A1566" t="str">
            <v>GCF UKWRITE-OFF (MEMO)</v>
          </cell>
          <cell r="B1566">
            <v>31559660.280000001</v>
          </cell>
          <cell r="C1566">
            <v>60037854.5</v>
          </cell>
          <cell r="D1566">
            <v>89017968.989999995</v>
          </cell>
          <cell r="E1566">
            <v>116290153.86</v>
          </cell>
          <cell r="F1566">
            <v>116290153.86</v>
          </cell>
          <cell r="G1566">
            <v>30258961.687660001</v>
          </cell>
          <cell r="H1566">
            <v>57735087.577197999</v>
          </cell>
          <cell r="I1566">
            <v>85346685.956550002</v>
          </cell>
          <cell r="J1566">
            <v>111456687.373656</v>
          </cell>
          <cell r="K1566">
            <v>111456687.373656</v>
          </cell>
          <cell r="L1566">
            <v>24401631.48</v>
          </cell>
          <cell r="M1566">
            <v>130495876</v>
          </cell>
          <cell r="N1566">
            <v>123186144.59999999</v>
          </cell>
          <cell r="O1566">
            <v>127478772.09999999</v>
          </cell>
        </row>
        <row r="1567">
          <cell r="A1567" t="str">
            <v>GCF UKINSURANCE RESERVES AND ANNUITY BENEFITS</v>
          </cell>
          <cell r="B1567">
            <v>0</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row>
        <row r="1568">
          <cell r="A1568" t="str">
            <v>GCF UKALL OTHER NON DEBT LIABILITIES</v>
          </cell>
          <cell r="B1568">
            <v>-118264808.38</v>
          </cell>
          <cell r="C1568">
            <v>-123187611.37</v>
          </cell>
          <cell r="D1568">
            <v>-130040168.31</v>
          </cell>
          <cell r="E1568">
            <v>-168929556.59999999</v>
          </cell>
          <cell r="F1568">
            <v>-168929556.59999999</v>
          </cell>
          <cell r="G1568">
            <v>-125530151.60038</v>
          </cell>
          <cell r="H1568">
            <v>-127059097.04708201</v>
          </cell>
          <cell r="I1568">
            <v>-127476892.873969</v>
          </cell>
          <cell r="J1568">
            <v>-127725265.09455299</v>
          </cell>
          <cell r="K1568">
            <v>-127725265.09455299</v>
          </cell>
          <cell r="L1568">
            <v>-178679886.38999999</v>
          </cell>
          <cell r="M1568">
            <v>-203073577.40645999</v>
          </cell>
          <cell r="N1568">
            <v>-203073577.40645999</v>
          </cell>
          <cell r="O1568">
            <v>-203073577.40645999</v>
          </cell>
        </row>
        <row r="1569">
          <cell r="A1569" t="str">
            <v>GCF UKMINORITY INTEREST (BS)</v>
          </cell>
          <cell r="B1569">
            <v>0</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row>
        <row r="1570">
          <cell r="A1570" t="str">
            <v>GCF UKASIA PACIFIC ENI DIVIDEND</v>
          </cell>
          <cell r="B1570">
            <v>0</v>
          </cell>
          <cell r="C1570">
            <v>0</v>
          </cell>
          <cell r="D1570">
            <v>0</v>
          </cell>
          <cell r="E1570">
            <v>0</v>
          </cell>
          <cell r="F1570">
            <v>0</v>
          </cell>
          <cell r="G1570">
            <v>0</v>
          </cell>
          <cell r="H1570">
            <v>0</v>
          </cell>
          <cell r="I1570">
            <v>0</v>
          </cell>
          <cell r="J1570">
            <v>0</v>
          </cell>
          <cell r="K1570">
            <v>0</v>
          </cell>
          <cell r="L1570">
            <v>0</v>
          </cell>
          <cell r="M1570">
            <v>0</v>
          </cell>
          <cell r="N1570">
            <v>0</v>
          </cell>
          <cell r="O1570">
            <v>0</v>
          </cell>
        </row>
        <row r="1571">
          <cell r="A1571" t="str">
            <v>GCF UKFINANCING INCOME</v>
          </cell>
          <cell r="B1571">
            <v>-140895175.58000001</v>
          </cell>
          <cell r="C1571">
            <v>-131627656.11</v>
          </cell>
          <cell r="D1571">
            <v>-126694076.42</v>
          </cell>
          <cell r="E1571">
            <v>-131266478.22</v>
          </cell>
          <cell r="F1571">
            <v>-530483386.32999998</v>
          </cell>
          <cell r="G1571">
            <v>-125509698.44568899</v>
          </cell>
          <cell r="H1571">
            <v>-122679621.29922201</v>
          </cell>
          <cell r="I1571">
            <v>-126071427.395779</v>
          </cell>
          <cell r="J1571">
            <v>-134381701.28817901</v>
          </cell>
          <cell r="K1571">
            <v>-508642448.42886901</v>
          </cell>
          <cell r="L1571">
            <v>-123105346.75</v>
          </cell>
          <cell r="M1571">
            <v>-526939467.12076402</v>
          </cell>
          <cell r="N1571">
            <v>-543345804.56471896</v>
          </cell>
          <cell r="O1571">
            <v>-577533665.19684696</v>
          </cell>
        </row>
        <row r="1572">
          <cell r="A1572" t="str">
            <v>GCF UKINSURANCE PREMIUM INCOME</v>
          </cell>
          <cell r="B1572">
            <v>0</v>
          </cell>
          <cell r="C1572">
            <v>0</v>
          </cell>
          <cell r="D1572">
            <v>0</v>
          </cell>
          <cell r="E1572">
            <v>0</v>
          </cell>
          <cell r="F1572">
            <v>0</v>
          </cell>
          <cell r="G1572">
            <v>0</v>
          </cell>
          <cell r="H1572">
            <v>0</v>
          </cell>
          <cell r="I1572">
            <v>0</v>
          </cell>
          <cell r="J1572">
            <v>0</v>
          </cell>
          <cell r="K1572">
            <v>0</v>
          </cell>
          <cell r="L1572">
            <v>0</v>
          </cell>
          <cell r="M1572">
            <v>0</v>
          </cell>
          <cell r="N1572">
            <v>0</v>
          </cell>
          <cell r="O1572">
            <v>0</v>
          </cell>
        </row>
        <row r="1573">
          <cell r="A1573" t="str">
            <v>GCF UKINSURANCE INCOME (COMMISSIONS)</v>
          </cell>
          <cell r="B1573">
            <v>-23330266.870000001</v>
          </cell>
          <cell r="C1573">
            <v>-21684199.25</v>
          </cell>
          <cell r="D1573">
            <v>-21482977.940000001</v>
          </cell>
          <cell r="E1573">
            <v>-23631890.960000001</v>
          </cell>
          <cell r="F1573">
            <v>-90129335.019999996</v>
          </cell>
          <cell r="G1573">
            <v>-21352137.931382</v>
          </cell>
          <cell r="H1573">
            <v>-23355683.328044001</v>
          </cell>
          <cell r="I1573">
            <v>-23989949.132408001</v>
          </cell>
          <cell r="J1573">
            <v>-27270624.165662002</v>
          </cell>
          <cell r="K1573">
            <v>-95968394.557495996</v>
          </cell>
          <cell r="L1573">
            <v>-23386677.530000001</v>
          </cell>
          <cell r="M1573">
            <v>-98650707.665096998</v>
          </cell>
          <cell r="N1573">
            <v>-102530680.35574199</v>
          </cell>
          <cell r="O1573">
            <v>-115037574.048758</v>
          </cell>
        </row>
        <row r="1574">
          <cell r="A1574" t="str">
            <v>GCF UKSUNDRY INCOME</v>
          </cell>
          <cell r="B1574">
            <v>-13836443.41</v>
          </cell>
          <cell r="C1574">
            <v>-10333947.779999999</v>
          </cell>
          <cell r="D1574">
            <v>-9824091.6999999993</v>
          </cell>
          <cell r="E1574">
            <v>-18542347.899999999</v>
          </cell>
          <cell r="F1574">
            <v>-52536830.789999999</v>
          </cell>
          <cell r="G1574">
            <v>-16206823.783743</v>
          </cell>
          <cell r="H1574">
            <v>-14488402.484804001</v>
          </cell>
          <cell r="I1574">
            <v>-14935680.925248001</v>
          </cell>
          <cell r="J1574">
            <v>-15302657.194765</v>
          </cell>
          <cell r="K1574">
            <v>-60933564.388559997</v>
          </cell>
          <cell r="L1574">
            <v>-27284512.66</v>
          </cell>
          <cell r="M1574">
            <v>-56623167.436402</v>
          </cell>
          <cell r="N1574">
            <v>-62190785.356669001</v>
          </cell>
          <cell r="O1574">
            <v>-67667555.378840998</v>
          </cell>
        </row>
        <row r="1575">
          <cell r="A1575" t="str">
            <v>GCF UKINTEREST EXPENSE</v>
          </cell>
          <cell r="B1575">
            <v>33917513.890000001</v>
          </cell>
          <cell r="C1575">
            <v>29410956.670000002</v>
          </cell>
          <cell r="D1575">
            <v>27005302.359999999</v>
          </cell>
          <cell r="E1575">
            <v>24488067.800000001</v>
          </cell>
          <cell r="F1575">
            <v>114821840.72</v>
          </cell>
          <cell r="G1575">
            <v>23297049.941187002</v>
          </cell>
          <cell r="H1575">
            <v>23638290.087033</v>
          </cell>
          <cell r="I1575">
            <v>25635204.951092999</v>
          </cell>
          <cell r="J1575">
            <v>28649434.099534001</v>
          </cell>
          <cell r="K1575">
            <v>101219979.07884701</v>
          </cell>
          <cell r="L1575">
            <v>27137885.609999999</v>
          </cell>
          <cell r="M1575">
            <v>125265856.221605</v>
          </cell>
          <cell r="N1575">
            <v>133304472.884818</v>
          </cell>
          <cell r="O1575">
            <v>144423540.719482</v>
          </cell>
        </row>
        <row r="1576">
          <cell r="A1576" t="str">
            <v>GCF UKINTEREST EXPENSE REDUCTIONS / BUS SHARING</v>
          </cell>
          <cell r="B1576">
            <v>-50183.88</v>
          </cell>
          <cell r="C1576">
            <v>-21479.360000000001</v>
          </cell>
          <cell r="D1576">
            <v>-734657.11</v>
          </cell>
          <cell r="E1576">
            <v>-348500.6</v>
          </cell>
          <cell r="F1576">
            <v>-1154820.95</v>
          </cell>
          <cell r="G1576">
            <v>0</v>
          </cell>
          <cell r="H1576">
            <v>0</v>
          </cell>
          <cell r="I1576">
            <v>0</v>
          </cell>
          <cell r="J1576">
            <v>0</v>
          </cell>
          <cell r="K1576">
            <v>0</v>
          </cell>
          <cell r="L1576">
            <v>-115774.17</v>
          </cell>
          <cell r="M1576">
            <v>0</v>
          </cell>
          <cell r="N1576">
            <v>0</v>
          </cell>
          <cell r="O1576">
            <v>0</v>
          </cell>
        </row>
        <row r="1577">
          <cell r="A1577" t="str">
            <v>GCF UKALLOCATED COST OF PREFERRED EQUITY</v>
          </cell>
          <cell r="B1577">
            <v>326994.19</v>
          </cell>
          <cell r="C1577">
            <v>249558.83</v>
          </cell>
          <cell r="D1577">
            <v>200878.49</v>
          </cell>
          <cell r="E1577">
            <v>118076.27</v>
          </cell>
          <cell r="F1577">
            <v>895507.78</v>
          </cell>
          <cell r="G1577">
            <v>100432.62771299999</v>
          </cell>
          <cell r="H1577">
            <v>97944.475177</v>
          </cell>
          <cell r="I1577">
            <v>101604.608593</v>
          </cell>
          <cell r="J1577">
            <v>107543.423432</v>
          </cell>
          <cell r="K1577">
            <v>407525.134915</v>
          </cell>
          <cell r="L1577">
            <v>166049.9</v>
          </cell>
          <cell r="M1577">
            <v>1046544.262447</v>
          </cell>
          <cell r="N1577">
            <v>1080935.185384</v>
          </cell>
          <cell r="O1577">
            <v>1142971.3682939999</v>
          </cell>
        </row>
        <row r="1578">
          <cell r="A1578" t="str">
            <v>GCF UKSALARIES &amp; BENEFITS</v>
          </cell>
          <cell r="B1578">
            <v>16181064.960000001</v>
          </cell>
          <cell r="C1578">
            <v>12598385.1</v>
          </cell>
          <cell r="D1578">
            <v>12205306.039999999</v>
          </cell>
          <cell r="E1578">
            <v>14589979.51</v>
          </cell>
          <cell r="F1578">
            <v>55574735.609999999</v>
          </cell>
          <cell r="G1578">
            <v>14588856.755225999</v>
          </cell>
          <cell r="H1578">
            <v>14641687.643293999</v>
          </cell>
          <cell r="I1578">
            <v>14571423.940969</v>
          </cell>
          <cell r="J1578">
            <v>14676641.995619999</v>
          </cell>
          <cell r="K1578">
            <v>58478610.335109003</v>
          </cell>
          <cell r="L1578">
            <v>12846600.970000001</v>
          </cell>
          <cell r="M1578">
            <v>57713021</v>
          </cell>
          <cell r="N1578">
            <v>57713021</v>
          </cell>
          <cell r="O1578">
            <v>57713021</v>
          </cell>
        </row>
        <row r="1579">
          <cell r="A1579" t="str">
            <v>GCF UKLOSSES ON OTHER ASSETS</v>
          </cell>
          <cell r="B1579">
            <v>0</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row>
        <row r="1580">
          <cell r="A1580" t="str">
            <v>GCF UKCOST OF GOODS SOLD</v>
          </cell>
          <cell r="B1580">
            <v>0</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row>
        <row r="1581">
          <cell r="A1581" t="str">
            <v>GCF UKCOST OF GOODS SOLD - DISTRIBUTION</v>
          </cell>
          <cell r="B1581">
            <v>0</v>
          </cell>
          <cell r="C1581">
            <v>0</v>
          </cell>
          <cell r="D1581">
            <v>0</v>
          </cell>
          <cell r="E1581">
            <v>0</v>
          </cell>
          <cell r="F1581">
            <v>0</v>
          </cell>
          <cell r="G1581">
            <v>0</v>
          </cell>
          <cell r="H1581">
            <v>0</v>
          </cell>
          <cell r="I1581">
            <v>0</v>
          </cell>
          <cell r="J1581">
            <v>0</v>
          </cell>
          <cell r="K1581">
            <v>0</v>
          </cell>
          <cell r="L1581">
            <v>0</v>
          </cell>
          <cell r="M1581">
            <v>0</v>
          </cell>
          <cell r="N1581">
            <v>0</v>
          </cell>
          <cell r="O1581">
            <v>0</v>
          </cell>
        </row>
        <row r="1582">
          <cell r="A1582" t="str">
            <v>GCF UKPOSTAGE</v>
          </cell>
          <cell r="B1582">
            <v>9067523.6699999999</v>
          </cell>
          <cell r="C1582">
            <v>7388998.75</v>
          </cell>
          <cell r="D1582">
            <v>6267467.2599999998</v>
          </cell>
          <cell r="E1582">
            <v>7376922.4800000004</v>
          </cell>
          <cell r="F1582">
            <v>30100912.16</v>
          </cell>
          <cell r="G1582">
            <v>7325134.4641969996</v>
          </cell>
          <cell r="H1582">
            <v>7991866.1736780005</v>
          </cell>
          <cell r="I1582">
            <v>8447887.0192540009</v>
          </cell>
          <cell r="J1582">
            <v>9247304.3268439993</v>
          </cell>
          <cell r="K1582">
            <v>33012191.983972002</v>
          </cell>
          <cell r="L1582">
            <v>5995954.1699999999</v>
          </cell>
          <cell r="M1582">
            <v>35475387.5788</v>
          </cell>
          <cell r="N1582">
            <v>35475387.5788</v>
          </cell>
          <cell r="O1582">
            <v>35475387.5788</v>
          </cell>
        </row>
        <row r="1583">
          <cell r="A1583" t="str">
            <v>GCF UKTELEPHONE</v>
          </cell>
          <cell r="B1583">
            <v>518393.2</v>
          </cell>
          <cell r="C1583">
            <v>386169.06</v>
          </cell>
          <cell r="D1583">
            <v>716078.51</v>
          </cell>
          <cell r="E1583">
            <v>919367.98</v>
          </cell>
          <cell r="F1583">
            <v>2540008.75</v>
          </cell>
          <cell r="G1583">
            <v>827451.43646400003</v>
          </cell>
          <cell r="H1583">
            <v>947068.43805300002</v>
          </cell>
          <cell r="I1583">
            <v>937703.95933700004</v>
          </cell>
          <cell r="J1583">
            <v>960766.912212</v>
          </cell>
          <cell r="K1583">
            <v>3672990.7460659998</v>
          </cell>
          <cell r="L1583">
            <v>966685.35</v>
          </cell>
          <cell r="M1583">
            <v>2466174.3791</v>
          </cell>
          <cell r="N1583">
            <v>2466174.3791</v>
          </cell>
          <cell r="O1583">
            <v>2466174.3791</v>
          </cell>
        </row>
        <row r="1584">
          <cell r="A1584" t="str">
            <v>GCF UKCUSTOMER SERVICE / COLLECTIONS</v>
          </cell>
          <cell r="B1584">
            <v>1890158.9</v>
          </cell>
          <cell r="C1584">
            <v>2167256.59</v>
          </cell>
          <cell r="D1584">
            <v>2091681.2</v>
          </cell>
          <cell r="E1584">
            <v>2548237.62</v>
          </cell>
          <cell r="F1584">
            <v>8697334.3100000005</v>
          </cell>
          <cell r="G1584">
            <v>2064425.033877</v>
          </cell>
          <cell r="H1584">
            <v>2216251.3005769998</v>
          </cell>
          <cell r="I1584">
            <v>2135326.2540770001</v>
          </cell>
          <cell r="J1584">
            <v>2341842.7594770002</v>
          </cell>
          <cell r="K1584">
            <v>8757845.3480079994</v>
          </cell>
          <cell r="L1584">
            <v>1996088.8</v>
          </cell>
          <cell r="M1584">
            <v>8637340.8041999992</v>
          </cell>
          <cell r="N1584">
            <v>8637340.8041999992</v>
          </cell>
          <cell r="O1584">
            <v>8637340.8041999992</v>
          </cell>
        </row>
        <row r="1585">
          <cell r="A1585" t="str">
            <v>GCF UKSTATIONARY - OFFICE SUPPLIES</v>
          </cell>
          <cell r="B1585">
            <v>1558826.89</v>
          </cell>
          <cell r="C1585">
            <v>1942371.18</v>
          </cell>
          <cell r="D1585">
            <v>1786736.24</v>
          </cell>
          <cell r="E1585">
            <v>156354.10999999999</v>
          </cell>
          <cell r="F1585">
            <v>5444288.4199999999</v>
          </cell>
          <cell r="G1585">
            <v>1659962.275782</v>
          </cell>
          <cell r="H1585">
            <v>1639580.0485040001</v>
          </cell>
          <cell r="I1585">
            <v>1681652.6439050001</v>
          </cell>
          <cell r="J1585">
            <v>1641143.639927</v>
          </cell>
          <cell r="K1585">
            <v>6622338.6081189997</v>
          </cell>
          <cell r="L1585">
            <v>740492.52</v>
          </cell>
          <cell r="M1585">
            <v>7625837.6032999996</v>
          </cell>
          <cell r="N1585">
            <v>7625837.6032999996</v>
          </cell>
          <cell r="O1585">
            <v>7625837.6032999996</v>
          </cell>
        </row>
        <row r="1586">
          <cell r="A1586" t="str">
            <v>GCF UKT&amp;L</v>
          </cell>
          <cell r="B1586">
            <v>418968.67</v>
          </cell>
          <cell r="C1586">
            <v>805596.69</v>
          </cell>
          <cell r="D1586">
            <v>786398.31</v>
          </cell>
          <cell r="E1586">
            <v>1350100.23</v>
          </cell>
          <cell r="F1586">
            <v>3361063.9</v>
          </cell>
          <cell r="G1586">
            <v>787862.316598</v>
          </cell>
          <cell r="H1586">
            <v>944789.78654899995</v>
          </cell>
          <cell r="I1586">
            <v>725958.519539</v>
          </cell>
          <cell r="J1586">
            <v>863930.73890899995</v>
          </cell>
          <cell r="K1586">
            <v>3322541.3615950001</v>
          </cell>
          <cell r="L1586">
            <v>867846.19</v>
          </cell>
          <cell r="M1586">
            <v>3383405.7085000002</v>
          </cell>
          <cell r="N1586">
            <v>3383405.7085000002</v>
          </cell>
          <cell r="O1586">
            <v>3383405.7085000002</v>
          </cell>
        </row>
        <row r="1587">
          <cell r="A1587" t="str">
            <v>GCF UKRENTAL - BLDG/FACILITIES</v>
          </cell>
          <cell r="B1587">
            <v>1550148.64</v>
          </cell>
          <cell r="C1587">
            <v>1510300.98</v>
          </cell>
          <cell r="D1587">
            <v>1487322.7</v>
          </cell>
          <cell r="E1587">
            <v>1450609.61</v>
          </cell>
          <cell r="F1587">
            <v>5998381.9299999997</v>
          </cell>
          <cell r="G1587">
            <v>1494046.4763</v>
          </cell>
          <cell r="H1587">
            <v>1494046.4763</v>
          </cell>
          <cell r="I1587">
            <v>1494046.4763</v>
          </cell>
          <cell r="J1587">
            <v>1636397.2187000001</v>
          </cell>
          <cell r="K1587">
            <v>6118536.6475999998</v>
          </cell>
          <cell r="L1587">
            <v>1461540.69</v>
          </cell>
          <cell r="M1587">
            <v>6164034.1704000002</v>
          </cell>
          <cell r="N1587">
            <v>6164034.1704000002</v>
          </cell>
          <cell r="O1587">
            <v>6164034.1704000002</v>
          </cell>
        </row>
        <row r="1588">
          <cell r="A1588" t="str">
            <v>GCF UKRENTAL - FURNITURE/EQUIP</v>
          </cell>
          <cell r="B1588">
            <v>0</v>
          </cell>
          <cell r="C1588">
            <v>0</v>
          </cell>
          <cell r="D1588">
            <v>0</v>
          </cell>
          <cell r="E1588">
            <v>0</v>
          </cell>
          <cell r="F1588">
            <v>0</v>
          </cell>
          <cell r="G1588">
            <v>0</v>
          </cell>
          <cell r="H1588">
            <v>0</v>
          </cell>
          <cell r="I1588">
            <v>0</v>
          </cell>
          <cell r="J1588">
            <v>0</v>
          </cell>
          <cell r="K1588">
            <v>0</v>
          </cell>
          <cell r="L1588">
            <v>0</v>
          </cell>
          <cell r="M1588">
            <v>0</v>
          </cell>
          <cell r="N1588">
            <v>0</v>
          </cell>
          <cell r="O1588">
            <v>0</v>
          </cell>
        </row>
        <row r="1589">
          <cell r="A1589" t="str">
            <v>GCF UKRENTAL - COMPUTERS</v>
          </cell>
          <cell r="B1589">
            <v>0</v>
          </cell>
          <cell r="C1589">
            <v>0</v>
          </cell>
          <cell r="D1589">
            <v>0</v>
          </cell>
          <cell r="E1589">
            <v>0</v>
          </cell>
          <cell r="F1589">
            <v>0</v>
          </cell>
          <cell r="G1589">
            <v>0</v>
          </cell>
          <cell r="H1589">
            <v>0</v>
          </cell>
          <cell r="I1589">
            <v>0</v>
          </cell>
          <cell r="J1589">
            <v>0</v>
          </cell>
          <cell r="K1589">
            <v>0</v>
          </cell>
          <cell r="L1589">
            <v>0</v>
          </cell>
          <cell r="M1589">
            <v>0</v>
          </cell>
          <cell r="N1589">
            <v>0</v>
          </cell>
          <cell r="O1589">
            <v>0</v>
          </cell>
        </row>
        <row r="1590">
          <cell r="A1590" t="str">
            <v>GCF UKLEASE IN - LEASE OUT</v>
          </cell>
          <cell r="B1590">
            <v>0</v>
          </cell>
          <cell r="C1590">
            <v>0</v>
          </cell>
          <cell r="D1590">
            <v>0</v>
          </cell>
          <cell r="E1590">
            <v>0</v>
          </cell>
          <cell r="F1590">
            <v>0</v>
          </cell>
          <cell r="G1590">
            <v>0</v>
          </cell>
          <cell r="H1590">
            <v>0</v>
          </cell>
          <cell r="I1590">
            <v>0</v>
          </cell>
          <cell r="J1590">
            <v>0</v>
          </cell>
          <cell r="K1590">
            <v>0</v>
          </cell>
          <cell r="L1590">
            <v>0</v>
          </cell>
          <cell r="M1590">
            <v>0</v>
          </cell>
          <cell r="N1590">
            <v>0</v>
          </cell>
          <cell r="O1590">
            <v>0</v>
          </cell>
        </row>
        <row r="1591">
          <cell r="A1591" t="str">
            <v>GCF UKFURNITURE / EQUIPMENT / COMPUTER EXP</v>
          </cell>
          <cell r="B1591">
            <v>204612.93</v>
          </cell>
          <cell r="C1591">
            <v>-28676.74</v>
          </cell>
          <cell r="D1591">
            <v>120044.05</v>
          </cell>
          <cell r="E1591">
            <v>498039.36</v>
          </cell>
          <cell r="F1591">
            <v>794019.6</v>
          </cell>
          <cell r="G1591">
            <v>303959.84224199998</v>
          </cell>
          <cell r="H1591">
            <v>193044.11924199999</v>
          </cell>
          <cell r="I1591">
            <v>442211.305742</v>
          </cell>
          <cell r="J1591">
            <v>131016.734042</v>
          </cell>
          <cell r="K1591">
            <v>1070232.0012680001</v>
          </cell>
          <cell r="L1591">
            <v>182063.15</v>
          </cell>
          <cell r="M1591">
            <v>1836452.4179</v>
          </cell>
          <cell r="N1591">
            <v>1836452.4179</v>
          </cell>
          <cell r="O1591">
            <v>1836452.4179</v>
          </cell>
        </row>
        <row r="1592">
          <cell r="A1592" t="str">
            <v>GCF UKSOFTWARE EXPENSE</v>
          </cell>
          <cell r="B1592">
            <v>14661.92</v>
          </cell>
          <cell r="C1592">
            <v>206837.91</v>
          </cell>
          <cell r="D1592">
            <v>304610.77</v>
          </cell>
          <cell r="E1592">
            <v>681425.41</v>
          </cell>
          <cell r="F1592">
            <v>1207536.01</v>
          </cell>
          <cell r="G1592">
            <v>779121.25567099999</v>
          </cell>
          <cell r="H1592">
            <v>751612.36717099999</v>
          </cell>
          <cell r="I1592">
            <v>698569.19882100006</v>
          </cell>
          <cell r="J1592">
            <v>586414.74617099995</v>
          </cell>
          <cell r="K1592">
            <v>2815717.5678340001</v>
          </cell>
          <cell r="L1592">
            <v>439245.2</v>
          </cell>
          <cell r="M1592">
            <v>0</v>
          </cell>
          <cell r="N1592">
            <v>0</v>
          </cell>
          <cell r="O1592">
            <v>0</v>
          </cell>
        </row>
        <row r="1593">
          <cell r="A1593" t="str">
            <v>GCF UKAMORTIZATION OF INTANGIBLES</v>
          </cell>
          <cell r="B1593">
            <v>558472.13</v>
          </cell>
          <cell r="C1593">
            <v>491013.16</v>
          </cell>
          <cell r="D1593">
            <v>609825.98</v>
          </cell>
          <cell r="E1593">
            <v>681083.91</v>
          </cell>
          <cell r="F1593">
            <v>2340395.1800000002</v>
          </cell>
          <cell r="G1593">
            <v>0</v>
          </cell>
          <cell r="H1593">
            <v>0</v>
          </cell>
          <cell r="I1593">
            <v>0</v>
          </cell>
          <cell r="J1593">
            <v>0</v>
          </cell>
          <cell r="K1593">
            <v>0</v>
          </cell>
          <cell r="L1593">
            <v>772039.4</v>
          </cell>
          <cell r="M1593">
            <v>0</v>
          </cell>
          <cell r="N1593">
            <v>0</v>
          </cell>
          <cell r="O1593">
            <v>0</v>
          </cell>
        </row>
        <row r="1594">
          <cell r="A1594" t="str">
            <v>GCF UKELTO MAINTENANCE</v>
          </cell>
          <cell r="B1594">
            <v>0</v>
          </cell>
          <cell r="C1594">
            <v>0</v>
          </cell>
          <cell r="D1594">
            <v>0</v>
          </cell>
          <cell r="E1594">
            <v>0</v>
          </cell>
          <cell r="F1594">
            <v>0</v>
          </cell>
          <cell r="G1594">
            <v>0</v>
          </cell>
          <cell r="H1594">
            <v>0</v>
          </cell>
          <cell r="I1594">
            <v>0</v>
          </cell>
          <cell r="J1594">
            <v>0</v>
          </cell>
          <cell r="K1594">
            <v>0</v>
          </cell>
          <cell r="L1594">
            <v>0</v>
          </cell>
          <cell r="M1594">
            <v>0</v>
          </cell>
          <cell r="N1594">
            <v>0</v>
          </cell>
          <cell r="O1594">
            <v>0</v>
          </cell>
        </row>
        <row r="1595">
          <cell r="A1595" t="str">
            <v>GCF UKELTO OTHER</v>
          </cell>
          <cell r="B1595">
            <v>0</v>
          </cell>
          <cell r="C1595">
            <v>0</v>
          </cell>
          <cell r="D1595">
            <v>0</v>
          </cell>
          <cell r="E1595">
            <v>0</v>
          </cell>
          <cell r="F1595">
            <v>0</v>
          </cell>
          <cell r="G1595">
            <v>0</v>
          </cell>
          <cell r="H1595">
            <v>0</v>
          </cell>
          <cell r="I1595">
            <v>0</v>
          </cell>
          <cell r="J1595">
            <v>0</v>
          </cell>
          <cell r="K1595">
            <v>0</v>
          </cell>
          <cell r="L1595">
            <v>0</v>
          </cell>
          <cell r="M1595">
            <v>0</v>
          </cell>
          <cell r="N1595">
            <v>0</v>
          </cell>
          <cell r="O1595">
            <v>0</v>
          </cell>
        </row>
        <row r="1596">
          <cell r="A1596" t="str">
            <v>GCF UKLEGAL</v>
          </cell>
          <cell r="B1596">
            <v>71828.490000000005</v>
          </cell>
          <cell r="C1596">
            <v>68794.38</v>
          </cell>
          <cell r="D1596">
            <v>1559803.91</v>
          </cell>
          <cell r="E1596">
            <v>-1400354.65</v>
          </cell>
          <cell r="F1596">
            <v>300072.13</v>
          </cell>
          <cell r="G1596">
            <v>1415.4848999999999</v>
          </cell>
          <cell r="H1596">
            <v>80851.734899999996</v>
          </cell>
          <cell r="I1596">
            <v>80851.734899999996</v>
          </cell>
          <cell r="J1596">
            <v>62815.484900000003</v>
          </cell>
          <cell r="K1596">
            <v>225934.43960000001</v>
          </cell>
          <cell r="L1596">
            <v>-303588.24</v>
          </cell>
          <cell r="M1596">
            <v>144627.63860000001</v>
          </cell>
          <cell r="N1596">
            <v>144627.63860000001</v>
          </cell>
          <cell r="O1596">
            <v>144627.63860000001</v>
          </cell>
        </row>
        <row r="1597">
          <cell r="A1597" t="str">
            <v>GCF UKADVERTISING</v>
          </cell>
          <cell r="B1597">
            <v>356657.21</v>
          </cell>
          <cell r="C1597">
            <v>6477.1</v>
          </cell>
          <cell r="D1597">
            <v>71511.289999999994</v>
          </cell>
          <cell r="E1597">
            <v>-25325.05</v>
          </cell>
          <cell r="F1597">
            <v>409320.55</v>
          </cell>
          <cell r="G1597">
            <v>68490.924394999995</v>
          </cell>
          <cell r="H1597">
            <v>85303.779462999999</v>
          </cell>
          <cell r="I1597">
            <v>122691.666151</v>
          </cell>
          <cell r="J1597">
            <v>172737.73120000001</v>
          </cell>
          <cell r="K1597">
            <v>449224.10120899999</v>
          </cell>
          <cell r="L1597">
            <v>-5200.5200000000004</v>
          </cell>
          <cell r="M1597">
            <v>842367.90579999995</v>
          </cell>
          <cell r="N1597">
            <v>842367.90579999995</v>
          </cell>
          <cell r="O1597">
            <v>842367.90579999995</v>
          </cell>
        </row>
        <row r="1598">
          <cell r="A1598" t="str">
            <v>GCF UKSALES PROMOTIONS</v>
          </cell>
          <cell r="B1598">
            <v>8423243.7300000004</v>
          </cell>
          <cell r="C1598">
            <v>1764404.67</v>
          </cell>
          <cell r="D1598">
            <v>4715664.8899999997</v>
          </cell>
          <cell r="E1598">
            <v>9123438.2100000009</v>
          </cell>
          <cell r="F1598">
            <v>24026751.5</v>
          </cell>
          <cell r="G1598">
            <v>121249.95217600001</v>
          </cell>
          <cell r="H1598">
            <v>1221102.1765070001</v>
          </cell>
          <cell r="I1598">
            <v>1540600.5856399999</v>
          </cell>
          <cell r="J1598">
            <v>1634729.2298610001</v>
          </cell>
          <cell r="K1598">
            <v>4517681.9441849999</v>
          </cell>
          <cell r="L1598">
            <v>-3630101.44</v>
          </cell>
          <cell r="M1598">
            <v>17906738.1818</v>
          </cell>
          <cell r="N1598">
            <v>17906738.1818</v>
          </cell>
          <cell r="O1598">
            <v>17906738.1818</v>
          </cell>
        </row>
        <row r="1599">
          <cell r="A1599" t="str">
            <v>GCF UKDIRECT MAIL</v>
          </cell>
          <cell r="B1599">
            <v>-6708907.8499999996</v>
          </cell>
          <cell r="C1599">
            <v>1870909.52</v>
          </cell>
          <cell r="D1599">
            <v>650944.39</v>
          </cell>
          <cell r="E1599">
            <v>-1179390.31</v>
          </cell>
          <cell r="F1599">
            <v>-5366444.25</v>
          </cell>
          <cell r="G1599">
            <v>1421863.279379</v>
          </cell>
          <cell r="H1599">
            <v>1685549.4514969999</v>
          </cell>
          <cell r="I1599">
            <v>2033643.4887669999</v>
          </cell>
          <cell r="J1599">
            <v>2825073.856565</v>
          </cell>
          <cell r="K1599">
            <v>7966130.0762080001</v>
          </cell>
          <cell r="L1599">
            <v>3615998.13</v>
          </cell>
          <cell r="M1599">
            <v>0</v>
          </cell>
          <cell r="N1599">
            <v>0</v>
          </cell>
          <cell r="O1599">
            <v>0</v>
          </cell>
        </row>
        <row r="1600">
          <cell r="A1600" t="str">
            <v>GCF UKDATA PROCESSING</v>
          </cell>
          <cell r="B1600">
            <v>5444891.3700000001</v>
          </cell>
          <cell r="C1600">
            <v>6293707.4500000002</v>
          </cell>
          <cell r="D1600">
            <v>5965140.6699999999</v>
          </cell>
          <cell r="E1600">
            <v>6856566.0499999998</v>
          </cell>
          <cell r="F1600">
            <v>24560305.539999999</v>
          </cell>
          <cell r="G1600">
            <v>4408359.998354</v>
          </cell>
          <cell r="H1600">
            <v>4848816.2759680003</v>
          </cell>
          <cell r="I1600">
            <v>4775589.6059830002</v>
          </cell>
          <cell r="J1600">
            <v>5035311.4039770002</v>
          </cell>
          <cell r="K1600">
            <v>19068077.284281999</v>
          </cell>
          <cell r="L1600">
            <v>4047675.83</v>
          </cell>
          <cell r="M1600">
            <v>21021944.8528</v>
          </cell>
          <cell r="N1600">
            <v>21021944.8528</v>
          </cell>
          <cell r="O1600">
            <v>21021944.8528</v>
          </cell>
        </row>
        <row r="1601">
          <cell r="A1601" t="str">
            <v>GCF UKCONSULTING</v>
          </cell>
          <cell r="B1601">
            <v>181591.15</v>
          </cell>
          <cell r="C1601">
            <v>18463.810000000001</v>
          </cell>
          <cell r="D1601">
            <v>459110.74</v>
          </cell>
          <cell r="E1601">
            <v>346647.93</v>
          </cell>
          <cell r="F1601">
            <v>1005813.63</v>
          </cell>
          <cell r="G1601">
            <v>294225.212764</v>
          </cell>
          <cell r="H1601">
            <v>290799.844125</v>
          </cell>
          <cell r="I1601">
            <v>239594.48395200001</v>
          </cell>
          <cell r="J1601">
            <v>210385.83200600001</v>
          </cell>
          <cell r="K1601">
            <v>1035005.372847</v>
          </cell>
          <cell r="L1601">
            <v>-2000.01</v>
          </cell>
          <cell r="M1601">
            <v>0</v>
          </cell>
          <cell r="N1601">
            <v>0</v>
          </cell>
          <cell r="O1601">
            <v>0</v>
          </cell>
        </row>
        <row r="1602">
          <cell r="A1602" t="str">
            <v>GCF UKTEMP SERVICES</v>
          </cell>
          <cell r="B1602">
            <v>6453904.4299999997</v>
          </cell>
          <cell r="C1602">
            <v>3814798.85</v>
          </cell>
          <cell r="D1602">
            <v>2544374.86</v>
          </cell>
          <cell r="E1602">
            <v>5629933.2000000002</v>
          </cell>
          <cell r="F1602">
            <v>18443011.34</v>
          </cell>
          <cell r="G1602">
            <v>7806730.9750680001</v>
          </cell>
          <cell r="H1602">
            <v>7879802.8795990003</v>
          </cell>
          <cell r="I1602">
            <v>7666244.877909</v>
          </cell>
          <cell r="J1602">
            <v>7773013.706309</v>
          </cell>
          <cell r="K1602">
            <v>31125792.438885</v>
          </cell>
          <cell r="L1602">
            <v>6916525.9900000002</v>
          </cell>
          <cell r="M1602">
            <v>0</v>
          </cell>
          <cell r="N1602">
            <v>0</v>
          </cell>
          <cell r="O1602">
            <v>0</v>
          </cell>
        </row>
        <row r="1603">
          <cell r="A1603" t="str">
            <v>GCF UKGDC CHARGES</v>
          </cell>
          <cell r="B1603">
            <v>55671.73</v>
          </cell>
          <cell r="C1603">
            <v>13023.85</v>
          </cell>
          <cell r="D1603">
            <v>-2297.2399999999998</v>
          </cell>
          <cell r="E1603">
            <v>118.58</v>
          </cell>
          <cell r="F1603">
            <v>66516.92</v>
          </cell>
          <cell r="G1603">
            <v>0</v>
          </cell>
          <cell r="H1603">
            <v>0</v>
          </cell>
          <cell r="I1603">
            <v>0</v>
          </cell>
          <cell r="J1603">
            <v>0</v>
          </cell>
          <cell r="K1603">
            <v>0</v>
          </cell>
          <cell r="L1603">
            <v>320044.43</v>
          </cell>
          <cell r="M1603">
            <v>0</v>
          </cell>
          <cell r="N1603">
            <v>0</v>
          </cell>
          <cell r="O1603">
            <v>0</v>
          </cell>
        </row>
        <row r="1604">
          <cell r="A1604" t="str">
            <v>GCF UKTRAINING AND EDUCATION</v>
          </cell>
          <cell r="B1604">
            <v>10106.700000000001</v>
          </cell>
          <cell r="C1604">
            <v>142167.16</v>
          </cell>
          <cell r="D1604">
            <v>144113.44</v>
          </cell>
          <cell r="E1604">
            <v>259384.32000000001</v>
          </cell>
          <cell r="F1604">
            <v>555771.62</v>
          </cell>
          <cell r="G1604">
            <v>452526.59784200002</v>
          </cell>
          <cell r="H1604">
            <v>304420.12734200002</v>
          </cell>
          <cell r="I1604">
            <v>327847.77319199999</v>
          </cell>
          <cell r="J1604">
            <v>303465.64899199997</v>
          </cell>
          <cell r="K1604">
            <v>1388260.1473679999</v>
          </cell>
          <cell r="L1604">
            <v>120138.53</v>
          </cell>
          <cell r="M1604">
            <v>1181804.3592000001</v>
          </cell>
          <cell r="N1604">
            <v>1181804.3592000001</v>
          </cell>
          <cell r="O1604">
            <v>1181804.3592000001</v>
          </cell>
        </row>
        <row r="1605">
          <cell r="A1605" t="str">
            <v>GCF UKOUTSIDE SERVICES  AND FEES</v>
          </cell>
          <cell r="B1605">
            <v>2595434.0299999998</v>
          </cell>
          <cell r="C1605">
            <v>6646650.1799999997</v>
          </cell>
          <cell r="D1605">
            <v>7208067.96</v>
          </cell>
          <cell r="E1605">
            <v>5990918.5199999996</v>
          </cell>
          <cell r="F1605">
            <v>22441070.690000001</v>
          </cell>
          <cell r="G1605">
            <v>3505396.498015</v>
          </cell>
          <cell r="H1605">
            <v>3519746.9932420002</v>
          </cell>
          <cell r="I1605">
            <v>3501167.1091490001</v>
          </cell>
          <cell r="J1605">
            <v>4248342.6495829998</v>
          </cell>
          <cell r="K1605">
            <v>14774653.249988999</v>
          </cell>
          <cell r="L1605">
            <v>1716606.45</v>
          </cell>
          <cell r="M1605">
            <v>40912976.443300001</v>
          </cell>
          <cell r="N1605">
            <v>40912976.443300001</v>
          </cell>
          <cell r="O1605">
            <v>40912976.443300001</v>
          </cell>
        </row>
        <row r="1606">
          <cell r="A1606" t="str">
            <v>GCF UKSTATE, FOREIGN, LOCAL TAXES</v>
          </cell>
          <cell r="B1606">
            <v>3150661.13</v>
          </cell>
          <cell r="C1606">
            <v>2385074.13</v>
          </cell>
          <cell r="D1606">
            <v>663850.64</v>
          </cell>
          <cell r="E1606">
            <v>880191.75</v>
          </cell>
          <cell r="F1606">
            <v>7079777.6500000004</v>
          </cell>
          <cell r="G1606">
            <v>3214735.5097139999</v>
          </cell>
          <cell r="H1606">
            <v>3880998.1424540002</v>
          </cell>
          <cell r="I1606">
            <v>3837063.9342899998</v>
          </cell>
          <cell r="J1606">
            <v>4000910.5930809998</v>
          </cell>
          <cell r="K1606">
            <v>14933708.179539001</v>
          </cell>
          <cell r="L1606">
            <v>2693497.77</v>
          </cell>
          <cell r="M1606">
            <v>14960246.922</v>
          </cell>
          <cell r="N1606">
            <v>14960246.922</v>
          </cell>
          <cell r="O1606">
            <v>14960246.922</v>
          </cell>
        </row>
        <row r="1607">
          <cell r="A1607" t="str">
            <v>GCF UKS/L TAX - INSURANCE PREMIUMS</v>
          </cell>
          <cell r="B1607">
            <v>0</v>
          </cell>
          <cell r="C1607">
            <v>0</v>
          </cell>
          <cell r="D1607">
            <v>0</v>
          </cell>
          <cell r="E1607">
            <v>0</v>
          </cell>
          <cell r="F1607">
            <v>0</v>
          </cell>
          <cell r="G1607">
            <v>0</v>
          </cell>
          <cell r="H1607">
            <v>0</v>
          </cell>
          <cell r="I1607">
            <v>0</v>
          </cell>
          <cell r="J1607">
            <v>0</v>
          </cell>
          <cell r="K1607">
            <v>0</v>
          </cell>
          <cell r="L1607">
            <v>0</v>
          </cell>
          <cell r="M1607">
            <v>0</v>
          </cell>
          <cell r="N1607">
            <v>0</v>
          </cell>
          <cell r="O1607">
            <v>0</v>
          </cell>
        </row>
        <row r="1608">
          <cell r="A1608" t="str">
            <v>GCF UKSATELLITE LEASE EXPENSE</v>
          </cell>
          <cell r="B1608">
            <v>0</v>
          </cell>
          <cell r="C1608">
            <v>0</v>
          </cell>
          <cell r="D1608">
            <v>0</v>
          </cell>
          <cell r="E1608">
            <v>0</v>
          </cell>
          <cell r="F1608">
            <v>0</v>
          </cell>
          <cell r="G1608">
            <v>0</v>
          </cell>
          <cell r="H1608">
            <v>0</v>
          </cell>
          <cell r="I1608">
            <v>0</v>
          </cell>
          <cell r="J1608">
            <v>0</v>
          </cell>
          <cell r="K1608">
            <v>0</v>
          </cell>
          <cell r="L1608">
            <v>0</v>
          </cell>
          <cell r="M1608">
            <v>0</v>
          </cell>
          <cell r="N1608">
            <v>0</v>
          </cell>
          <cell r="O1608">
            <v>0</v>
          </cell>
        </row>
        <row r="1609">
          <cell r="A1609" t="str">
            <v>GCF UKBUSINESS SHARE EXPENSE</v>
          </cell>
          <cell r="B1609">
            <v>0</v>
          </cell>
          <cell r="C1609">
            <v>0</v>
          </cell>
          <cell r="D1609">
            <v>0</v>
          </cell>
          <cell r="E1609">
            <v>0</v>
          </cell>
          <cell r="F1609">
            <v>0</v>
          </cell>
          <cell r="G1609">
            <v>0</v>
          </cell>
          <cell r="H1609">
            <v>0</v>
          </cell>
          <cell r="I1609">
            <v>0</v>
          </cell>
          <cell r="J1609">
            <v>0</v>
          </cell>
          <cell r="K1609">
            <v>0</v>
          </cell>
          <cell r="L1609">
            <v>0</v>
          </cell>
          <cell r="M1609">
            <v>0</v>
          </cell>
          <cell r="N1609">
            <v>0</v>
          </cell>
          <cell r="O1609">
            <v>0</v>
          </cell>
        </row>
        <row r="1610">
          <cell r="A1610" t="str">
            <v>GCF UKINSURANCE AFFILIATE EXPENSE</v>
          </cell>
          <cell r="B1610">
            <v>0</v>
          </cell>
          <cell r="C1610">
            <v>0</v>
          </cell>
          <cell r="D1610">
            <v>0</v>
          </cell>
          <cell r="E1610">
            <v>0</v>
          </cell>
          <cell r="F1610">
            <v>0</v>
          </cell>
          <cell r="G1610">
            <v>0</v>
          </cell>
          <cell r="H1610">
            <v>0</v>
          </cell>
          <cell r="I1610">
            <v>0</v>
          </cell>
          <cell r="J1610">
            <v>0</v>
          </cell>
          <cell r="K1610">
            <v>0</v>
          </cell>
          <cell r="L1610">
            <v>0</v>
          </cell>
          <cell r="M1610">
            <v>0</v>
          </cell>
          <cell r="N1610">
            <v>0</v>
          </cell>
          <cell r="O1610">
            <v>0</v>
          </cell>
        </row>
        <row r="1611">
          <cell r="A1611" t="str">
            <v>GCF UKOTHER FACILITY EXPENSE</v>
          </cell>
          <cell r="B1611">
            <v>1528904.21</v>
          </cell>
          <cell r="C1611">
            <v>1342438.62</v>
          </cell>
          <cell r="D1611">
            <v>1462722.2</v>
          </cell>
          <cell r="E1611">
            <v>4501521.2300000004</v>
          </cell>
          <cell r="F1611">
            <v>8835586.2599999998</v>
          </cell>
          <cell r="G1611">
            <v>854712.65117900004</v>
          </cell>
          <cell r="H1611">
            <v>793982.43307899998</v>
          </cell>
          <cell r="I1611">
            <v>793982.43307899998</v>
          </cell>
          <cell r="J1611">
            <v>803091.46077899996</v>
          </cell>
          <cell r="K1611">
            <v>3245768.9781160001</v>
          </cell>
          <cell r="L1611">
            <v>701315.87</v>
          </cell>
          <cell r="M1611">
            <v>4515219.3542999998</v>
          </cell>
          <cell r="N1611">
            <v>4515219.3542999998</v>
          </cell>
          <cell r="O1611">
            <v>4515219.3542999998</v>
          </cell>
        </row>
        <row r="1612">
          <cell r="A1612" t="str">
            <v>GCF UKGROSS OP &amp; ADMIN BUS SHARE</v>
          </cell>
          <cell r="B1612">
            <v>0</v>
          </cell>
          <cell r="C1612">
            <v>-177414</v>
          </cell>
          <cell r="D1612">
            <v>-256170.6</v>
          </cell>
          <cell r="E1612">
            <v>-1005699.98</v>
          </cell>
          <cell r="F1612">
            <v>-1439284.58</v>
          </cell>
          <cell r="G1612">
            <v>-358935.804</v>
          </cell>
          <cell r="H1612">
            <v>-387979.93810000003</v>
          </cell>
          <cell r="I1612">
            <v>-437233.3296</v>
          </cell>
          <cell r="J1612">
            <v>-437233.3296</v>
          </cell>
          <cell r="K1612">
            <v>-1621382.4013</v>
          </cell>
          <cell r="L1612">
            <v>-161846.82</v>
          </cell>
          <cell r="M1612">
            <v>0</v>
          </cell>
          <cell r="N1612">
            <v>0</v>
          </cell>
          <cell r="O1612">
            <v>0</v>
          </cell>
        </row>
        <row r="1613">
          <cell r="A1613" t="str">
            <v>GCF UKOTHER EXPENSE</v>
          </cell>
          <cell r="B1613">
            <v>-986058.28</v>
          </cell>
          <cell r="C1613">
            <v>2932576.5</v>
          </cell>
          <cell r="D1613">
            <v>2128422.08</v>
          </cell>
          <cell r="E1613">
            <v>8183013.7800000003</v>
          </cell>
          <cell r="F1613">
            <v>12257954.08</v>
          </cell>
          <cell r="G1613">
            <v>-681903.09562899999</v>
          </cell>
          <cell r="H1613">
            <v>-775899.28975999996</v>
          </cell>
          <cell r="I1613">
            <v>-599527.87553199998</v>
          </cell>
          <cell r="J1613">
            <v>-1123150.9703569999</v>
          </cell>
          <cell r="K1613">
            <v>-3180481.2312779999</v>
          </cell>
          <cell r="L1613">
            <v>13043519.210000001</v>
          </cell>
          <cell r="M1613">
            <v>-6032847.1453</v>
          </cell>
          <cell r="N1613">
            <v>-9216805.6843999997</v>
          </cell>
          <cell r="O1613">
            <v>-12432769.361</v>
          </cell>
        </row>
        <row r="1614">
          <cell r="A1614" t="str">
            <v>GCF UKGECC INTERCO EXPENSES EXCL GECIS</v>
          </cell>
          <cell r="B1614">
            <v>0</v>
          </cell>
          <cell r="C1614">
            <v>0</v>
          </cell>
          <cell r="D1614">
            <v>0</v>
          </cell>
          <cell r="E1614">
            <v>-1166460.1000000001</v>
          </cell>
          <cell r="F1614">
            <v>-1166460.1000000001</v>
          </cell>
          <cell r="G1614">
            <v>-900506.67550000001</v>
          </cell>
          <cell r="H1614">
            <v>-900506.67550000001</v>
          </cell>
          <cell r="I1614">
            <v>-900506.67550000001</v>
          </cell>
          <cell r="J1614">
            <v>-900506.67550000001</v>
          </cell>
          <cell r="K1614">
            <v>-3602026.702</v>
          </cell>
          <cell r="L1614">
            <v>-1063108.26</v>
          </cell>
          <cell r="M1614">
            <v>0</v>
          </cell>
          <cell r="N1614">
            <v>0</v>
          </cell>
          <cell r="O1614">
            <v>0</v>
          </cell>
        </row>
        <row r="1615">
          <cell r="A1615" t="str">
            <v>GCF UKGECIS INTERCO CHARGES</v>
          </cell>
          <cell r="B1615">
            <v>852718.11</v>
          </cell>
          <cell r="C1615">
            <v>1389552.91</v>
          </cell>
          <cell r="D1615">
            <v>1478709.7</v>
          </cell>
          <cell r="E1615">
            <v>2733035.66</v>
          </cell>
          <cell r="F1615">
            <v>6454016.3799999999</v>
          </cell>
          <cell r="G1615">
            <v>2061182.4047069999</v>
          </cell>
          <cell r="H1615">
            <v>2396727.356807</v>
          </cell>
          <cell r="I1615">
            <v>2305664.4949070001</v>
          </cell>
          <cell r="J1615">
            <v>2333512.4649069998</v>
          </cell>
          <cell r="K1615">
            <v>9097086.7213279996</v>
          </cell>
          <cell r="L1615">
            <v>1587068.18</v>
          </cell>
          <cell r="M1615">
            <v>3385171</v>
          </cell>
          <cell r="N1615">
            <v>3385171</v>
          </cell>
          <cell r="O1615">
            <v>3385171</v>
          </cell>
        </row>
        <row r="1616">
          <cell r="A1616" t="str">
            <v>GCF UKLOSS ADJUSTED EXPENSE</v>
          </cell>
          <cell r="B1616">
            <v>0</v>
          </cell>
          <cell r="C1616">
            <v>0</v>
          </cell>
          <cell r="D1616">
            <v>0</v>
          </cell>
          <cell r="E1616">
            <v>0</v>
          </cell>
          <cell r="F1616">
            <v>0</v>
          </cell>
          <cell r="G1616">
            <v>0</v>
          </cell>
          <cell r="H1616">
            <v>0</v>
          </cell>
          <cell r="I1616">
            <v>0</v>
          </cell>
          <cell r="J1616">
            <v>0</v>
          </cell>
          <cell r="K1616">
            <v>0</v>
          </cell>
          <cell r="L1616">
            <v>0</v>
          </cell>
          <cell r="M1616">
            <v>0</v>
          </cell>
          <cell r="N1616">
            <v>0</v>
          </cell>
          <cell r="O1616">
            <v>0</v>
          </cell>
        </row>
        <row r="1617">
          <cell r="A1617" t="str">
            <v>GCF UKALL OTHER EXPENSES</v>
          </cell>
          <cell r="B1617">
            <v>-0.01</v>
          </cell>
          <cell r="C1617">
            <v>0.02</v>
          </cell>
          <cell r="D1617">
            <v>0.01</v>
          </cell>
          <cell r="E1617">
            <v>-0.01</v>
          </cell>
          <cell r="F1617">
            <v>0.01</v>
          </cell>
          <cell r="G1617">
            <v>0</v>
          </cell>
          <cell r="H1617">
            <v>0</v>
          </cell>
          <cell r="I1617">
            <v>0</v>
          </cell>
          <cell r="J1617">
            <v>0</v>
          </cell>
          <cell r="K1617">
            <v>0</v>
          </cell>
          <cell r="L1617">
            <v>-0.01</v>
          </cell>
          <cell r="M1617">
            <v>0</v>
          </cell>
          <cell r="N1617">
            <v>0</v>
          </cell>
          <cell r="O1617">
            <v>0</v>
          </cell>
        </row>
        <row r="1618">
          <cell r="A1618" t="str">
            <v>GCF UKASSESSMENTS</v>
          </cell>
          <cell r="B1618">
            <v>2462653.34</v>
          </cell>
          <cell r="C1618">
            <v>2158111.5499999998</v>
          </cell>
          <cell r="D1618">
            <v>2392398.14</v>
          </cell>
          <cell r="E1618">
            <v>2122551.9900000002</v>
          </cell>
          <cell r="F1618">
            <v>9135715.0199999996</v>
          </cell>
          <cell r="G1618">
            <v>2066426.509325</v>
          </cell>
          <cell r="H1618">
            <v>2030314.863448</v>
          </cell>
          <cell r="I1618">
            <v>2252837.8048439999</v>
          </cell>
          <cell r="J1618">
            <v>2029151.5830389999</v>
          </cell>
          <cell r="K1618">
            <v>8378730.7606560001</v>
          </cell>
          <cell r="L1618">
            <v>1932008.87</v>
          </cell>
          <cell r="M1618">
            <v>10233959.774905</v>
          </cell>
          <cell r="N1618">
            <v>10512467.708017999</v>
          </cell>
          <cell r="O1618">
            <v>10826022.903620999</v>
          </cell>
        </row>
        <row r="1619">
          <cell r="A1619" t="str">
            <v>GCF UKFAS 91</v>
          </cell>
          <cell r="B1619">
            <v>-1926301.13</v>
          </cell>
          <cell r="C1619">
            <v>-2342350.7400000002</v>
          </cell>
          <cell r="D1619">
            <v>-1963016.68</v>
          </cell>
          <cell r="E1619">
            <v>-2696656.1</v>
          </cell>
          <cell r="F1619">
            <v>-8928324.6500000004</v>
          </cell>
          <cell r="G1619">
            <v>-1916377.699949</v>
          </cell>
          <cell r="H1619">
            <v>-2317767.7358320002</v>
          </cell>
          <cell r="I1619">
            <v>-2223788.3097089999</v>
          </cell>
          <cell r="J1619">
            <v>-2661054.3271960001</v>
          </cell>
          <cell r="K1619">
            <v>-9118988.0726849996</v>
          </cell>
          <cell r="L1619">
            <v>-1665663.4</v>
          </cell>
          <cell r="M1619">
            <v>-9522145.8419000003</v>
          </cell>
          <cell r="N1619">
            <v>-10099591.5361</v>
          </cell>
          <cell r="O1619">
            <v>-10392417.990800001</v>
          </cell>
        </row>
        <row r="1620">
          <cell r="A1620" t="str">
            <v>GCF UKGOODWILL AMORTIZATION</v>
          </cell>
          <cell r="B1620">
            <v>2783512.02</v>
          </cell>
          <cell r="C1620">
            <v>2779758.95</v>
          </cell>
          <cell r="D1620">
            <v>2775044.52</v>
          </cell>
          <cell r="E1620">
            <v>2782667.74</v>
          </cell>
          <cell r="F1620">
            <v>11120983.23</v>
          </cell>
          <cell r="G1620">
            <v>0</v>
          </cell>
          <cell r="H1620">
            <v>0</v>
          </cell>
          <cell r="I1620">
            <v>0</v>
          </cell>
          <cell r="J1620">
            <v>0</v>
          </cell>
          <cell r="K1620">
            <v>0</v>
          </cell>
          <cell r="L1620">
            <v>0</v>
          </cell>
          <cell r="M1620">
            <v>10807465.289999999</v>
          </cell>
          <cell r="N1620">
            <v>10807465.289999999</v>
          </cell>
          <cell r="O1620">
            <v>10807465.289999999</v>
          </cell>
        </row>
        <row r="1621">
          <cell r="A1621" t="str">
            <v>GCF UKDEPRECIATION EXPENSE</v>
          </cell>
          <cell r="B1621">
            <v>1988752.85</v>
          </cell>
          <cell r="C1621">
            <v>1925259.92</v>
          </cell>
          <cell r="D1621">
            <v>1864233.74</v>
          </cell>
          <cell r="E1621">
            <v>1806462.27</v>
          </cell>
          <cell r="F1621">
            <v>7584708.7800000003</v>
          </cell>
          <cell r="G1621">
            <v>2192252.2086109999</v>
          </cell>
          <cell r="H1621">
            <v>2149212.0888009998</v>
          </cell>
          <cell r="I1621">
            <v>2009128.777177</v>
          </cell>
          <cell r="J1621">
            <v>2131673.3795790002</v>
          </cell>
          <cell r="K1621">
            <v>8482266.4541679993</v>
          </cell>
          <cell r="L1621">
            <v>1852775.79</v>
          </cell>
          <cell r="M1621">
            <v>11234539.160700001</v>
          </cell>
          <cell r="N1621">
            <v>11234539.160700001</v>
          </cell>
          <cell r="O1621">
            <v>11234539.160700001</v>
          </cell>
        </row>
        <row r="1622">
          <cell r="A1622" t="str">
            <v>GCF UKELTO AMORTIZATION</v>
          </cell>
          <cell r="B1622">
            <v>0</v>
          </cell>
          <cell r="C1622">
            <v>0</v>
          </cell>
          <cell r="D1622">
            <v>0</v>
          </cell>
          <cell r="E1622">
            <v>0</v>
          </cell>
          <cell r="F1622">
            <v>0</v>
          </cell>
          <cell r="G1622">
            <v>0</v>
          </cell>
          <cell r="H1622">
            <v>0</v>
          </cell>
          <cell r="I1622">
            <v>0</v>
          </cell>
          <cell r="J1622">
            <v>0</v>
          </cell>
          <cell r="K1622">
            <v>0</v>
          </cell>
          <cell r="L1622">
            <v>0</v>
          </cell>
          <cell r="M1622">
            <v>0</v>
          </cell>
          <cell r="N1622">
            <v>0</v>
          </cell>
          <cell r="O1622">
            <v>0</v>
          </cell>
        </row>
        <row r="1623">
          <cell r="A1623" t="str">
            <v>GCF UKINSURANCE LOSSES AND BENEFITS</v>
          </cell>
          <cell r="B1623">
            <v>0</v>
          </cell>
          <cell r="C1623">
            <v>0</v>
          </cell>
          <cell r="D1623">
            <v>0</v>
          </cell>
          <cell r="E1623">
            <v>0</v>
          </cell>
          <cell r="F1623">
            <v>0</v>
          </cell>
          <cell r="G1623">
            <v>0</v>
          </cell>
          <cell r="H1623">
            <v>0</v>
          </cell>
          <cell r="I1623">
            <v>0</v>
          </cell>
          <cell r="J1623">
            <v>0</v>
          </cell>
          <cell r="K1623">
            <v>0</v>
          </cell>
          <cell r="L1623">
            <v>0</v>
          </cell>
          <cell r="M1623">
            <v>0</v>
          </cell>
          <cell r="N1623">
            <v>0</v>
          </cell>
          <cell r="O1623">
            <v>0</v>
          </cell>
        </row>
        <row r="1624">
          <cell r="A1624" t="str">
            <v>GCF UKWRITE OFFS</v>
          </cell>
          <cell r="B1624">
            <v>33210067.829999998</v>
          </cell>
          <cell r="C1624">
            <v>24471737.809999999</v>
          </cell>
          <cell r="D1624">
            <v>20785158.84</v>
          </cell>
          <cell r="E1624">
            <v>28399907.199999999</v>
          </cell>
          <cell r="F1624">
            <v>106866871.68000001</v>
          </cell>
          <cell r="G1624">
            <v>24642780.523332</v>
          </cell>
          <cell r="H1624">
            <v>25735357.447609</v>
          </cell>
          <cell r="I1624">
            <v>27714240.038361002</v>
          </cell>
          <cell r="J1624">
            <v>29983666.790975001</v>
          </cell>
          <cell r="K1624">
            <v>108076044.80027699</v>
          </cell>
          <cell r="L1624">
            <v>28921887.329999998</v>
          </cell>
          <cell r="M1624">
            <v>120515942.71799999</v>
          </cell>
          <cell r="N1624">
            <v>131170258.602</v>
          </cell>
          <cell r="O1624">
            <v>134034602.67900001</v>
          </cell>
        </row>
        <row r="1625">
          <cell r="A1625" t="str">
            <v>GCF UKRESERVE CHANGE</v>
          </cell>
          <cell r="B1625">
            <v>0</v>
          </cell>
          <cell r="C1625">
            <v>0</v>
          </cell>
          <cell r="D1625">
            <v>0</v>
          </cell>
          <cell r="E1625">
            <v>0</v>
          </cell>
          <cell r="F1625">
            <v>0</v>
          </cell>
          <cell r="G1625">
            <v>0</v>
          </cell>
          <cell r="H1625">
            <v>0</v>
          </cell>
          <cell r="I1625">
            <v>0</v>
          </cell>
          <cell r="J1625">
            <v>0</v>
          </cell>
          <cell r="K1625">
            <v>0</v>
          </cell>
          <cell r="L1625">
            <v>0</v>
          </cell>
          <cell r="M1625">
            <v>0</v>
          </cell>
          <cell r="N1625">
            <v>0</v>
          </cell>
          <cell r="O1625">
            <v>0</v>
          </cell>
        </row>
        <row r="1626">
          <cell r="A1626" t="str">
            <v>GCF UKMINORITY INTEREST</v>
          </cell>
          <cell r="B1626">
            <v>0</v>
          </cell>
          <cell r="C1626">
            <v>0</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GCF UKINCOME TAXES</v>
          </cell>
          <cell r="B1627">
            <v>-14253193.5</v>
          </cell>
          <cell r="C1627">
            <v>6246927.1799999997</v>
          </cell>
          <cell r="D1627">
            <v>6891483.25</v>
          </cell>
          <cell r="E1627">
            <v>7874774.6200000001</v>
          </cell>
          <cell r="F1627">
            <v>6759991.5499999998</v>
          </cell>
          <cell r="G1627">
            <v>11279232.511104999</v>
          </cell>
          <cell r="H1627">
            <v>8776506.7681990005</v>
          </cell>
          <cell r="I1627">
            <v>8611529.1067120004</v>
          </cell>
          <cell r="J1627">
            <v>10257909.60193</v>
          </cell>
          <cell r="K1627">
            <v>38925177.987946004</v>
          </cell>
          <cell r="L1627">
            <v>-15085005.26</v>
          </cell>
          <cell r="M1627">
            <v>-14349977.310985999</v>
          </cell>
          <cell r="N1627">
            <v>-34197859.623478003</v>
          </cell>
          <cell r="O1627">
            <v>-45315173.824510999</v>
          </cell>
        </row>
        <row r="1628">
          <cell r="A1628" t="str">
            <v>GCF UKCUMULATIVE TRANSITION ADJUSTMENT</v>
          </cell>
          <cell r="B1628">
            <v>0</v>
          </cell>
          <cell r="C1628">
            <v>0</v>
          </cell>
          <cell r="D1628">
            <v>0</v>
          </cell>
          <cell r="E1628">
            <v>0</v>
          </cell>
          <cell r="F1628">
            <v>0</v>
          </cell>
          <cell r="G1628">
            <v>0</v>
          </cell>
          <cell r="H1628">
            <v>0</v>
          </cell>
          <cell r="I1628">
            <v>0</v>
          </cell>
          <cell r="J1628">
            <v>0</v>
          </cell>
          <cell r="K1628">
            <v>0</v>
          </cell>
          <cell r="L1628">
            <v>0</v>
          </cell>
          <cell r="M1628">
            <v>0</v>
          </cell>
          <cell r="N1628">
            <v>0</v>
          </cell>
          <cell r="O1628">
            <v>0</v>
          </cell>
        </row>
        <row r="1629">
          <cell r="A1629" t="str">
            <v>GCF UKASIA PACIFIC NI DIVIDEND</v>
          </cell>
          <cell r="B1629">
            <v>0</v>
          </cell>
          <cell r="C1629">
            <v>0</v>
          </cell>
          <cell r="D1629">
            <v>0</v>
          </cell>
          <cell r="E1629">
            <v>0</v>
          </cell>
          <cell r="F1629">
            <v>0</v>
          </cell>
          <cell r="G1629">
            <v>0</v>
          </cell>
          <cell r="H1629">
            <v>0</v>
          </cell>
          <cell r="I1629">
            <v>0</v>
          </cell>
          <cell r="J1629">
            <v>0</v>
          </cell>
          <cell r="K1629">
            <v>0</v>
          </cell>
          <cell r="L1629">
            <v>0</v>
          </cell>
          <cell r="M1629">
            <v>0</v>
          </cell>
          <cell r="N1629">
            <v>0</v>
          </cell>
          <cell r="O1629">
            <v>0</v>
          </cell>
        </row>
        <row r="1630">
          <cell r="A1630" t="str">
            <v>GCF UKNet Income</v>
          </cell>
          <cell r="B1630">
            <v>-66208592.189999998</v>
          </cell>
          <cell r="C1630">
            <v>-42787444.5</v>
          </cell>
          <cell r="D1630">
            <v>-43614880.509999998</v>
          </cell>
          <cell r="E1630">
            <v>-38913706.539999999</v>
          </cell>
          <cell r="F1630">
            <v>-191524623.74000001</v>
          </cell>
          <cell r="G1630">
            <v>-49306499.769767001</v>
          </cell>
          <cell r="H1630">
            <v>-44670187.472645</v>
          </cell>
          <cell r="I1630">
            <v>-44473846.851131998</v>
          </cell>
          <cell r="J1630">
            <v>-47428699.938708</v>
          </cell>
          <cell r="K1630">
            <v>-185879234.03225201</v>
          </cell>
          <cell r="L1630">
            <v>-74767270.739999995</v>
          </cell>
          <cell r="M1630">
            <v>-204841254.77279401</v>
          </cell>
          <cell r="N1630">
            <v>-235298637.97018701</v>
          </cell>
          <cell r="O1630">
            <v>-287737263.35966003</v>
          </cell>
        </row>
        <row r="1631">
          <cell r="A1631" t="str">
            <v>GCF UKSubPart F</v>
          </cell>
          <cell r="B1631">
            <v>13700000</v>
          </cell>
          <cell r="C1631">
            <v>11987000</v>
          </cell>
          <cell r="D1631">
            <v>11814427.084000001</v>
          </cell>
          <cell r="E1631">
            <v>8728573.0160000008</v>
          </cell>
          <cell r="F1631">
            <v>46230000.100000001</v>
          </cell>
          <cell r="G1631">
            <v>9925773.7872000001</v>
          </cell>
          <cell r="H1631">
            <v>9929836.2160969991</v>
          </cell>
          <cell r="I1631">
            <v>9968352.4785329998</v>
          </cell>
          <cell r="J1631">
            <v>9932403.7372929994</v>
          </cell>
          <cell r="K1631">
            <v>39756366.219122998</v>
          </cell>
          <cell r="L1631">
            <v>9817000</v>
          </cell>
          <cell r="M1631">
            <v>84756936.964111</v>
          </cell>
          <cell r="N1631">
            <v>108317038.207138</v>
          </cell>
          <cell r="O1631">
            <v>133896950.99494</v>
          </cell>
        </row>
        <row r="1632">
          <cell r="A1632" t="str">
            <v>GCF UKAssets</v>
          </cell>
          <cell r="B1632">
            <v>2515760763.4699998</v>
          </cell>
          <cell r="C1632">
            <v>2430813307.3799901</v>
          </cell>
          <cell r="D1632">
            <v>2467091333.6100001</v>
          </cell>
          <cell r="E1632">
            <v>2764872417.8099999</v>
          </cell>
          <cell r="F1632">
            <v>2764872417.8099999</v>
          </cell>
          <cell r="G1632">
            <v>2459274504.1055398</v>
          </cell>
          <cell r="H1632">
            <v>2508115701.1089301</v>
          </cell>
          <cell r="I1632">
            <v>2522980505.8803301</v>
          </cell>
          <cell r="J1632">
            <v>2862076749.62012</v>
          </cell>
          <cell r="K1632">
            <v>2862076749.62012</v>
          </cell>
          <cell r="L1632">
            <v>3015133458.04</v>
          </cell>
          <cell r="M1632">
            <v>2957762476.3883901</v>
          </cell>
          <cell r="N1632">
            <v>3092363072.8383098</v>
          </cell>
          <cell r="O1632">
            <v>3286613295.9296298</v>
          </cell>
        </row>
        <row r="1633">
          <cell r="A1633" t="str">
            <v>GCF UKEnding Net Investment (ENI) incl Asia</v>
          </cell>
          <cell r="B1633">
            <v>2362155341.4400001</v>
          </cell>
          <cell r="C1633">
            <v>2243038593.0399899</v>
          </cell>
          <cell r="D1633">
            <v>2259294346.54</v>
          </cell>
          <cell r="E1633">
            <v>2458575821.3299999</v>
          </cell>
          <cell r="F1633">
            <v>2458575821.3299999</v>
          </cell>
          <cell r="G1633">
            <v>2287400940.7192998</v>
          </cell>
          <cell r="H1633">
            <v>2319433950.9925799</v>
          </cell>
          <cell r="I1633">
            <v>2373769701.1850901</v>
          </cell>
          <cell r="J1633">
            <v>2658064676.4307799</v>
          </cell>
          <cell r="K1633">
            <v>2658064676.4307799</v>
          </cell>
          <cell r="L1633">
            <v>2797518604.3800001</v>
          </cell>
          <cell r="M1633">
            <v>2702599176.84589</v>
          </cell>
          <cell r="N1633">
            <v>2838065513.2958102</v>
          </cell>
          <cell r="O1633">
            <v>3033181476.3871298</v>
          </cell>
        </row>
        <row r="1634">
          <cell r="A1634" t="str">
            <v>GCF UKANR YTD</v>
          </cell>
          <cell r="B1634">
            <v>2629743271.5500002</v>
          </cell>
          <cell r="C1634">
            <v>2532241285.0866599</v>
          </cell>
          <cell r="D1634">
            <v>2490936919.1750002</v>
          </cell>
          <cell r="E1634">
            <v>2506845830.4640002</v>
          </cell>
          <cell r="F1634">
            <v>2506845830.4640002</v>
          </cell>
          <cell r="G1634">
            <v>2480907100.2617202</v>
          </cell>
          <cell r="H1634">
            <v>2455931044.1687298</v>
          </cell>
          <cell r="I1634">
            <v>2447063349.0433202</v>
          </cell>
          <cell r="J1634">
            <v>2501142750.8961501</v>
          </cell>
          <cell r="K1634">
            <v>2501142750.8961501</v>
          </cell>
          <cell r="L1634">
            <v>2678668120.3850002</v>
          </cell>
          <cell r="M1634">
            <v>1141880713.5373199</v>
          </cell>
          <cell r="N1634">
            <v>1163220371.79708</v>
          </cell>
          <cell r="O1634">
            <v>1235174067.64323</v>
          </cell>
        </row>
        <row r="1635">
          <cell r="A1635" t="str">
            <v>GCF UKASA YTD</v>
          </cell>
          <cell r="B1635">
            <v>2629743271.5500002</v>
          </cell>
          <cell r="C1635">
            <v>2532241285.0866599</v>
          </cell>
          <cell r="D1635">
            <v>2490936919.1750002</v>
          </cell>
          <cell r="E1635">
            <v>2506845830.4640002</v>
          </cell>
          <cell r="F1635">
            <v>2506845830.4640002</v>
          </cell>
          <cell r="G1635">
            <v>2480907100.2617202</v>
          </cell>
          <cell r="H1635">
            <v>2455931044.1687298</v>
          </cell>
          <cell r="I1635">
            <v>2447063349.0433202</v>
          </cell>
          <cell r="J1635">
            <v>2501142750.8961501</v>
          </cell>
          <cell r="K1635">
            <v>2501142750.8961501</v>
          </cell>
          <cell r="L1635">
            <v>2678668120.3850002</v>
          </cell>
          <cell r="M1635">
            <v>1141880713.5373199</v>
          </cell>
          <cell r="N1635">
            <v>1163220371.79708</v>
          </cell>
          <cell r="O1635">
            <v>1235174067.64323</v>
          </cell>
        </row>
        <row r="1636">
          <cell r="A1636" t="str">
            <v>GCF UKANI YTD incl Asia - 5 pt</v>
          </cell>
          <cell r="B1636">
            <v>2515067608.4549999</v>
          </cell>
          <cell r="C1636">
            <v>2424391269.9833298</v>
          </cell>
          <cell r="D1636">
            <v>2383117039.1224999</v>
          </cell>
          <cell r="E1636">
            <v>2398208795.5640001</v>
          </cell>
          <cell r="F1636">
            <v>2398208795.5640001</v>
          </cell>
          <cell r="G1636">
            <v>2372988381.0246501</v>
          </cell>
          <cell r="H1636">
            <v>2355136904.34729</v>
          </cell>
          <cell r="I1636">
            <v>2359795103.5567398</v>
          </cell>
          <cell r="J1636">
            <v>2419449018.1315498</v>
          </cell>
          <cell r="K1636">
            <v>2419449018.1315498</v>
          </cell>
          <cell r="L1636">
            <v>2628047212.855</v>
          </cell>
          <cell r="M1636">
            <v>1089405540.41208</v>
          </cell>
          <cell r="N1636">
            <v>1108132938.0283401</v>
          </cell>
          <cell r="O1636">
            <v>1174249397.93659</v>
          </cell>
        </row>
        <row r="1637">
          <cell r="A1637" t="str">
            <v>GCF UKOff Balance Sheet Assets</v>
          </cell>
          <cell r="B1637">
            <v>0</v>
          </cell>
          <cell r="C1637">
            <v>0</v>
          </cell>
          <cell r="D1637">
            <v>0</v>
          </cell>
          <cell r="E1637">
            <v>0</v>
          </cell>
          <cell r="F1637">
            <v>0</v>
          </cell>
          <cell r="G1637">
            <v>0</v>
          </cell>
          <cell r="H1637">
            <v>0</v>
          </cell>
          <cell r="I1637">
            <v>0</v>
          </cell>
          <cell r="J1637">
            <v>0</v>
          </cell>
          <cell r="K1637">
            <v>0</v>
          </cell>
          <cell r="L1637">
            <v>0</v>
          </cell>
          <cell r="M1637">
            <v>0</v>
          </cell>
          <cell r="N1637">
            <v>0</v>
          </cell>
          <cell r="O1637">
            <v>0</v>
          </cell>
        </row>
        <row r="1638">
          <cell r="A1638" t="str">
            <v>GCF UKJV Receivables</v>
          </cell>
          <cell r="B1638">
            <v>0</v>
          </cell>
          <cell r="C1638">
            <v>0</v>
          </cell>
          <cell r="D1638">
            <v>0</v>
          </cell>
          <cell r="E1638">
            <v>0</v>
          </cell>
          <cell r="F1638">
            <v>0</v>
          </cell>
          <cell r="G1638">
            <v>0</v>
          </cell>
          <cell r="H1638">
            <v>0</v>
          </cell>
          <cell r="I1638">
            <v>0</v>
          </cell>
          <cell r="J1638">
            <v>0</v>
          </cell>
          <cell r="K1638">
            <v>0</v>
          </cell>
          <cell r="L1638">
            <v>0</v>
          </cell>
          <cell r="M1638">
            <v>0</v>
          </cell>
          <cell r="N1638">
            <v>0</v>
          </cell>
          <cell r="O1638">
            <v>0</v>
          </cell>
        </row>
        <row r="1639">
          <cell r="A1639" t="str">
            <v>GCF UK30+ DELINQUENCY $</v>
          </cell>
          <cell r="B1639">
            <v>167087589.43000001</v>
          </cell>
          <cell r="C1639">
            <v>151021419.69</v>
          </cell>
          <cell r="D1639">
            <v>148011317.94</v>
          </cell>
          <cell r="E1639">
            <v>118810985.87</v>
          </cell>
          <cell r="F1639">
            <v>118810985.87</v>
          </cell>
          <cell r="G1639">
            <v>129802015.62952501</v>
          </cell>
          <cell r="H1639">
            <v>133084149.715075</v>
          </cell>
          <cell r="I1639">
            <v>136264661.73309401</v>
          </cell>
          <cell r="J1639">
            <v>137632020.15764499</v>
          </cell>
          <cell r="K1639">
            <v>137632020.15764499</v>
          </cell>
          <cell r="L1639">
            <v>130126959.15000001</v>
          </cell>
          <cell r="M1639">
            <v>179310625.90000001</v>
          </cell>
          <cell r="N1639">
            <v>174716432.30000001</v>
          </cell>
          <cell r="O1639">
            <v>177921113.19999999</v>
          </cell>
        </row>
        <row r="1640">
          <cell r="A1640" t="str">
            <v>GCF UK90+ DELINQUENCY $</v>
          </cell>
          <cell r="B1640">
            <v>96806223.980000004</v>
          </cell>
          <cell r="C1640">
            <v>91227976.260000005</v>
          </cell>
          <cell r="D1640">
            <v>84864062.75</v>
          </cell>
          <cell r="E1640">
            <v>61161014.350000001</v>
          </cell>
          <cell r="F1640">
            <v>61161014.350000001</v>
          </cell>
          <cell r="G1640">
            <v>62101211.238597997</v>
          </cell>
          <cell r="H1640">
            <v>67609860.494707003</v>
          </cell>
          <cell r="I1640">
            <v>69493947.496143997</v>
          </cell>
          <cell r="J1640">
            <v>70878723.345827997</v>
          </cell>
          <cell r="K1640">
            <v>70878723.345827997</v>
          </cell>
          <cell r="L1640">
            <v>84169421.989999995</v>
          </cell>
          <cell r="M1640">
            <v>105978119.2</v>
          </cell>
          <cell r="N1640">
            <v>101909141.2</v>
          </cell>
          <cell r="O1640">
            <v>103210637</v>
          </cell>
        </row>
        <row r="1641">
          <cell r="A1641" t="str">
            <v>GCF UKTemporary Staff</v>
          </cell>
          <cell r="B1641">
            <v>0</v>
          </cell>
          <cell r="C1641">
            <v>207</v>
          </cell>
          <cell r="D1641">
            <v>221.5</v>
          </cell>
          <cell r="E1641">
            <v>267</v>
          </cell>
          <cell r="F1641">
            <v>267</v>
          </cell>
          <cell r="G1641">
            <v>305.28746999999998</v>
          </cell>
          <cell r="H1641">
            <v>247.503919</v>
          </cell>
          <cell r="I1641">
            <v>227.577641</v>
          </cell>
          <cell r="J1641">
            <v>224.42581999999999</v>
          </cell>
          <cell r="K1641">
            <v>224.42581999999999</v>
          </cell>
          <cell r="L1641">
            <v>311</v>
          </cell>
          <cell r="M1641">
            <v>192</v>
          </cell>
          <cell r="N1641">
            <v>192</v>
          </cell>
          <cell r="O1641">
            <v>192</v>
          </cell>
        </row>
        <row r="1642">
          <cell r="A1642" t="str">
            <v>GCF UKContractors</v>
          </cell>
          <cell r="B1642">
            <v>0</v>
          </cell>
          <cell r="C1642">
            <v>31</v>
          </cell>
          <cell r="D1642">
            <v>33</v>
          </cell>
          <cell r="E1642">
            <v>30</v>
          </cell>
          <cell r="F1642">
            <v>30</v>
          </cell>
          <cell r="G1642">
            <v>28</v>
          </cell>
          <cell r="H1642">
            <v>5</v>
          </cell>
          <cell r="I1642">
            <v>5</v>
          </cell>
          <cell r="J1642">
            <v>5</v>
          </cell>
          <cell r="K1642">
            <v>5</v>
          </cell>
          <cell r="L1642">
            <v>25</v>
          </cell>
          <cell r="M1642">
            <v>35</v>
          </cell>
          <cell r="N1642">
            <v>35</v>
          </cell>
          <cell r="O1642">
            <v>35</v>
          </cell>
        </row>
        <row r="1643">
          <cell r="A1643" t="str">
            <v>GCF UKOutsourced to LCC</v>
          </cell>
          <cell r="B1643">
            <v>0</v>
          </cell>
          <cell r="C1643">
            <v>0</v>
          </cell>
          <cell r="D1643">
            <v>0</v>
          </cell>
          <cell r="E1643">
            <v>0</v>
          </cell>
          <cell r="F1643">
            <v>0</v>
          </cell>
          <cell r="G1643">
            <v>287.93715700000001</v>
          </cell>
          <cell r="H1643">
            <v>358.93715700000001</v>
          </cell>
          <cell r="I1643">
            <v>358.93715700000001</v>
          </cell>
          <cell r="J1643">
            <v>358.93715700000001</v>
          </cell>
          <cell r="K1643">
            <v>358.93715700000001</v>
          </cell>
          <cell r="L1643">
            <v>290.5</v>
          </cell>
          <cell r="M1643">
            <v>274</v>
          </cell>
          <cell r="N1643">
            <v>274</v>
          </cell>
          <cell r="O1643">
            <v>274</v>
          </cell>
        </row>
        <row r="1644">
          <cell r="A1644" t="str">
            <v>GCF UKTotal Headcount</v>
          </cell>
          <cell r="B1644">
            <v>1236</v>
          </cell>
          <cell r="C1644">
            <v>1749.5</v>
          </cell>
          <cell r="D1644">
            <v>1173.5</v>
          </cell>
          <cell r="E1644">
            <v>1263</v>
          </cell>
          <cell r="F1644">
            <v>1263</v>
          </cell>
          <cell r="G1644">
            <v>1319.5</v>
          </cell>
          <cell r="H1644">
            <v>1322.5</v>
          </cell>
          <cell r="I1644">
            <v>1322.5</v>
          </cell>
          <cell r="J1644">
            <v>1322.5</v>
          </cell>
          <cell r="K1644">
            <v>1322.5</v>
          </cell>
          <cell r="L1644">
            <v>1294.5</v>
          </cell>
          <cell r="M1644">
            <v>1175</v>
          </cell>
          <cell r="N1644">
            <v>1175</v>
          </cell>
          <cell r="O1644">
            <v>1175</v>
          </cell>
        </row>
        <row r="1645">
          <cell r="A1645" t="str">
            <v>GCF UKTotal Workforce</v>
          </cell>
          <cell r="B1645">
            <v>1236</v>
          </cell>
          <cell r="C1645">
            <v>1987.5</v>
          </cell>
          <cell r="D1645">
            <v>1428</v>
          </cell>
          <cell r="E1645">
            <v>1560</v>
          </cell>
          <cell r="F1645">
            <v>1560</v>
          </cell>
          <cell r="G1645">
            <v>1940.7246270000001</v>
          </cell>
          <cell r="H1645">
            <v>1933.9410760000001</v>
          </cell>
          <cell r="I1645">
            <v>1914.0147979999999</v>
          </cell>
          <cell r="J1645">
            <v>1910.862977</v>
          </cell>
          <cell r="K1645">
            <v>1910.862977</v>
          </cell>
          <cell r="L1645">
            <v>1921</v>
          </cell>
          <cell r="M1645">
            <v>1676</v>
          </cell>
          <cell r="N1645">
            <v>1676</v>
          </cell>
          <cell r="O1645">
            <v>1676</v>
          </cell>
        </row>
        <row r="1646">
          <cell r="A1646" t="str">
            <v>GCF UKTotal Earned Revenue</v>
          </cell>
          <cell r="B1646">
            <v>-178061885.86000001</v>
          </cell>
          <cell r="C1646">
            <v>-163645803.13999999</v>
          </cell>
          <cell r="D1646">
            <v>-158001146.06</v>
          </cell>
          <cell r="E1646">
            <v>-173440717.08000001</v>
          </cell>
          <cell r="F1646">
            <v>-673149552.13999999</v>
          </cell>
          <cell r="G1646">
            <v>-163068660.16081399</v>
          </cell>
          <cell r="H1646">
            <v>-160523707.11206999</v>
          </cell>
          <cell r="I1646">
            <v>-164997057.453435</v>
          </cell>
          <cell r="J1646">
            <v>-176954982.648606</v>
          </cell>
          <cell r="K1646">
            <v>-665544407.37492502</v>
          </cell>
          <cell r="L1646">
            <v>-173776536.94</v>
          </cell>
          <cell r="M1646">
            <v>-682213342.22226405</v>
          </cell>
          <cell r="N1646">
            <v>-708067270.27712905</v>
          </cell>
          <cell r="O1646">
            <v>-760238794.62444603</v>
          </cell>
        </row>
        <row r="1647">
          <cell r="A1647" t="str">
            <v>GCF UKOrdinary Gains - PreTax</v>
          </cell>
          <cell r="B1647">
            <v>0</v>
          </cell>
          <cell r="C1647">
            <v>0</v>
          </cell>
          <cell r="D1647">
            <v>0</v>
          </cell>
          <cell r="E1647">
            <v>0</v>
          </cell>
          <cell r="F1647">
            <v>0</v>
          </cell>
          <cell r="G1647">
            <v>0</v>
          </cell>
          <cell r="H1647">
            <v>0</v>
          </cell>
          <cell r="I1647">
            <v>0</v>
          </cell>
          <cell r="J1647">
            <v>0</v>
          </cell>
          <cell r="K1647">
            <v>0</v>
          </cell>
          <cell r="L1647">
            <v>0</v>
          </cell>
          <cell r="M1647">
            <v>0</v>
          </cell>
          <cell r="N1647">
            <v>0</v>
          </cell>
          <cell r="O1647">
            <v>0</v>
          </cell>
        </row>
        <row r="1648">
          <cell r="A1648" t="str">
            <v>GCF UKOrdinary Gains - AfterTax</v>
          </cell>
          <cell r="B1648">
            <v>0</v>
          </cell>
          <cell r="C1648">
            <v>0</v>
          </cell>
          <cell r="D1648">
            <v>0</v>
          </cell>
          <cell r="E1648">
            <v>0</v>
          </cell>
          <cell r="F1648">
            <v>0</v>
          </cell>
          <cell r="G1648">
            <v>0</v>
          </cell>
          <cell r="H1648">
            <v>0</v>
          </cell>
          <cell r="I1648">
            <v>0</v>
          </cell>
          <cell r="J1648">
            <v>0</v>
          </cell>
          <cell r="K1648">
            <v>0</v>
          </cell>
          <cell r="L1648">
            <v>0</v>
          </cell>
          <cell r="M1648">
            <v>0</v>
          </cell>
          <cell r="N1648">
            <v>0</v>
          </cell>
          <cell r="O1648">
            <v>0</v>
          </cell>
        </row>
        <row r="1649">
          <cell r="A1649" t="str">
            <v>GCF UKTotal Volume</v>
          </cell>
          <cell r="B1649">
            <v>897716761.95000005</v>
          </cell>
          <cell r="C1649">
            <v>986110975.10000002</v>
          </cell>
          <cell r="D1649">
            <v>1000576563.99</v>
          </cell>
          <cell r="E1649">
            <v>1395949156.1400001</v>
          </cell>
          <cell r="F1649">
            <v>4280353457.1799998</v>
          </cell>
          <cell r="G1649">
            <v>900778699.90962994</v>
          </cell>
          <cell r="H1649">
            <v>1004407511.3376</v>
          </cell>
          <cell r="I1649">
            <v>1047622379.9913</v>
          </cell>
          <cell r="J1649">
            <v>1482034043.54337</v>
          </cell>
          <cell r="K1649">
            <v>4434842634.7819204</v>
          </cell>
          <cell r="L1649">
            <v>894057316.86000001</v>
          </cell>
          <cell r="M1649">
            <v>4080577228.1501698</v>
          </cell>
          <cell r="N1649">
            <v>4388660983.1487398</v>
          </cell>
          <cell r="O1649">
            <v>4715597216.1110601</v>
          </cell>
        </row>
        <row r="1650">
          <cell r="A1650" t="str">
            <v>GCF UKTOTAL # ACTIVE ACCOUNTS</v>
          </cell>
          <cell r="B1650">
            <v>10373716</v>
          </cell>
          <cell r="C1650">
            <v>10334392</v>
          </cell>
          <cell r="D1650">
            <v>10093779.890000001</v>
          </cell>
          <cell r="E1650">
            <v>10414950</v>
          </cell>
          <cell r="F1650">
            <v>10414950</v>
          </cell>
          <cell r="G1650">
            <v>10250495.080528</v>
          </cell>
          <cell r="H1650">
            <v>10245763.443693001</v>
          </cell>
          <cell r="I1650">
            <v>10152870.343289999</v>
          </cell>
          <cell r="J1650">
            <v>10579502.465278</v>
          </cell>
          <cell r="K1650">
            <v>10579502.465278</v>
          </cell>
          <cell r="L1650">
            <v>0</v>
          </cell>
          <cell r="M1650">
            <v>10397505.176756</v>
          </cell>
          <cell r="N1650">
            <v>11022749.051271001</v>
          </cell>
          <cell r="O1650">
            <v>11899696.210731</v>
          </cell>
        </row>
        <row r="1651">
          <cell r="A1651" t="str">
            <v>GECISTOTAL FINANCING RECEIVABLES</v>
          </cell>
          <cell r="B1651">
            <v>0</v>
          </cell>
          <cell r="C1651">
            <v>0</v>
          </cell>
          <cell r="D1651">
            <v>0</v>
          </cell>
          <cell r="E1651">
            <v>0</v>
          </cell>
          <cell r="F1651">
            <v>0</v>
          </cell>
          <cell r="G1651">
            <v>0</v>
          </cell>
          <cell r="H1651">
            <v>0</v>
          </cell>
          <cell r="I1651">
            <v>0</v>
          </cell>
          <cell r="J1651">
            <v>0</v>
          </cell>
          <cell r="K1651">
            <v>0</v>
          </cell>
          <cell r="L1651">
            <v>0</v>
          </cell>
          <cell r="M1651">
            <v>0</v>
          </cell>
          <cell r="N1651">
            <v>0</v>
          </cell>
          <cell r="O1651">
            <v>0</v>
          </cell>
        </row>
        <row r="1652">
          <cell r="A1652" t="str">
            <v>GECISRECEIVABLE RESERVES</v>
          </cell>
          <cell r="B1652">
            <v>0</v>
          </cell>
          <cell r="C1652">
            <v>0</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GECISCASH</v>
          </cell>
          <cell r="B1653">
            <v>0</v>
          </cell>
          <cell r="C1653">
            <v>0</v>
          </cell>
          <cell r="D1653">
            <v>0</v>
          </cell>
          <cell r="E1653">
            <v>0</v>
          </cell>
          <cell r="F1653">
            <v>0</v>
          </cell>
          <cell r="G1653">
            <v>0</v>
          </cell>
          <cell r="H1653">
            <v>0</v>
          </cell>
          <cell r="I1653">
            <v>0</v>
          </cell>
          <cell r="J1653">
            <v>0</v>
          </cell>
          <cell r="K1653">
            <v>0</v>
          </cell>
          <cell r="L1653">
            <v>0</v>
          </cell>
          <cell r="M1653">
            <v>0</v>
          </cell>
          <cell r="N1653">
            <v>0</v>
          </cell>
          <cell r="O1653">
            <v>0</v>
          </cell>
        </row>
        <row r="1654">
          <cell r="A1654" t="str">
            <v>GECISINVESTMENT SECURITIES</v>
          </cell>
          <cell r="B1654">
            <v>0</v>
          </cell>
          <cell r="C1654">
            <v>0</v>
          </cell>
          <cell r="D1654">
            <v>0</v>
          </cell>
          <cell r="E1654">
            <v>0</v>
          </cell>
          <cell r="F1654">
            <v>0</v>
          </cell>
          <cell r="G1654">
            <v>0</v>
          </cell>
          <cell r="H1654">
            <v>0</v>
          </cell>
          <cell r="I1654">
            <v>0</v>
          </cell>
          <cell r="J1654">
            <v>0</v>
          </cell>
          <cell r="K1654">
            <v>0</v>
          </cell>
          <cell r="L1654">
            <v>0</v>
          </cell>
          <cell r="M1654">
            <v>0</v>
          </cell>
          <cell r="N1654">
            <v>0</v>
          </cell>
          <cell r="O1654">
            <v>0</v>
          </cell>
        </row>
        <row r="1655">
          <cell r="A1655" t="str">
            <v>GECISINV IN NON CONSOL AFFILIATES</v>
          </cell>
          <cell r="B1655">
            <v>0</v>
          </cell>
          <cell r="C1655">
            <v>0</v>
          </cell>
          <cell r="D1655">
            <v>0</v>
          </cell>
          <cell r="E1655">
            <v>0</v>
          </cell>
          <cell r="F1655">
            <v>0</v>
          </cell>
          <cell r="G1655">
            <v>0</v>
          </cell>
          <cell r="H1655">
            <v>0</v>
          </cell>
          <cell r="I1655">
            <v>0</v>
          </cell>
          <cell r="J1655">
            <v>0</v>
          </cell>
          <cell r="K1655">
            <v>0</v>
          </cell>
          <cell r="L1655">
            <v>0</v>
          </cell>
          <cell r="M1655">
            <v>0</v>
          </cell>
          <cell r="N1655">
            <v>0</v>
          </cell>
          <cell r="O1655">
            <v>0</v>
          </cell>
        </row>
        <row r="1656">
          <cell r="A1656" t="str">
            <v>GECISINVESTMENT IN JOINT VENTURE</v>
          </cell>
          <cell r="B1656">
            <v>0</v>
          </cell>
          <cell r="C1656">
            <v>0</v>
          </cell>
          <cell r="D1656">
            <v>0</v>
          </cell>
          <cell r="E1656">
            <v>0</v>
          </cell>
          <cell r="F1656">
            <v>0</v>
          </cell>
          <cell r="G1656">
            <v>0</v>
          </cell>
          <cell r="H1656">
            <v>0</v>
          </cell>
          <cell r="I1656">
            <v>0</v>
          </cell>
          <cell r="J1656">
            <v>0</v>
          </cell>
          <cell r="K1656">
            <v>0</v>
          </cell>
          <cell r="L1656">
            <v>0</v>
          </cell>
          <cell r="M1656">
            <v>0</v>
          </cell>
          <cell r="N1656">
            <v>0</v>
          </cell>
          <cell r="O1656">
            <v>0</v>
          </cell>
        </row>
        <row r="1657">
          <cell r="A1657" t="str">
            <v>GECISALL OTHER RECEIVABLES (NON-FINANCING)</v>
          </cell>
          <cell r="B1657">
            <v>0</v>
          </cell>
          <cell r="C1657">
            <v>0</v>
          </cell>
          <cell r="D1657">
            <v>0</v>
          </cell>
          <cell r="E1657">
            <v>0</v>
          </cell>
          <cell r="F1657">
            <v>0</v>
          </cell>
          <cell r="G1657">
            <v>0</v>
          </cell>
          <cell r="H1657">
            <v>0</v>
          </cell>
          <cell r="I1657">
            <v>0</v>
          </cell>
          <cell r="J1657">
            <v>0</v>
          </cell>
          <cell r="K1657">
            <v>0</v>
          </cell>
          <cell r="L1657">
            <v>0</v>
          </cell>
          <cell r="M1657">
            <v>0</v>
          </cell>
          <cell r="N1657">
            <v>0</v>
          </cell>
          <cell r="O1657">
            <v>0</v>
          </cell>
        </row>
        <row r="1658">
          <cell r="A1658" t="str">
            <v>GECISELTO (NET)</v>
          </cell>
          <cell r="B1658">
            <v>0</v>
          </cell>
          <cell r="C1658">
            <v>0</v>
          </cell>
          <cell r="D1658">
            <v>0</v>
          </cell>
          <cell r="E1658">
            <v>0</v>
          </cell>
          <cell r="F1658">
            <v>0</v>
          </cell>
          <cell r="G1658">
            <v>0</v>
          </cell>
          <cell r="H1658">
            <v>0</v>
          </cell>
          <cell r="I1658">
            <v>0</v>
          </cell>
          <cell r="J1658">
            <v>0</v>
          </cell>
          <cell r="K1658">
            <v>0</v>
          </cell>
          <cell r="L1658">
            <v>0</v>
          </cell>
          <cell r="M1658">
            <v>0</v>
          </cell>
          <cell r="N1658">
            <v>0</v>
          </cell>
          <cell r="O1658">
            <v>0</v>
          </cell>
        </row>
        <row r="1659">
          <cell r="A1659" t="str">
            <v>GECISGOODWILL</v>
          </cell>
          <cell r="B1659">
            <v>0</v>
          </cell>
          <cell r="C1659">
            <v>0</v>
          </cell>
          <cell r="D1659">
            <v>0</v>
          </cell>
          <cell r="E1659">
            <v>0</v>
          </cell>
          <cell r="F1659">
            <v>0</v>
          </cell>
          <cell r="G1659">
            <v>0</v>
          </cell>
          <cell r="H1659">
            <v>0</v>
          </cell>
          <cell r="I1659">
            <v>0</v>
          </cell>
          <cell r="J1659">
            <v>0</v>
          </cell>
          <cell r="K1659">
            <v>0</v>
          </cell>
          <cell r="L1659">
            <v>0</v>
          </cell>
          <cell r="M1659">
            <v>0</v>
          </cell>
          <cell r="N1659">
            <v>0</v>
          </cell>
          <cell r="O1659">
            <v>0</v>
          </cell>
        </row>
        <row r="1660">
          <cell r="A1660" t="str">
            <v>GECISOTHER ASSETS</v>
          </cell>
          <cell r="B1660">
            <v>0</v>
          </cell>
          <cell r="C1660">
            <v>0</v>
          </cell>
          <cell r="D1660">
            <v>0</v>
          </cell>
          <cell r="E1660">
            <v>0</v>
          </cell>
          <cell r="F1660">
            <v>0</v>
          </cell>
          <cell r="G1660">
            <v>0</v>
          </cell>
          <cell r="H1660">
            <v>0</v>
          </cell>
          <cell r="I1660">
            <v>0</v>
          </cell>
          <cell r="J1660">
            <v>0</v>
          </cell>
          <cell r="K1660">
            <v>0</v>
          </cell>
          <cell r="L1660">
            <v>0</v>
          </cell>
          <cell r="M1660">
            <v>0</v>
          </cell>
          <cell r="N1660">
            <v>0</v>
          </cell>
          <cell r="O1660">
            <v>0</v>
          </cell>
        </row>
        <row r="1661">
          <cell r="A1661" t="str">
            <v>GECISACCOUNTS PAYABLE</v>
          </cell>
          <cell r="B1661">
            <v>0</v>
          </cell>
          <cell r="C1661">
            <v>0</v>
          </cell>
          <cell r="D1661">
            <v>377150</v>
          </cell>
          <cell r="E1661">
            <v>0</v>
          </cell>
          <cell r="F1661">
            <v>0</v>
          </cell>
          <cell r="G1661">
            <v>0</v>
          </cell>
          <cell r="H1661">
            <v>0</v>
          </cell>
          <cell r="I1661">
            <v>0</v>
          </cell>
          <cell r="J1661">
            <v>0</v>
          </cell>
          <cell r="K1661">
            <v>0</v>
          </cell>
          <cell r="L1661">
            <v>0</v>
          </cell>
          <cell r="M1661">
            <v>0</v>
          </cell>
          <cell r="N1661">
            <v>0</v>
          </cell>
          <cell r="O1661">
            <v>0</v>
          </cell>
        </row>
        <row r="1662">
          <cell r="A1662" t="str">
            <v>GECISDEFERRED INCOME TAXES</v>
          </cell>
          <cell r="B1662">
            <v>0</v>
          </cell>
          <cell r="C1662">
            <v>0</v>
          </cell>
          <cell r="D1662">
            <v>0</v>
          </cell>
          <cell r="E1662">
            <v>0</v>
          </cell>
          <cell r="F1662">
            <v>0</v>
          </cell>
          <cell r="G1662">
            <v>0</v>
          </cell>
          <cell r="H1662">
            <v>0</v>
          </cell>
          <cell r="I1662">
            <v>0</v>
          </cell>
          <cell r="J1662">
            <v>0</v>
          </cell>
          <cell r="K1662">
            <v>0</v>
          </cell>
          <cell r="L1662">
            <v>0</v>
          </cell>
          <cell r="M1662">
            <v>0</v>
          </cell>
          <cell r="N1662">
            <v>0</v>
          </cell>
          <cell r="O1662">
            <v>0</v>
          </cell>
        </row>
        <row r="1663">
          <cell r="A1663" t="str">
            <v>GECISWRITE-OFF (MEMO)</v>
          </cell>
          <cell r="B1663">
            <v>0</v>
          </cell>
          <cell r="C1663">
            <v>0</v>
          </cell>
          <cell r="D1663">
            <v>0</v>
          </cell>
          <cell r="E1663">
            <v>0</v>
          </cell>
          <cell r="F1663">
            <v>0</v>
          </cell>
          <cell r="G1663">
            <v>0</v>
          </cell>
          <cell r="H1663">
            <v>0</v>
          </cell>
          <cell r="I1663">
            <v>0</v>
          </cell>
          <cell r="J1663">
            <v>0</v>
          </cell>
          <cell r="K1663">
            <v>0</v>
          </cell>
          <cell r="L1663">
            <v>0</v>
          </cell>
          <cell r="M1663">
            <v>0</v>
          </cell>
          <cell r="N1663">
            <v>0</v>
          </cell>
          <cell r="O1663">
            <v>0</v>
          </cell>
        </row>
        <row r="1664">
          <cell r="A1664" t="str">
            <v>GECISINSURANCE RESERVES AND ANNUITY BENEFITS</v>
          </cell>
          <cell r="B1664">
            <v>0</v>
          </cell>
          <cell r="C1664">
            <v>0</v>
          </cell>
          <cell r="D1664">
            <v>0</v>
          </cell>
          <cell r="E1664">
            <v>0</v>
          </cell>
          <cell r="F1664">
            <v>0</v>
          </cell>
          <cell r="G1664">
            <v>0</v>
          </cell>
          <cell r="H1664">
            <v>0</v>
          </cell>
          <cell r="I1664">
            <v>0</v>
          </cell>
          <cell r="J1664">
            <v>0</v>
          </cell>
          <cell r="K1664">
            <v>0</v>
          </cell>
          <cell r="L1664">
            <v>0</v>
          </cell>
          <cell r="M1664">
            <v>0</v>
          </cell>
          <cell r="N1664">
            <v>0</v>
          </cell>
          <cell r="O1664">
            <v>0</v>
          </cell>
        </row>
        <row r="1665">
          <cell r="A1665" t="str">
            <v>GECISALL OTHER NON DEBT LIABILITIES</v>
          </cell>
          <cell r="B1665">
            <v>0</v>
          </cell>
          <cell r="C1665">
            <v>0</v>
          </cell>
          <cell r="D1665">
            <v>0</v>
          </cell>
          <cell r="E1665">
            <v>0</v>
          </cell>
          <cell r="F1665">
            <v>0</v>
          </cell>
          <cell r="G1665">
            <v>0</v>
          </cell>
          <cell r="H1665">
            <v>0</v>
          </cell>
          <cell r="I1665">
            <v>0</v>
          </cell>
          <cell r="J1665">
            <v>0</v>
          </cell>
          <cell r="K1665">
            <v>0</v>
          </cell>
          <cell r="L1665">
            <v>0</v>
          </cell>
          <cell r="M1665">
            <v>0</v>
          </cell>
          <cell r="N1665">
            <v>0</v>
          </cell>
          <cell r="O1665">
            <v>0</v>
          </cell>
        </row>
        <row r="1666">
          <cell r="A1666" t="str">
            <v>GECISMINORITY INTEREST (BS)</v>
          </cell>
          <cell r="B1666">
            <v>0</v>
          </cell>
          <cell r="C1666">
            <v>0</v>
          </cell>
          <cell r="D1666">
            <v>0</v>
          </cell>
          <cell r="E1666">
            <v>0</v>
          </cell>
          <cell r="F1666">
            <v>0</v>
          </cell>
          <cell r="G1666">
            <v>0</v>
          </cell>
          <cell r="H1666">
            <v>0</v>
          </cell>
          <cell r="I1666">
            <v>0</v>
          </cell>
          <cell r="J1666">
            <v>0</v>
          </cell>
          <cell r="K1666">
            <v>0</v>
          </cell>
          <cell r="L1666">
            <v>0</v>
          </cell>
          <cell r="M1666">
            <v>0</v>
          </cell>
          <cell r="N1666">
            <v>0</v>
          </cell>
          <cell r="O1666">
            <v>0</v>
          </cell>
        </row>
        <row r="1667">
          <cell r="A1667" t="str">
            <v>GECISASIA PACIFIC ENI DIVIDEND</v>
          </cell>
          <cell r="B1667">
            <v>0</v>
          </cell>
          <cell r="C1667">
            <v>0</v>
          </cell>
          <cell r="D1667">
            <v>0</v>
          </cell>
          <cell r="E1667">
            <v>0</v>
          </cell>
          <cell r="F1667">
            <v>0</v>
          </cell>
          <cell r="G1667">
            <v>0</v>
          </cell>
          <cell r="H1667">
            <v>0</v>
          </cell>
          <cell r="I1667">
            <v>0</v>
          </cell>
          <cell r="J1667">
            <v>0</v>
          </cell>
          <cell r="K1667">
            <v>0</v>
          </cell>
          <cell r="L1667">
            <v>0</v>
          </cell>
          <cell r="M1667">
            <v>0</v>
          </cell>
          <cell r="N1667">
            <v>0</v>
          </cell>
          <cell r="O1667">
            <v>0</v>
          </cell>
        </row>
        <row r="1668">
          <cell r="A1668" t="str">
            <v>GECISFINANCING INCOME</v>
          </cell>
          <cell r="B1668">
            <v>0</v>
          </cell>
          <cell r="C1668">
            <v>0</v>
          </cell>
          <cell r="D1668">
            <v>0</v>
          </cell>
          <cell r="E1668">
            <v>0</v>
          </cell>
          <cell r="F1668">
            <v>0</v>
          </cell>
          <cell r="G1668">
            <v>0</v>
          </cell>
          <cell r="H1668">
            <v>0</v>
          </cell>
          <cell r="I1668">
            <v>0</v>
          </cell>
          <cell r="J1668">
            <v>0</v>
          </cell>
          <cell r="K1668">
            <v>0</v>
          </cell>
          <cell r="L1668">
            <v>0</v>
          </cell>
          <cell r="M1668">
            <v>0</v>
          </cell>
          <cell r="N1668">
            <v>0</v>
          </cell>
          <cell r="O1668">
            <v>0</v>
          </cell>
        </row>
        <row r="1669">
          <cell r="A1669" t="str">
            <v>GECISINSURANCE PREMIUM INCOME</v>
          </cell>
          <cell r="B1669">
            <v>0</v>
          </cell>
          <cell r="C1669">
            <v>0</v>
          </cell>
          <cell r="D1669">
            <v>0</v>
          </cell>
          <cell r="E1669">
            <v>0</v>
          </cell>
          <cell r="F1669">
            <v>0</v>
          </cell>
          <cell r="G1669">
            <v>0</v>
          </cell>
          <cell r="H1669">
            <v>0</v>
          </cell>
          <cell r="I1669">
            <v>0</v>
          </cell>
          <cell r="J1669">
            <v>0</v>
          </cell>
          <cell r="K1669">
            <v>0</v>
          </cell>
          <cell r="L1669">
            <v>0</v>
          </cell>
          <cell r="M1669">
            <v>0</v>
          </cell>
          <cell r="N1669">
            <v>0</v>
          </cell>
          <cell r="O1669">
            <v>0</v>
          </cell>
        </row>
        <row r="1670">
          <cell r="A1670" t="str">
            <v>GECISINSURANCE INCOME (COMMISSIONS)</v>
          </cell>
          <cell r="B1670">
            <v>0</v>
          </cell>
          <cell r="C1670">
            <v>0</v>
          </cell>
          <cell r="D1670">
            <v>0</v>
          </cell>
          <cell r="E1670">
            <v>0</v>
          </cell>
          <cell r="F1670">
            <v>0</v>
          </cell>
          <cell r="G1670">
            <v>0</v>
          </cell>
          <cell r="H1670">
            <v>0</v>
          </cell>
          <cell r="I1670">
            <v>0</v>
          </cell>
          <cell r="J1670">
            <v>0</v>
          </cell>
          <cell r="K1670">
            <v>0</v>
          </cell>
          <cell r="L1670">
            <v>0</v>
          </cell>
          <cell r="M1670">
            <v>0</v>
          </cell>
          <cell r="N1670">
            <v>0</v>
          </cell>
          <cell r="O1670">
            <v>0</v>
          </cell>
        </row>
        <row r="1671">
          <cell r="A1671" t="str">
            <v>GECISSUNDRY INCOME</v>
          </cell>
          <cell r="B1671">
            <v>0</v>
          </cell>
          <cell r="C1671">
            <v>0</v>
          </cell>
          <cell r="D1671">
            <v>0</v>
          </cell>
          <cell r="E1671">
            <v>0</v>
          </cell>
          <cell r="F1671">
            <v>0</v>
          </cell>
          <cell r="G1671">
            <v>0</v>
          </cell>
          <cell r="H1671">
            <v>0</v>
          </cell>
          <cell r="I1671">
            <v>0</v>
          </cell>
          <cell r="J1671">
            <v>0</v>
          </cell>
          <cell r="K1671">
            <v>0</v>
          </cell>
          <cell r="L1671">
            <v>0</v>
          </cell>
          <cell r="M1671">
            <v>0</v>
          </cell>
          <cell r="N1671">
            <v>0</v>
          </cell>
          <cell r="O1671">
            <v>0</v>
          </cell>
        </row>
        <row r="1672">
          <cell r="A1672" t="str">
            <v>GECISINTEREST EXPENSE</v>
          </cell>
          <cell r="B1672">
            <v>0</v>
          </cell>
          <cell r="C1672">
            <v>0</v>
          </cell>
          <cell r="D1672">
            <v>0</v>
          </cell>
          <cell r="E1672">
            <v>0</v>
          </cell>
          <cell r="F1672">
            <v>0</v>
          </cell>
          <cell r="G1672">
            <v>0</v>
          </cell>
          <cell r="H1672">
            <v>0</v>
          </cell>
          <cell r="I1672">
            <v>0</v>
          </cell>
          <cell r="J1672">
            <v>0</v>
          </cell>
          <cell r="K1672">
            <v>0</v>
          </cell>
          <cell r="L1672">
            <v>0</v>
          </cell>
          <cell r="M1672">
            <v>0</v>
          </cell>
          <cell r="N1672">
            <v>0</v>
          </cell>
          <cell r="O1672">
            <v>0</v>
          </cell>
        </row>
        <row r="1673">
          <cell r="A1673" t="str">
            <v>GECISINTEREST EXPENSE REDUCTIONS / BUS SHARING</v>
          </cell>
          <cell r="B1673">
            <v>0</v>
          </cell>
          <cell r="C1673">
            <v>0</v>
          </cell>
          <cell r="D1673">
            <v>0</v>
          </cell>
          <cell r="E1673">
            <v>0</v>
          </cell>
          <cell r="F1673">
            <v>0</v>
          </cell>
          <cell r="G1673">
            <v>0</v>
          </cell>
          <cell r="H1673">
            <v>0</v>
          </cell>
          <cell r="I1673">
            <v>0</v>
          </cell>
          <cell r="J1673">
            <v>0</v>
          </cell>
          <cell r="K1673">
            <v>0</v>
          </cell>
          <cell r="L1673">
            <v>0</v>
          </cell>
          <cell r="M1673">
            <v>0</v>
          </cell>
          <cell r="N1673">
            <v>0</v>
          </cell>
          <cell r="O1673">
            <v>0</v>
          </cell>
        </row>
        <row r="1674">
          <cell r="A1674" t="str">
            <v>GECISALLOCATED COST OF PREFERRED EQUITY</v>
          </cell>
          <cell r="B1674">
            <v>0</v>
          </cell>
          <cell r="C1674">
            <v>0</v>
          </cell>
          <cell r="D1674">
            <v>0</v>
          </cell>
          <cell r="E1674">
            <v>0</v>
          </cell>
          <cell r="F1674">
            <v>0</v>
          </cell>
          <cell r="G1674">
            <v>0</v>
          </cell>
          <cell r="H1674">
            <v>0</v>
          </cell>
          <cell r="I1674">
            <v>0</v>
          </cell>
          <cell r="J1674">
            <v>0</v>
          </cell>
          <cell r="K1674">
            <v>0</v>
          </cell>
          <cell r="L1674">
            <v>0</v>
          </cell>
          <cell r="M1674">
            <v>0</v>
          </cell>
          <cell r="N1674">
            <v>0</v>
          </cell>
          <cell r="O1674">
            <v>0</v>
          </cell>
        </row>
        <row r="1675">
          <cell r="A1675" t="str">
            <v>GECISSALARIES &amp; BENEFITS</v>
          </cell>
          <cell r="B1675">
            <v>0</v>
          </cell>
          <cell r="C1675">
            <v>0</v>
          </cell>
          <cell r="D1675">
            <v>0</v>
          </cell>
          <cell r="E1675">
            <v>0</v>
          </cell>
          <cell r="F1675">
            <v>0</v>
          </cell>
          <cell r="G1675">
            <v>0</v>
          </cell>
          <cell r="H1675">
            <v>0</v>
          </cell>
          <cell r="I1675">
            <v>0</v>
          </cell>
          <cell r="J1675">
            <v>0</v>
          </cell>
          <cell r="K1675">
            <v>0</v>
          </cell>
          <cell r="L1675">
            <v>0</v>
          </cell>
          <cell r="M1675">
            <v>0</v>
          </cell>
          <cell r="N1675">
            <v>0</v>
          </cell>
          <cell r="O1675">
            <v>0</v>
          </cell>
        </row>
        <row r="1676">
          <cell r="A1676" t="str">
            <v>GECISLOSSES ON OTHER ASSETS</v>
          </cell>
          <cell r="B1676">
            <v>0</v>
          </cell>
          <cell r="C1676">
            <v>0</v>
          </cell>
          <cell r="D1676">
            <v>0</v>
          </cell>
          <cell r="E1676">
            <v>0</v>
          </cell>
          <cell r="F1676">
            <v>0</v>
          </cell>
          <cell r="G1676">
            <v>0</v>
          </cell>
          <cell r="H1676">
            <v>0</v>
          </cell>
          <cell r="I1676">
            <v>0</v>
          </cell>
          <cell r="J1676">
            <v>0</v>
          </cell>
          <cell r="K1676">
            <v>0</v>
          </cell>
          <cell r="L1676">
            <v>0</v>
          </cell>
          <cell r="M1676">
            <v>0</v>
          </cell>
          <cell r="N1676">
            <v>0</v>
          </cell>
          <cell r="O1676">
            <v>0</v>
          </cell>
        </row>
        <row r="1677">
          <cell r="A1677" t="str">
            <v>GECISCOST OF GOODS SOLD</v>
          </cell>
          <cell r="B1677">
            <v>0</v>
          </cell>
          <cell r="C1677">
            <v>0</v>
          </cell>
          <cell r="D1677">
            <v>0</v>
          </cell>
          <cell r="E1677">
            <v>0</v>
          </cell>
          <cell r="F1677">
            <v>0</v>
          </cell>
          <cell r="G1677">
            <v>0</v>
          </cell>
          <cell r="H1677">
            <v>0</v>
          </cell>
          <cell r="I1677">
            <v>0</v>
          </cell>
          <cell r="J1677">
            <v>0</v>
          </cell>
          <cell r="K1677">
            <v>0</v>
          </cell>
          <cell r="L1677">
            <v>0</v>
          </cell>
          <cell r="M1677">
            <v>0</v>
          </cell>
          <cell r="N1677">
            <v>0</v>
          </cell>
          <cell r="O1677">
            <v>0</v>
          </cell>
        </row>
        <row r="1678">
          <cell r="A1678" t="str">
            <v>GECISCOST OF GOODS SOLD - DISTRIBUTION</v>
          </cell>
          <cell r="B1678">
            <v>0</v>
          </cell>
          <cell r="C1678">
            <v>0</v>
          </cell>
          <cell r="D1678">
            <v>0</v>
          </cell>
          <cell r="E1678">
            <v>0</v>
          </cell>
          <cell r="F1678">
            <v>0</v>
          </cell>
          <cell r="G1678">
            <v>0</v>
          </cell>
          <cell r="H1678">
            <v>0</v>
          </cell>
          <cell r="I1678">
            <v>0</v>
          </cell>
          <cell r="J1678">
            <v>0</v>
          </cell>
          <cell r="K1678">
            <v>0</v>
          </cell>
          <cell r="L1678">
            <v>0</v>
          </cell>
          <cell r="M1678">
            <v>0</v>
          </cell>
          <cell r="N1678">
            <v>0</v>
          </cell>
          <cell r="O1678">
            <v>0</v>
          </cell>
        </row>
        <row r="1679">
          <cell r="A1679" t="str">
            <v>GECISPOSTAGE</v>
          </cell>
          <cell r="B1679">
            <v>0</v>
          </cell>
          <cell r="C1679">
            <v>0</v>
          </cell>
          <cell r="D1679">
            <v>0</v>
          </cell>
          <cell r="E1679">
            <v>0</v>
          </cell>
          <cell r="F1679">
            <v>0</v>
          </cell>
          <cell r="G1679">
            <v>0</v>
          </cell>
          <cell r="H1679">
            <v>0</v>
          </cell>
          <cell r="I1679">
            <v>0</v>
          </cell>
          <cell r="J1679">
            <v>0</v>
          </cell>
          <cell r="K1679">
            <v>0</v>
          </cell>
          <cell r="L1679">
            <v>0</v>
          </cell>
          <cell r="M1679">
            <v>0</v>
          </cell>
          <cell r="N1679">
            <v>0</v>
          </cell>
          <cell r="O1679">
            <v>0</v>
          </cell>
        </row>
        <row r="1680">
          <cell r="A1680" t="str">
            <v>GECISTELEPHONE</v>
          </cell>
          <cell r="B1680">
            <v>0</v>
          </cell>
          <cell r="C1680">
            <v>0</v>
          </cell>
          <cell r="D1680">
            <v>0</v>
          </cell>
          <cell r="E1680">
            <v>0</v>
          </cell>
          <cell r="F1680">
            <v>0</v>
          </cell>
          <cell r="G1680">
            <v>0</v>
          </cell>
          <cell r="H1680">
            <v>0</v>
          </cell>
          <cell r="I1680">
            <v>0</v>
          </cell>
          <cell r="J1680">
            <v>0</v>
          </cell>
          <cell r="K1680">
            <v>0</v>
          </cell>
          <cell r="L1680">
            <v>0</v>
          </cell>
          <cell r="M1680">
            <v>0</v>
          </cell>
          <cell r="N1680">
            <v>0</v>
          </cell>
          <cell r="O1680">
            <v>0</v>
          </cell>
        </row>
        <row r="1681">
          <cell r="A1681" t="str">
            <v>GECISCUSTOMER SERVICE / COLLECTIONS</v>
          </cell>
          <cell r="B1681">
            <v>0</v>
          </cell>
          <cell r="C1681">
            <v>0</v>
          </cell>
          <cell r="D1681">
            <v>0</v>
          </cell>
          <cell r="E1681">
            <v>0</v>
          </cell>
          <cell r="F1681">
            <v>0</v>
          </cell>
          <cell r="G1681">
            <v>0</v>
          </cell>
          <cell r="H1681">
            <v>0</v>
          </cell>
          <cell r="I1681">
            <v>0</v>
          </cell>
          <cell r="J1681">
            <v>0</v>
          </cell>
          <cell r="K1681">
            <v>0</v>
          </cell>
          <cell r="L1681">
            <v>0</v>
          </cell>
          <cell r="M1681">
            <v>0</v>
          </cell>
          <cell r="N1681">
            <v>0</v>
          </cell>
          <cell r="O1681">
            <v>0</v>
          </cell>
        </row>
        <row r="1682">
          <cell r="A1682" t="str">
            <v>GECISSTATIONARY - OFFICE SUPPLIES</v>
          </cell>
          <cell r="B1682">
            <v>0</v>
          </cell>
          <cell r="C1682">
            <v>0</v>
          </cell>
          <cell r="D1682">
            <v>0</v>
          </cell>
          <cell r="E1682">
            <v>0</v>
          </cell>
          <cell r="F1682">
            <v>0</v>
          </cell>
          <cell r="G1682">
            <v>0</v>
          </cell>
          <cell r="H1682">
            <v>0</v>
          </cell>
          <cell r="I1682">
            <v>0</v>
          </cell>
          <cell r="J1682">
            <v>0</v>
          </cell>
          <cell r="K1682">
            <v>0</v>
          </cell>
          <cell r="L1682">
            <v>0</v>
          </cell>
          <cell r="M1682">
            <v>0</v>
          </cell>
          <cell r="N1682">
            <v>0</v>
          </cell>
          <cell r="O1682">
            <v>0</v>
          </cell>
        </row>
        <row r="1683">
          <cell r="A1683" t="str">
            <v>GECIST&amp;L</v>
          </cell>
          <cell r="B1683">
            <v>0</v>
          </cell>
          <cell r="C1683">
            <v>0</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GECISRENTAL - BLDG/FACILITIES</v>
          </cell>
          <cell r="B1684">
            <v>0</v>
          </cell>
          <cell r="C1684">
            <v>0</v>
          </cell>
          <cell r="D1684">
            <v>0</v>
          </cell>
          <cell r="E1684">
            <v>0</v>
          </cell>
          <cell r="F1684">
            <v>0</v>
          </cell>
          <cell r="G1684">
            <v>0</v>
          </cell>
          <cell r="H1684">
            <v>0</v>
          </cell>
          <cell r="I1684">
            <v>0</v>
          </cell>
          <cell r="J1684">
            <v>0</v>
          </cell>
          <cell r="K1684">
            <v>0</v>
          </cell>
          <cell r="L1684">
            <v>0</v>
          </cell>
          <cell r="M1684">
            <v>0</v>
          </cell>
          <cell r="N1684">
            <v>0</v>
          </cell>
          <cell r="O1684">
            <v>0</v>
          </cell>
        </row>
        <row r="1685">
          <cell r="A1685" t="str">
            <v>GECISRENTAL - FURNITURE/EQUIP</v>
          </cell>
          <cell r="B1685">
            <v>0</v>
          </cell>
          <cell r="C1685">
            <v>0</v>
          </cell>
          <cell r="D1685">
            <v>0</v>
          </cell>
          <cell r="E1685">
            <v>0</v>
          </cell>
          <cell r="F1685">
            <v>0</v>
          </cell>
          <cell r="G1685">
            <v>0</v>
          </cell>
          <cell r="H1685">
            <v>0</v>
          </cell>
          <cell r="I1685">
            <v>0</v>
          </cell>
          <cell r="J1685">
            <v>0</v>
          </cell>
          <cell r="K1685">
            <v>0</v>
          </cell>
          <cell r="L1685">
            <v>0</v>
          </cell>
          <cell r="M1685">
            <v>0</v>
          </cell>
          <cell r="N1685">
            <v>0</v>
          </cell>
          <cell r="O1685">
            <v>0</v>
          </cell>
        </row>
        <row r="1686">
          <cell r="A1686" t="str">
            <v>GECISRENTAL - COMPUTERS</v>
          </cell>
          <cell r="B1686">
            <v>0</v>
          </cell>
          <cell r="C1686">
            <v>0</v>
          </cell>
          <cell r="D1686">
            <v>0</v>
          </cell>
          <cell r="E1686">
            <v>0</v>
          </cell>
          <cell r="F1686">
            <v>0</v>
          </cell>
          <cell r="G1686">
            <v>0</v>
          </cell>
          <cell r="H1686">
            <v>0</v>
          </cell>
          <cell r="I1686">
            <v>0</v>
          </cell>
          <cell r="J1686">
            <v>0</v>
          </cell>
          <cell r="K1686">
            <v>0</v>
          </cell>
          <cell r="L1686">
            <v>0</v>
          </cell>
          <cell r="M1686">
            <v>0</v>
          </cell>
          <cell r="N1686">
            <v>0</v>
          </cell>
          <cell r="O1686">
            <v>0</v>
          </cell>
        </row>
        <row r="1687">
          <cell r="A1687" t="str">
            <v>GECISLEASE IN - LEASE OUT</v>
          </cell>
          <cell r="B1687">
            <v>0</v>
          </cell>
          <cell r="C1687">
            <v>0</v>
          </cell>
          <cell r="D1687">
            <v>0</v>
          </cell>
          <cell r="E1687">
            <v>0</v>
          </cell>
          <cell r="F1687">
            <v>0</v>
          </cell>
          <cell r="G1687">
            <v>0</v>
          </cell>
          <cell r="H1687">
            <v>0</v>
          </cell>
          <cell r="I1687">
            <v>0</v>
          </cell>
          <cell r="J1687">
            <v>0</v>
          </cell>
          <cell r="K1687">
            <v>0</v>
          </cell>
          <cell r="L1687">
            <v>0</v>
          </cell>
          <cell r="M1687">
            <v>0</v>
          </cell>
          <cell r="N1687">
            <v>0</v>
          </cell>
          <cell r="O1687">
            <v>0</v>
          </cell>
        </row>
        <row r="1688">
          <cell r="A1688" t="str">
            <v>GECISFURNITURE / EQUIPMENT / COMPUTER EXP</v>
          </cell>
          <cell r="B1688">
            <v>0</v>
          </cell>
          <cell r="C1688">
            <v>0</v>
          </cell>
          <cell r="D1688">
            <v>0</v>
          </cell>
          <cell r="E1688">
            <v>0</v>
          </cell>
          <cell r="F1688">
            <v>0</v>
          </cell>
          <cell r="G1688">
            <v>0</v>
          </cell>
          <cell r="H1688">
            <v>0</v>
          </cell>
          <cell r="I1688">
            <v>0</v>
          </cell>
          <cell r="J1688">
            <v>0</v>
          </cell>
          <cell r="K1688">
            <v>0</v>
          </cell>
          <cell r="L1688">
            <v>0</v>
          </cell>
          <cell r="M1688">
            <v>0</v>
          </cell>
          <cell r="N1688">
            <v>0</v>
          </cell>
          <cell r="O1688">
            <v>0</v>
          </cell>
        </row>
        <row r="1689">
          <cell r="A1689" t="str">
            <v>GECISSOFTWARE EXPENSE</v>
          </cell>
          <cell r="B1689">
            <v>0</v>
          </cell>
          <cell r="C1689">
            <v>0</v>
          </cell>
          <cell r="D1689">
            <v>0</v>
          </cell>
          <cell r="E1689">
            <v>0</v>
          </cell>
          <cell r="F1689">
            <v>0</v>
          </cell>
          <cell r="G1689">
            <v>0</v>
          </cell>
          <cell r="H1689">
            <v>0</v>
          </cell>
          <cell r="I1689">
            <v>0</v>
          </cell>
          <cell r="J1689">
            <v>0</v>
          </cell>
          <cell r="K1689">
            <v>0</v>
          </cell>
          <cell r="L1689">
            <v>0</v>
          </cell>
          <cell r="M1689">
            <v>0</v>
          </cell>
          <cell r="N1689">
            <v>0</v>
          </cell>
          <cell r="O1689">
            <v>0</v>
          </cell>
        </row>
        <row r="1690">
          <cell r="A1690" t="str">
            <v>GECISAMORTIZATION OF INTANGIBLES</v>
          </cell>
          <cell r="B1690">
            <v>0</v>
          </cell>
          <cell r="C1690">
            <v>0</v>
          </cell>
          <cell r="D1690">
            <v>0</v>
          </cell>
          <cell r="E1690">
            <v>0</v>
          </cell>
          <cell r="F1690">
            <v>0</v>
          </cell>
          <cell r="G1690">
            <v>0</v>
          </cell>
          <cell r="H1690">
            <v>0</v>
          </cell>
          <cell r="I1690">
            <v>0</v>
          </cell>
          <cell r="J1690">
            <v>0</v>
          </cell>
          <cell r="K1690">
            <v>0</v>
          </cell>
          <cell r="L1690">
            <v>0</v>
          </cell>
          <cell r="M1690">
            <v>0</v>
          </cell>
          <cell r="N1690">
            <v>0</v>
          </cell>
          <cell r="O1690">
            <v>0</v>
          </cell>
        </row>
        <row r="1691">
          <cell r="A1691" t="str">
            <v>GECISELTO MAINTENANCE</v>
          </cell>
          <cell r="B1691">
            <v>0</v>
          </cell>
          <cell r="C1691">
            <v>0</v>
          </cell>
          <cell r="D1691">
            <v>0</v>
          </cell>
          <cell r="E1691">
            <v>0</v>
          </cell>
          <cell r="F1691">
            <v>0</v>
          </cell>
          <cell r="G1691">
            <v>0</v>
          </cell>
          <cell r="H1691">
            <v>0</v>
          </cell>
          <cell r="I1691">
            <v>0</v>
          </cell>
          <cell r="J1691">
            <v>0</v>
          </cell>
          <cell r="K1691">
            <v>0</v>
          </cell>
          <cell r="L1691">
            <v>0</v>
          </cell>
          <cell r="M1691">
            <v>0</v>
          </cell>
          <cell r="N1691">
            <v>0</v>
          </cell>
          <cell r="O1691">
            <v>0</v>
          </cell>
        </row>
        <row r="1692">
          <cell r="A1692" t="str">
            <v>GECISELTO OTHER</v>
          </cell>
          <cell r="B1692">
            <v>0</v>
          </cell>
          <cell r="C1692">
            <v>0</v>
          </cell>
          <cell r="D1692">
            <v>0</v>
          </cell>
          <cell r="E1692">
            <v>0</v>
          </cell>
          <cell r="F1692">
            <v>0</v>
          </cell>
          <cell r="G1692">
            <v>0</v>
          </cell>
          <cell r="H1692">
            <v>0</v>
          </cell>
          <cell r="I1692">
            <v>0</v>
          </cell>
          <cell r="J1692">
            <v>0</v>
          </cell>
          <cell r="K1692">
            <v>0</v>
          </cell>
          <cell r="L1692">
            <v>0</v>
          </cell>
          <cell r="M1692">
            <v>0</v>
          </cell>
          <cell r="N1692">
            <v>0</v>
          </cell>
          <cell r="O1692">
            <v>0</v>
          </cell>
        </row>
        <row r="1693">
          <cell r="A1693" t="str">
            <v>GECISLEGAL</v>
          </cell>
          <cell r="B1693">
            <v>0</v>
          </cell>
          <cell r="C1693">
            <v>0</v>
          </cell>
          <cell r="D1693">
            <v>0</v>
          </cell>
          <cell r="E1693">
            <v>0</v>
          </cell>
          <cell r="F1693">
            <v>0</v>
          </cell>
          <cell r="G1693">
            <v>0</v>
          </cell>
          <cell r="H1693">
            <v>0</v>
          </cell>
          <cell r="I1693">
            <v>0</v>
          </cell>
          <cell r="J1693">
            <v>0</v>
          </cell>
          <cell r="K1693">
            <v>0</v>
          </cell>
          <cell r="L1693">
            <v>0</v>
          </cell>
          <cell r="M1693">
            <v>0</v>
          </cell>
          <cell r="N1693">
            <v>0</v>
          </cell>
          <cell r="O1693">
            <v>0</v>
          </cell>
        </row>
        <row r="1694">
          <cell r="A1694" t="str">
            <v>GECISADVERTISING</v>
          </cell>
          <cell r="B1694">
            <v>0</v>
          </cell>
          <cell r="C1694">
            <v>0</v>
          </cell>
          <cell r="D1694">
            <v>0</v>
          </cell>
          <cell r="E1694">
            <v>0</v>
          </cell>
          <cell r="F1694">
            <v>0</v>
          </cell>
          <cell r="G1694">
            <v>0</v>
          </cell>
          <cell r="H1694">
            <v>0</v>
          </cell>
          <cell r="I1694">
            <v>0</v>
          </cell>
          <cell r="J1694">
            <v>0</v>
          </cell>
          <cell r="K1694">
            <v>0</v>
          </cell>
          <cell r="L1694">
            <v>0</v>
          </cell>
          <cell r="M1694">
            <v>0</v>
          </cell>
          <cell r="N1694">
            <v>0</v>
          </cell>
          <cell r="O1694">
            <v>0</v>
          </cell>
        </row>
        <row r="1695">
          <cell r="A1695" t="str">
            <v>GECISSALES PROMOTIONS</v>
          </cell>
          <cell r="B1695">
            <v>0</v>
          </cell>
          <cell r="C1695">
            <v>0</v>
          </cell>
          <cell r="D1695">
            <v>0</v>
          </cell>
          <cell r="E1695">
            <v>0</v>
          </cell>
          <cell r="F1695">
            <v>0</v>
          </cell>
          <cell r="G1695">
            <v>0</v>
          </cell>
          <cell r="H1695">
            <v>0</v>
          </cell>
          <cell r="I1695">
            <v>0</v>
          </cell>
          <cell r="J1695">
            <v>0</v>
          </cell>
          <cell r="K1695">
            <v>0</v>
          </cell>
          <cell r="L1695">
            <v>0</v>
          </cell>
          <cell r="M1695">
            <v>0</v>
          </cell>
          <cell r="N1695">
            <v>0</v>
          </cell>
          <cell r="O1695">
            <v>0</v>
          </cell>
        </row>
        <row r="1696">
          <cell r="A1696" t="str">
            <v>GECISDIRECT MAIL</v>
          </cell>
          <cell r="B1696">
            <v>0</v>
          </cell>
          <cell r="C1696">
            <v>0</v>
          </cell>
          <cell r="D1696">
            <v>0</v>
          </cell>
          <cell r="E1696">
            <v>0</v>
          </cell>
          <cell r="F1696">
            <v>0</v>
          </cell>
          <cell r="G1696">
            <v>0</v>
          </cell>
          <cell r="H1696">
            <v>0</v>
          </cell>
          <cell r="I1696">
            <v>0</v>
          </cell>
          <cell r="J1696">
            <v>0</v>
          </cell>
          <cell r="K1696">
            <v>0</v>
          </cell>
          <cell r="L1696">
            <v>0</v>
          </cell>
          <cell r="M1696">
            <v>0</v>
          </cell>
          <cell r="N1696">
            <v>0</v>
          </cell>
          <cell r="O1696">
            <v>0</v>
          </cell>
        </row>
        <row r="1697">
          <cell r="A1697" t="str">
            <v>GECISDATA PROCESSING</v>
          </cell>
          <cell r="B1697">
            <v>0</v>
          </cell>
          <cell r="C1697">
            <v>0</v>
          </cell>
          <cell r="D1697">
            <v>0</v>
          </cell>
          <cell r="E1697">
            <v>0</v>
          </cell>
          <cell r="F1697">
            <v>0</v>
          </cell>
          <cell r="G1697">
            <v>0</v>
          </cell>
          <cell r="H1697">
            <v>0</v>
          </cell>
          <cell r="I1697">
            <v>0</v>
          </cell>
          <cell r="J1697">
            <v>0</v>
          </cell>
          <cell r="K1697">
            <v>0</v>
          </cell>
          <cell r="L1697">
            <v>0</v>
          </cell>
          <cell r="M1697">
            <v>0</v>
          </cell>
          <cell r="N1697">
            <v>0</v>
          </cell>
          <cell r="O1697">
            <v>0</v>
          </cell>
        </row>
        <row r="1698">
          <cell r="A1698" t="str">
            <v>GECISCONSULTING</v>
          </cell>
          <cell r="B1698">
            <v>0</v>
          </cell>
          <cell r="C1698">
            <v>0</v>
          </cell>
          <cell r="D1698">
            <v>0</v>
          </cell>
          <cell r="E1698">
            <v>0</v>
          </cell>
          <cell r="F1698">
            <v>0</v>
          </cell>
          <cell r="G1698">
            <v>0</v>
          </cell>
          <cell r="H1698">
            <v>0</v>
          </cell>
          <cell r="I1698">
            <v>0</v>
          </cell>
          <cell r="J1698">
            <v>0</v>
          </cell>
          <cell r="K1698">
            <v>0</v>
          </cell>
          <cell r="L1698">
            <v>0</v>
          </cell>
          <cell r="M1698">
            <v>0</v>
          </cell>
          <cell r="N1698">
            <v>0</v>
          </cell>
          <cell r="O1698">
            <v>0</v>
          </cell>
        </row>
        <row r="1699">
          <cell r="A1699" t="str">
            <v>GECISTEMP SERVICES</v>
          </cell>
          <cell r="B1699">
            <v>0</v>
          </cell>
          <cell r="C1699">
            <v>0</v>
          </cell>
          <cell r="D1699">
            <v>0</v>
          </cell>
          <cell r="E1699">
            <v>0</v>
          </cell>
          <cell r="F1699">
            <v>0</v>
          </cell>
          <cell r="G1699">
            <v>0</v>
          </cell>
          <cell r="H1699">
            <v>0</v>
          </cell>
          <cell r="I1699">
            <v>0</v>
          </cell>
          <cell r="J1699">
            <v>0</v>
          </cell>
          <cell r="K1699">
            <v>0</v>
          </cell>
          <cell r="L1699">
            <v>0</v>
          </cell>
          <cell r="M1699">
            <v>0</v>
          </cell>
          <cell r="N1699">
            <v>0</v>
          </cell>
          <cell r="O1699">
            <v>0</v>
          </cell>
        </row>
        <row r="1700">
          <cell r="A1700" t="str">
            <v>GECISGDC CHARGES</v>
          </cell>
          <cell r="B1700">
            <v>0</v>
          </cell>
          <cell r="C1700">
            <v>0</v>
          </cell>
          <cell r="D1700">
            <v>0</v>
          </cell>
          <cell r="E1700">
            <v>0</v>
          </cell>
          <cell r="F1700">
            <v>0</v>
          </cell>
          <cell r="G1700">
            <v>0</v>
          </cell>
          <cell r="H1700">
            <v>0</v>
          </cell>
          <cell r="I1700">
            <v>0</v>
          </cell>
          <cell r="J1700">
            <v>0</v>
          </cell>
          <cell r="K1700">
            <v>0</v>
          </cell>
          <cell r="L1700">
            <v>0</v>
          </cell>
          <cell r="M1700">
            <v>0</v>
          </cell>
          <cell r="N1700">
            <v>0</v>
          </cell>
          <cell r="O1700">
            <v>0</v>
          </cell>
        </row>
        <row r="1701">
          <cell r="A1701" t="str">
            <v>GECISTRAINING AND EDUCATION</v>
          </cell>
          <cell r="B1701">
            <v>0</v>
          </cell>
          <cell r="C1701">
            <v>0</v>
          </cell>
          <cell r="D1701">
            <v>0</v>
          </cell>
          <cell r="E1701">
            <v>0</v>
          </cell>
          <cell r="F1701">
            <v>0</v>
          </cell>
          <cell r="G1701">
            <v>0</v>
          </cell>
          <cell r="H1701">
            <v>0</v>
          </cell>
          <cell r="I1701">
            <v>0</v>
          </cell>
          <cell r="J1701">
            <v>0</v>
          </cell>
          <cell r="K1701">
            <v>0</v>
          </cell>
          <cell r="L1701">
            <v>0</v>
          </cell>
          <cell r="M1701">
            <v>0</v>
          </cell>
          <cell r="N1701">
            <v>0</v>
          </cell>
          <cell r="O1701">
            <v>0</v>
          </cell>
        </row>
        <row r="1702">
          <cell r="A1702" t="str">
            <v>GECISOUTSIDE SERVICES  AND FEES</v>
          </cell>
          <cell r="B1702">
            <v>0</v>
          </cell>
          <cell r="C1702">
            <v>0</v>
          </cell>
          <cell r="D1702">
            <v>0</v>
          </cell>
          <cell r="E1702">
            <v>0</v>
          </cell>
          <cell r="F1702">
            <v>0</v>
          </cell>
          <cell r="G1702">
            <v>0</v>
          </cell>
          <cell r="H1702">
            <v>0</v>
          </cell>
          <cell r="I1702">
            <v>0</v>
          </cell>
          <cell r="J1702">
            <v>0</v>
          </cell>
          <cell r="K1702">
            <v>0</v>
          </cell>
          <cell r="L1702">
            <v>0</v>
          </cell>
          <cell r="M1702">
            <v>0</v>
          </cell>
          <cell r="N1702">
            <v>0</v>
          </cell>
          <cell r="O1702">
            <v>0</v>
          </cell>
        </row>
        <row r="1703">
          <cell r="A1703" t="str">
            <v>GECISSTATE, FOREIGN, LOCAL TAXES</v>
          </cell>
          <cell r="B1703">
            <v>0</v>
          </cell>
          <cell r="C1703">
            <v>0</v>
          </cell>
          <cell r="D1703">
            <v>0</v>
          </cell>
          <cell r="E1703">
            <v>0</v>
          </cell>
          <cell r="F1703">
            <v>0</v>
          </cell>
          <cell r="G1703">
            <v>0</v>
          </cell>
          <cell r="H1703">
            <v>0</v>
          </cell>
          <cell r="I1703">
            <v>0</v>
          </cell>
          <cell r="J1703">
            <v>0</v>
          </cell>
          <cell r="K1703">
            <v>0</v>
          </cell>
          <cell r="L1703">
            <v>0</v>
          </cell>
          <cell r="M1703">
            <v>0</v>
          </cell>
          <cell r="N1703">
            <v>0</v>
          </cell>
          <cell r="O1703">
            <v>0</v>
          </cell>
        </row>
        <row r="1704">
          <cell r="A1704" t="str">
            <v>GECISS/L TAX - INSURANCE PREMIUMS</v>
          </cell>
          <cell r="B1704">
            <v>0</v>
          </cell>
          <cell r="C1704">
            <v>0</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GECISSATELLITE LEASE EXPENSE</v>
          </cell>
          <cell r="B1705">
            <v>0</v>
          </cell>
          <cell r="C1705">
            <v>0</v>
          </cell>
          <cell r="D1705">
            <v>0</v>
          </cell>
          <cell r="E1705">
            <v>0</v>
          </cell>
          <cell r="F1705">
            <v>0</v>
          </cell>
          <cell r="G1705">
            <v>0</v>
          </cell>
          <cell r="H1705">
            <v>0</v>
          </cell>
          <cell r="I1705">
            <v>0</v>
          </cell>
          <cell r="J1705">
            <v>0</v>
          </cell>
          <cell r="K1705">
            <v>0</v>
          </cell>
          <cell r="L1705">
            <v>0</v>
          </cell>
          <cell r="M1705">
            <v>0</v>
          </cell>
          <cell r="N1705">
            <v>0</v>
          </cell>
          <cell r="O1705">
            <v>0</v>
          </cell>
        </row>
        <row r="1706">
          <cell r="A1706" t="str">
            <v>GECISBUSINESS SHARE EXPENSE</v>
          </cell>
          <cell r="B1706">
            <v>0</v>
          </cell>
          <cell r="C1706">
            <v>0</v>
          </cell>
          <cell r="D1706">
            <v>0</v>
          </cell>
          <cell r="E1706">
            <v>0</v>
          </cell>
          <cell r="F1706">
            <v>0</v>
          </cell>
          <cell r="G1706">
            <v>0</v>
          </cell>
          <cell r="H1706">
            <v>0</v>
          </cell>
          <cell r="I1706">
            <v>0</v>
          </cell>
          <cell r="J1706">
            <v>0</v>
          </cell>
          <cell r="K1706">
            <v>0</v>
          </cell>
          <cell r="L1706">
            <v>0</v>
          </cell>
          <cell r="M1706">
            <v>0</v>
          </cell>
          <cell r="N1706">
            <v>0</v>
          </cell>
          <cell r="O1706">
            <v>0</v>
          </cell>
        </row>
        <row r="1707">
          <cell r="A1707" t="str">
            <v>GECISINSURANCE AFFILIATE EXPENSE</v>
          </cell>
          <cell r="B1707">
            <v>0</v>
          </cell>
          <cell r="C1707">
            <v>0</v>
          </cell>
          <cell r="D1707">
            <v>0</v>
          </cell>
          <cell r="E1707">
            <v>0</v>
          </cell>
          <cell r="F1707">
            <v>0</v>
          </cell>
          <cell r="G1707">
            <v>0</v>
          </cell>
          <cell r="H1707">
            <v>0</v>
          </cell>
          <cell r="I1707">
            <v>0</v>
          </cell>
          <cell r="J1707">
            <v>0</v>
          </cell>
          <cell r="K1707">
            <v>0</v>
          </cell>
          <cell r="L1707">
            <v>0</v>
          </cell>
          <cell r="M1707">
            <v>0</v>
          </cell>
          <cell r="N1707">
            <v>0</v>
          </cell>
          <cell r="O1707">
            <v>0</v>
          </cell>
        </row>
        <row r="1708">
          <cell r="A1708" t="str">
            <v>GECISOTHER FACILITY EXPENSE</v>
          </cell>
          <cell r="B1708">
            <v>0</v>
          </cell>
          <cell r="C1708">
            <v>0</v>
          </cell>
          <cell r="D1708">
            <v>0</v>
          </cell>
          <cell r="E1708">
            <v>0</v>
          </cell>
          <cell r="F1708">
            <v>0</v>
          </cell>
          <cell r="G1708">
            <v>0</v>
          </cell>
          <cell r="H1708">
            <v>0</v>
          </cell>
          <cell r="I1708">
            <v>0</v>
          </cell>
          <cell r="J1708">
            <v>0</v>
          </cell>
          <cell r="K1708">
            <v>0</v>
          </cell>
          <cell r="L1708">
            <v>0</v>
          </cell>
          <cell r="M1708">
            <v>0</v>
          </cell>
          <cell r="N1708">
            <v>0</v>
          </cell>
          <cell r="O1708">
            <v>0</v>
          </cell>
        </row>
        <row r="1709">
          <cell r="A1709" t="str">
            <v>GECISGROSS OP &amp; ADMIN BUS SHARE</v>
          </cell>
          <cell r="B1709">
            <v>-276759</v>
          </cell>
          <cell r="C1709">
            <v>-45855.67</v>
          </cell>
          <cell r="D1709">
            <v>211150.83</v>
          </cell>
          <cell r="E1709">
            <v>388193</v>
          </cell>
          <cell r="F1709">
            <v>276729.15999999997</v>
          </cell>
          <cell r="G1709">
            <v>0</v>
          </cell>
          <cell r="H1709">
            <v>0</v>
          </cell>
          <cell r="I1709">
            <v>0</v>
          </cell>
          <cell r="J1709">
            <v>0</v>
          </cell>
          <cell r="K1709">
            <v>0</v>
          </cell>
          <cell r="L1709">
            <v>-79240.789999999994</v>
          </cell>
          <cell r="M1709">
            <v>0</v>
          </cell>
          <cell r="N1709">
            <v>0</v>
          </cell>
          <cell r="O1709">
            <v>0</v>
          </cell>
        </row>
        <row r="1710">
          <cell r="A1710" t="str">
            <v>GECISOTHER EXPENSE</v>
          </cell>
          <cell r="B1710">
            <v>0</v>
          </cell>
          <cell r="C1710">
            <v>0</v>
          </cell>
          <cell r="D1710">
            <v>0</v>
          </cell>
          <cell r="E1710">
            <v>0</v>
          </cell>
          <cell r="F1710">
            <v>0</v>
          </cell>
          <cell r="G1710">
            <v>0</v>
          </cell>
          <cell r="H1710">
            <v>0</v>
          </cell>
          <cell r="I1710">
            <v>0</v>
          </cell>
          <cell r="J1710">
            <v>0</v>
          </cell>
          <cell r="K1710">
            <v>0</v>
          </cell>
          <cell r="L1710">
            <v>0</v>
          </cell>
          <cell r="M1710">
            <v>0</v>
          </cell>
          <cell r="N1710">
            <v>0</v>
          </cell>
          <cell r="O1710">
            <v>0</v>
          </cell>
        </row>
        <row r="1711">
          <cell r="A1711" t="str">
            <v>GECISGECC INTERCO EXPENSES EXCL GECIS</v>
          </cell>
          <cell r="B1711">
            <v>0</v>
          </cell>
          <cell r="C1711">
            <v>0</v>
          </cell>
          <cell r="D1711">
            <v>0</v>
          </cell>
          <cell r="E1711">
            <v>0</v>
          </cell>
          <cell r="F1711">
            <v>0</v>
          </cell>
          <cell r="G1711">
            <v>0</v>
          </cell>
          <cell r="H1711">
            <v>0</v>
          </cell>
          <cell r="I1711">
            <v>0</v>
          </cell>
          <cell r="J1711">
            <v>0</v>
          </cell>
          <cell r="K1711">
            <v>0</v>
          </cell>
          <cell r="L1711">
            <v>0</v>
          </cell>
          <cell r="M1711">
            <v>0</v>
          </cell>
          <cell r="N1711">
            <v>0</v>
          </cell>
          <cell r="O1711">
            <v>0</v>
          </cell>
        </row>
        <row r="1712">
          <cell r="A1712" t="str">
            <v>GECISGECIS INTERCO CHARGES</v>
          </cell>
          <cell r="B1712">
            <v>0</v>
          </cell>
          <cell r="C1712">
            <v>0</v>
          </cell>
          <cell r="D1712">
            <v>0</v>
          </cell>
          <cell r="E1712">
            <v>0</v>
          </cell>
          <cell r="F1712">
            <v>0</v>
          </cell>
          <cell r="G1712">
            <v>0</v>
          </cell>
          <cell r="H1712">
            <v>0</v>
          </cell>
          <cell r="I1712">
            <v>0</v>
          </cell>
          <cell r="J1712">
            <v>0</v>
          </cell>
          <cell r="K1712">
            <v>0</v>
          </cell>
          <cell r="L1712">
            <v>0</v>
          </cell>
          <cell r="M1712">
            <v>0</v>
          </cell>
          <cell r="N1712">
            <v>0</v>
          </cell>
          <cell r="O1712">
            <v>0</v>
          </cell>
        </row>
        <row r="1713">
          <cell r="A1713" t="str">
            <v>GECISLOSS ADJUSTED EXPENSE</v>
          </cell>
          <cell r="B1713">
            <v>0</v>
          </cell>
          <cell r="C1713">
            <v>0</v>
          </cell>
          <cell r="D1713">
            <v>0</v>
          </cell>
          <cell r="E1713">
            <v>0</v>
          </cell>
          <cell r="F1713">
            <v>0</v>
          </cell>
          <cell r="G1713">
            <v>0</v>
          </cell>
          <cell r="H1713">
            <v>0</v>
          </cell>
          <cell r="I1713">
            <v>0</v>
          </cell>
          <cell r="J1713">
            <v>0</v>
          </cell>
          <cell r="K1713">
            <v>0</v>
          </cell>
          <cell r="L1713">
            <v>0</v>
          </cell>
          <cell r="M1713">
            <v>0</v>
          </cell>
          <cell r="N1713">
            <v>0</v>
          </cell>
          <cell r="O1713">
            <v>0</v>
          </cell>
        </row>
        <row r="1714">
          <cell r="A1714" t="str">
            <v>GECISALL OTHER EXPENSES</v>
          </cell>
          <cell r="B1714">
            <v>0</v>
          </cell>
          <cell r="C1714">
            <v>0</v>
          </cell>
          <cell r="D1714">
            <v>0</v>
          </cell>
          <cell r="E1714">
            <v>0</v>
          </cell>
          <cell r="F1714">
            <v>0</v>
          </cell>
          <cell r="G1714">
            <v>0</v>
          </cell>
          <cell r="H1714">
            <v>0</v>
          </cell>
          <cell r="I1714">
            <v>0</v>
          </cell>
          <cell r="J1714">
            <v>0</v>
          </cell>
          <cell r="K1714">
            <v>0</v>
          </cell>
          <cell r="L1714">
            <v>0</v>
          </cell>
          <cell r="M1714">
            <v>0</v>
          </cell>
          <cell r="N1714">
            <v>0</v>
          </cell>
          <cell r="O1714">
            <v>0</v>
          </cell>
        </row>
        <row r="1715">
          <cell r="A1715" t="str">
            <v>GECISASSESSMENTS</v>
          </cell>
          <cell r="B1715">
            <v>0</v>
          </cell>
          <cell r="C1715">
            <v>0</v>
          </cell>
          <cell r="D1715">
            <v>0</v>
          </cell>
          <cell r="E1715">
            <v>0</v>
          </cell>
          <cell r="F1715">
            <v>0</v>
          </cell>
          <cell r="G1715">
            <v>0</v>
          </cell>
          <cell r="H1715">
            <v>0</v>
          </cell>
          <cell r="I1715">
            <v>0</v>
          </cell>
          <cell r="J1715">
            <v>0</v>
          </cell>
          <cell r="K1715">
            <v>0</v>
          </cell>
          <cell r="L1715">
            <v>0</v>
          </cell>
          <cell r="M1715">
            <v>0</v>
          </cell>
          <cell r="N1715">
            <v>0</v>
          </cell>
          <cell r="O1715">
            <v>0</v>
          </cell>
        </row>
        <row r="1716">
          <cell r="A1716" t="str">
            <v>GECISFAS 91</v>
          </cell>
          <cell r="B1716">
            <v>0</v>
          </cell>
          <cell r="C1716">
            <v>0</v>
          </cell>
          <cell r="D1716">
            <v>0</v>
          </cell>
          <cell r="E1716">
            <v>0</v>
          </cell>
          <cell r="F1716">
            <v>0</v>
          </cell>
          <cell r="G1716">
            <v>0</v>
          </cell>
          <cell r="H1716">
            <v>0</v>
          </cell>
          <cell r="I1716">
            <v>0</v>
          </cell>
          <cell r="J1716">
            <v>0</v>
          </cell>
          <cell r="K1716">
            <v>0</v>
          </cell>
          <cell r="L1716">
            <v>0</v>
          </cell>
          <cell r="M1716">
            <v>0</v>
          </cell>
          <cell r="N1716">
            <v>0</v>
          </cell>
          <cell r="O1716">
            <v>0</v>
          </cell>
        </row>
        <row r="1717">
          <cell r="A1717" t="str">
            <v>GECISGOODWILL AMORTIZATION</v>
          </cell>
          <cell r="B1717">
            <v>0</v>
          </cell>
          <cell r="C1717">
            <v>0</v>
          </cell>
          <cell r="D1717">
            <v>0</v>
          </cell>
          <cell r="E1717">
            <v>0</v>
          </cell>
          <cell r="F1717">
            <v>0</v>
          </cell>
          <cell r="G1717">
            <v>0</v>
          </cell>
          <cell r="H1717">
            <v>0</v>
          </cell>
          <cell r="I1717">
            <v>0</v>
          </cell>
          <cell r="J1717">
            <v>0</v>
          </cell>
          <cell r="K1717">
            <v>0</v>
          </cell>
          <cell r="L1717">
            <v>0</v>
          </cell>
          <cell r="M1717">
            <v>0</v>
          </cell>
          <cell r="N1717">
            <v>0</v>
          </cell>
          <cell r="O1717">
            <v>0</v>
          </cell>
        </row>
        <row r="1718">
          <cell r="A1718" t="str">
            <v>GECISDEPRECIATION EXPENSE</v>
          </cell>
          <cell r="B1718">
            <v>0</v>
          </cell>
          <cell r="C1718">
            <v>0</v>
          </cell>
          <cell r="D1718">
            <v>0</v>
          </cell>
          <cell r="E1718">
            <v>0</v>
          </cell>
          <cell r="F1718">
            <v>0</v>
          </cell>
          <cell r="G1718">
            <v>0</v>
          </cell>
          <cell r="H1718">
            <v>0</v>
          </cell>
          <cell r="I1718">
            <v>0</v>
          </cell>
          <cell r="J1718">
            <v>0</v>
          </cell>
          <cell r="K1718">
            <v>0</v>
          </cell>
          <cell r="L1718">
            <v>0</v>
          </cell>
          <cell r="M1718">
            <v>0</v>
          </cell>
          <cell r="N1718">
            <v>0</v>
          </cell>
          <cell r="O1718">
            <v>0</v>
          </cell>
        </row>
        <row r="1719">
          <cell r="A1719" t="str">
            <v>GECISELTO AMORTIZATION</v>
          </cell>
          <cell r="B1719">
            <v>0</v>
          </cell>
          <cell r="C1719">
            <v>0</v>
          </cell>
          <cell r="D1719">
            <v>0</v>
          </cell>
          <cell r="E1719">
            <v>0</v>
          </cell>
          <cell r="F1719">
            <v>0</v>
          </cell>
          <cell r="G1719">
            <v>0</v>
          </cell>
          <cell r="H1719">
            <v>0</v>
          </cell>
          <cell r="I1719">
            <v>0</v>
          </cell>
          <cell r="J1719">
            <v>0</v>
          </cell>
          <cell r="K1719">
            <v>0</v>
          </cell>
          <cell r="L1719">
            <v>0</v>
          </cell>
          <cell r="M1719">
            <v>0</v>
          </cell>
          <cell r="N1719">
            <v>0</v>
          </cell>
          <cell r="O1719">
            <v>0</v>
          </cell>
        </row>
        <row r="1720">
          <cell r="A1720" t="str">
            <v>GECISINSURANCE LOSSES AND BENEFITS</v>
          </cell>
          <cell r="B1720">
            <v>0</v>
          </cell>
          <cell r="C1720">
            <v>0</v>
          </cell>
          <cell r="D1720">
            <v>0</v>
          </cell>
          <cell r="E1720">
            <v>0</v>
          </cell>
          <cell r="F1720">
            <v>0</v>
          </cell>
          <cell r="G1720">
            <v>0</v>
          </cell>
          <cell r="H1720">
            <v>0</v>
          </cell>
          <cell r="I1720">
            <v>0</v>
          </cell>
          <cell r="J1720">
            <v>0</v>
          </cell>
          <cell r="K1720">
            <v>0</v>
          </cell>
          <cell r="L1720">
            <v>0</v>
          </cell>
          <cell r="M1720">
            <v>0</v>
          </cell>
          <cell r="N1720">
            <v>0</v>
          </cell>
          <cell r="O1720">
            <v>0</v>
          </cell>
        </row>
        <row r="1721">
          <cell r="A1721" t="str">
            <v>GECISWRITE OFFS</v>
          </cell>
          <cell r="B1721">
            <v>0</v>
          </cell>
          <cell r="C1721">
            <v>0</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GECISRESERVE CHANGE</v>
          </cell>
          <cell r="B1722">
            <v>0</v>
          </cell>
          <cell r="C1722">
            <v>0</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GECISMINORITY INTEREST</v>
          </cell>
          <cell r="B1723">
            <v>0</v>
          </cell>
          <cell r="C1723">
            <v>0</v>
          </cell>
          <cell r="D1723">
            <v>0</v>
          </cell>
          <cell r="E1723">
            <v>0</v>
          </cell>
          <cell r="F1723">
            <v>0</v>
          </cell>
          <cell r="G1723">
            <v>0</v>
          </cell>
          <cell r="H1723">
            <v>0</v>
          </cell>
          <cell r="I1723">
            <v>0</v>
          </cell>
          <cell r="J1723">
            <v>0</v>
          </cell>
          <cell r="K1723">
            <v>0</v>
          </cell>
          <cell r="L1723">
            <v>0</v>
          </cell>
          <cell r="M1723">
            <v>0</v>
          </cell>
          <cell r="N1723">
            <v>0</v>
          </cell>
          <cell r="O1723">
            <v>0</v>
          </cell>
        </row>
        <row r="1724">
          <cell r="A1724" t="str">
            <v>GECISINCOME TAXES</v>
          </cell>
          <cell r="B1724">
            <v>30444</v>
          </cell>
          <cell r="C1724">
            <v>5044</v>
          </cell>
          <cell r="D1724">
            <v>-23227</v>
          </cell>
          <cell r="E1724">
            <v>11450</v>
          </cell>
          <cell r="F1724">
            <v>23711</v>
          </cell>
          <cell r="G1724">
            <v>0</v>
          </cell>
          <cell r="H1724">
            <v>0</v>
          </cell>
          <cell r="I1724">
            <v>0</v>
          </cell>
          <cell r="J1724">
            <v>0</v>
          </cell>
          <cell r="K1724">
            <v>0</v>
          </cell>
          <cell r="L1724">
            <v>18142.95</v>
          </cell>
          <cell r="M1724">
            <v>0</v>
          </cell>
          <cell r="N1724">
            <v>0</v>
          </cell>
          <cell r="O1724">
            <v>0</v>
          </cell>
        </row>
        <row r="1725">
          <cell r="A1725" t="str">
            <v>GECISCUMULATIVE TRANSITION ADJUSTMENT</v>
          </cell>
          <cell r="B1725">
            <v>0</v>
          </cell>
          <cell r="C1725">
            <v>0</v>
          </cell>
          <cell r="D1725">
            <v>0</v>
          </cell>
          <cell r="E1725">
            <v>0</v>
          </cell>
          <cell r="F1725">
            <v>0</v>
          </cell>
          <cell r="G1725">
            <v>0</v>
          </cell>
          <cell r="H1725">
            <v>0</v>
          </cell>
          <cell r="I1725">
            <v>0</v>
          </cell>
          <cell r="J1725">
            <v>0</v>
          </cell>
          <cell r="K1725">
            <v>0</v>
          </cell>
          <cell r="L1725">
            <v>0</v>
          </cell>
          <cell r="M1725">
            <v>0</v>
          </cell>
          <cell r="N1725">
            <v>0</v>
          </cell>
          <cell r="O1725">
            <v>0</v>
          </cell>
        </row>
        <row r="1726">
          <cell r="A1726" t="str">
            <v>GECISASIA PACIFIC NI DIVIDEND</v>
          </cell>
          <cell r="B1726">
            <v>0</v>
          </cell>
          <cell r="C1726">
            <v>0</v>
          </cell>
          <cell r="D1726">
            <v>0</v>
          </cell>
          <cell r="E1726">
            <v>0</v>
          </cell>
          <cell r="F1726">
            <v>0</v>
          </cell>
          <cell r="G1726">
            <v>0</v>
          </cell>
          <cell r="H1726">
            <v>0</v>
          </cell>
          <cell r="I1726">
            <v>0</v>
          </cell>
          <cell r="J1726">
            <v>0</v>
          </cell>
          <cell r="K1726">
            <v>0</v>
          </cell>
          <cell r="L1726">
            <v>0</v>
          </cell>
          <cell r="M1726">
            <v>0</v>
          </cell>
          <cell r="N1726">
            <v>0</v>
          </cell>
          <cell r="O1726">
            <v>0</v>
          </cell>
        </row>
        <row r="1727">
          <cell r="A1727" t="str">
            <v>GECISNet Income</v>
          </cell>
          <cell r="B1727">
            <v>-246315</v>
          </cell>
          <cell r="C1727">
            <v>-40811.67</v>
          </cell>
          <cell r="D1727">
            <v>187923.83</v>
          </cell>
          <cell r="E1727">
            <v>399643</v>
          </cell>
          <cell r="F1727">
            <v>300440.15999999997</v>
          </cell>
          <cell r="G1727">
            <v>0</v>
          </cell>
          <cell r="H1727">
            <v>0</v>
          </cell>
          <cell r="I1727">
            <v>0</v>
          </cell>
          <cell r="J1727">
            <v>0</v>
          </cell>
          <cell r="K1727">
            <v>0</v>
          </cell>
          <cell r="L1727">
            <v>-61097.84</v>
          </cell>
          <cell r="M1727">
            <v>0</v>
          </cell>
          <cell r="N1727">
            <v>0</v>
          </cell>
          <cell r="O1727">
            <v>0</v>
          </cell>
        </row>
        <row r="1728">
          <cell r="A1728" t="str">
            <v>GECISSubPart F</v>
          </cell>
          <cell r="B1728">
            <v>0</v>
          </cell>
          <cell r="C1728">
            <v>0</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GECISAssets</v>
          </cell>
          <cell r="B1729">
            <v>0</v>
          </cell>
          <cell r="C1729">
            <v>0</v>
          </cell>
          <cell r="D1729">
            <v>0</v>
          </cell>
          <cell r="E1729">
            <v>0</v>
          </cell>
          <cell r="F1729">
            <v>0</v>
          </cell>
          <cell r="G1729">
            <v>0</v>
          </cell>
          <cell r="H1729">
            <v>0</v>
          </cell>
          <cell r="I1729">
            <v>0</v>
          </cell>
          <cell r="J1729">
            <v>0</v>
          </cell>
          <cell r="K1729">
            <v>0</v>
          </cell>
          <cell r="L1729">
            <v>0</v>
          </cell>
          <cell r="M1729">
            <v>0</v>
          </cell>
          <cell r="N1729">
            <v>0</v>
          </cell>
          <cell r="O1729">
            <v>0</v>
          </cell>
        </row>
        <row r="1730">
          <cell r="A1730" t="str">
            <v>GECISEnding Net Investment (ENI) incl Asia</v>
          </cell>
          <cell r="B1730">
            <v>0</v>
          </cell>
          <cell r="C1730">
            <v>0</v>
          </cell>
          <cell r="D1730">
            <v>377150</v>
          </cell>
          <cell r="E1730">
            <v>0</v>
          </cell>
          <cell r="F1730">
            <v>0</v>
          </cell>
          <cell r="G1730">
            <v>0</v>
          </cell>
          <cell r="H1730">
            <v>0</v>
          </cell>
          <cell r="I1730">
            <v>0</v>
          </cell>
          <cell r="J1730">
            <v>0</v>
          </cell>
          <cell r="K1730">
            <v>0</v>
          </cell>
          <cell r="L1730">
            <v>0</v>
          </cell>
          <cell r="M1730">
            <v>0</v>
          </cell>
          <cell r="N1730">
            <v>0</v>
          </cell>
          <cell r="O1730">
            <v>0</v>
          </cell>
        </row>
        <row r="1731">
          <cell r="A1731" t="str">
            <v>GECISANR YTD</v>
          </cell>
          <cell r="B1731">
            <v>0</v>
          </cell>
          <cell r="C1731">
            <v>0</v>
          </cell>
          <cell r="D1731">
            <v>0</v>
          </cell>
          <cell r="E1731">
            <v>0</v>
          </cell>
          <cell r="F1731">
            <v>0</v>
          </cell>
          <cell r="G1731">
            <v>0</v>
          </cell>
          <cell r="H1731">
            <v>0</v>
          </cell>
          <cell r="I1731">
            <v>0</v>
          </cell>
          <cell r="J1731">
            <v>0</v>
          </cell>
          <cell r="K1731">
            <v>0</v>
          </cell>
          <cell r="L1731">
            <v>0</v>
          </cell>
          <cell r="M1731">
            <v>0</v>
          </cell>
          <cell r="N1731">
            <v>0</v>
          </cell>
          <cell r="O1731">
            <v>0</v>
          </cell>
        </row>
        <row r="1732">
          <cell r="A1732" t="str">
            <v>GECISASA YTD</v>
          </cell>
          <cell r="B1732">
            <v>0</v>
          </cell>
          <cell r="C1732">
            <v>0</v>
          </cell>
          <cell r="D1732">
            <v>0</v>
          </cell>
          <cell r="E1732">
            <v>0</v>
          </cell>
          <cell r="F1732">
            <v>0</v>
          </cell>
          <cell r="G1732">
            <v>0</v>
          </cell>
          <cell r="H1732">
            <v>0</v>
          </cell>
          <cell r="I1732">
            <v>0</v>
          </cell>
          <cell r="J1732">
            <v>0</v>
          </cell>
          <cell r="K1732">
            <v>0</v>
          </cell>
          <cell r="L1732">
            <v>0</v>
          </cell>
          <cell r="M1732">
            <v>0</v>
          </cell>
          <cell r="N1732">
            <v>0</v>
          </cell>
          <cell r="O1732">
            <v>0</v>
          </cell>
        </row>
        <row r="1733">
          <cell r="A1733" t="str">
            <v>GECISANI YTD incl Asia - 5 pt</v>
          </cell>
          <cell r="B1733">
            <v>0</v>
          </cell>
          <cell r="C1733">
            <v>0</v>
          </cell>
          <cell r="D1733">
            <v>94287.5</v>
          </cell>
          <cell r="E1733">
            <v>75430</v>
          </cell>
          <cell r="F1733">
            <v>75430</v>
          </cell>
          <cell r="G1733">
            <v>0</v>
          </cell>
          <cell r="H1733">
            <v>0</v>
          </cell>
          <cell r="I1733">
            <v>0</v>
          </cell>
          <cell r="J1733">
            <v>0</v>
          </cell>
          <cell r="K1733">
            <v>0</v>
          </cell>
          <cell r="L1733">
            <v>0</v>
          </cell>
          <cell r="M1733">
            <v>0</v>
          </cell>
          <cell r="N1733">
            <v>0</v>
          </cell>
          <cell r="O1733">
            <v>0</v>
          </cell>
        </row>
        <row r="1734">
          <cell r="A1734" t="str">
            <v>GECISOff Balance Sheet Assets</v>
          </cell>
          <cell r="B1734">
            <v>0</v>
          </cell>
          <cell r="C1734">
            <v>0</v>
          </cell>
          <cell r="D1734">
            <v>0</v>
          </cell>
          <cell r="E1734">
            <v>0</v>
          </cell>
          <cell r="F1734">
            <v>0</v>
          </cell>
          <cell r="G1734">
            <v>0</v>
          </cell>
          <cell r="H1734">
            <v>0</v>
          </cell>
          <cell r="I1734">
            <v>0</v>
          </cell>
          <cell r="J1734">
            <v>0</v>
          </cell>
          <cell r="K1734">
            <v>0</v>
          </cell>
          <cell r="L1734">
            <v>0</v>
          </cell>
          <cell r="M1734">
            <v>0</v>
          </cell>
          <cell r="N1734">
            <v>0</v>
          </cell>
          <cell r="O1734">
            <v>0</v>
          </cell>
        </row>
        <row r="1735">
          <cell r="A1735" t="str">
            <v>GECISJV Receivables</v>
          </cell>
          <cell r="B1735">
            <v>0</v>
          </cell>
          <cell r="C1735">
            <v>0</v>
          </cell>
          <cell r="D1735">
            <v>0</v>
          </cell>
          <cell r="E1735">
            <v>0</v>
          </cell>
          <cell r="F1735">
            <v>0</v>
          </cell>
          <cell r="G1735">
            <v>0</v>
          </cell>
          <cell r="H1735">
            <v>0</v>
          </cell>
          <cell r="I1735">
            <v>0</v>
          </cell>
          <cell r="J1735">
            <v>0</v>
          </cell>
          <cell r="K1735">
            <v>0</v>
          </cell>
          <cell r="L1735">
            <v>0</v>
          </cell>
          <cell r="M1735">
            <v>0</v>
          </cell>
          <cell r="N1735">
            <v>0</v>
          </cell>
          <cell r="O1735">
            <v>0</v>
          </cell>
        </row>
        <row r="1736">
          <cell r="A1736" t="str">
            <v>GECIS30+ DELINQUENCY $</v>
          </cell>
          <cell r="B1736">
            <v>0</v>
          </cell>
          <cell r="C1736">
            <v>0</v>
          </cell>
          <cell r="D1736">
            <v>0</v>
          </cell>
          <cell r="E1736">
            <v>0</v>
          </cell>
          <cell r="F1736">
            <v>0</v>
          </cell>
          <cell r="G1736">
            <v>0</v>
          </cell>
          <cell r="H1736">
            <v>0</v>
          </cell>
          <cell r="I1736">
            <v>0</v>
          </cell>
          <cell r="J1736">
            <v>0</v>
          </cell>
          <cell r="K1736">
            <v>0</v>
          </cell>
          <cell r="L1736">
            <v>0</v>
          </cell>
          <cell r="M1736">
            <v>0</v>
          </cell>
          <cell r="N1736">
            <v>0</v>
          </cell>
          <cell r="O1736">
            <v>0</v>
          </cell>
        </row>
        <row r="1737">
          <cell r="A1737" t="str">
            <v>GECIS90+ DELINQUENCY $</v>
          </cell>
          <cell r="B1737">
            <v>0</v>
          </cell>
          <cell r="C1737">
            <v>0</v>
          </cell>
          <cell r="D1737">
            <v>0</v>
          </cell>
          <cell r="E1737">
            <v>0</v>
          </cell>
          <cell r="F1737">
            <v>0</v>
          </cell>
          <cell r="G1737">
            <v>0</v>
          </cell>
          <cell r="H1737">
            <v>0</v>
          </cell>
          <cell r="I1737">
            <v>0</v>
          </cell>
          <cell r="J1737">
            <v>0</v>
          </cell>
          <cell r="K1737">
            <v>0</v>
          </cell>
          <cell r="L1737">
            <v>0</v>
          </cell>
          <cell r="M1737">
            <v>0</v>
          </cell>
          <cell r="N1737">
            <v>0</v>
          </cell>
          <cell r="O1737">
            <v>0</v>
          </cell>
        </row>
        <row r="1738">
          <cell r="A1738" t="str">
            <v>GECISTemporary Staff</v>
          </cell>
          <cell r="B1738">
            <v>0</v>
          </cell>
          <cell r="C1738">
            <v>0</v>
          </cell>
          <cell r="D1738">
            <v>0</v>
          </cell>
          <cell r="E1738">
            <v>0</v>
          </cell>
          <cell r="F1738">
            <v>0</v>
          </cell>
          <cell r="G1738">
            <v>0</v>
          </cell>
          <cell r="H1738">
            <v>0</v>
          </cell>
          <cell r="I1738">
            <v>0</v>
          </cell>
          <cell r="J1738">
            <v>0</v>
          </cell>
          <cell r="K1738">
            <v>0</v>
          </cell>
          <cell r="L1738">
            <v>0</v>
          </cell>
          <cell r="M1738">
            <v>0</v>
          </cell>
          <cell r="N1738">
            <v>0</v>
          </cell>
          <cell r="O1738">
            <v>0</v>
          </cell>
        </row>
        <row r="1739">
          <cell r="A1739" t="str">
            <v>GECISContractors</v>
          </cell>
          <cell r="B1739">
            <v>0</v>
          </cell>
          <cell r="C1739">
            <v>0</v>
          </cell>
          <cell r="D1739">
            <v>0</v>
          </cell>
          <cell r="E1739">
            <v>0</v>
          </cell>
          <cell r="F1739">
            <v>0</v>
          </cell>
          <cell r="G1739">
            <v>0</v>
          </cell>
          <cell r="H1739">
            <v>0</v>
          </cell>
          <cell r="I1739">
            <v>0</v>
          </cell>
          <cell r="J1739">
            <v>0</v>
          </cell>
          <cell r="K1739">
            <v>0</v>
          </cell>
          <cell r="L1739">
            <v>0</v>
          </cell>
          <cell r="M1739">
            <v>0</v>
          </cell>
          <cell r="N1739">
            <v>0</v>
          </cell>
          <cell r="O1739">
            <v>0</v>
          </cell>
        </row>
        <row r="1740">
          <cell r="A1740" t="str">
            <v>GECISOutsourced to LCC</v>
          </cell>
          <cell r="B1740">
            <v>0</v>
          </cell>
          <cell r="C1740">
            <v>0</v>
          </cell>
          <cell r="D1740">
            <v>0</v>
          </cell>
          <cell r="E1740">
            <v>0</v>
          </cell>
          <cell r="F1740">
            <v>0</v>
          </cell>
          <cell r="G1740">
            <v>0</v>
          </cell>
          <cell r="H1740">
            <v>0</v>
          </cell>
          <cell r="I1740">
            <v>0</v>
          </cell>
          <cell r="J1740">
            <v>0</v>
          </cell>
          <cell r="K1740">
            <v>0</v>
          </cell>
          <cell r="L1740">
            <v>0</v>
          </cell>
          <cell r="M1740">
            <v>0</v>
          </cell>
          <cell r="N1740">
            <v>0</v>
          </cell>
          <cell r="O1740">
            <v>0</v>
          </cell>
        </row>
        <row r="1741">
          <cell r="A1741" t="str">
            <v>GECISTotal Headcount</v>
          </cell>
          <cell r="B1741">
            <v>0</v>
          </cell>
          <cell r="C1741">
            <v>0</v>
          </cell>
          <cell r="D1741">
            <v>0</v>
          </cell>
          <cell r="E1741">
            <v>0</v>
          </cell>
          <cell r="F1741">
            <v>0</v>
          </cell>
          <cell r="G1741">
            <v>0</v>
          </cell>
          <cell r="H1741">
            <v>0</v>
          </cell>
          <cell r="I1741">
            <v>0</v>
          </cell>
          <cell r="J1741">
            <v>0</v>
          </cell>
          <cell r="K1741">
            <v>0</v>
          </cell>
          <cell r="L1741">
            <v>0</v>
          </cell>
          <cell r="M1741">
            <v>0</v>
          </cell>
          <cell r="N1741">
            <v>0</v>
          </cell>
          <cell r="O1741">
            <v>0</v>
          </cell>
        </row>
        <row r="1742">
          <cell r="A1742" t="str">
            <v>GECISTotal Workforce</v>
          </cell>
          <cell r="B1742">
            <v>0</v>
          </cell>
          <cell r="C1742">
            <v>0</v>
          </cell>
          <cell r="D1742">
            <v>0</v>
          </cell>
          <cell r="E1742">
            <v>0</v>
          </cell>
          <cell r="F1742">
            <v>0</v>
          </cell>
          <cell r="G1742">
            <v>0</v>
          </cell>
          <cell r="H1742">
            <v>0</v>
          </cell>
          <cell r="I1742">
            <v>0</v>
          </cell>
          <cell r="J1742">
            <v>0</v>
          </cell>
          <cell r="K1742">
            <v>0</v>
          </cell>
          <cell r="L1742">
            <v>0</v>
          </cell>
          <cell r="M1742">
            <v>0</v>
          </cell>
          <cell r="N1742">
            <v>0</v>
          </cell>
          <cell r="O1742">
            <v>0</v>
          </cell>
        </row>
        <row r="1743">
          <cell r="A1743" t="str">
            <v>GECISTotal Earned Revenue</v>
          </cell>
          <cell r="B1743">
            <v>0</v>
          </cell>
          <cell r="C1743">
            <v>0</v>
          </cell>
          <cell r="D1743">
            <v>0</v>
          </cell>
          <cell r="E1743">
            <v>0</v>
          </cell>
          <cell r="F1743">
            <v>0</v>
          </cell>
          <cell r="G1743">
            <v>0</v>
          </cell>
          <cell r="H1743">
            <v>0</v>
          </cell>
          <cell r="I1743">
            <v>0</v>
          </cell>
          <cell r="J1743">
            <v>0</v>
          </cell>
          <cell r="K1743">
            <v>0</v>
          </cell>
          <cell r="L1743">
            <v>0</v>
          </cell>
          <cell r="M1743">
            <v>0</v>
          </cell>
          <cell r="N1743">
            <v>0</v>
          </cell>
          <cell r="O1743">
            <v>0</v>
          </cell>
        </row>
        <row r="1744">
          <cell r="A1744" t="str">
            <v>GECISOrdinary Gains - PreTax</v>
          </cell>
          <cell r="B1744">
            <v>0</v>
          </cell>
          <cell r="C1744">
            <v>0</v>
          </cell>
          <cell r="D1744">
            <v>0</v>
          </cell>
          <cell r="E1744">
            <v>0</v>
          </cell>
          <cell r="F1744">
            <v>0</v>
          </cell>
          <cell r="G1744">
            <v>0</v>
          </cell>
          <cell r="H1744">
            <v>0</v>
          </cell>
          <cell r="I1744">
            <v>0</v>
          </cell>
          <cell r="J1744">
            <v>0</v>
          </cell>
          <cell r="K1744">
            <v>0</v>
          </cell>
          <cell r="L1744">
            <v>0</v>
          </cell>
          <cell r="M1744">
            <v>0</v>
          </cell>
          <cell r="N1744">
            <v>0</v>
          </cell>
          <cell r="O1744">
            <v>0</v>
          </cell>
        </row>
        <row r="1745">
          <cell r="A1745" t="str">
            <v>GECISOrdinary Gains - AfterTax</v>
          </cell>
          <cell r="B1745">
            <v>0</v>
          </cell>
          <cell r="C1745">
            <v>0</v>
          </cell>
          <cell r="D1745">
            <v>0</v>
          </cell>
          <cell r="E1745">
            <v>0</v>
          </cell>
          <cell r="F1745">
            <v>0</v>
          </cell>
          <cell r="G1745">
            <v>0</v>
          </cell>
          <cell r="H1745">
            <v>0</v>
          </cell>
          <cell r="I1745">
            <v>0</v>
          </cell>
          <cell r="J1745">
            <v>0</v>
          </cell>
          <cell r="K1745">
            <v>0</v>
          </cell>
          <cell r="L1745">
            <v>0</v>
          </cell>
          <cell r="M1745">
            <v>0</v>
          </cell>
          <cell r="N1745">
            <v>0</v>
          </cell>
          <cell r="O1745">
            <v>0</v>
          </cell>
        </row>
        <row r="1746">
          <cell r="A1746" t="str">
            <v>GECISTotal Volume</v>
          </cell>
          <cell r="B1746">
            <v>0</v>
          </cell>
          <cell r="C1746">
            <v>0</v>
          </cell>
          <cell r="D1746">
            <v>0</v>
          </cell>
          <cell r="E1746">
            <v>0</v>
          </cell>
          <cell r="F1746">
            <v>0</v>
          </cell>
          <cell r="G1746">
            <v>0</v>
          </cell>
          <cell r="H1746">
            <v>0</v>
          </cell>
          <cell r="I1746">
            <v>0</v>
          </cell>
          <cell r="J1746">
            <v>0</v>
          </cell>
          <cell r="K1746">
            <v>0</v>
          </cell>
          <cell r="L1746">
            <v>0</v>
          </cell>
          <cell r="M1746">
            <v>0</v>
          </cell>
          <cell r="N1746">
            <v>0</v>
          </cell>
          <cell r="O1746">
            <v>0</v>
          </cell>
        </row>
        <row r="1747">
          <cell r="A1747" t="str">
            <v>GECISTOTAL # ACTIVE ACCOUNTS</v>
          </cell>
          <cell r="B1747">
            <v>0</v>
          </cell>
          <cell r="C1747">
            <v>0</v>
          </cell>
          <cell r="D1747">
            <v>0</v>
          </cell>
          <cell r="E1747">
            <v>0</v>
          </cell>
          <cell r="F1747">
            <v>0</v>
          </cell>
          <cell r="G1747">
            <v>0</v>
          </cell>
          <cell r="H1747">
            <v>0</v>
          </cell>
          <cell r="I1747">
            <v>0</v>
          </cell>
          <cell r="J1747">
            <v>0</v>
          </cell>
          <cell r="K1747">
            <v>0</v>
          </cell>
          <cell r="L1747">
            <v>0</v>
          </cell>
          <cell r="M1747">
            <v>0</v>
          </cell>
          <cell r="N1747">
            <v>0</v>
          </cell>
          <cell r="O1747">
            <v>0</v>
          </cell>
        </row>
        <row r="1748">
          <cell r="A1748" t="str">
            <v>GemplusTOTAL FINANCING RECEIVABLES</v>
          </cell>
          <cell r="B1748">
            <v>0</v>
          </cell>
          <cell r="C1748">
            <v>0</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GemplusRECEIVABLE RESERVES</v>
          </cell>
          <cell r="B1749">
            <v>0</v>
          </cell>
          <cell r="C1749">
            <v>0</v>
          </cell>
          <cell r="D1749">
            <v>0</v>
          </cell>
          <cell r="E1749">
            <v>0</v>
          </cell>
          <cell r="F1749">
            <v>0</v>
          </cell>
          <cell r="G1749">
            <v>0</v>
          </cell>
          <cell r="H1749">
            <v>0</v>
          </cell>
          <cell r="I1749">
            <v>0</v>
          </cell>
          <cell r="J1749">
            <v>0</v>
          </cell>
          <cell r="K1749">
            <v>0</v>
          </cell>
          <cell r="L1749">
            <v>0</v>
          </cell>
          <cell r="M1749">
            <v>0</v>
          </cell>
          <cell r="N1749">
            <v>0</v>
          </cell>
          <cell r="O1749">
            <v>0</v>
          </cell>
        </row>
        <row r="1750">
          <cell r="A1750" t="str">
            <v>GemplusCASH</v>
          </cell>
          <cell r="B1750">
            <v>0</v>
          </cell>
          <cell r="C1750">
            <v>0</v>
          </cell>
          <cell r="D1750">
            <v>0</v>
          </cell>
          <cell r="E1750">
            <v>0</v>
          </cell>
          <cell r="F1750">
            <v>0</v>
          </cell>
          <cell r="G1750">
            <v>0</v>
          </cell>
          <cell r="H1750">
            <v>0</v>
          </cell>
          <cell r="I1750">
            <v>0</v>
          </cell>
          <cell r="J1750">
            <v>0</v>
          </cell>
          <cell r="K1750">
            <v>0</v>
          </cell>
          <cell r="L1750">
            <v>0</v>
          </cell>
          <cell r="M1750">
            <v>0</v>
          </cell>
          <cell r="N1750">
            <v>0</v>
          </cell>
          <cell r="O1750">
            <v>0</v>
          </cell>
        </row>
        <row r="1751">
          <cell r="A1751" t="str">
            <v>GemplusINVESTMENT SECURITIES</v>
          </cell>
          <cell r="B1751">
            <v>0</v>
          </cell>
          <cell r="C1751">
            <v>0</v>
          </cell>
          <cell r="D1751">
            <v>0</v>
          </cell>
          <cell r="E1751">
            <v>0</v>
          </cell>
          <cell r="F1751">
            <v>0</v>
          </cell>
          <cell r="G1751">
            <v>0</v>
          </cell>
          <cell r="H1751">
            <v>0</v>
          </cell>
          <cell r="I1751">
            <v>0</v>
          </cell>
          <cell r="J1751">
            <v>0</v>
          </cell>
          <cell r="K1751">
            <v>0</v>
          </cell>
          <cell r="L1751">
            <v>0</v>
          </cell>
          <cell r="M1751">
            <v>0</v>
          </cell>
          <cell r="N1751">
            <v>0</v>
          </cell>
          <cell r="O1751">
            <v>0</v>
          </cell>
        </row>
        <row r="1752">
          <cell r="A1752" t="str">
            <v>GemplusINV IN NON CONSOL AFFILIATES</v>
          </cell>
          <cell r="B1752">
            <v>0</v>
          </cell>
          <cell r="C1752">
            <v>0</v>
          </cell>
          <cell r="D1752">
            <v>0</v>
          </cell>
          <cell r="E1752">
            <v>0</v>
          </cell>
          <cell r="F1752">
            <v>0</v>
          </cell>
          <cell r="G1752">
            <v>0</v>
          </cell>
          <cell r="H1752">
            <v>0</v>
          </cell>
          <cell r="I1752">
            <v>0</v>
          </cell>
          <cell r="J1752">
            <v>0</v>
          </cell>
          <cell r="K1752">
            <v>0</v>
          </cell>
          <cell r="L1752">
            <v>0</v>
          </cell>
          <cell r="M1752">
            <v>0</v>
          </cell>
          <cell r="N1752">
            <v>0</v>
          </cell>
          <cell r="O1752">
            <v>0</v>
          </cell>
        </row>
        <row r="1753">
          <cell r="A1753" t="str">
            <v>GemplusINVESTMENT IN JOINT VENTURE</v>
          </cell>
          <cell r="B1753">
            <v>0</v>
          </cell>
          <cell r="C1753">
            <v>0</v>
          </cell>
          <cell r="D1753">
            <v>0</v>
          </cell>
          <cell r="E1753">
            <v>0</v>
          </cell>
          <cell r="F1753">
            <v>0</v>
          </cell>
          <cell r="G1753">
            <v>0</v>
          </cell>
          <cell r="H1753">
            <v>0</v>
          </cell>
          <cell r="I1753">
            <v>0</v>
          </cell>
          <cell r="J1753">
            <v>0</v>
          </cell>
          <cell r="K1753">
            <v>0</v>
          </cell>
          <cell r="L1753">
            <v>0</v>
          </cell>
          <cell r="M1753">
            <v>0</v>
          </cell>
          <cell r="N1753">
            <v>0</v>
          </cell>
          <cell r="O1753">
            <v>0</v>
          </cell>
        </row>
        <row r="1754">
          <cell r="A1754" t="str">
            <v>GemplusALL OTHER RECEIVABLES (NON-FINANCING)</v>
          </cell>
          <cell r="B1754">
            <v>0</v>
          </cell>
          <cell r="C1754">
            <v>0</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GemplusELTO (NET)</v>
          </cell>
          <cell r="B1755">
            <v>0</v>
          </cell>
          <cell r="C1755">
            <v>0</v>
          </cell>
          <cell r="D1755">
            <v>0</v>
          </cell>
          <cell r="E1755">
            <v>0</v>
          </cell>
          <cell r="F1755">
            <v>0</v>
          </cell>
          <cell r="G1755">
            <v>0</v>
          </cell>
          <cell r="H1755">
            <v>0</v>
          </cell>
          <cell r="I1755">
            <v>0</v>
          </cell>
          <cell r="J1755">
            <v>0</v>
          </cell>
          <cell r="K1755">
            <v>0</v>
          </cell>
          <cell r="L1755">
            <v>0</v>
          </cell>
          <cell r="M1755">
            <v>0</v>
          </cell>
          <cell r="N1755">
            <v>0</v>
          </cell>
          <cell r="O1755">
            <v>0</v>
          </cell>
        </row>
        <row r="1756">
          <cell r="A1756" t="str">
            <v>GemplusGOODWILL</v>
          </cell>
          <cell r="B1756">
            <v>0</v>
          </cell>
          <cell r="C1756">
            <v>0</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GemplusOTHER ASSETS</v>
          </cell>
          <cell r="B1757">
            <v>0</v>
          </cell>
          <cell r="C1757">
            <v>0</v>
          </cell>
          <cell r="D1757">
            <v>0</v>
          </cell>
          <cell r="E1757">
            <v>0</v>
          </cell>
          <cell r="F1757">
            <v>0</v>
          </cell>
          <cell r="G1757">
            <v>0</v>
          </cell>
          <cell r="H1757">
            <v>0</v>
          </cell>
          <cell r="I1757">
            <v>0</v>
          </cell>
          <cell r="J1757">
            <v>0</v>
          </cell>
          <cell r="K1757">
            <v>0</v>
          </cell>
          <cell r="L1757">
            <v>0</v>
          </cell>
          <cell r="M1757">
            <v>0</v>
          </cell>
          <cell r="N1757">
            <v>0</v>
          </cell>
          <cell r="O1757">
            <v>0</v>
          </cell>
        </row>
        <row r="1758">
          <cell r="A1758" t="str">
            <v>GemplusACCOUNTS PAYABLE</v>
          </cell>
          <cell r="B1758">
            <v>0</v>
          </cell>
          <cell r="C1758">
            <v>0</v>
          </cell>
          <cell r="D1758">
            <v>0</v>
          </cell>
          <cell r="E1758">
            <v>0</v>
          </cell>
          <cell r="F1758">
            <v>0</v>
          </cell>
          <cell r="G1758">
            <v>0</v>
          </cell>
          <cell r="H1758">
            <v>0</v>
          </cell>
          <cell r="I1758">
            <v>0</v>
          </cell>
          <cell r="J1758">
            <v>0</v>
          </cell>
          <cell r="K1758">
            <v>0</v>
          </cell>
          <cell r="L1758">
            <v>0</v>
          </cell>
          <cell r="M1758">
            <v>0</v>
          </cell>
          <cell r="N1758">
            <v>0</v>
          </cell>
          <cell r="O1758">
            <v>0</v>
          </cell>
        </row>
        <row r="1759">
          <cell r="A1759" t="str">
            <v>GemplusDEFERRED INCOME TAXES</v>
          </cell>
          <cell r="B1759">
            <v>0</v>
          </cell>
          <cell r="C1759">
            <v>0</v>
          </cell>
          <cell r="D1759">
            <v>0</v>
          </cell>
          <cell r="E1759">
            <v>0</v>
          </cell>
          <cell r="F1759">
            <v>0</v>
          </cell>
          <cell r="G1759">
            <v>0</v>
          </cell>
          <cell r="H1759">
            <v>0</v>
          </cell>
          <cell r="I1759">
            <v>0</v>
          </cell>
          <cell r="J1759">
            <v>0</v>
          </cell>
          <cell r="K1759">
            <v>0</v>
          </cell>
          <cell r="L1759">
            <v>0</v>
          </cell>
          <cell r="M1759">
            <v>0</v>
          </cell>
          <cell r="N1759">
            <v>0</v>
          </cell>
          <cell r="O1759">
            <v>0</v>
          </cell>
        </row>
        <row r="1760">
          <cell r="A1760" t="str">
            <v>GemplusWRITE-OFF (MEMO)</v>
          </cell>
          <cell r="B1760">
            <v>0</v>
          </cell>
          <cell r="C1760">
            <v>0</v>
          </cell>
          <cell r="D1760">
            <v>0</v>
          </cell>
          <cell r="E1760">
            <v>0</v>
          </cell>
          <cell r="F1760">
            <v>0</v>
          </cell>
          <cell r="G1760">
            <v>0</v>
          </cell>
          <cell r="H1760">
            <v>0</v>
          </cell>
          <cell r="I1760">
            <v>0</v>
          </cell>
          <cell r="J1760">
            <v>0</v>
          </cell>
          <cell r="K1760">
            <v>0</v>
          </cell>
          <cell r="L1760">
            <v>0</v>
          </cell>
          <cell r="M1760">
            <v>0</v>
          </cell>
          <cell r="N1760">
            <v>0</v>
          </cell>
          <cell r="O1760">
            <v>0</v>
          </cell>
        </row>
        <row r="1761">
          <cell r="A1761" t="str">
            <v>GemplusINSURANCE RESERVES AND ANNUITY BENEFITS</v>
          </cell>
          <cell r="B1761">
            <v>0</v>
          </cell>
          <cell r="C1761">
            <v>0</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GemplusALL OTHER NON DEBT LIABILITIES</v>
          </cell>
          <cell r="B1762">
            <v>0</v>
          </cell>
          <cell r="C1762">
            <v>0</v>
          </cell>
          <cell r="D1762">
            <v>0</v>
          </cell>
          <cell r="E1762">
            <v>0</v>
          </cell>
          <cell r="F1762">
            <v>0</v>
          </cell>
          <cell r="G1762">
            <v>0</v>
          </cell>
          <cell r="H1762">
            <v>0</v>
          </cell>
          <cell r="I1762">
            <v>0</v>
          </cell>
          <cell r="J1762">
            <v>0</v>
          </cell>
          <cell r="K1762">
            <v>0</v>
          </cell>
          <cell r="L1762">
            <v>0</v>
          </cell>
          <cell r="M1762">
            <v>0</v>
          </cell>
          <cell r="N1762">
            <v>0</v>
          </cell>
          <cell r="O1762">
            <v>0</v>
          </cell>
        </row>
        <row r="1763">
          <cell r="A1763" t="str">
            <v>GemplusMINORITY INTEREST (BS)</v>
          </cell>
          <cell r="B1763">
            <v>0</v>
          </cell>
          <cell r="C1763">
            <v>0</v>
          </cell>
          <cell r="D1763">
            <v>0</v>
          </cell>
          <cell r="E1763">
            <v>0</v>
          </cell>
          <cell r="F1763">
            <v>0</v>
          </cell>
          <cell r="G1763">
            <v>0</v>
          </cell>
          <cell r="H1763">
            <v>0</v>
          </cell>
          <cell r="I1763">
            <v>0</v>
          </cell>
          <cell r="J1763">
            <v>0</v>
          </cell>
          <cell r="K1763">
            <v>0</v>
          </cell>
          <cell r="L1763">
            <v>0</v>
          </cell>
          <cell r="M1763">
            <v>0</v>
          </cell>
          <cell r="N1763">
            <v>0</v>
          </cell>
          <cell r="O1763">
            <v>0</v>
          </cell>
        </row>
        <row r="1764">
          <cell r="A1764" t="str">
            <v>GemplusASIA PACIFIC ENI DIVIDEND</v>
          </cell>
          <cell r="B1764">
            <v>0</v>
          </cell>
          <cell r="C1764">
            <v>0</v>
          </cell>
          <cell r="D1764">
            <v>0</v>
          </cell>
          <cell r="E1764">
            <v>0</v>
          </cell>
          <cell r="F1764">
            <v>0</v>
          </cell>
          <cell r="G1764">
            <v>0</v>
          </cell>
          <cell r="H1764">
            <v>0</v>
          </cell>
          <cell r="I1764">
            <v>0</v>
          </cell>
          <cell r="J1764">
            <v>0</v>
          </cell>
          <cell r="K1764">
            <v>0</v>
          </cell>
          <cell r="L1764">
            <v>0</v>
          </cell>
          <cell r="M1764">
            <v>0</v>
          </cell>
          <cell r="N1764">
            <v>0</v>
          </cell>
          <cell r="O1764">
            <v>0</v>
          </cell>
        </row>
        <row r="1765">
          <cell r="A1765" t="str">
            <v>GemplusFINANCING INCOME</v>
          </cell>
          <cell r="B1765">
            <v>0</v>
          </cell>
          <cell r="C1765">
            <v>0</v>
          </cell>
          <cell r="D1765">
            <v>0</v>
          </cell>
          <cell r="E1765">
            <v>0</v>
          </cell>
          <cell r="F1765">
            <v>0</v>
          </cell>
          <cell r="G1765">
            <v>0</v>
          </cell>
          <cell r="H1765">
            <v>0</v>
          </cell>
          <cell r="I1765">
            <v>0</v>
          </cell>
          <cell r="J1765">
            <v>0</v>
          </cell>
          <cell r="K1765">
            <v>0</v>
          </cell>
          <cell r="L1765">
            <v>0</v>
          </cell>
          <cell r="M1765">
            <v>0</v>
          </cell>
          <cell r="N1765">
            <v>0</v>
          </cell>
          <cell r="O1765">
            <v>0</v>
          </cell>
        </row>
        <row r="1766">
          <cell r="A1766" t="str">
            <v>GemplusINSURANCE PREMIUM INCOME</v>
          </cell>
          <cell r="B1766">
            <v>0</v>
          </cell>
          <cell r="C1766">
            <v>0</v>
          </cell>
          <cell r="D1766">
            <v>0</v>
          </cell>
          <cell r="E1766">
            <v>0</v>
          </cell>
          <cell r="F1766">
            <v>0</v>
          </cell>
          <cell r="G1766">
            <v>0</v>
          </cell>
          <cell r="H1766">
            <v>0</v>
          </cell>
          <cell r="I1766">
            <v>0</v>
          </cell>
          <cell r="J1766">
            <v>0</v>
          </cell>
          <cell r="K1766">
            <v>0</v>
          </cell>
          <cell r="L1766">
            <v>0</v>
          </cell>
          <cell r="M1766">
            <v>0</v>
          </cell>
          <cell r="N1766">
            <v>0</v>
          </cell>
          <cell r="O1766">
            <v>0</v>
          </cell>
        </row>
        <row r="1767">
          <cell r="A1767" t="str">
            <v>GemplusINSURANCE INCOME (COMMISSIONS)</v>
          </cell>
          <cell r="B1767">
            <v>0</v>
          </cell>
          <cell r="C1767">
            <v>0</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GemplusSUNDRY INCOME</v>
          </cell>
          <cell r="B1768">
            <v>0</v>
          </cell>
          <cell r="C1768">
            <v>0</v>
          </cell>
          <cell r="D1768">
            <v>0</v>
          </cell>
          <cell r="E1768">
            <v>0</v>
          </cell>
          <cell r="F1768">
            <v>0</v>
          </cell>
          <cell r="G1768">
            <v>0</v>
          </cell>
          <cell r="H1768">
            <v>0</v>
          </cell>
          <cell r="I1768">
            <v>0</v>
          </cell>
          <cell r="J1768">
            <v>0</v>
          </cell>
          <cell r="K1768">
            <v>0</v>
          </cell>
          <cell r="L1768">
            <v>0</v>
          </cell>
          <cell r="M1768">
            <v>0</v>
          </cell>
          <cell r="N1768">
            <v>0</v>
          </cell>
          <cell r="O1768">
            <v>0</v>
          </cell>
        </row>
        <row r="1769">
          <cell r="A1769" t="str">
            <v>GemplusINTEREST EXPENSE</v>
          </cell>
          <cell r="B1769">
            <v>0</v>
          </cell>
          <cell r="C1769">
            <v>0</v>
          </cell>
          <cell r="D1769">
            <v>0</v>
          </cell>
          <cell r="E1769">
            <v>0</v>
          </cell>
          <cell r="F1769">
            <v>0</v>
          </cell>
          <cell r="G1769">
            <v>186518.455285</v>
          </cell>
          <cell r="H1769">
            <v>186518.455285</v>
          </cell>
          <cell r="I1769">
            <v>186518.455285</v>
          </cell>
          <cell r="J1769">
            <v>186518.455285</v>
          </cell>
          <cell r="K1769">
            <v>746073.821138</v>
          </cell>
          <cell r="L1769">
            <v>0</v>
          </cell>
          <cell r="M1769">
            <v>746073.821138</v>
          </cell>
          <cell r="N1769">
            <v>746073.821138</v>
          </cell>
          <cell r="O1769">
            <v>746073.821138</v>
          </cell>
        </row>
        <row r="1770">
          <cell r="A1770" t="str">
            <v>GemplusINTEREST EXPENSE REDUCTIONS / BUS SHARING</v>
          </cell>
          <cell r="B1770">
            <v>186518.46</v>
          </cell>
          <cell r="C1770">
            <v>131795.74</v>
          </cell>
          <cell r="D1770">
            <v>435813</v>
          </cell>
          <cell r="E1770">
            <v>589239</v>
          </cell>
          <cell r="F1770">
            <v>1343366.2</v>
          </cell>
          <cell r="G1770">
            <v>0</v>
          </cell>
          <cell r="H1770">
            <v>0</v>
          </cell>
          <cell r="I1770">
            <v>0</v>
          </cell>
          <cell r="J1770">
            <v>0</v>
          </cell>
          <cell r="K1770">
            <v>0</v>
          </cell>
          <cell r="L1770">
            <v>622401</v>
          </cell>
          <cell r="M1770">
            <v>0</v>
          </cell>
          <cell r="N1770">
            <v>0</v>
          </cell>
          <cell r="O1770">
            <v>0</v>
          </cell>
        </row>
        <row r="1771">
          <cell r="A1771" t="str">
            <v>GemplusALLOCATED COST OF PREFERRED EQUITY</v>
          </cell>
          <cell r="B1771">
            <v>0</v>
          </cell>
          <cell r="C1771">
            <v>0</v>
          </cell>
          <cell r="D1771">
            <v>0</v>
          </cell>
          <cell r="E1771">
            <v>0</v>
          </cell>
          <cell r="F1771">
            <v>0</v>
          </cell>
          <cell r="G1771">
            <v>0</v>
          </cell>
          <cell r="H1771">
            <v>0</v>
          </cell>
          <cell r="I1771">
            <v>0</v>
          </cell>
          <cell r="J1771">
            <v>0</v>
          </cell>
          <cell r="K1771">
            <v>0</v>
          </cell>
          <cell r="L1771">
            <v>0</v>
          </cell>
          <cell r="M1771">
            <v>0</v>
          </cell>
          <cell r="N1771">
            <v>0</v>
          </cell>
          <cell r="O1771">
            <v>0</v>
          </cell>
        </row>
        <row r="1772">
          <cell r="A1772" t="str">
            <v>GemplusSALARIES &amp; BENEFITS</v>
          </cell>
          <cell r="B1772">
            <v>0</v>
          </cell>
          <cell r="C1772">
            <v>0</v>
          </cell>
          <cell r="D1772">
            <v>0</v>
          </cell>
          <cell r="E1772">
            <v>0</v>
          </cell>
          <cell r="F1772">
            <v>0</v>
          </cell>
          <cell r="G1772">
            <v>0</v>
          </cell>
          <cell r="H1772">
            <v>0</v>
          </cell>
          <cell r="I1772">
            <v>0</v>
          </cell>
          <cell r="J1772">
            <v>0</v>
          </cell>
          <cell r="K1772">
            <v>0</v>
          </cell>
          <cell r="L1772">
            <v>0</v>
          </cell>
          <cell r="M1772">
            <v>0</v>
          </cell>
          <cell r="N1772">
            <v>0</v>
          </cell>
          <cell r="O1772">
            <v>0</v>
          </cell>
        </row>
        <row r="1773">
          <cell r="A1773" t="str">
            <v>GemplusLOSSES ON OTHER ASSETS</v>
          </cell>
          <cell r="B1773">
            <v>0</v>
          </cell>
          <cell r="C1773">
            <v>0</v>
          </cell>
          <cell r="D1773">
            <v>0</v>
          </cell>
          <cell r="E1773">
            <v>0</v>
          </cell>
          <cell r="F1773">
            <v>0</v>
          </cell>
          <cell r="G1773">
            <v>0</v>
          </cell>
          <cell r="H1773">
            <v>0</v>
          </cell>
          <cell r="I1773">
            <v>0</v>
          </cell>
          <cell r="J1773">
            <v>0</v>
          </cell>
          <cell r="K1773">
            <v>0</v>
          </cell>
          <cell r="L1773">
            <v>0</v>
          </cell>
          <cell r="M1773">
            <v>0</v>
          </cell>
          <cell r="N1773">
            <v>0</v>
          </cell>
          <cell r="O1773">
            <v>0</v>
          </cell>
        </row>
        <row r="1774">
          <cell r="A1774" t="str">
            <v>GemplusCOST OF GOODS SOLD</v>
          </cell>
          <cell r="B1774">
            <v>0</v>
          </cell>
          <cell r="C1774">
            <v>0</v>
          </cell>
          <cell r="D1774">
            <v>0</v>
          </cell>
          <cell r="E1774">
            <v>0</v>
          </cell>
          <cell r="F1774">
            <v>0</v>
          </cell>
          <cell r="G1774">
            <v>0</v>
          </cell>
          <cell r="H1774">
            <v>0</v>
          </cell>
          <cell r="I1774">
            <v>0</v>
          </cell>
          <cell r="J1774">
            <v>0</v>
          </cell>
          <cell r="K1774">
            <v>0</v>
          </cell>
          <cell r="L1774">
            <v>0</v>
          </cell>
          <cell r="M1774">
            <v>0</v>
          </cell>
          <cell r="N1774">
            <v>0</v>
          </cell>
          <cell r="O1774">
            <v>0</v>
          </cell>
        </row>
        <row r="1775">
          <cell r="A1775" t="str">
            <v>GemplusCOST OF GOODS SOLD - DISTRIBUTION</v>
          </cell>
          <cell r="B1775">
            <v>0</v>
          </cell>
          <cell r="C1775">
            <v>0</v>
          </cell>
          <cell r="D1775">
            <v>0</v>
          </cell>
          <cell r="E1775">
            <v>0</v>
          </cell>
          <cell r="F1775">
            <v>0</v>
          </cell>
          <cell r="G1775">
            <v>0</v>
          </cell>
          <cell r="H1775">
            <v>0</v>
          </cell>
          <cell r="I1775">
            <v>0</v>
          </cell>
          <cell r="J1775">
            <v>0</v>
          </cell>
          <cell r="K1775">
            <v>0</v>
          </cell>
          <cell r="L1775">
            <v>0</v>
          </cell>
          <cell r="M1775">
            <v>0</v>
          </cell>
          <cell r="N1775">
            <v>0</v>
          </cell>
          <cell r="O1775">
            <v>0</v>
          </cell>
        </row>
        <row r="1776">
          <cell r="A1776" t="str">
            <v>GemplusPOSTAGE</v>
          </cell>
          <cell r="B1776">
            <v>0</v>
          </cell>
          <cell r="C1776">
            <v>0</v>
          </cell>
          <cell r="D1776">
            <v>0</v>
          </cell>
          <cell r="E1776">
            <v>0</v>
          </cell>
          <cell r="F1776">
            <v>0</v>
          </cell>
          <cell r="G1776">
            <v>0</v>
          </cell>
          <cell r="H1776">
            <v>0</v>
          </cell>
          <cell r="I1776">
            <v>0</v>
          </cell>
          <cell r="J1776">
            <v>0</v>
          </cell>
          <cell r="K1776">
            <v>0</v>
          </cell>
          <cell r="L1776">
            <v>0</v>
          </cell>
          <cell r="M1776">
            <v>0</v>
          </cell>
          <cell r="N1776">
            <v>0</v>
          </cell>
          <cell r="O1776">
            <v>0</v>
          </cell>
        </row>
        <row r="1777">
          <cell r="A1777" t="str">
            <v>GemplusTELEPHONE</v>
          </cell>
          <cell r="B1777">
            <v>0</v>
          </cell>
          <cell r="C1777">
            <v>0</v>
          </cell>
          <cell r="D1777">
            <v>0</v>
          </cell>
          <cell r="E1777">
            <v>0</v>
          </cell>
          <cell r="F1777">
            <v>0</v>
          </cell>
          <cell r="G1777">
            <v>0</v>
          </cell>
          <cell r="H1777">
            <v>0</v>
          </cell>
          <cell r="I1777">
            <v>0</v>
          </cell>
          <cell r="J1777">
            <v>0</v>
          </cell>
          <cell r="K1777">
            <v>0</v>
          </cell>
          <cell r="L1777">
            <v>0</v>
          </cell>
          <cell r="M1777">
            <v>0</v>
          </cell>
          <cell r="N1777">
            <v>0</v>
          </cell>
          <cell r="O1777">
            <v>0</v>
          </cell>
        </row>
        <row r="1778">
          <cell r="A1778" t="str">
            <v>GemplusCUSTOMER SERVICE / COLLECTIONS</v>
          </cell>
          <cell r="B1778">
            <v>0</v>
          </cell>
          <cell r="C1778">
            <v>0</v>
          </cell>
          <cell r="D1778">
            <v>0</v>
          </cell>
          <cell r="E1778">
            <v>0</v>
          </cell>
          <cell r="F1778">
            <v>0</v>
          </cell>
          <cell r="G1778">
            <v>0</v>
          </cell>
          <cell r="H1778">
            <v>0</v>
          </cell>
          <cell r="I1778">
            <v>0</v>
          </cell>
          <cell r="J1778">
            <v>0</v>
          </cell>
          <cell r="K1778">
            <v>0</v>
          </cell>
          <cell r="L1778">
            <v>0</v>
          </cell>
          <cell r="M1778">
            <v>0</v>
          </cell>
          <cell r="N1778">
            <v>0</v>
          </cell>
          <cell r="O1778">
            <v>0</v>
          </cell>
        </row>
        <row r="1779">
          <cell r="A1779" t="str">
            <v>GemplusSTATIONARY - OFFICE SUPPLIES</v>
          </cell>
          <cell r="B1779">
            <v>0</v>
          </cell>
          <cell r="C1779">
            <v>0</v>
          </cell>
          <cell r="D1779">
            <v>0</v>
          </cell>
          <cell r="E1779">
            <v>0</v>
          </cell>
          <cell r="F1779">
            <v>0</v>
          </cell>
          <cell r="G1779">
            <v>0</v>
          </cell>
          <cell r="H1779">
            <v>0</v>
          </cell>
          <cell r="I1779">
            <v>0</v>
          </cell>
          <cell r="J1779">
            <v>0</v>
          </cell>
          <cell r="K1779">
            <v>0</v>
          </cell>
          <cell r="L1779">
            <v>0</v>
          </cell>
          <cell r="M1779">
            <v>0</v>
          </cell>
          <cell r="N1779">
            <v>0</v>
          </cell>
          <cell r="O1779">
            <v>0</v>
          </cell>
        </row>
        <row r="1780">
          <cell r="A1780" t="str">
            <v>GemplusT&amp;L</v>
          </cell>
          <cell r="B1780">
            <v>0</v>
          </cell>
          <cell r="C1780">
            <v>0</v>
          </cell>
          <cell r="D1780">
            <v>0</v>
          </cell>
          <cell r="E1780">
            <v>0</v>
          </cell>
          <cell r="F1780">
            <v>0</v>
          </cell>
          <cell r="G1780">
            <v>0</v>
          </cell>
          <cell r="H1780">
            <v>0</v>
          </cell>
          <cell r="I1780">
            <v>0</v>
          </cell>
          <cell r="J1780">
            <v>0</v>
          </cell>
          <cell r="K1780">
            <v>0</v>
          </cell>
          <cell r="L1780">
            <v>0</v>
          </cell>
          <cell r="M1780">
            <v>0</v>
          </cell>
          <cell r="N1780">
            <v>0</v>
          </cell>
          <cell r="O1780">
            <v>0</v>
          </cell>
        </row>
        <row r="1781">
          <cell r="A1781" t="str">
            <v>GemplusRENTAL - BLDG/FACILITIES</v>
          </cell>
          <cell r="B1781">
            <v>0</v>
          </cell>
          <cell r="C1781">
            <v>0</v>
          </cell>
          <cell r="D1781">
            <v>0</v>
          </cell>
          <cell r="E1781">
            <v>0</v>
          </cell>
          <cell r="F1781">
            <v>0</v>
          </cell>
          <cell r="G1781">
            <v>0</v>
          </cell>
          <cell r="H1781">
            <v>0</v>
          </cell>
          <cell r="I1781">
            <v>0</v>
          </cell>
          <cell r="J1781">
            <v>0</v>
          </cell>
          <cell r="K1781">
            <v>0</v>
          </cell>
          <cell r="L1781">
            <v>0</v>
          </cell>
          <cell r="M1781">
            <v>0</v>
          </cell>
          <cell r="N1781">
            <v>0</v>
          </cell>
          <cell r="O1781">
            <v>0</v>
          </cell>
        </row>
        <row r="1782">
          <cell r="A1782" t="str">
            <v>GemplusRENTAL - FURNITURE/EQUIP</v>
          </cell>
          <cell r="B1782">
            <v>0</v>
          </cell>
          <cell r="C1782">
            <v>0</v>
          </cell>
          <cell r="D1782">
            <v>0</v>
          </cell>
          <cell r="E1782">
            <v>0</v>
          </cell>
          <cell r="F1782">
            <v>0</v>
          </cell>
          <cell r="G1782">
            <v>0</v>
          </cell>
          <cell r="H1782">
            <v>0</v>
          </cell>
          <cell r="I1782">
            <v>0</v>
          </cell>
          <cell r="J1782">
            <v>0</v>
          </cell>
          <cell r="K1782">
            <v>0</v>
          </cell>
          <cell r="L1782">
            <v>0</v>
          </cell>
          <cell r="M1782">
            <v>0</v>
          </cell>
          <cell r="N1782">
            <v>0</v>
          </cell>
          <cell r="O1782">
            <v>0</v>
          </cell>
        </row>
        <row r="1783">
          <cell r="A1783" t="str">
            <v>GemplusRENTAL - COMPUTERS</v>
          </cell>
          <cell r="B1783">
            <v>0</v>
          </cell>
          <cell r="C1783">
            <v>0</v>
          </cell>
          <cell r="D1783">
            <v>0</v>
          </cell>
          <cell r="E1783">
            <v>0</v>
          </cell>
          <cell r="F1783">
            <v>0</v>
          </cell>
          <cell r="G1783">
            <v>0</v>
          </cell>
          <cell r="H1783">
            <v>0</v>
          </cell>
          <cell r="I1783">
            <v>0</v>
          </cell>
          <cell r="J1783">
            <v>0</v>
          </cell>
          <cell r="K1783">
            <v>0</v>
          </cell>
          <cell r="L1783">
            <v>0</v>
          </cell>
          <cell r="M1783">
            <v>0</v>
          </cell>
          <cell r="N1783">
            <v>0</v>
          </cell>
          <cell r="O1783">
            <v>0</v>
          </cell>
        </row>
        <row r="1784">
          <cell r="A1784" t="str">
            <v>GemplusLEASE IN - LEASE OUT</v>
          </cell>
          <cell r="B1784">
            <v>0</v>
          </cell>
          <cell r="C1784">
            <v>0</v>
          </cell>
          <cell r="D1784">
            <v>0</v>
          </cell>
          <cell r="E1784">
            <v>0</v>
          </cell>
          <cell r="F1784">
            <v>0</v>
          </cell>
          <cell r="G1784">
            <v>0</v>
          </cell>
          <cell r="H1784">
            <v>0</v>
          </cell>
          <cell r="I1784">
            <v>0</v>
          </cell>
          <cell r="J1784">
            <v>0</v>
          </cell>
          <cell r="K1784">
            <v>0</v>
          </cell>
          <cell r="L1784">
            <v>0</v>
          </cell>
          <cell r="M1784">
            <v>0</v>
          </cell>
          <cell r="N1784">
            <v>0</v>
          </cell>
          <cell r="O1784">
            <v>0</v>
          </cell>
        </row>
        <row r="1785">
          <cell r="A1785" t="str">
            <v>GemplusFURNITURE / EQUIPMENT / COMPUTER EXP</v>
          </cell>
          <cell r="B1785">
            <v>0</v>
          </cell>
          <cell r="C1785">
            <v>0</v>
          </cell>
          <cell r="D1785">
            <v>0</v>
          </cell>
          <cell r="E1785">
            <v>0</v>
          </cell>
          <cell r="F1785">
            <v>0</v>
          </cell>
          <cell r="G1785">
            <v>0</v>
          </cell>
          <cell r="H1785">
            <v>0</v>
          </cell>
          <cell r="I1785">
            <v>0</v>
          </cell>
          <cell r="J1785">
            <v>0</v>
          </cell>
          <cell r="K1785">
            <v>0</v>
          </cell>
          <cell r="L1785">
            <v>0</v>
          </cell>
          <cell r="M1785">
            <v>0</v>
          </cell>
          <cell r="N1785">
            <v>0</v>
          </cell>
          <cell r="O1785">
            <v>0</v>
          </cell>
        </row>
        <row r="1786">
          <cell r="A1786" t="str">
            <v>GemplusSOFTWARE EXPENSE</v>
          </cell>
          <cell r="B1786">
            <v>0</v>
          </cell>
          <cell r="C1786">
            <v>0</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GemplusAMORTIZATION OF INTANGIBLES</v>
          </cell>
          <cell r="B1787">
            <v>0</v>
          </cell>
          <cell r="C1787">
            <v>0</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GemplusELTO MAINTENANCE</v>
          </cell>
          <cell r="B1788">
            <v>0</v>
          </cell>
          <cell r="C1788">
            <v>0</v>
          </cell>
          <cell r="D1788">
            <v>0</v>
          </cell>
          <cell r="E1788">
            <v>0</v>
          </cell>
          <cell r="F1788">
            <v>0</v>
          </cell>
          <cell r="G1788">
            <v>0</v>
          </cell>
          <cell r="H1788">
            <v>0</v>
          </cell>
          <cell r="I1788">
            <v>0</v>
          </cell>
          <cell r="J1788">
            <v>0</v>
          </cell>
          <cell r="K1788">
            <v>0</v>
          </cell>
          <cell r="L1788">
            <v>0</v>
          </cell>
          <cell r="M1788">
            <v>0</v>
          </cell>
          <cell r="N1788">
            <v>0</v>
          </cell>
          <cell r="O1788">
            <v>0</v>
          </cell>
        </row>
        <row r="1789">
          <cell r="A1789" t="str">
            <v>GemplusELTO OTHER</v>
          </cell>
          <cell r="B1789">
            <v>0</v>
          </cell>
          <cell r="C1789">
            <v>0</v>
          </cell>
          <cell r="D1789">
            <v>0</v>
          </cell>
          <cell r="E1789">
            <v>0</v>
          </cell>
          <cell r="F1789">
            <v>0</v>
          </cell>
          <cell r="G1789">
            <v>0</v>
          </cell>
          <cell r="H1789">
            <v>0</v>
          </cell>
          <cell r="I1789">
            <v>0</v>
          </cell>
          <cell r="J1789">
            <v>0</v>
          </cell>
          <cell r="K1789">
            <v>0</v>
          </cell>
          <cell r="L1789">
            <v>0</v>
          </cell>
          <cell r="M1789">
            <v>0</v>
          </cell>
          <cell r="N1789">
            <v>0</v>
          </cell>
          <cell r="O1789">
            <v>0</v>
          </cell>
        </row>
        <row r="1790">
          <cell r="A1790" t="str">
            <v>GemplusLEGAL</v>
          </cell>
          <cell r="B1790">
            <v>0</v>
          </cell>
          <cell r="C1790">
            <v>0</v>
          </cell>
          <cell r="D1790">
            <v>0</v>
          </cell>
          <cell r="E1790">
            <v>0</v>
          </cell>
          <cell r="F1790">
            <v>0</v>
          </cell>
          <cell r="G1790">
            <v>0</v>
          </cell>
          <cell r="H1790">
            <v>0</v>
          </cell>
          <cell r="I1790">
            <v>0</v>
          </cell>
          <cell r="J1790">
            <v>0</v>
          </cell>
          <cell r="K1790">
            <v>0</v>
          </cell>
          <cell r="L1790">
            <v>0</v>
          </cell>
          <cell r="M1790">
            <v>0</v>
          </cell>
          <cell r="N1790">
            <v>0</v>
          </cell>
          <cell r="O1790">
            <v>0</v>
          </cell>
        </row>
        <row r="1791">
          <cell r="A1791" t="str">
            <v>GemplusADVERTISING</v>
          </cell>
          <cell r="B1791">
            <v>0</v>
          </cell>
          <cell r="C1791">
            <v>0</v>
          </cell>
          <cell r="D1791">
            <v>0</v>
          </cell>
          <cell r="E1791">
            <v>0</v>
          </cell>
          <cell r="F1791">
            <v>0</v>
          </cell>
          <cell r="G1791">
            <v>0</v>
          </cell>
          <cell r="H1791">
            <v>0</v>
          </cell>
          <cell r="I1791">
            <v>0</v>
          </cell>
          <cell r="J1791">
            <v>0</v>
          </cell>
          <cell r="K1791">
            <v>0</v>
          </cell>
          <cell r="L1791">
            <v>0</v>
          </cell>
          <cell r="M1791">
            <v>0</v>
          </cell>
          <cell r="N1791">
            <v>0</v>
          </cell>
          <cell r="O1791">
            <v>0</v>
          </cell>
        </row>
        <row r="1792">
          <cell r="A1792" t="str">
            <v>GemplusSALES PROMOTIONS</v>
          </cell>
          <cell r="B1792">
            <v>0</v>
          </cell>
          <cell r="C1792">
            <v>0</v>
          </cell>
          <cell r="D1792">
            <v>0</v>
          </cell>
          <cell r="E1792">
            <v>0</v>
          </cell>
          <cell r="F1792">
            <v>0</v>
          </cell>
          <cell r="G1792">
            <v>0</v>
          </cell>
          <cell r="H1792">
            <v>0</v>
          </cell>
          <cell r="I1792">
            <v>0</v>
          </cell>
          <cell r="J1792">
            <v>0</v>
          </cell>
          <cell r="K1792">
            <v>0</v>
          </cell>
          <cell r="L1792">
            <v>0</v>
          </cell>
          <cell r="M1792">
            <v>0</v>
          </cell>
          <cell r="N1792">
            <v>0</v>
          </cell>
          <cell r="O1792">
            <v>0</v>
          </cell>
        </row>
        <row r="1793">
          <cell r="A1793" t="str">
            <v>GemplusDIRECT MAIL</v>
          </cell>
          <cell r="B1793">
            <v>0</v>
          </cell>
          <cell r="C1793">
            <v>0</v>
          </cell>
          <cell r="D1793">
            <v>0</v>
          </cell>
          <cell r="E1793">
            <v>0</v>
          </cell>
          <cell r="F1793">
            <v>0</v>
          </cell>
          <cell r="G1793">
            <v>0</v>
          </cell>
          <cell r="H1793">
            <v>0</v>
          </cell>
          <cell r="I1793">
            <v>0</v>
          </cell>
          <cell r="J1793">
            <v>0</v>
          </cell>
          <cell r="K1793">
            <v>0</v>
          </cell>
          <cell r="L1793">
            <v>0</v>
          </cell>
          <cell r="M1793">
            <v>0</v>
          </cell>
          <cell r="N1793">
            <v>0</v>
          </cell>
          <cell r="O1793">
            <v>0</v>
          </cell>
        </row>
        <row r="1794">
          <cell r="A1794" t="str">
            <v>GemplusDATA PROCESSING</v>
          </cell>
          <cell r="B1794">
            <v>0</v>
          </cell>
          <cell r="C1794">
            <v>0</v>
          </cell>
          <cell r="D1794">
            <v>0</v>
          </cell>
          <cell r="E1794">
            <v>0</v>
          </cell>
          <cell r="F1794">
            <v>0</v>
          </cell>
          <cell r="G1794">
            <v>0</v>
          </cell>
          <cell r="H1794">
            <v>0</v>
          </cell>
          <cell r="I1794">
            <v>0</v>
          </cell>
          <cell r="J1794">
            <v>0</v>
          </cell>
          <cell r="K1794">
            <v>0</v>
          </cell>
          <cell r="L1794">
            <v>0</v>
          </cell>
          <cell r="M1794">
            <v>0</v>
          </cell>
          <cell r="N1794">
            <v>0</v>
          </cell>
          <cell r="O1794">
            <v>0</v>
          </cell>
        </row>
        <row r="1795">
          <cell r="A1795" t="str">
            <v>GemplusCONSULTING</v>
          </cell>
          <cell r="B1795">
            <v>0</v>
          </cell>
          <cell r="C1795">
            <v>0</v>
          </cell>
          <cell r="D1795">
            <v>0</v>
          </cell>
          <cell r="E1795">
            <v>0</v>
          </cell>
          <cell r="F1795">
            <v>0</v>
          </cell>
          <cell r="G1795">
            <v>0</v>
          </cell>
          <cell r="H1795">
            <v>0</v>
          </cell>
          <cell r="I1795">
            <v>0</v>
          </cell>
          <cell r="J1795">
            <v>0</v>
          </cell>
          <cell r="K1795">
            <v>0</v>
          </cell>
          <cell r="L1795">
            <v>0</v>
          </cell>
          <cell r="M1795">
            <v>0</v>
          </cell>
          <cell r="N1795">
            <v>0</v>
          </cell>
          <cell r="O1795">
            <v>0</v>
          </cell>
        </row>
        <row r="1796">
          <cell r="A1796" t="str">
            <v>GemplusTEMP SERVICES</v>
          </cell>
          <cell r="B1796">
            <v>0</v>
          </cell>
          <cell r="C1796">
            <v>0</v>
          </cell>
          <cell r="D1796">
            <v>0</v>
          </cell>
          <cell r="E1796">
            <v>0</v>
          </cell>
          <cell r="F1796">
            <v>0</v>
          </cell>
          <cell r="G1796">
            <v>0</v>
          </cell>
          <cell r="H1796">
            <v>0</v>
          </cell>
          <cell r="I1796">
            <v>0</v>
          </cell>
          <cell r="J1796">
            <v>0</v>
          </cell>
          <cell r="K1796">
            <v>0</v>
          </cell>
          <cell r="L1796">
            <v>0</v>
          </cell>
          <cell r="M1796">
            <v>0</v>
          </cell>
          <cell r="N1796">
            <v>0</v>
          </cell>
          <cell r="O1796">
            <v>0</v>
          </cell>
        </row>
        <row r="1797">
          <cell r="A1797" t="str">
            <v>GemplusGDC CHARGES</v>
          </cell>
          <cell r="B1797">
            <v>0</v>
          </cell>
          <cell r="C1797">
            <v>0</v>
          </cell>
          <cell r="D1797">
            <v>0</v>
          </cell>
          <cell r="E1797">
            <v>0</v>
          </cell>
          <cell r="F1797">
            <v>0</v>
          </cell>
          <cell r="G1797">
            <v>0</v>
          </cell>
          <cell r="H1797">
            <v>0</v>
          </cell>
          <cell r="I1797">
            <v>0</v>
          </cell>
          <cell r="J1797">
            <v>0</v>
          </cell>
          <cell r="K1797">
            <v>0</v>
          </cell>
          <cell r="L1797">
            <v>0</v>
          </cell>
          <cell r="M1797">
            <v>0</v>
          </cell>
          <cell r="N1797">
            <v>0</v>
          </cell>
          <cell r="O1797">
            <v>0</v>
          </cell>
        </row>
        <row r="1798">
          <cell r="A1798" t="str">
            <v>GemplusTRAINING AND EDUCATION</v>
          </cell>
          <cell r="B1798">
            <v>0</v>
          </cell>
          <cell r="C1798">
            <v>0</v>
          </cell>
          <cell r="D1798">
            <v>0</v>
          </cell>
          <cell r="E1798">
            <v>0</v>
          </cell>
          <cell r="F1798">
            <v>0</v>
          </cell>
          <cell r="G1798">
            <v>0</v>
          </cell>
          <cell r="H1798">
            <v>0</v>
          </cell>
          <cell r="I1798">
            <v>0</v>
          </cell>
          <cell r="J1798">
            <v>0</v>
          </cell>
          <cell r="K1798">
            <v>0</v>
          </cell>
          <cell r="L1798">
            <v>0</v>
          </cell>
          <cell r="M1798">
            <v>0</v>
          </cell>
          <cell r="N1798">
            <v>0</v>
          </cell>
          <cell r="O1798">
            <v>0</v>
          </cell>
        </row>
        <row r="1799">
          <cell r="A1799" t="str">
            <v>GemplusOUTSIDE SERVICES  AND FEES</v>
          </cell>
          <cell r="B1799">
            <v>0</v>
          </cell>
          <cell r="C1799">
            <v>0</v>
          </cell>
          <cell r="D1799">
            <v>0</v>
          </cell>
          <cell r="E1799">
            <v>0</v>
          </cell>
          <cell r="F1799">
            <v>0</v>
          </cell>
          <cell r="G1799">
            <v>0</v>
          </cell>
          <cell r="H1799">
            <v>0</v>
          </cell>
          <cell r="I1799">
            <v>0</v>
          </cell>
          <cell r="J1799">
            <v>0</v>
          </cell>
          <cell r="K1799">
            <v>0</v>
          </cell>
          <cell r="L1799">
            <v>0</v>
          </cell>
          <cell r="M1799">
            <v>0</v>
          </cell>
          <cell r="N1799">
            <v>0</v>
          </cell>
          <cell r="O1799">
            <v>0</v>
          </cell>
        </row>
        <row r="1800">
          <cell r="A1800" t="str">
            <v>GemplusSTATE, FOREIGN, LOCAL TAXES</v>
          </cell>
          <cell r="B1800">
            <v>0</v>
          </cell>
          <cell r="C1800">
            <v>0</v>
          </cell>
          <cell r="D1800">
            <v>0</v>
          </cell>
          <cell r="E1800">
            <v>0</v>
          </cell>
          <cell r="F1800">
            <v>0</v>
          </cell>
          <cell r="G1800">
            <v>0</v>
          </cell>
          <cell r="H1800">
            <v>0</v>
          </cell>
          <cell r="I1800">
            <v>0</v>
          </cell>
          <cell r="J1800">
            <v>0</v>
          </cell>
          <cell r="K1800">
            <v>0</v>
          </cell>
          <cell r="L1800">
            <v>0</v>
          </cell>
          <cell r="M1800">
            <v>0</v>
          </cell>
          <cell r="N1800">
            <v>0</v>
          </cell>
          <cell r="O1800">
            <v>0</v>
          </cell>
        </row>
        <row r="1801">
          <cell r="A1801" t="str">
            <v>GemplusS/L TAX - INSURANCE PREMIUMS</v>
          </cell>
          <cell r="B1801">
            <v>0</v>
          </cell>
          <cell r="C1801">
            <v>0</v>
          </cell>
          <cell r="D1801">
            <v>0</v>
          </cell>
          <cell r="E1801">
            <v>0</v>
          </cell>
          <cell r="F1801">
            <v>0</v>
          </cell>
          <cell r="G1801">
            <v>0</v>
          </cell>
          <cell r="H1801">
            <v>0</v>
          </cell>
          <cell r="I1801">
            <v>0</v>
          </cell>
          <cell r="J1801">
            <v>0</v>
          </cell>
          <cell r="K1801">
            <v>0</v>
          </cell>
          <cell r="L1801">
            <v>0</v>
          </cell>
          <cell r="M1801">
            <v>0</v>
          </cell>
          <cell r="N1801">
            <v>0</v>
          </cell>
          <cell r="O1801">
            <v>0</v>
          </cell>
        </row>
        <row r="1802">
          <cell r="A1802" t="str">
            <v>GemplusSATELLITE LEASE EXPENSE</v>
          </cell>
          <cell r="B1802">
            <v>0</v>
          </cell>
          <cell r="C1802">
            <v>0</v>
          </cell>
          <cell r="D1802">
            <v>0</v>
          </cell>
          <cell r="E1802">
            <v>0</v>
          </cell>
          <cell r="F1802">
            <v>0</v>
          </cell>
          <cell r="G1802">
            <v>0</v>
          </cell>
          <cell r="H1802">
            <v>0</v>
          </cell>
          <cell r="I1802">
            <v>0</v>
          </cell>
          <cell r="J1802">
            <v>0</v>
          </cell>
          <cell r="K1802">
            <v>0</v>
          </cell>
          <cell r="L1802">
            <v>0</v>
          </cell>
          <cell r="M1802">
            <v>0</v>
          </cell>
          <cell r="N1802">
            <v>0</v>
          </cell>
          <cell r="O1802">
            <v>0</v>
          </cell>
        </row>
        <row r="1803">
          <cell r="A1803" t="str">
            <v>GemplusBUSINESS SHARE EXPENSE</v>
          </cell>
          <cell r="B1803">
            <v>0</v>
          </cell>
          <cell r="C1803">
            <v>0</v>
          </cell>
          <cell r="D1803">
            <v>0</v>
          </cell>
          <cell r="E1803">
            <v>0</v>
          </cell>
          <cell r="F1803">
            <v>0</v>
          </cell>
          <cell r="G1803">
            <v>0</v>
          </cell>
          <cell r="H1803">
            <v>0</v>
          </cell>
          <cell r="I1803">
            <v>0</v>
          </cell>
          <cell r="J1803">
            <v>0</v>
          </cell>
          <cell r="K1803">
            <v>0</v>
          </cell>
          <cell r="L1803">
            <v>0</v>
          </cell>
          <cell r="M1803">
            <v>0</v>
          </cell>
          <cell r="N1803">
            <v>0</v>
          </cell>
          <cell r="O1803">
            <v>0</v>
          </cell>
        </row>
        <row r="1804">
          <cell r="A1804" t="str">
            <v>GemplusINSURANCE AFFILIATE EXPENSE</v>
          </cell>
          <cell r="B1804">
            <v>0</v>
          </cell>
          <cell r="C1804">
            <v>0</v>
          </cell>
          <cell r="D1804">
            <v>0</v>
          </cell>
          <cell r="E1804">
            <v>0</v>
          </cell>
          <cell r="F1804">
            <v>0</v>
          </cell>
          <cell r="G1804">
            <v>0</v>
          </cell>
          <cell r="H1804">
            <v>0</v>
          </cell>
          <cell r="I1804">
            <v>0</v>
          </cell>
          <cell r="J1804">
            <v>0</v>
          </cell>
          <cell r="K1804">
            <v>0</v>
          </cell>
          <cell r="L1804">
            <v>0</v>
          </cell>
          <cell r="M1804">
            <v>0</v>
          </cell>
          <cell r="N1804">
            <v>0</v>
          </cell>
          <cell r="O1804">
            <v>0</v>
          </cell>
        </row>
        <row r="1805">
          <cell r="A1805" t="str">
            <v>GemplusOTHER FACILITY EXPENSE</v>
          </cell>
          <cell r="B1805">
            <v>0</v>
          </cell>
          <cell r="C1805">
            <v>0</v>
          </cell>
          <cell r="D1805">
            <v>0</v>
          </cell>
          <cell r="E1805">
            <v>0</v>
          </cell>
          <cell r="F1805">
            <v>0</v>
          </cell>
          <cell r="G1805">
            <v>0</v>
          </cell>
          <cell r="H1805">
            <v>0</v>
          </cell>
          <cell r="I1805">
            <v>0</v>
          </cell>
          <cell r="J1805">
            <v>0</v>
          </cell>
          <cell r="K1805">
            <v>0</v>
          </cell>
          <cell r="L1805">
            <v>0</v>
          </cell>
          <cell r="M1805">
            <v>0</v>
          </cell>
          <cell r="N1805">
            <v>0</v>
          </cell>
          <cell r="O1805">
            <v>0</v>
          </cell>
        </row>
        <row r="1806">
          <cell r="A1806" t="str">
            <v>GemplusGROSS OP &amp; ADMIN BUS SHARE</v>
          </cell>
          <cell r="B1806">
            <v>0</v>
          </cell>
          <cell r="C1806">
            <v>0</v>
          </cell>
          <cell r="D1806">
            <v>0</v>
          </cell>
          <cell r="E1806">
            <v>0</v>
          </cell>
          <cell r="F1806">
            <v>0</v>
          </cell>
          <cell r="G1806">
            <v>0</v>
          </cell>
          <cell r="H1806">
            <v>0</v>
          </cell>
          <cell r="I1806">
            <v>0</v>
          </cell>
          <cell r="J1806">
            <v>0</v>
          </cell>
          <cell r="K1806">
            <v>0</v>
          </cell>
          <cell r="L1806">
            <v>0</v>
          </cell>
          <cell r="M1806">
            <v>0</v>
          </cell>
          <cell r="N1806">
            <v>0</v>
          </cell>
          <cell r="O1806">
            <v>0</v>
          </cell>
        </row>
        <row r="1807">
          <cell r="A1807" t="str">
            <v>GemplusOTHER EXPENSE</v>
          </cell>
          <cell r="B1807">
            <v>0</v>
          </cell>
          <cell r="C1807">
            <v>0</v>
          </cell>
          <cell r="D1807">
            <v>0</v>
          </cell>
          <cell r="E1807">
            <v>0</v>
          </cell>
          <cell r="F1807">
            <v>0</v>
          </cell>
          <cell r="G1807">
            <v>0</v>
          </cell>
          <cell r="H1807">
            <v>0</v>
          </cell>
          <cell r="I1807">
            <v>0</v>
          </cell>
          <cell r="J1807">
            <v>0</v>
          </cell>
          <cell r="K1807">
            <v>0</v>
          </cell>
          <cell r="L1807">
            <v>0</v>
          </cell>
          <cell r="M1807">
            <v>0</v>
          </cell>
          <cell r="N1807">
            <v>0</v>
          </cell>
          <cell r="O1807">
            <v>0</v>
          </cell>
        </row>
        <row r="1808">
          <cell r="A1808" t="str">
            <v>GemplusGECC INTERCO EXPENSES EXCL GECIS</v>
          </cell>
          <cell r="B1808">
            <v>0</v>
          </cell>
          <cell r="C1808">
            <v>0</v>
          </cell>
          <cell r="D1808">
            <v>0</v>
          </cell>
          <cell r="E1808">
            <v>0</v>
          </cell>
          <cell r="F1808">
            <v>0</v>
          </cell>
          <cell r="G1808">
            <v>0</v>
          </cell>
          <cell r="H1808">
            <v>0</v>
          </cell>
          <cell r="I1808">
            <v>0</v>
          </cell>
          <cell r="J1808">
            <v>0</v>
          </cell>
          <cell r="K1808">
            <v>0</v>
          </cell>
          <cell r="L1808">
            <v>0</v>
          </cell>
          <cell r="M1808">
            <v>0</v>
          </cell>
          <cell r="N1808">
            <v>0</v>
          </cell>
          <cell r="O1808">
            <v>0</v>
          </cell>
        </row>
        <row r="1809">
          <cell r="A1809" t="str">
            <v>GemplusGECIS INTERCO CHARGES</v>
          </cell>
          <cell r="B1809">
            <v>0</v>
          </cell>
          <cell r="C1809">
            <v>0</v>
          </cell>
          <cell r="D1809">
            <v>0</v>
          </cell>
          <cell r="E1809">
            <v>0</v>
          </cell>
          <cell r="F1809">
            <v>0</v>
          </cell>
          <cell r="G1809">
            <v>0</v>
          </cell>
          <cell r="H1809">
            <v>0</v>
          </cell>
          <cell r="I1809">
            <v>0</v>
          </cell>
          <cell r="J1809">
            <v>0</v>
          </cell>
          <cell r="K1809">
            <v>0</v>
          </cell>
          <cell r="L1809">
            <v>0</v>
          </cell>
          <cell r="M1809">
            <v>0</v>
          </cell>
          <cell r="N1809">
            <v>0</v>
          </cell>
          <cell r="O1809">
            <v>0</v>
          </cell>
        </row>
        <row r="1810">
          <cell r="A1810" t="str">
            <v>GemplusLOSS ADJUSTED EXPENSE</v>
          </cell>
          <cell r="B1810">
            <v>0</v>
          </cell>
          <cell r="C1810">
            <v>0</v>
          </cell>
          <cell r="D1810">
            <v>0</v>
          </cell>
          <cell r="E1810">
            <v>0</v>
          </cell>
          <cell r="F1810">
            <v>0</v>
          </cell>
          <cell r="G1810">
            <v>0</v>
          </cell>
          <cell r="H1810">
            <v>0</v>
          </cell>
          <cell r="I1810">
            <v>0</v>
          </cell>
          <cell r="J1810">
            <v>0</v>
          </cell>
          <cell r="K1810">
            <v>0</v>
          </cell>
          <cell r="L1810">
            <v>0</v>
          </cell>
          <cell r="M1810">
            <v>0</v>
          </cell>
          <cell r="N1810">
            <v>0</v>
          </cell>
          <cell r="O1810">
            <v>0</v>
          </cell>
        </row>
        <row r="1811">
          <cell r="A1811" t="str">
            <v>GemplusALL OTHER EXPENSES</v>
          </cell>
          <cell r="B1811">
            <v>0</v>
          </cell>
          <cell r="C1811">
            <v>0</v>
          </cell>
          <cell r="D1811">
            <v>0</v>
          </cell>
          <cell r="E1811">
            <v>0</v>
          </cell>
          <cell r="F1811">
            <v>0</v>
          </cell>
          <cell r="G1811">
            <v>0</v>
          </cell>
          <cell r="H1811">
            <v>0</v>
          </cell>
          <cell r="I1811">
            <v>0</v>
          </cell>
          <cell r="J1811">
            <v>0</v>
          </cell>
          <cell r="K1811">
            <v>0</v>
          </cell>
          <cell r="L1811">
            <v>0</v>
          </cell>
          <cell r="M1811">
            <v>0</v>
          </cell>
          <cell r="N1811">
            <v>0</v>
          </cell>
          <cell r="O1811">
            <v>0</v>
          </cell>
        </row>
        <row r="1812">
          <cell r="A1812" t="str">
            <v>GemplusASSESSMENTS</v>
          </cell>
          <cell r="B1812">
            <v>0</v>
          </cell>
          <cell r="C1812">
            <v>0</v>
          </cell>
          <cell r="D1812">
            <v>0</v>
          </cell>
          <cell r="E1812">
            <v>0</v>
          </cell>
          <cell r="F1812">
            <v>0</v>
          </cell>
          <cell r="G1812">
            <v>0</v>
          </cell>
          <cell r="H1812">
            <v>0</v>
          </cell>
          <cell r="I1812">
            <v>0</v>
          </cell>
          <cell r="J1812">
            <v>0</v>
          </cell>
          <cell r="K1812">
            <v>0</v>
          </cell>
          <cell r="L1812">
            <v>0</v>
          </cell>
          <cell r="M1812">
            <v>0</v>
          </cell>
          <cell r="N1812">
            <v>0</v>
          </cell>
          <cell r="O1812">
            <v>0</v>
          </cell>
        </row>
        <row r="1813">
          <cell r="A1813" t="str">
            <v>GemplusFAS 91</v>
          </cell>
          <cell r="B1813">
            <v>0</v>
          </cell>
          <cell r="C1813">
            <v>0</v>
          </cell>
          <cell r="D1813">
            <v>0</v>
          </cell>
          <cell r="E1813">
            <v>0</v>
          </cell>
          <cell r="F1813">
            <v>0</v>
          </cell>
          <cell r="G1813">
            <v>0</v>
          </cell>
          <cell r="H1813">
            <v>0</v>
          </cell>
          <cell r="I1813">
            <v>0</v>
          </cell>
          <cell r="J1813">
            <v>0</v>
          </cell>
          <cell r="K1813">
            <v>0</v>
          </cell>
          <cell r="L1813">
            <v>0</v>
          </cell>
          <cell r="M1813">
            <v>0</v>
          </cell>
          <cell r="N1813">
            <v>0</v>
          </cell>
          <cell r="O1813">
            <v>0</v>
          </cell>
        </row>
        <row r="1814">
          <cell r="A1814" t="str">
            <v>GemplusGOODWILL AMORTIZATION</v>
          </cell>
          <cell r="B1814">
            <v>0</v>
          </cell>
          <cell r="C1814">
            <v>0</v>
          </cell>
          <cell r="D1814">
            <v>0</v>
          </cell>
          <cell r="E1814">
            <v>0</v>
          </cell>
          <cell r="F1814">
            <v>0</v>
          </cell>
          <cell r="G1814">
            <v>0</v>
          </cell>
          <cell r="H1814">
            <v>0</v>
          </cell>
          <cell r="I1814">
            <v>0</v>
          </cell>
          <cell r="J1814">
            <v>0</v>
          </cell>
          <cell r="K1814">
            <v>0</v>
          </cell>
          <cell r="L1814">
            <v>0</v>
          </cell>
          <cell r="M1814">
            <v>0</v>
          </cell>
          <cell r="N1814">
            <v>0</v>
          </cell>
          <cell r="O1814">
            <v>0</v>
          </cell>
        </row>
        <row r="1815">
          <cell r="A1815" t="str">
            <v>GemplusDEPRECIATION EXPENSE</v>
          </cell>
          <cell r="B1815">
            <v>0</v>
          </cell>
          <cell r="C1815">
            <v>0</v>
          </cell>
          <cell r="D1815">
            <v>0</v>
          </cell>
          <cell r="E1815">
            <v>0</v>
          </cell>
          <cell r="F1815">
            <v>0</v>
          </cell>
          <cell r="G1815">
            <v>0</v>
          </cell>
          <cell r="H1815">
            <v>0</v>
          </cell>
          <cell r="I1815">
            <v>0</v>
          </cell>
          <cell r="J1815">
            <v>0</v>
          </cell>
          <cell r="K1815">
            <v>0</v>
          </cell>
          <cell r="L1815">
            <v>0</v>
          </cell>
          <cell r="M1815">
            <v>0</v>
          </cell>
          <cell r="N1815">
            <v>0</v>
          </cell>
          <cell r="O1815">
            <v>0</v>
          </cell>
        </row>
        <row r="1816">
          <cell r="A1816" t="str">
            <v>GemplusELTO AMORTIZATION</v>
          </cell>
          <cell r="B1816">
            <v>0</v>
          </cell>
          <cell r="C1816">
            <v>0</v>
          </cell>
          <cell r="D1816">
            <v>0</v>
          </cell>
          <cell r="E1816">
            <v>0</v>
          </cell>
          <cell r="F1816">
            <v>0</v>
          </cell>
          <cell r="G1816">
            <v>0</v>
          </cell>
          <cell r="H1816">
            <v>0</v>
          </cell>
          <cell r="I1816">
            <v>0</v>
          </cell>
          <cell r="J1816">
            <v>0</v>
          </cell>
          <cell r="K1816">
            <v>0</v>
          </cell>
          <cell r="L1816">
            <v>0</v>
          </cell>
          <cell r="M1816">
            <v>0</v>
          </cell>
          <cell r="N1816">
            <v>0</v>
          </cell>
          <cell r="O1816">
            <v>0</v>
          </cell>
        </row>
        <row r="1817">
          <cell r="A1817" t="str">
            <v>GemplusINSURANCE LOSSES AND BENEFITS</v>
          </cell>
          <cell r="B1817">
            <v>0</v>
          </cell>
          <cell r="C1817">
            <v>0</v>
          </cell>
          <cell r="D1817">
            <v>0</v>
          </cell>
          <cell r="E1817">
            <v>0</v>
          </cell>
          <cell r="F1817">
            <v>0</v>
          </cell>
          <cell r="G1817">
            <v>0</v>
          </cell>
          <cell r="H1817">
            <v>0</v>
          </cell>
          <cell r="I1817">
            <v>0</v>
          </cell>
          <cell r="J1817">
            <v>0</v>
          </cell>
          <cell r="K1817">
            <v>0</v>
          </cell>
          <cell r="L1817">
            <v>0</v>
          </cell>
          <cell r="M1817">
            <v>0</v>
          </cell>
          <cell r="N1817">
            <v>0</v>
          </cell>
          <cell r="O1817">
            <v>0</v>
          </cell>
        </row>
        <row r="1818">
          <cell r="A1818" t="str">
            <v>GemplusWRITE OFFS</v>
          </cell>
          <cell r="B1818">
            <v>0</v>
          </cell>
          <cell r="C1818">
            <v>0</v>
          </cell>
          <cell r="D1818">
            <v>0</v>
          </cell>
          <cell r="E1818">
            <v>0</v>
          </cell>
          <cell r="F1818">
            <v>0</v>
          </cell>
          <cell r="G1818">
            <v>0</v>
          </cell>
          <cell r="H1818">
            <v>0</v>
          </cell>
          <cell r="I1818">
            <v>0</v>
          </cell>
          <cell r="J1818">
            <v>0</v>
          </cell>
          <cell r="K1818">
            <v>0</v>
          </cell>
          <cell r="L1818">
            <v>0</v>
          </cell>
          <cell r="M1818">
            <v>0</v>
          </cell>
          <cell r="N1818">
            <v>0</v>
          </cell>
          <cell r="O1818">
            <v>0</v>
          </cell>
        </row>
        <row r="1819">
          <cell r="A1819" t="str">
            <v>GemplusRESERVE CHANGE</v>
          </cell>
          <cell r="B1819">
            <v>0</v>
          </cell>
          <cell r="C1819">
            <v>0</v>
          </cell>
          <cell r="D1819">
            <v>0</v>
          </cell>
          <cell r="E1819">
            <v>0</v>
          </cell>
          <cell r="F1819">
            <v>0</v>
          </cell>
          <cell r="G1819">
            <v>0</v>
          </cell>
          <cell r="H1819">
            <v>0</v>
          </cell>
          <cell r="I1819">
            <v>0</v>
          </cell>
          <cell r="J1819">
            <v>0</v>
          </cell>
          <cell r="K1819">
            <v>0</v>
          </cell>
          <cell r="L1819">
            <v>0</v>
          </cell>
          <cell r="M1819">
            <v>0</v>
          </cell>
          <cell r="N1819">
            <v>0</v>
          </cell>
          <cell r="O1819">
            <v>0</v>
          </cell>
        </row>
        <row r="1820">
          <cell r="A1820" t="str">
            <v>GemplusMINORITY INTEREST</v>
          </cell>
          <cell r="B1820">
            <v>0</v>
          </cell>
          <cell r="C1820">
            <v>0</v>
          </cell>
          <cell r="D1820">
            <v>0</v>
          </cell>
          <cell r="E1820">
            <v>0</v>
          </cell>
          <cell r="F1820">
            <v>0</v>
          </cell>
          <cell r="G1820">
            <v>0</v>
          </cell>
          <cell r="H1820">
            <v>0</v>
          </cell>
          <cell r="I1820">
            <v>0</v>
          </cell>
          <cell r="J1820">
            <v>0</v>
          </cell>
          <cell r="K1820">
            <v>0</v>
          </cell>
          <cell r="L1820">
            <v>0</v>
          </cell>
          <cell r="M1820">
            <v>0</v>
          </cell>
          <cell r="N1820">
            <v>0</v>
          </cell>
          <cell r="O1820">
            <v>0</v>
          </cell>
        </row>
        <row r="1821">
          <cell r="A1821" t="str">
            <v>GemplusINCOME TAXES</v>
          </cell>
          <cell r="B1821">
            <v>-71809.61</v>
          </cell>
          <cell r="C1821">
            <v>-50741.36</v>
          </cell>
          <cell r="D1821">
            <v>-152534</v>
          </cell>
          <cell r="E1821">
            <v>-206233</v>
          </cell>
          <cell r="F1821">
            <v>-481317.97</v>
          </cell>
          <cell r="G1821">
            <v>-71809.605284999998</v>
          </cell>
          <cell r="H1821">
            <v>-71809.605284999998</v>
          </cell>
          <cell r="I1821">
            <v>-71809.605284999998</v>
          </cell>
          <cell r="J1821">
            <v>-71809.605284999998</v>
          </cell>
          <cell r="K1821">
            <v>-287238.42113799998</v>
          </cell>
          <cell r="L1821">
            <v>-217840</v>
          </cell>
          <cell r="M1821">
            <v>-287238.42113799998</v>
          </cell>
          <cell r="N1821">
            <v>-287238.42113799998</v>
          </cell>
          <cell r="O1821">
            <v>-287238.42113799998</v>
          </cell>
        </row>
        <row r="1822">
          <cell r="A1822" t="str">
            <v>GemplusCUMULATIVE TRANSITION ADJUSTMENT</v>
          </cell>
          <cell r="B1822">
            <v>0</v>
          </cell>
          <cell r="C1822">
            <v>0</v>
          </cell>
          <cell r="D1822">
            <v>0</v>
          </cell>
          <cell r="E1822">
            <v>0</v>
          </cell>
          <cell r="F1822">
            <v>0</v>
          </cell>
          <cell r="G1822">
            <v>0</v>
          </cell>
          <cell r="H1822">
            <v>0</v>
          </cell>
          <cell r="I1822">
            <v>0</v>
          </cell>
          <cell r="J1822">
            <v>0</v>
          </cell>
          <cell r="K1822">
            <v>0</v>
          </cell>
          <cell r="L1822">
            <v>0</v>
          </cell>
          <cell r="M1822">
            <v>0</v>
          </cell>
          <cell r="N1822">
            <v>0</v>
          </cell>
          <cell r="O1822">
            <v>0</v>
          </cell>
        </row>
        <row r="1823">
          <cell r="A1823" t="str">
            <v>GemplusASIA PACIFIC NI DIVIDEND</v>
          </cell>
          <cell r="B1823">
            <v>0</v>
          </cell>
          <cell r="C1823">
            <v>0</v>
          </cell>
          <cell r="D1823">
            <v>0</v>
          </cell>
          <cell r="E1823">
            <v>0</v>
          </cell>
          <cell r="F1823">
            <v>0</v>
          </cell>
          <cell r="G1823">
            <v>0</v>
          </cell>
          <cell r="H1823">
            <v>0</v>
          </cell>
          <cell r="I1823">
            <v>0</v>
          </cell>
          <cell r="J1823">
            <v>0</v>
          </cell>
          <cell r="K1823">
            <v>0</v>
          </cell>
          <cell r="L1823">
            <v>0</v>
          </cell>
          <cell r="M1823">
            <v>0</v>
          </cell>
          <cell r="N1823">
            <v>0</v>
          </cell>
          <cell r="O1823">
            <v>0</v>
          </cell>
        </row>
        <row r="1824">
          <cell r="A1824" t="str">
            <v>GemplusNet Income</v>
          </cell>
          <cell r="B1824">
            <v>114708.85</v>
          </cell>
          <cell r="C1824">
            <v>81054.38</v>
          </cell>
          <cell r="D1824">
            <v>283279</v>
          </cell>
          <cell r="E1824">
            <v>383006</v>
          </cell>
          <cell r="F1824">
            <v>862048.23</v>
          </cell>
          <cell r="G1824">
            <v>114708.85</v>
          </cell>
          <cell r="H1824">
            <v>114708.85</v>
          </cell>
          <cell r="I1824">
            <v>114708.85</v>
          </cell>
          <cell r="J1824">
            <v>114708.85</v>
          </cell>
          <cell r="K1824">
            <v>458835.4</v>
          </cell>
          <cell r="L1824">
            <v>404561</v>
          </cell>
          <cell r="M1824">
            <v>458835.4</v>
          </cell>
          <cell r="N1824">
            <v>458835.4</v>
          </cell>
          <cell r="O1824">
            <v>458835.4</v>
          </cell>
        </row>
        <row r="1825">
          <cell r="A1825" t="str">
            <v>GemplusSubPart F</v>
          </cell>
          <cell r="B1825">
            <v>0</v>
          </cell>
          <cell r="C1825">
            <v>0</v>
          </cell>
          <cell r="D1825">
            <v>0</v>
          </cell>
          <cell r="E1825">
            <v>0</v>
          </cell>
          <cell r="F1825">
            <v>0</v>
          </cell>
          <cell r="G1825">
            <v>0</v>
          </cell>
          <cell r="H1825">
            <v>0</v>
          </cell>
          <cell r="I1825">
            <v>0</v>
          </cell>
          <cell r="J1825">
            <v>0</v>
          </cell>
          <cell r="K1825">
            <v>0</v>
          </cell>
          <cell r="L1825">
            <v>0</v>
          </cell>
          <cell r="M1825">
            <v>0</v>
          </cell>
          <cell r="N1825">
            <v>0</v>
          </cell>
          <cell r="O1825">
            <v>0</v>
          </cell>
        </row>
        <row r="1826">
          <cell r="A1826" t="str">
            <v>GemplusAssets</v>
          </cell>
          <cell r="B1826">
            <v>0</v>
          </cell>
          <cell r="C1826">
            <v>0</v>
          </cell>
          <cell r="D1826">
            <v>0</v>
          </cell>
          <cell r="E1826">
            <v>0</v>
          </cell>
          <cell r="F1826">
            <v>0</v>
          </cell>
          <cell r="G1826">
            <v>0</v>
          </cell>
          <cell r="H1826">
            <v>0</v>
          </cell>
          <cell r="I1826">
            <v>0</v>
          </cell>
          <cell r="J1826">
            <v>0</v>
          </cell>
          <cell r="K1826">
            <v>0</v>
          </cell>
          <cell r="L1826">
            <v>0</v>
          </cell>
          <cell r="M1826">
            <v>0</v>
          </cell>
          <cell r="N1826">
            <v>0</v>
          </cell>
          <cell r="O1826">
            <v>0</v>
          </cell>
        </row>
        <row r="1827">
          <cell r="A1827" t="str">
            <v>GemplusEnding Net Investment (ENI) incl Asia</v>
          </cell>
          <cell r="B1827">
            <v>0</v>
          </cell>
          <cell r="C1827">
            <v>0</v>
          </cell>
          <cell r="D1827">
            <v>0</v>
          </cell>
          <cell r="E1827">
            <v>0</v>
          </cell>
          <cell r="F1827">
            <v>0</v>
          </cell>
          <cell r="G1827">
            <v>0</v>
          </cell>
          <cell r="H1827">
            <v>0</v>
          </cell>
          <cell r="I1827">
            <v>0</v>
          </cell>
          <cell r="J1827">
            <v>0</v>
          </cell>
          <cell r="K1827">
            <v>0</v>
          </cell>
          <cell r="L1827">
            <v>0</v>
          </cell>
          <cell r="M1827">
            <v>0</v>
          </cell>
          <cell r="N1827">
            <v>0</v>
          </cell>
          <cell r="O1827">
            <v>0</v>
          </cell>
        </row>
        <row r="1828">
          <cell r="A1828" t="str">
            <v>GemplusANR YTD</v>
          </cell>
          <cell r="B1828">
            <v>0</v>
          </cell>
          <cell r="C1828">
            <v>0</v>
          </cell>
          <cell r="D1828">
            <v>0</v>
          </cell>
          <cell r="E1828">
            <v>0</v>
          </cell>
          <cell r="F1828">
            <v>0</v>
          </cell>
          <cell r="G1828">
            <v>0</v>
          </cell>
          <cell r="H1828">
            <v>0</v>
          </cell>
          <cell r="I1828">
            <v>0</v>
          </cell>
          <cell r="J1828">
            <v>0</v>
          </cell>
          <cell r="K1828">
            <v>0</v>
          </cell>
          <cell r="L1828">
            <v>0</v>
          </cell>
          <cell r="M1828">
            <v>0</v>
          </cell>
          <cell r="N1828">
            <v>0</v>
          </cell>
          <cell r="O1828">
            <v>0</v>
          </cell>
        </row>
        <row r="1829">
          <cell r="A1829" t="str">
            <v>GemplusASA YTD</v>
          </cell>
          <cell r="B1829">
            <v>0</v>
          </cell>
          <cell r="C1829">
            <v>0</v>
          </cell>
          <cell r="D1829">
            <v>0</v>
          </cell>
          <cell r="E1829">
            <v>0</v>
          </cell>
          <cell r="F1829">
            <v>0</v>
          </cell>
          <cell r="G1829">
            <v>0</v>
          </cell>
          <cell r="H1829">
            <v>0</v>
          </cell>
          <cell r="I1829">
            <v>0</v>
          </cell>
          <cell r="J1829">
            <v>0</v>
          </cell>
          <cell r="K1829">
            <v>0</v>
          </cell>
          <cell r="L1829">
            <v>0</v>
          </cell>
          <cell r="M1829">
            <v>0</v>
          </cell>
          <cell r="N1829">
            <v>0</v>
          </cell>
          <cell r="O1829">
            <v>0</v>
          </cell>
        </row>
        <row r="1830">
          <cell r="A1830" t="str">
            <v>GemplusANI YTD incl Asia - 5 pt</v>
          </cell>
          <cell r="B1830">
            <v>0</v>
          </cell>
          <cell r="C1830">
            <v>0</v>
          </cell>
          <cell r="D1830">
            <v>0</v>
          </cell>
          <cell r="E1830">
            <v>0</v>
          </cell>
          <cell r="F1830">
            <v>0</v>
          </cell>
          <cell r="G1830">
            <v>0</v>
          </cell>
          <cell r="H1830">
            <v>0</v>
          </cell>
          <cell r="I1830">
            <v>0</v>
          </cell>
          <cell r="J1830">
            <v>0</v>
          </cell>
          <cell r="K1830">
            <v>0</v>
          </cell>
          <cell r="L1830">
            <v>0</v>
          </cell>
          <cell r="M1830">
            <v>0</v>
          </cell>
          <cell r="N1830">
            <v>0</v>
          </cell>
          <cell r="O1830">
            <v>0</v>
          </cell>
        </row>
        <row r="1831">
          <cell r="A1831" t="str">
            <v>GemplusOff Balance Sheet Assets</v>
          </cell>
          <cell r="B1831">
            <v>0</v>
          </cell>
          <cell r="C1831">
            <v>0</v>
          </cell>
          <cell r="D1831">
            <v>0</v>
          </cell>
          <cell r="E1831">
            <v>0</v>
          </cell>
          <cell r="F1831">
            <v>0</v>
          </cell>
          <cell r="G1831">
            <v>0</v>
          </cell>
          <cell r="H1831">
            <v>0</v>
          </cell>
          <cell r="I1831">
            <v>0</v>
          </cell>
          <cell r="J1831">
            <v>0</v>
          </cell>
          <cell r="K1831">
            <v>0</v>
          </cell>
          <cell r="L1831">
            <v>0</v>
          </cell>
          <cell r="M1831">
            <v>0</v>
          </cell>
          <cell r="N1831">
            <v>0</v>
          </cell>
          <cell r="O1831">
            <v>0</v>
          </cell>
        </row>
        <row r="1832">
          <cell r="A1832" t="str">
            <v>GemplusJV Receivables</v>
          </cell>
          <cell r="B1832">
            <v>0</v>
          </cell>
          <cell r="C1832">
            <v>0</v>
          </cell>
          <cell r="D1832">
            <v>0</v>
          </cell>
          <cell r="E1832">
            <v>0</v>
          </cell>
          <cell r="F1832">
            <v>0</v>
          </cell>
          <cell r="G1832">
            <v>0</v>
          </cell>
          <cell r="H1832">
            <v>0</v>
          </cell>
          <cell r="I1832">
            <v>0</v>
          </cell>
          <cell r="J1832">
            <v>0</v>
          </cell>
          <cell r="K1832">
            <v>0</v>
          </cell>
          <cell r="L1832">
            <v>0</v>
          </cell>
          <cell r="M1832">
            <v>0</v>
          </cell>
          <cell r="N1832">
            <v>0</v>
          </cell>
          <cell r="O1832">
            <v>0</v>
          </cell>
        </row>
        <row r="1833">
          <cell r="A1833" t="str">
            <v>Gemplus30+ DELINQUENCY $</v>
          </cell>
          <cell r="B1833">
            <v>0</v>
          </cell>
          <cell r="C1833">
            <v>0</v>
          </cell>
          <cell r="D1833">
            <v>0</v>
          </cell>
          <cell r="E1833">
            <v>0</v>
          </cell>
          <cell r="F1833">
            <v>0</v>
          </cell>
          <cell r="G1833">
            <v>0</v>
          </cell>
          <cell r="H1833">
            <v>0</v>
          </cell>
          <cell r="I1833">
            <v>0</v>
          </cell>
          <cell r="J1833">
            <v>0</v>
          </cell>
          <cell r="K1833">
            <v>0</v>
          </cell>
          <cell r="L1833">
            <v>0</v>
          </cell>
          <cell r="M1833">
            <v>0</v>
          </cell>
          <cell r="N1833">
            <v>0</v>
          </cell>
          <cell r="O1833">
            <v>0</v>
          </cell>
        </row>
        <row r="1834">
          <cell r="A1834" t="str">
            <v>Gemplus90+ DELINQUENCY $</v>
          </cell>
          <cell r="B1834">
            <v>0</v>
          </cell>
          <cell r="C1834">
            <v>0</v>
          </cell>
          <cell r="D1834">
            <v>0</v>
          </cell>
          <cell r="E1834">
            <v>0</v>
          </cell>
          <cell r="F1834">
            <v>0</v>
          </cell>
          <cell r="G1834">
            <v>0</v>
          </cell>
          <cell r="H1834">
            <v>0</v>
          </cell>
          <cell r="I1834">
            <v>0</v>
          </cell>
          <cell r="J1834">
            <v>0</v>
          </cell>
          <cell r="K1834">
            <v>0</v>
          </cell>
          <cell r="L1834">
            <v>0</v>
          </cell>
          <cell r="M1834">
            <v>0</v>
          </cell>
          <cell r="N1834">
            <v>0</v>
          </cell>
          <cell r="O1834">
            <v>0</v>
          </cell>
        </row>
        <row r="1835">
          <cell r="A1835" t="str">
            <v>GemplusTemporary Staff</v>
          </cell>
          <cell r="B1835">
            <v>0</v>
          </cell>
          <cell r="C1835">
            <v>0</v>
          </cell>
          <cell r="D1835">
            <v>0</v>
          </cell>
          <cell r="E1835">
            <v>0</v>
          </cell>
          <cell r="F1835">
            <v>0</v>
          </cell>
          <cell r="G1835">
            <v>0</v>
          </cell>
          <cell r="H1835">
            <v>0</v>
          </cell>
          <cell r="I1835">
            <v>0</v>
          </cell>
          <cell r="J1835">
            <v>0</v>
          </cell>
          <cell r="K1835">
            <v>0</v>
          </cell>
          <cell r="L1835">
            <v>0</v>
          </cell>
          <cell r="M1835">
            <v>0</v>
          </cell>
          <cell r="N1835">
            <v>0</v>
          </cell>
          <cell r="O1835">
            <v>0</v>
          </cell>
        </row>
        <row r="1836">
          <cell r="A1836" t="str">
            <v>GemplusContractors</v>
          </cell>
          <cell r="B1836">
            <v>0</v>
          </cell>
          <cell r="C1836">
            <v>0</v>
          </cell>
          <cell r="D1836">
            <v>0</v>
          </cell>
          <cell r="E1836">
            <v>0</v>
          </cell>
          <cell r="F1836">
            <v>0</v>
          </cell>
          <cell r="G1836">
            <v>0</v>
          </cell>
          <cell r="H1836">
            <v>0</v>
          </cell>
          <cell r="I1836">
            <v>0</v>
          </cell>
          <cell r="J1836">
            <v>0</v>
          </cell>
          <cell r="K1836">
            <v>0</v>
          </cell>
          <cell r="L1836">
            <v>0</v>
          </cell>
          <cell r="M1836">
            <v>0</v>
          </cell>
          <cell r="N1836">
            <v>0</v>
          </cell>
          <cell r="O1836">
            <v>0</v>
          </cell>
        </row>
        <row r="1837">
          <cell r="A1837" t="str">
            <v>GemplusOutsourced to LCC</v>
          </cell>
          <cell r="B1837">
            <v>0</v>
          </cell>
          <cell r="C1837">
            <v>0</v>
          </cell>
          <cell r="D1837">
            <v>0</v>
          </cell>
          <cell r="E1837">
            <v>0</v>
          </cell>
          <cell r="F1837">
            <v>0</v>
          </cell>
          <cell r="G1837">
            <v>0</v>
          </cell>
          <cell r="H1837">
            <v>0</v>
          </cell>
          <cell r="I1837">
            <v>0</v>
          </cell>
          <cell r="J1837">
            <v>0</v>
          </cell>
          <cell r="K1837">
            <v>0</v>
          </cell>
          <cell r="L1837">
            <v>0</v>
          </cell>
          <cell r="M1837">
            <v>0</v>
          </cell>
          <cell r="N1837">
            <v>0</v>
          </cell>
          <cell r="O1837">
            <v>0</v>
          </cell>
        </row>
        <row r="1838">
          <cell r="A1838" t="str">
            <v>GemplusTotal Headcount</v>
          </cell>
          <cell r="B1838">
            <v>0</v>
          </cell>
          <cell r="C1838">
            <v>0</v>
          </cell>
          <cell r="D1838">
            <v>0</v>
          </cell>
          <cell r="E1838">
            <v>0</v>
          </cell>
          <cell r="F1838">
            <v>0</v>
          </cell>
          <cell r="G1838">
            <v>0</v>
          </cell>
          <cell r="H1838">
            <v>0</v>
          </cell>
          <cell r="I1838">
            <v>0</v>
          </cell>
          <cell r="J1838">
            <v>0</v>
          </cell>
          <cell r="K1838">
            <v>0</v>
          </cell>
          <cell r="L1838">
            <v>0</v>
          </cell>
          <cell r="M1838">
            <v>0</v>
          </cell>
          <cell r="N1838">
            <v>0</v>
          </cell>
          <cell r="O1838">
            <v>0</v>
          </cell>
        </row>
        <row r="1839">
          <cell r="A1839" t="str">
            <v>GemplusTotal Workforce</v>
          </cell>
          <cell r="B1839">
            <v>0</v>
          </cell>
          <cell r="C1839">
            <v>0</v>
          </cell>
          <cell r="D1839">
            <v>0</v>
          </cell>
          <cell r="E1839">
            <v>0</v>
          </cell>
          <cell r="F1839">
            <v>0</v>
          </cell>
          <cell r="G1839">
            <v>0</v>
          </cell>
          <cell r="H1839">
            <v>0</v>
          </cell>
          <cell r="I1839">
            <v>0</v>
          </cell>
          <cell r="J1839">
            <v>0</v>
          </cell>
          <cell r="K1839">
            <v>0</v>
          </cell>
          <cell r="L1839">
            <v>0</v>
          </cell>
          <cell r="M1839">
            <v>0</v>
          </cell>
          <cell r="N1839">
            <v>0</v>
          </cell>
          <cell r="O1839">
            <v>0</v>
          </cell>
        </row>
        <row r="1840">
          <cell r="A1840" t="str">
            <v>GemplusTotal Earned Revenue</v>
          </cell>
          <cell r="B1840">
            <v>0</v>
          </cell>
          <cell r="C1840">
            <v>0</v>
          </cell>
          <cell r="D1840">
            <v>0</v>
          </cell>
          <cell r="E1840">
            <v>0</v>
          </cell>
          <cell r="F1840">
            <v>0</v>
          </cell>
          <cell r="G1840">
            <v>0</v>
          </cell>
          <cell r="H1840">
            <v>0</v>
          </cell>
          <cell r="I1840">
            <v>0</v>
          </cell>
          <cell r="J1840">
            <v>0</v>
          </cell>
          <cell r="K1840">
            <v>0</v>
          </cell>
          <cell r="L1840">
            <v>0</v>
          </cell>
          <cell r="M1840">
            <v>0</v>
          </cell>
          <cell r="N1840">
            <v>0</v>
          </cell>
          <cell r="O1840">
            <v>0</v>
          </cell>
        </row>
        <row r="1841">
          <cell r="A1841" t="str">
            <v>GemplusOrdinary Gains - PreTax</v>
          </cell>
          <cell r="B1841">
            <v>0</v>
          </cell>
          <cell r="C1841">
            <v>0</v>
          </cell>
          <cell r="D1841">
            <v>0</v>
          </cell>
          <cell r="E1841">
            <v>0</v>
          </cell>
          <cell r="F1841">
            <v>0</v>
          </cell>
          <cell r="G1841">
            <v>0</v>
          </cell>
          <cell r="H1841">
            <v>0</v>
          </cell>
          <cell r="I1841">
            <v>0</v>
          </cell>
          <cell r="J1841">
            <v>0</v>
          </cell>
          <cell r="K1841">
            <v>0</v>
          </cell>
          <cell r="L1841">
            <v>0</v>
          </cell>
          <cell r="M1841">
            <v>0</v>
          </cell>
          <cell r="N1841">
            <v>0</v>
          </cell>
          <cell r="O1841">
            <v>0</v>
          </cell>
        </row>
        <row r="1842">
          <cell r="A1842" t="str">
            <v>GemplusOrdinary Gains - AfterTax</v>
          </cell>
          <cell r="B1842">
            <v>0</v>
          </cell>
          <cell r="C1842">
            <v>0</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GemplusTotal Volume</v>
          </cell>
          <cell r="B1843">
            <v>0</v>
          </cell>
          <cell r="C1843">
            <v>0</v>
          </cell>
          <cell r="D1843">
            <v>0</v>
          </cell>
          <cell r="E1843">
            <v>0</v>
          </cell>
          <cell r="F1843">
            <v>0</v>
          </cell>
          <cell r="G1843">
            <v>0</v>
          </cell>
          <cell r="H1843">
            <v>0</v>
          </cell>
          <cell r="I1843">
            <v>0</v>
          </cell>
          <cell r="J1843">
            <v>0</v>
          </cell>
          <cell r="K1843">
            <v>0</v>
          </cell>
          <cell r="L1843">
            <v>0</v>
          </cell>
          <cell r="M1843">
            <v>0</v>
          </cell>
          <cell r="N1843">
            <v>0</v>
          </cell>
          <cell r="O1843">
            <v>0</v>
          </cell>
        </row>
        <row r="1844">
          <cell r="A1844" t="str">
            <v>GemplusTOTAL # ACTIVE ACCOUNTS</v>
          </cell>
          <cell r="B1844">
            <v>0</v>
          </cell>
          <cell r="C1844">
            <v>0</v>
          </cell>
          <cell r="D1844">
            <v>0</v>
          </cell>
          <cell r="E1844">
            <v>0</v>
          </cell>
          <cell r="F1844">
            <v>0</v>
          </cell>
          <cell r="G1844">
            <v>0</v>
          </cell>
          <cell r="H1844">
            <v>0</v>
          </cell>
          <cell r="I1844">
            <v>0</v>
          </cell>
          <cell r="J1844">
            <v>0</v>
          </cell>
          <cell r="K1844">
            <v>0</v>
          </cell>
          <cell r="L1844">
            <v>0</v>
          </cell>
          <cell r="M1844">
            <v>0</v>
          </cell>
          <cell r="N1844">
            <v>0</v>
          </cell>
          <cell r="O1844">
            <v>0</v>
          </cell>
        </row>
        <row r="1845">
          <cell r="A1845" t="str">
            <v>GermanyTOTAL FINANCING RECEIVABLES</v>
          </cell>
          <cell r="B1845">
            <v>451567651.07999998</v>
          </cell>
          <cell r="C1845">
            <v>454542873.25999999</v>
          </cell>
          <cell r="D1845">
            <v>519281254.89999998</v>
          </cell>
          <cell r="E1845">
            <v>535758360.19999999</v>
          </cell>
          <cell r="F1845">
            <v>535758360.19999999</v>
          </cell>
          <cell r="G1845">
            <v>547799357.64070499</v>
          </cell>
          <cell r="H1845">
            <v>563440360.92446804</v>
          </cell>
          <cell r="I1845">
            <v>582697003.36811197</v>
          </cell>
          <cell r="J1845">
            <v>601932843.96180296</v>
          </cell>
          <cell r="K1845">
            <v>601932843.96180296</v>
          </cell>
          <cell r="L1845">
            <v>563623344.44000006</v>
          </cell>
          <cell r="M1845">
            <v>682406604.58904195</v>
          </cell>
          <cell r="N1845">
            <v>803124596.17967904</v>
          </cell>
          <cell r="O1845">
            <v>882869791.17248404</v>
          </cell>
        </row>
        <row r="1846">
          <cell r="A1846" t="str">
            <v>GermanyRECEIVABLE RESERVES</v>
          </cell>
          <cell r="B1846">
            <v>-41205340.880000003</v>
          </cell>
          <cell r="C1846">
            <v>-40346346.609999999</v>
          </cell>
          <cell r="D1846">
            <v>-46473890.549999997</v>
          </cell>
          <cell r="E1846">
            <v>-48080711.780000001</v>
          </cell>
          <cell r="F1846">
            <v>-48080711.780000001</v>
          </cell>
          <cell r="G1846">
            <v>-49297056.817997001</v>
          </cell>
          <cell r="H1846">
            <v>-50665415.272679999</v>
          </cell>
          <cell r="I1846">
            <v>-52247447.690917999</v>
          </cell>
          <cell r="J1846">
            <v>-53884867.003963999</v>
          </cell>
          <cell r="K1846">
            <v>-53884867.003963999</v>
          </cell>
          <cell r="L1846">
            <v>-51852544.609999999</v>
          </cell>
          <cell r="M1846">
            <v>-62389005.075750999</v>
          </cell>
          <cell r="N1846">
            <v>-75162599.001783997</v>
          </cell>
          <cell r="O1846">
            <v>-93660648.671616003</v>
          </cell>
        </row>
        <row r="1847">
          <cell r="A1847" t="str">
            <v>GermanyCASH</v>
          </cell>
          <cell r="B1847">
            <v>13117889.75</v>
          </cell>
          <cell r="C1847">
            <v>9567933.0700000003</v>
          </cell>
          <cell r="D1847">
            <v>9624608.0700000003</v>
          </cell>
          <cell r="E1847">
            <v>7505176.3200000003</v>
          </cell>
          <cell r="F1847">
            <v>7505176.3200000003</v>
          </cell>
          <cell r="G1847">
            <v>7446347.7477479996</v>
          </cell>
          <cell r="H1847">
            <v>7446347.7477479996</v>
          </cell>
          <cell r="I1847">
            <v>7446347.7477479996</v>
          </cell>
          <cell r="J1847">
            <v>7446347.7477479996</v>
          </cell>
          <cell r="K1847">
            <v>7446347.7477479996</v>
          </cell>
          <cell r="L1847">
            <v>13154017.26</v>
          </cell>
          <cell r="M1847">
            <v>13246540.648384999</v>
          </cell>
          <cell r="N1847">
            <v>13246540.648384999</v>
          </cell>
          <cell r="O1847">
            <v>13246540.648384999</v>
          </cell>
        </row>
        <row r="1848">
          <cell r="A1848" t="str">
            <v>GermanyINVESTMENT SECURITIES</v>
          </cell>
          <cell r="B1848">
            <v>0</v>
          </cell>
          <cell r="C1848">
            <v>0</v>
          </cell>
          <cell r="D1848">
            <v>0</v>
          </cell>
          <cell r="E1848">
            <v>0</v>
          </cell>
          <cell r="F1848">
            <v>0</v>
          </cell>
          <cell r="G1848">
            <v>0</v>
          </cell>
          <cell r="H1848">
            <v>0</v>
          </cell>
          <cell r="I1848">
            <v>0</v>
          </cell>
          <cell r="J1848">
            <v>0</v>
          </cell>
          <cell r="K1848">
            <v>0</v>
          </cell>
          <cell r="L1848">
            <v>0</v>
          </cell>
          <cell r="M1848">
            <v>0</v>
          </cell>
          <cell r="N1848">
            <v>0</v>
          </cell>
          <cell r="O1848">
            <v>0</v>
          </cell>
        </row>
        <row r="1849">
          <cell r="A1849" t="str">
            <v>GermanyINV IN NON CONSOL AFFILIATES</v>
          </cell>
          <cell r="B1849">
            <v>50309.89</v>
          </cell>
          <cell r="C1849">
            <v>48306.92</v>
          </cell>
          <cell r="D1849">
            <v>51645.19</v>
          </cell>
          <cell r="E1849">
            <v>50640.91</v>
          </cell>
          <cell r="F1849">
            <v>50640.91</v>
          </cell>
          <cell r="G1849">
            <v>50545.927927999997</v>
          </cell>
          <cell r="H1849">
            <v>50545.927927999997</v>
          </cell>
          <cell r="I1849">
            <v>50545.927927999997</v>
          </cell>
          <cell r="J1849">
            <v>50545.927927999997</v>
          </cell>
          <cell r="K1849">
            <v>50545.927927999997</v>
          </cell>
          <cell r="L1849">
            <v>49513.18</v>
          </cell>
          <cell r="M1849">
            <v>24219.921410999999</v>
          </cell>
          <cell r="N1849">
            <v>24219.921410999999</v>
          </cell>
          <cell r="O1849">
            <v>24219.921410999999</v>
          </cell>
        </row>
        <row r="1850">
          <cell r="A1850" t="str">
            <v>GermanyINVESTMENT IN JOINT VENTURE</v>
          </cell>
          <cell r="B1850">
            <v>0</v>
          </cell>
          <cell r="C1850">
            <v>0</v>
          </cell>
          <cell r="D1850">
            <v>0</v>
          </cell>
          <cell r="E1850">
            <v>0</v>
          </cell>
          <cell r="F1850">
            <v>0</v>
          </cell>
          <cell r="G1850">
            <v>0</v>
          </cell>
          <cell r="H1850">
            <v>0</v>
          </cell>
          <cell r="I1850">
            <v>0</v>
          </cell>
          <cell r="J1850">
            <v>0</v>
          </cell>
          <cell r="K1850">
            <v>0</v>
          </cell>
          <cell r="L1850">
            <v>0</v>
          </cell>
          <cell r="M1850">
            <v>0</v>
          </cell>
          <cell r="N1850">
            <v>0</v>
          </cell>
          <cell r="O1850">
            <v>0</v>
          </cell>
        </row>
        <row r="1851">
          <cell r="A1851" t="str">
            <v>GermanyALL OTHER RECEIVABLES (NON-FINANCING)</v>
          </cell>
          <cell r="B1851">
            <v>1607764.51</v>
          </cell>
          <cell r="C1851">
            <v>1969982.23</v>
          </cell>
          <cell r="D1851">
            <v>2381785.67</v>
          </cell>
          <cell r="E1851">
            <v>-997282.65</v>
          </cell>
          <cell r="F1851">
            <v>-997282.65</v>
          </cell>
          <cell r="G1851">
            <v>-828878.64864899998</v>
          </cell>
          <cell r="H1851">
            <v>-828878.64864899998</v>
          </cell>
          <cell r="I1851">
            <v>-828878.64864899998</v>
          </cell>
          <cell r="J1851">
            <v>-828878.64864899998</v>
          </cell>
          <cell r="K1851">
            <v>-828878.64864899998</v>
          </cell>
          <cell r="L1851">
            <v>1517287.97</v>
          </cell>
          <cell r="M1851">
            <v>1582159.0304360001</v>
          </cell>
          <cell r="N1851">
            <v>1582159.0304360001</v>
          </cell>
          <cell r="O1851">
            <v>1582159.0304360001</v>
          </cell>
        </row>
        <row r="1852">
          <cell r="A1852" t="str">
            <v>GermanyELTO (NET)</v>
          </cell>
          <cell r="B1852">
            <v>0</v>
          </cell>
          <cell r="C1852">
            <v>0</v>
          </cell>
          <cell r="D1852">
            <v>0</v>
          </cell>
          <cell r="E1852">
            <v>0</v>
          </cell>
          <cell r="F1852">
            <v>0</v>
          </cell>
          <cell r="G1852">
            <v>0</v>
          </cell>
          <cell r="H1852">
            <v>0</v>
          </cell>
          <cell r="I1852">
            <v>0</v>
          </cell>
          <cell r="J1852">
            <v>0</v>
          </cell>
          <cell r="K1852">
            <v>0</v>
          </cell>
          <cell r="L1852">
            <v>0</v>
          </cell>
          <cell r="M1852">
            <v>0</v>
          </cell>
          <cell r="N1852">
            <v>0</v>
          </cell>
          <cell r="O1852">
            <v>0</v>
          </cell>
        </row>
        <row r="1853">
          <cell r="A1853" t="str">
            <v>GermanyGOODWILL</v>
          </cell>
          <cell r="B1853">
            <v>31476593.600000001</v>
          </cell>
          <cell r="C1853">
            <v>29683603.870000001</v>
          </cell>
          <cell r="D1853">
            <v>32949594.5</v>
          </cell>
          <cell r="E1853">
            <v>31710541.239999998</v>
          </cell>
          <cell r="F1853">
            <v>31710541.239999998</v>
          </cell>
          <cell r="G1853">
            <v>31650848.927928001</v>
          </cell>
          <cell r="H1853">
            <v>31650848.927928001</v>
          </cell>
          <cell r="I1853">
            <v>31650848.927928001</v>
          </cell>
          <cell r="J1853">
            <v>31650848.927928001</v>
          </cell>
          <cell r="K1853">
            <v>31650848.927928001</v>
          </cell>
          <cell r="L1853">
            <v>31004379.16</v>
          </cell>
          <cell r="M1853">
            <v>25894358.848712001</v>
          </cell>
          <cell r="N1853">
            <v>23780533.201607</v>
          </cell>
          <cell r="O1853">
            <v>21666707.554501999</v>
          </cell>
        </row>
        <row r="1854">
          <cell r="A1854" t="str">
            <v>GermanyOTHER ASSETS</v>
          </cell>
          <cell r="B1854">
            <v>10808571.34</v>
          </cell>
          <cell r="C1854">
            <v>10430281.6</v>
          </cell>
          <cell r="D1854">
            <v>12703160.23</v>
          </cell>
          <cell r="E1854">
            <v>16311526.82</v>
          </cell>
          <cell r="F1854">
            <v>16311526.82</v>
          </cell>
          <cell r="G1854">
            <v>16494626.280043</v>
          </cell>
          <cell r="H1854">
            <v>16630961.963079</v>
          </cell>
          <cell r="I1854">
            <v>16407279.240847999</v>
          </cell>
          <cell r="J1854">
            <v>16233403.436898001</v>
          </cell>
          <cell r="K1854">
            <v>16233403.436898001</v>
          </cell>
          <cell r="L1854">
            <v>-2445851.5699999998</v>
          </cell>
          <cell r="M1854">
            <v>10232654.048502</v>
          </cell>
          <cell r="N1854">
            <v>8884248.2788369991</v>
          </cell>
          <cell r="O1854">
            <v>8278090.0340780001</v>
          </cell>
        </row>
        <row r="1855">
          <cell r="A1855" t="str">
            <v>GermanyACCOUNTS PAYABLE</v>
          </cell>
          <cell r="B1855">
            <v>-10862496.380000001</v>
          </cell>
          <cell r="C1855">
            <v>-8608980.2699999996</v>
          </cell>
          <cell r="D1855">
            <v>-11449418.289999999</v>
          </cell>
          <cell r="E1855">
            <v>-5722232.3200000003</v>
          </cell>
          <cell r="F1855">
            <v>-5722232.3200000003</v>
          </cell>
          <cell r="G1855">
            <v>-3931129.3333330001</v>
          </cell>
          <cell r="H1855">
            <v>-3931129.3333330001</v>
          </cell>
          <cell r="I1855">
            <v>-3931129.3333330001</v>
          </cell>
          <cell r="J1855">
            <v>-3931129.3333330001</v>
          </cell>
          <cell r="K1855">
            <v>-3931129.3333330001</v>
          </cell>
          <cell r="L1855">
            <v>-7260916.75</v>
          </cell>
          <cell r="M1855">
            <v>-6501585.8555389997</v>
          </cell>
          <cell r="N1855">
            <v>-6501585.8555389997</v>
          </cell>
          <cell r="O1855">
            <v>-6501585.8555389997</v>
          </cell>
        </row>
        <row r="1856">
          <cell r="A1856" t="str">
            <v>GermanyDEFERRED INCOME TAXES</v>
          </cell>
          <cell r="B1856">
            <v>18198079.370000001</v>
          </cell>
          <cell r="C1856">
            <v>17713082.43</v>
          </cell>
          <cell r="D1856">
            <v>18521410.66</v>
          </cell>
          <cell r="E1856">
            <v>18278232.920000002</v>
          </cell>
          <cell r="F1856">
            <v>18278232.920000002</v>
          </cell>
          <cell r="G1856">
            <v>16763522.522523001</v>
          </cell>
          <cell r="H1856">
            <v>16763522.522523001</v>
          </cell>
          <cell r="I1856">
            <v>16763522.522523001</v>
          </cell>
          <cell r="J1856">
            <v>16763522.522523001</v>
          </cell>
          <cell r="K1856">
            <v>16763522.522523001</v>
          </cell>
          <cell r="L1856">
            <v>18005167.420000002</v>
          </cell>
          <cell r="M1856">
            <v>16188784.671805</v>
          </cell>
          <cell r="N1856">
            <v>16188784.671805</v>
          </cell>
          <cell r="O1856">
            <v>16188784.671805</v>
          </cell>
        </row>
        <row r="1857">
          <cell r="A1857" t="str">
            <v>GermanyWRITE-OFF (MEMO)</v>
          </cell>
          <cell r="B1857">
            <v>1424999.94</v>
          </cell>
          <cell r="C1857">
            <v>7207543.5300000003</v>
          </cell>
          <cell r="D1857">
            <v>9557822.1999999993</v>
          </cell>
          <cell r="E1857">
            <v>12339336.300000001</v>
          </cell>
          <cell r="F1857">
            <v>12339336.300000001</v>
          </cell>
          <cell r="G1857">
            <v>5826455.2865319997</v>
          </cell>
          <cell r="H1857">
            <v>11212039.431779001</v>
          </cell>
          <cell r="I1857">
            <v>16239503.942717001</v>
          </cell>
          <cell r="J1857">
            <v>21244800.325272001</v>
          </cell>
          <cell r="K1857">
            <v>21244800.325272001</v>
          </cell>
          <cell r="L1857">
            <v>1245894.57</v>
          </cell>
          <cell r="M1857">
            <v>15971129.227502</v>
          </cell>
          <cell r="N1857">
            <v>20742418.841518</v>
          </cell>
          <cell r="O1857">
            <v>24740204.354570001</v>
          </cell>
        </row>
        <row r="1858">
          <cell r="A1858" t="str">
            <v>GermanyINSURANCE RESERVES AND ANNUITY BENEFITS</v>
          </cell>
          <cell r="B1858">
            <v>0</v>
          </cell>
          <cell r="C1858">
            <v>0</v>
          </cell>
          <cell r="D1858">
            <v>0</v>
          </cell>
          <cell r="E1858">
            <v>0</v>
          </cell>
          <cell r="F1858">
            <v>0</v>
          </cell>
          <cell r="G1858">
            <v>0</v>
          </cell>
          <cell r="H1858">
            <v>0</v>
          </cell>
          <cell r="I1858">
            <v>0</v>
          </cell>
          <cell r="J1858">
            <v>0</v>
          </cell>
          <cell r="K1858">
            <v>0</v>
          </cell>
          <cell r="L1858">
            <v>0</v>
          </cell>
          <cell r="M1858">
            <v>0</v>
          </cell>
          <cell r="N1858">
            <v>0</v>
          </cell>
          <cell r="O1858">
            <v>0</v>
          </cell>
        </row>
        <row r="1859">
          <cell r="A1859" t="str">
            <v>GermanyALL OTHER NON DEBT LIABILITIES</v>
          </cell>
          <cell r="B1859">
            <v>-23296305.190000001</v>
          </cell>
          <cell r="C1859">
            <v>-15011885.77</v>
          </cell>
          <cell r="D1859">
            <v>-19275451.739999998</v>
          </cell>
          <cell r="E1859">
            <v>-9615182.7899999991</v>
          </cell>
          <cell r="F1859">
            <v>-9615182.7899999991</v>
          </cell>
          <cell r="G1859">
            <v>-12770157.657658</v>
          </cell>
          <cell r="H1859">
            <v>-12770157.657658</v>
          </cell>
          <cell r="I1859">
            <v>-12770157.657658</v>
          </cell>
          <cell r="J1859">
            <v>-12770157.657658</v>
          </cell>
          <cell r="K1859">
            <v>-12770157.657658</v>
          </cell>
          <cell r="L1859">
            <v>-18351136.18</v>
          </cell>
          <cell r="M1859">
            <v>-25958778.374208</v>
          </cell>
          <cell r="N1859">
            <v>-25958778.374208</v>
          </cell>
          <cell r="O1859">
            <v>-25958778.374208</v>
          </cell>
        </row>
        <row r="1860">
          <cell r="A1860" t="str">
            <v>GermanyMINORITY INTEREST (BS)</v>
          </cell>
          <cell r="B1860">
            <v>0</v>
          </cell>
          <cell r="C1860">
            <v>0</v>
          </cell>
          <cell r="D1860">
            <v>0</v>
          </cell>
          <cell r="E1860">
            <v>0</v>
          </cell>
          <cell r="F1860">
            <v>0</v>
          </cell>
          <cell r="G1860">
            <v>0</v>
          </cell>
          <cell r="H1860">
            <v>0</v>
          </cell>
          <cell r="I1860">
            <v>0</v>
          </cell>
          <cell r="J1860">
            <v>0</v>
          </cell>
          <cell r="K1860">
            <v>0</v>
          </cell>
          <cell r="L1860">
            <v>0</v>
          </cell>
          <cell r="M1860">
            <v>0</v>
          </cell>
          <cell r="N1860">
            <v>0</v>
          </cell>
          <cell r="O1860">
            <v>0</v>
          </cell>
        </row>
        <row r="1861">
          <cell r="A1861" t="str">
            <v>GermanyASIA PACIFIC ENI DIVIDEND</v>
          </cell>
          <cell r="B1861">
            <v>0</v>
          </cell>
          <cell r="C1861">
            <v>0</v>
          </cell>
          <cell r="D1861">
            <v>0</v>
          </cell>
          <cell r="E1861">
            <v>0</v>
          </cell>
          <cell r="F1861">
            <v>0</v>
          </cell>
          <cell r="G1861">
            <v>0</v>
          </cell>
          <cell r="H1861">
            <v>0</v>
          </cell>
          <cell r="I1861">
            <v>0</v>
          </cell>
          <cell r="J1861">
            <v>0</v>
          </cell>
          <cell r="K1861">
            <v>0</v>
          </cell>
          <cell r="L1861">
            <v>0</v>
          </cell>
          <cell r="M1861">
            <v>0</v>
          </cell>
          <cell r="N1861">
            <v>0</v>
          </cell>
          <cell r="O1861">
            <v>0</v>
          </cell>
        </row>
        <row r="1862">
          <cell r="A1862" t="str">
            <v>GermanyFINANCING INCOME</v>
          </cell>
          <cell r="B1862">
            <v>-11872524.470000001</v>
          </cell>
          <cell r="C1862">
            <v>-12336034.84</v>
          </cell>
          <cell r="D1862">
            <v>-12752712.800000001</v>
          </cell>
          <cell r="E1862">
            <v>-14709397.75</v>
          </cell>
          <cell r="F1862">
            <v>-51670669.859999999</v>
          </cell>
          <cell r="G1862">
            <v>-14656590.903488001</v>
          </cell>
          <cell r="H1862">
            <v>-14764647.181554999</v>
          </cell>
          <cell r="I1862">
            <v>-14964422.423144</v>
          </cell>
          <cell r="J1862">
            <v>-15170968.780515</v>
          </cell>
          <cell r="K1862">
            <v>-59556629.288703002</v>
          </cell>
          <cell r="L1862">
            <v>-14596031.51</v>
          </cell>
          <cell r="M1862">
            <v>-68921103.355965003</v>
          </cell>
          <cell r="N1862">
            <v>-84099121.594772995</v>
          </cell>
          <cell r="O1862">
            <v>-96253276.324123994</v>
          </cell>
        </row>
        <row r="1863">
          <cell r="A1863" t="str">
            <v>GermanyINSURANCE PREMIUM INCOME</v>
          </cell>
          <cell r="B1863">
            <v>0</v>
          </cell>
          <cell r="C1863">
            <v>0</v>
          </cell>
          <cell r="D1863">
            <v>0</v>
          </cell>
          <cell r="E1863">
            <v>0</v>
          </cell>
          <cell r="F1863">
            <v>0</v>
          </cell>
          <cell r="G1863">
            <v>0</v>
          </cell>
          <cell r="H1863">
            <v>0</v>
          </cell>
          <cell r="I1863">
            <v>0</v>
          </cell>
          <cell r="J1863">
            <v>0</v>
          </cell>
          <cell r="K1863">
            <v>0</v>
          </cell>
          <cell r="L1863">
            <v>0</v>
          </cell>
          <cell r="M1863">
            <v>0</v>
          </cell>
          <cell r="N1863">
            <v>0</v>
          </cell>
          <cell r="O1863">
            <v>0</v>
          </cell>
        </row>
        <row r="1864">
          <cell r="A1864" t="str">
            <v>GermanyINSURANCE INCOME (COMMISSIONS)</v>
          </cell>
          <cell r="B1864">
            <v>335293.74</v>
          </cell>
          <cell r="C1864">
            <v>142413.20000000001</v>
          </cell>
          <cell r="D1864">
            <v>331661.23</v>
          </cell>
          <cell r="E1864">
            <v>201053.08</v>
          </cell>
          <cell r="F1864">
            <v>1010421.25</v>
          </cell>
          <cell r="G1864">
            <v>-1083363.5598609999</v>
          </cell>
          <cell r="H1864">
            <v>-978530.71283600002</v>
          </cell>
          <cell r="I1864">
            <v>-893447.79919100006</v>
          </cell>
          <cell r="J1864">
            <v>-895055.62734500004</v>
          </cell>
          <cell r="K1864">
            <v>-3850397.6992330002</v>
          </cell>
          <cell r="L1864">
            <v>39246.76</v>
          </cell>
          <cell r="M1864">
            <v>-2236768.5569389998</v>
          </cell>
          <cell r="N1864">
            <v>-1001452.7432</v>
          </cell>
          <cell r="O1864">
            <v>-568981.09727999999</v>
          </cell>
        </row>
        <row r="1865">
          <cell r="A1865" t="str">
            <v>GermanySUNDRY INCOME</v>
          </cell>
          <cell r="B1865">
            <v>-1230383.8400000001</v>
          </cell>
          <cell r="C1865">
            <v>-1623414.87</v>
          </cell>
          <cell r="D1865">
            <v>-3155672.01</v>
          </cell>
          <cell r="E1865">
            <v>-2649538.94</v>
          </cell>
          <cell r="F1865">
            <v>-8659009.6600000001</v>
          </cell>
          <cell r="G1865">
            <v>-1418890.4754290001</v>
          </cell>
          <cell r="H1865">
            <v>-1418890.4754290001</v>
          </cell>
          <cell r="I1865">
            <v>-1418890.4754290001</v>
          </cell>
          <cell r="J1865">
            <v>-1418890.4754290001</v>
          </cell>
          <cell r="K1865">
            <v>-5675561.9017169997</v>
          </cell>
          <cell r="L1865">
            <v>-2076283.2</v>
          </cell>
          <cell r="M1865">
            <v>-1144306.1318580001</v>
          </cell>
          <cell r="N1865">
            <v>-1164638.082065</v>
          </cell>
          <cell r="O1865">
            <v>-2845737.6671279999</v>
          </cell>
        </row>
        <row r="1866">
          <cell r="A1866" t="str">
            <v>GermanyINTEREST EXPENSE</v>
          </cell>
          <cell r="B1866">
            <v>4733217.25</v>
          </cell>
          <cell r="C1866">
            <v>4988057.74</v>
          </cell>
          <cell r="D1866">
            <v>4991793.49</v>
          </cell>
          <cell r="E1866">
            <v>5330334.28</v>
          </cell>
          <cell r="F1866">
            <v>20043402.760000002</v>
          </cell>
          <cell r="G1866">
            <v>5534643.2568889996</v>
          </cell>
          <cell r="H1866">
            <v>5580691.5117589999</v>
          </cell>
          <cell r="I1866">
            <v>5638071.0929720001</v>
          </cell>
          <cell r="J1866">
            <v>5702991.3486710005</v>
          </cell>
          <cell r="K1866">
            <v>22456397.210290998</v>
          </cell>
          <cell r="L1866">
            <v>5193576.21</v>
          </cell>
          <cell r="M1866">
            <v>26735885.088947002</v>
          </cell>
          <cell r="N1866">
            <v>31084676.178585</v>
          </cell>
          <cell r="O1866">
            <v>35476206.669403002</v>
          </cell>
        </row>
        <row r="1867">
          <cell r="A1867" t="str">
            <v>GermanyINTEREST EXPENSE REDUCTIONS / BUS SHARING</v>
          </cell>
          <cell r="B1867">
            <v>3525.6</v>
          </cell>
          <cell r="C1867">
            <v>6166.78</v>
          </cell>
          <cell r="D1867">
            <v>14903.49</v>
          </cell>
          <cell r="E1867">
            <v>35850</v>
          </cell>
          <cell r="F1867">
            <v>60445.87</v>
          </cell>
          <cell r="G1867">
            <v>16802</v>
          </cell>
          <cell r="H1867">
            <v>16942</v>
          </cell>
          <cell r="I1867">
            <v>17116</v>
          </cell>
          <cell r="J1867">
            <v>17313</v>
          </cell>
          <cell r="K1867">
            <v>68173</v>
          </cell>
          <cell r="L1867">
            <v>0</v>
          </cell>
          <cell r="M1867">
            <v>0</v>
          </cell>
          <cell r="N1867">
            <v>0</v>
          </cell>
          <cell r="O1867">
            <v>0</v>
          </cell>
        </row>
        <row r="1868">
          <cell r="A1868" t="str">
            <v>GermanyALLOCATED COST OF PREFERRED EQUITY</v>
          </cell>
          <cell r="B1868">
            <v>57148.58</v>
          </cell>
          <cell r="C1868">
            <v>48332.91</v>
          </cell>
          <cell r="D1868">
            <v>42860.78</v>
          </cell>
          <cell r="E1868">
            <v>27116.84</v>
          </cell>
          <cell r="F1868">
            <v>175459.11</v>
          </cell>
          <cell r="G1868">
            <v>49137</v>
          </cell>
          <cell r="H1868">
            <v>49546</v>
          </cell>
          <cell r="I1868">
            <v>50056</v>
          </cell>
          <cell r="J1868">
            <v>50632</v>
          </cell>
          <cell r="K1868">
            <v>199371</v>
          </cell>
          <cell r="L1868">
            <v>33787.99</v>
          </cell>
          <cell r="M1868">
            <v>0</v>
          </cell>
          <cell r="N1868">
            <v>0</v>
          </cell>
          <cell r="O1868">
            <v>0</v>
          </cell>
        </row>
        <row r="1869">
          <cell r="A1869" t="str">
            <v>GermanySALARIES &amp; BENEFITS</v>
          </cell>
          <cell r="B1869">
            <v>5404381.8399999999</v>
          </cell>
          <cell r="C1869">
            <v>5080188.9000000004</v>
          </cell>
          <cell r="D1869">
            <v>4667345.09</v>
          </cell>
          <cell r="E1869">
            <v>4943590.5</v>
          </cell>
          <cell r="F1869">
            <v>20095506.329999998</v>
          </cell>
          <cell r="G1869">
            <v>5131653.6372060003</v>
          </cell>
          <cell r="H1869">
            <v>5163014.504861</v>
          </cell>
          <cell r="I1869">
            <v>5286424.3132130001</v>
          </cell>
          <cell r="J1869">
            <v>5320361.5566480001</v>
          </cell>
          <cell r="K1869">
            <v>20901454.011928</v>
          </cell>
          <cell r="L1869">
            <v>4577263.2</v>
          </cell>
          <cell r="M1869">
            <v>19014622.416962001</v>
          </cell>
          <cell r="N1869">
            <v>19403182.788899001</v>
          </cell>
          <cell r="O1869">
            <v>19786775.209996998</v>
          </cell>
        </row>
        <row r="1870">
          <cell r="A1870" t="str">
            <v>GermanyLOSSES ON OTHER ASSETS</v>
          </cell>
          <cell r="B1870">
            <v>0</v>
          </cell>
          <cell r="C1870">
            <v>0</v>
          </cell>
          <cell r="D1870">
            <v>0</v>
          </cell>
          <cell r="E1870">
            <v>0</v>
          </cell>
          <cell r="F1870">
            <v>0</v>
          </cell>
          <cell r="G1870">
            <v>0</v>
          </cell>
          <cell r="H1870">
            <v>0</v>
          </cell>
          <cell r="I1870">
            <v>0</v>
          </cell>
          <cell r="J1870">
            <v>0</v>
          </cell>
          <cell r="K1870">
            <v>0</v>
          </cell>
          <cell r="L1870">
            <v>0</v>
          </cell>
          <cell r="M1870">
            <v>0</v>
          </cell>
          <cell r="N1870">
            <v>0</v>
          </cell>
          <cell r="O1870">
            <v>0</v>
          </cell>
        </row>
        <row r="1871">
          <cell r="A1871" t="str">
            <v>GermanyCOST OF GOODS SOLD</v>
          </cell>
          <cell r="B1871">
            <v>0</v>
          </cell>
          <cell r="C1871">
            <v>0</v>
          </cell>
          <cell r="D1871">
            <v>0</v>
          </cell>
          <cell r="E1871">
            <v>0</v>
          </cell>
          <cell r="F1871">
            <v>0</v>
          </cell>
          <cell r="G1871">
            <v>0</v>
          </cell>
          <cell r="H1871">
            <v>0</v>
          </cell>
          <cell r="I1871">
            <v>0</v>
          </cell>
          <cell r="J1871">
            <v>0</v>
          </cell>
          <cell r="K1871">
            <v>0</v>
          </cell>
          <cell r="L1871">
            <v>0</v>
          </cell>
          <cell r="M1871">
            <v>0</v>
          </cell>
          <cell r="N1871">
            <v>0</v>
          </cell>
          <cell r="O1871">
            <v>0</v>
          </cell>
        </row>
        <row r="1872">
          <cell r="A1872" t="str">
            <v>GermanyCOST OF GOODS SOLD - DISTRIBUTION</v>
          </cell>
          <cell r="B1872">
            <v>0</v>
          </cell>
          <cell r="C1872">
            <v>0</v>
          </cell>
          <cell r="D1872">
            <v>0</v>
          </cell>
          <cell r="E1872">
            <v>0</v>
          </cell>
          <cell r="F1872">
            <v>0</v>
          </cell>
          <cell r="G1872">
            <v>0</v>
          </cell>
          <cell r="H1872">
            <v>0</v>
          </cell>
          <cell r="I1872">
            <v>0</v>
          </cell>
          <cell r="J1872">
            <v>0</v>
          </cell>
          <cell r="K1872">
            <v>0</v>
          </cell>
          <cell r="L1872">
            <v>0</v>
          </cell>
          <cell r="M1872">
            <v>0</v>
          </cell>
          <cell r="N1872">
            <v>0</v>
          </cell>
          <cell r="O1872">
            <v>0</v>
          </cell>
        </row>
        <row r="1873">
          <cell r="A1873" t="str">
            <v>GermanyPOSTAGE</v>
          </cell>
          <cell r="B1873">
            <v>79938.94</v>
          </cell>
          <cell r="C1873">
            <v>94929.12</v>
          </cell>
          <cell r="D1873">
            <v>169142.39</v>
          </cell>
          <cell r="E1873">
            <v>210861.53</v>
          </cell>
          <cell r="F1873">
            <v>554871.98</v>
          </cell>
          <cell r="G1873">
            <v>60551.891892</v>
          </cell>
          <cell r="H1873">
            <v>62761.441441000003</v>
          </cell>
          <cell r="I1873">
            <v>58660.720720999998</v>
          </cell>
          <cell r="J1873">
            <v>63541.981981999998</v>
          </cell>
          <cell r="K1873">
            <v>245516.036036</v>
          </cell>
          <cell r="L1873">
            <v>54080.72</v>
          </cell>
          <cell r="M1873">
            <v>360463.752882</v>
          </cell>
          <cell r="N1873">
            <v>365845.772245</v>
          </cell>
          <cell r="O1873">
            <v>371361.069617</v>
          </cell>
        </row>
        <row r="1874">
          <cell r="A1874" t="str">
            <v>GermanyTELEPHONE</v>
          </cell>
          <cell r="B1874">
            <v>102941.71</v>
          </cell>
          <cell r="C1874">
            <v>152266.28</v>
          </cell>
          <cell r="D1874">
            <v>113470.31</v>
          </cell>
          <cell r="E1874">
            <v>158636.65</v>
          </cell>
          <cell r="F1874">
            <v>527314.94999999995</v>
          </cell>
          <cell r="G1874">
            <v>106012.612613</v>
          </cell>
          <cell r="H1874">
            <v>106512.612613</v>
          </cell>
          <cell r="I1874">
            <v>108314.414414</v>
          </cell>
          <cell r="J1874">
            <v>107701.801802</v>
          </cell>
          <cell r="K1874">
            <v>428541.44144099997</v>
          </cell>
          <cell r="L1874">
            <v>57846.05</v>
          </cell>
          <cell r="M1874">
            <v>615881.51221800002</v>
          </cell>
          <cell r="N1874">
            <v>622985.24665700004</v>
          </cell>
          <cell r="O1874">
            <v>630112.21761199995</v>
          </cell>
        </row>
        <row r="1875">
          <cell r="A1875" t="str">
            <v>GermanyCUSTOMER SERVICE / COLLECTIONS</v>
          </cell>
          <cell r="B1875">
            <v>223532.63</v>
          </cell>
          <cell r="C1875">
            <v>233214.46</v>
          </cell>
          <cell r="D1875">
            <v>240692.65</v>
          </cell>
          <cell r="E1875">
            <v>255280.13</v>
          </cell>
          <cell r="F1875">
            <v>952719.87</v>
          </cell>
          <cell r="G1875">
            <v>264465.85585599998</v>
          </cell>
          <cell r="H1875">
            <v>269734.09909899998</v>
          </cell>
          <cell r="I1875">
            <v>272311.35135100002</v>
          </cell>
          <cell r="J1875">
            <v>280346.93693700002</v>
          </cell>
          <cell r="K1875">
            <v>1086858.243243</v>
          </cell>
          <cell r="L1875">
            <v>215561.83</v>
          </cell>
          <cell r="M1875">
            <v>977043.98340200004</v>
          </cell>
          <cell r="N1875">
            <v>988108.99031799997</v>
          </cell>
          <cell r="O1875">
            <v>999173.99723400001</v>
          </cell>
        </row>
        <row r="1876">
          <cell r="A1876" t="str">
            <v>GermanySTATIONARY - OFFICE SUPPLIES</v>
          </cell>
          <cell r="B1876">
            <v>84580.17</v>
          </cell>
          <cell r="C1876">
            <v>63173.15</v>
          </cell>
          <cell r="D1876">
            <v>73357.84</v>
          </cell>
          <cell r="E1876">
            <v>71047.679999999993</v>
          </cell>
          <cell r="F1876">
            <v>292158.84000000003</v>
          </cell>
          <cell r="G1876">
            <v>61459.459458999998</v>
          </cell>
          <cell r="H1876">
            <v>61648.648649000002</v>
          </cell>
          <cell r="I1876">
            <v>61936.936936999999</v>
          </cell>
          <cell r="J1876">
            <v>62072.072072000003</v>
          </cell>
          <cell r="K1876">
            <v>247117.11711699999</v>
          </cell>
          <cell r="L1876">
            <v>52389</v>
          </cell>
          <cell r="M1876">
            <v>333597.40433400002</v>
          </cell>
          <cell r="N1876">
            <v>333687.58413999999</v>
          </cell>
          <cell r="O1876">
            <v>333502.88151199999</v>
          </cell>
        </row>
        <row r="1877">
          <cell r="A1877" t="str">
            <v>GermanyT&amp;L</v>
          </cell>
          <cell r="B1877">
            <v>243753.79</v>
          </cell>
          <cell r="C1877">
            <v>353414.92</v>
          </cell>
          <cell r="D1877">
            <v>259582.19</v>
          </cell>
          <cell r="E1877">
            <v>422432.68</v>
          </cell>
          <cell r="F1877">
            <v>1279183.58</v>
          </cell>
          <cell r="G1877">
            <v>395135.13513499999</v>
          </cell>
          <cell r="H1877">
            <v>300270.27026999998</v>
          </cell>
          <cell r="I1877">
            <v>301608.10810800001</v>
          </cell>
          <cell r="J1877">
            <v>452063.06306299998</v>
          </cell>
          <cell r="K1877">
            <v>1449076.5765770001</v>
          </cell>
          <cell r="L1877">
            <v>246549.02</v>
          </cell>
          <cell r="M1877">
            <v>1471499.4925460001</v>
          </cell>
          <cell r="N1877">
            <v>1471976.7677889999</v>
          </cell>
          <cell r="O1877">
            <v>1476319.400569</v>
          </cell>
        </row>
        <row r="1878">
          <cell r="A1878" t="str">
            <v>GermanyRENTAL - BLDG/FACILITIES</v>
          </cell>
          <cell r="B1878">
            <v>533904.62</v>
          </cell>
          <cell r="C1878">
            <v>527553.89</v>
          </cell>
          <cell r="D1878">
            <v>566953.53</v>
          </cell>
          <cell r="E1878">
            <v>643482.81999999995</v>
          </cell>
          <cell r="F1878">
            <v>2271894.86</v>
          </cell>
          <cell r="G1878">
            <v>441905.13513499999</v>
          </cell>
          <cell r="H1878">
            <v>450013.243243</v>
          </cell>
          <cell r="I1878">
            <v>454067.29729700001</v>
          </cell>
          <cell r="J1878">
            <v>454067.29729700001</v>
          </cell>
          <cell r="K1878">
            <v>1800052.972973</v>
          </cell>
          <cell r="L1878">
            <v>522732.65</v>
          </cell>
          <cell r="M1878">
            <v>2598617.3474719999</v>
          </cell>
          <cell r="N1878">
            <v>2598617.3474719999</v>
          </cell>
          <cell r="O1878">
            <v>2598617.3474719999</v>
          </cell>
        </row>
        <row r="1879">
          <cell r="A1879" t="str">
            <v>GermanyRENTAL - FURNITURE/EQUIP</v>
          </cell>
          <cell r="B1879">
            <v>143789.82999999999</v>
          </cell>
          <cell r="C1879">
            <v>122627.38</v>
          </cell>
          <cell r="D1879">
            <v>180521.05</v>
          </cell>
          <cell r="E1879">
            <v>116353.76</v>
          </cell>
          <cell r="F1879">
            <v>563292.02</v>
          </cell>
          <cell r="G1879">
            <v>121081.081081</v>
          </cell>
          <cell r="H1879">
            <v>121081.081081</v>
          </cell>
          <cell r="I1879">
            <v>121081.081081</v>
          </cell>
          <cell r="J1879">
            <v>121081.081081</v>
          </cell>
          <cell r="K1879">
            <v>484324.32432399999</v>
          </cell>
          <cell r="L1879">
            <v>64813.5</v>
          </cell>
          <cell r="M1879">
            <v>0</v>
          </cell>
          <cell r="N1879">
            <v>0</v>
          </cell>
          <cell r="O1879">
            <v>0</v>
          </cell>
        </row>
        <row r="1880">
          <cell r="A1880" t="str">
            <v>GermanyRENTAL - COMPUTERS</v>
          </cell>
          <cell r="B1880">
            <v>0</v>
          </cell>
          <cell r="C1880">
            <v>0</v>
          </cell>
          <cell r="D1880">
            <v>2722.27</v>
          </cell>
          <cell r="E1880">
            <v>0</v>
          </cell>
          <cell r="F1880">
            <v>2722.27</v>
          </cell>
          <cell r="G1880">
            <v>0</v>
          </cell>
          <cell r="H1880">
            <v>0</v>
          </cell>
          <cell r="I1880">
            <v>0</v>
          </cell>
          <cell r="J1880">
            <v>0</v>
          </cell>
          <cell r="K1880">
            <v>0</v>
          </cell>
          <cell r="L1880">
            <v>0</v>
          </cell>
          <cell r="M1880">
            <v>0</v>
          </cell>
          <cell r="N1880">
            <v>0</v>
          </cell>
          <cell r="O1880">
            <v>0</v>
          </cell>
        </row>
        <row r="1881">
          <cell r="A1881" t="str">
            <v>GermanyLEASE IN - LEASE OUT</v>
          </cell>
          <cell r="B1881">
            <v>0</v>
          </cell>
          <cell r="C1881">
            <v>0</v>
          </cell>
          <cell r="D1881">
            <v>0</v>
          </cell>
          <cell r="E1881">
            <v>0</v>
          </cell>
          <cell r="F1881">
            <v>0</v>
          </cell>
          <cell r="G1881">
            <v>0</v>
          </cell>
          <cell r="H1881">
            <v>0</v>
          </cell>
          <cell r="I1881">
            <v>0</v>
          </cell>
          <cell r="J1881">
            <v>0</v>
          </cell>
          <cell r="K1881">
            <v>0</v>
          </cell>
          <cell r="L1881">
            <v>0</v>
          </cell>
          <cell r="M1881">
            <v>0</v>
          </cell>
          <cell r="N1881">
            <v>0</v>
          </cell>
          <cell r="O1881">
            <v>0</v>
          </cell>
        </row>
        <row r="1882">
          <cell r="A1882" t="str">
            <v>GermanyFURNITURE / EQUIPMENT / COMPUTER EXP</v>
          </cell>
          <cell r="B1882">
            <v>4263.68</v>
          </cell>
          <cell r="C1882">
            <v>20590.88</v>
          </cell>
          <cell r="D1882">
            <v>19999.759999999998</v>
          </cell>
          <cell r="E1882">
            <v>23398.18</v>
          </cell>
          <cell r="F1882">
            <v>68252.5</v>
          </cell>
          <cell r="G1882">
            <v>7479.5945949999996</v>
          </cell>
          <cell r="H1882">
            <v>7479.5945949999996</v>
          </cell>
          <cell r="I1882">
            <v>7479.5945949999996</v>
          </cell>
          <cell r="J1882">
            <v>7479.5945949999996</v>
          </cell>
          <cell r="K1882">
            <v>29918.378378000001</v>
          </cell>
          <cell r="L1882">
            <v>10212.719999999999</v>
          </cell>
          <cell r="M1882">
            <v>110209.300753</v>
          </cell>
          <cell r="N1882">
            <v>111869.05179</v>
          </cell>
          <cell r="O1882">
            <v>113528.802828</v>
          </cell>
        </row>
        <row r="1883">
          <cell r="A1883" t="str">
            <v>GermanySOFTWARE EXPENSE</v>
          </cell>
          <cell r="B1883">
            <v>0</v>
          </cell>
          <cell r="C1883">
            <v>0</v>
          </cell>
          <cell r="D1883">
            <v>0</v>
          </cell>
          <cell r="E1883">
            <v>0</v>
          </cell>
          <cell r="F1883">
            <v>0</v>
          </cell>
          <cell r="G1883">
            <v>150023</v>
          </cell>
          <cell r="H1883">
            <v>178966</v>
          </cell>
          <cell r="I1883">
            <v>136201</v>
          </cell>
          <cell r="J1883">
            <v>141005</v>
          </cell>
          <cell r="K1883">
            <v>606195</v>
          </cell>
          <cell r="L1883">
            <v>0</v>
          </cell>
          <cell r="M1883">
            <v>0</v>
          </cell>
          <cell r="N1883">
            <v>0</v>
          </cell>
          <cell r="O1883">
            <v>0</v>
          </cell>
        </row>
        <row r="1884">
          <cell r="A1884" t="str">
            <v>GermanyAMORTIZATION OF INTANGIBLES</v>
          </cell>
          <cell r="B1884">
            <v>100767.49</v>
          </cell>
          <cell r="C1884">
            <v>129549.82</v>
          </cell>
          <cell r="D1884">
            <v>3794.43</v>
          </cell>
          <cell r="E1884">
            <v>205507.33</v>
          </cell>
          <cell r="F1884">
            <v>439619.07</v>
          </cell>
          <cell r="G1884">
            <v>0</v>
          </cell>
          <cell r="H1884">
            <v>0</v>
          </cell>
          <cell r="I1884">
            <v>0</v>
          </cell>
          <cell r="J1884">
            <v>0</v>
          </cell>
          <cell r="K1884">
            <v>0</v>
          </cell>
          <cell r="L1884">
            <v>119783.79</v>
          </cell>
          <cell r="M1884">
            <v>0</v>
          </cell>
          <cell r="N1884">
            <v>0</v>
          </cell>
          <cell r="O1884">
            <v>0</v>
          </cell>
        </row>
        <row r="1885">
          <cell r="A1885" t="str">
            <v>GermanyELTO MAINTENANCE</v>
          </cell>
          <cell r="B1885">
            <v>0</v>
          </cell>
          <cell r="C1885">
            <v>0</v>
          </cell>
          <cell r="D1885">
            <v>0</v>
          </cell>
          <cell r="E1885">
            <v>0</v>
          </cell>
          <cell r="F1885">
            <v>0</v>
          </cell>
          <cell r="G1885">
            <v>0</v>
          </cell>
          <cell r="H1885">
            <v>0</v>
          </cell>
          <cell r="I1885">
            <v>0</v>
          </cell>
          <cell r="J1885">
            <v>0</v>
          </cell>
          <cell r="K1885">
            <v>0</v>
          </cell>
          <cell r="L1885">
            <v>0</v>
          </cell>
          <cell r="M1885">
            <v>0</v>
          </cell>
          <cell r="N1885">
            <v>0</v>
          </cell>
          <cell r="O1885">
            <v>0</v>
          </cell>
        </row>
        <row r="1886">
          <cell r="A1886" t="str">
            <v>GermanyELTO OTHER</v>
          </cell>
          <cell r="B1886">
            <v>0</v>
          </cell>
          <cell r="C1886">
            <v>0</v>
          </cell>
          <cell r="D1886">
            <v>0</v>
          </cell>
          <cell r="E1886">
            <v>0</v>
          </cell>
          <cell r="F1886">
            <v>0</v>
          </cell>
          <cell r="G1886">
            <v>0</v>
          </cell>
          <cell r="H1886">
            <v>0</v>
          </cell>
          <cell r="I1886">
            <v>0</v>
          </cell>
          <cell r="J1886">
            <v>0</v>
          </cell>
          <cell r="K1886">
            <v>0</v>
          </cell>
          <cell r="L1886">
            <v>0</v>
          </cell>
          <cell r="M1886">
            <v>0</v>
          </cell>
          <cell r="N1886">
            <v>0</v>
          </cell>
          <cell r="O1886">
            <v>0</v>
          </cell>
        </row>
        <row r="1887">
          <cell r="A1887" t="str">
            <v>GermanyLEGAL</v>
          </cell>
          <cell r="B1887">
            <v>50651.11</v>
          </cell>
          <cell r="C1887">
            <v>61376.99</v>
          </cell>
          <cell r="D1887">
            <v>30934.66</v>
          </cell>
          <cell r="E1887">
            <v>27580.09</v>
          </cell>
          <cell r="F1887">
            <v>170542.85</v>
          </cell>
          <cell r="G1887">
            <v>34757.657657999996</v>
          </cell>
          <cell r="H1887">
            <v>32505.405405000001</v>
          </cell>
          <cell r="I1887">
            <v>34757.657657999996</v>
          </cell>
          <cell r="J1887">
            <v>31154.054054</v>
          </cell>
          <cell r="K1887">
            <v>133174.774775</v>
          </cell>
          <cell r="L1887">
            <v>28703.17</v>
          </cell>
          <cell r="M1887">
            <v>264615.62317500002</v>
          </cell>
          <cell r="N1887">
            <v>267658.500077</v>
          </cell>
          <cell r="O1887">
            <v>268211.75042300002</v>
          </cell>
        </row>
        <row r="1888">
          <cell r="A1888" t="str">
            <v>GermanyADVERTISING</v>
          </cell>
          <cell r="B1888">
            <v>307490.78999999998</v>
          </cell>
          <cell r="C1888">
            <v>391281.86</v>
          </cell>
          <cell r="D1888">
            <v>378059.27</v>
          </cell>
          <cell r="E1888">
            <v>122922.55</v>
          </cell>
          <cell r="F1888">
            <v>1199754.47</v>
          </cell>
          <cell r="G1888">
            <v>429423.42342299997</v>
          </cell>
          <cell r="H1888">
            <v>495414.414414</v>
          </cell>
          <cell r="I1888">
            <v>547891.89189199999</v>
          </cell>
          <cell r="J1888">
            <v>411855.85585599998</v>
          </cell>
          <cell r="K1888">
            <v>1884585.585586</v>
          </cell>
          <cell r="L1888">
            <v>406868.86</v>
          </cell>
          <cell r="M1888">
            <v>2427384.0547500001</v>
          </cell>
          <cell r="N1888">
            <v>2669854.5678599998</v>
          </cell>
          <cell r="O1888">
            <v>2794811.9410199998</v>
          </cell>
        </row>
        <row r="1889">
          <cell r="A1889" t="str">
            <v>GermanySALES PROMOTIONS</v>
          </cell>
          <cell r="B1889">
            <v>0</v>
          </cell>
          <cell r="C1889">
            <v>0</v>
          </cell>
          <cell r="D1889">
            <v>0</v>
          </cell>
          <cell r="E1889">
            <v>0</v>
          </cell>
          <cell r="F1889">
            <v>0</v>
          </cell>
          <cell r="G1889">
            <v>0</v>
          </cell>
          <cell r="H1889">
            <v>0</v>
          </cell>
          <cell r="I1889">
            <v>0</v>
          </cell>
          <cell r="J1889">
            <v>0</v>
          </cell>
          <cell r="K1889">
            <v>0</v>
          </cell>
          <cell r="L1889">
            <v>675.45</v>
          </cell>
          <cell r="M1889">
            <v>0</v>
          </cell>
          <cell r="N1889">
            <v>0</v>
          </cell>
          <cell r="O1889">
            <v>0</v>
          </cell>
        </row>
        <row r="1890">
          <cell r="A1890" t="str">
            <v>GermanyDIRECT MAIL</v>
          </cell>
          <cell r="B1890">
            <v>0</v>
          </cell>
          <cell r="C1890">
            <v>0</v>
          </cell>
          <cell r="D1890">
            <v>0</v>
          </cell>
          <cell r="E1890">
            <v>0</v>
          </cell>
          <cell r="F1890">
            <v>0</v>
          </cell>
          <cell r="G1890">
            <v>0</v>
          </cell>
          <cell r="H1890">
            <v>0</v>
          </cell>
          <cell r="I1890">
            <v>0</v>
          </cell>
          <cell r="J1890">
            <v>0</v>
          </cell>
          <cell r="K1890">
            <v>0</v>
          </cell>
          <cell r="L1890">
            <v>46243.1</v>
          </cell>
          <cell r="M1890">
            <v>0</v>
          </cell>
          <cell r="N1890">
            <v>0</v>
          </cell>
          <cell r="O1890">
            <v>0</v>
          </cell>
        </row>
        <row r="1891">
          <cell r="A1891" t="str">
            <v>GermanyDATA PROCESSING</v>
          </cell>
          <cell r="B1891">
            <v>661827.57999999996</v>
          </cell>
          <cell r="C1891">
            <v>676149.04</v>
          </cell>
          <cell r="D1891">
            <v>687004.17</v>
          </cell>
          <cell r="E1891">
            <v>1474816.5</v>
          </cell>
          <cell r="F1891">
            <v>3499797.29</v>
          </cell>
          <cell r="G1891">
            <v>835790.34882199997</v>
          </cell>
          <cell r="H1891">
            <v>847865.36684000003</v>
          </cell>
          <cell r="I1891">
            <v>928828.565038</v>
          </cell>
          <cell r="J1891">
            <v>895646.18666000001</v>
          </cell>
          <cell r="K1891">
            <v>3508130.4673600001</v>
          </cell>
          <cell r="L1891">
            <v>880866.66</v>
          </cell>
          <cell r="M1891">
            <v>3144453.6652839999</v>
          </cell>
          <cell r="N1891">
            <v>3057316.7358229998</v>
          </cell>
          <cell r="O1891">
            <v>3183918.8566160002</v>
          </cell>
        </row>
        <row r="1892">
          <cell r="A1892" t="str">
            <v>GermanyCONSULTING</v>
          </cell>
          <cell r="B1892">
            <v>303198.90999999997</v>
          </cell>
          <cell r="C1892">
            <v>556757.65</v>
          </cell>
          <cell r="D1892">
            <v>339021.05</v>
          </cell>
          <cell r="E1892">
            <v>390113.48</v>
          </cell>
          <cell r="F1892">
            <v>1589091.09</v>
          </cell>
          <cell r="G1892">
            <v>257210.38808</v>
          </cell>
          <cell r="H1892">
            <v>409462.64033299999</v>
          </cell>
          <cell r="I1892">
            <v>247480.65835099999</v>
          </cell>
          <cell r="J1892">
            <v>219270.910141</v>
          </cell>
          <cell r="K1892">
            <v>1133424.596905</v>
          </cell>
          <cell r="L1892">
            <v>228348.09</v>
          </cell>
          <cell r="M1892">
            <v>1379768.249577</v>
          </cell>
          <cell r="N1892">
            <v>1226702.320578</v>
          </cell>
          <cell r="O1892">
            <v>1224858.152759</v>
          </cell>
        </row>
        <row r="1893">
          <cell r="A1893" t="str">
            <v>GermanyTEMP SERVICES</v>
          </cell>
          <cell r="B1893">
            <v>244459.57</v>
          </cell>
          <cell r="C1893">
            <v>69994.86</v>
          </cell>
          <cell r="D1893">
            <v>163466.35</v>
          </cell>
          <cell r="E1893">
            <v>313476.96999999997</v>
          </cell>
          <cell r="F1893">
            <v>791397.75</v>
          </cell>
          <cell r="G1893">
            <v>183541.51864200001</v>
          </cell>
          <cell r="H1893">
            <v>173958.04181900001</v>
          </cell>
          <cell r="I1893">
            <v>150314.23145799999</v>
          </cell>
          <cell r="J1893">
            <v>109818.135362</v>
          </cell>
          <cell r="K1893">
            <v>617631.92728199996</v>
          </cell>
          <cell r="L1893">
            <v>104225.93</v>
          </cell>
          <cell r="M1893">
            <v>1990699.277701</v>
          </cell>
          <cell r="N1893">
            <v>2008492.9153219999</v>
          </cell>
          <cell r="O1893">
            <v>2020771.4768709999</v>
          </cell>
        </row>
        <row r="1894">
          <cell r="A1894" t="str">
            <v>GermanyGDC CHARGES</v>
          </cell>
          <cell r="B1894">
            <v>336021.02</v>
          </cell>
          <cell r="C1894">
            <v>317695.62</v>
          </cell>
          <cell r="D1894">
            <v>553147</v>
          </cell>
          <cell r="E1894">
            <v>857298.86</v>
          </cell>
          <cell r="F1894">
            <v>2064162.5</v>
          </cell>
          <cell r="G1894">
            <v>0</v>
          </cell>
          <cell r="H1894">
            <v>0</v>
          </cell>
          <cell r="I1894">
            <v>0</v>
          </cell>
          <cell r="J1894">
            <v>0</v>
          </cell>
          <cell r="K1894">
            <v>0</v>
          </cell>
          <cell r="L1894">
            <v>506897.25</v>
          </cell>
          <cell r="M1894">
            <v>0</v>
          </cell>
          <cell r="N1894">
            <v>0</v>
          </cell>
          <cell r="O1894">
            <v>0</v>
          </cell>
        </row>
        <row r="1895">
          <cell r="A1895" t="str">
            <v>GermanyTRAINING AND EDUCATION</v>
          </cell>
          <cell r="B1895">
            <v>30340.22</v>
          </cell>
          <cell r="C1895">
            <v>31898.77</v>
          </cell>
          <cell r="D1895">
            <v>5436.09</v>
          </cell>
          <cell r="E1895">
            <v>-36270</v>
          </cell>
          <cell r="F1895">
            <v>31405.08</v>
          </cell>
          <cell r="G1895">
            <v>195369.36936899999</v>
          </cell>
          <cell r="H1895">
            <v>195369.36936899999</v>
          </cell>
          <cell r="I1895">
            <v>195369.36936899999</v>
          </cell>
          <cell r="J1895">
            <v>195369.36936899999</v>
          </cell>
          <cell r="K1895">
            <v>781477.47747699998</v>
          </cell>
          <cell r="L1895">
            <v>128086.51</v>
          </cell>
          <cell r="M1895">
            <v>0</v>
          </cell>
          <cell r="N1895">
            <v>0</v>
          </cell>
          <cell r="O1895">
            <v>0</v>
          </cell>
        </row>
        <row r="1896">
          <cell r="A1896" t="str">
            <v>GermanyOUTSIDE SERVICES  AND FEES</v>
          </cell>
          <cell r="B1896">
            <v>39644.76</v>
          </cell>
          <cell r="C1896">
            <v>141015.37</v>
          </cell>
          <cell r="D1896">
            <v>88877.54</v>
          </cell>
          <cell r="E1896">
            <v>41416.980000000003</v>
          </cell>
          <cell r="F1896">
            <v>310954.65000000002</v>
          </cell>
          <cell r="G1896">
            <v>101711.711712</v>
          </cell>
          <cell r="H1896">
            <v>101711.711712</v>
          </cell>
          <cell r="I1896">
            <v>101711.711712</v>
          </cell>
          <cell r="J1896">
            <v>101711.711712</v>
          </cell>
          <cell r="K1896">
            <v>406846.84684700001</v>
          </cell>
          <cell r="L1896">
            <v>56913.760000000002</v>
          </cell>
          <cell r="M1896">
            <v>609100.54402999999</v>
          </cell>
          <cell r="N1896">
            <v>601865.41263300006</v>
          </cell>
          <cell r="O1896">
            <v>608222.25910599995</v>
          </cell>
        </row>
        <row r="1897">
          <cell r="A1897" t="str">
            <v>GermanySTATE, FOREIGN, LOCAL TAXES</v>
          </cell>
          <cell r="B1897">
            <v>0</v>
          </cell>
          <cell r="C1897">
            <v>0</v>
          </cell>
          <cell r="D1897">
            <v>0</v>
          </cell>
          <cell r="E1897">
            <v>0</v>
          </cell>
          <cell r="F1897">
            <v>0</v>
          </cell>
          <cell r="G1897">
            <v>0</v>
          </cell>
          <cell r="H1897">
            <v>0</v>
          </cell>
          <cell r="I1897">
            <v>0</v>
          </cell>
          <cell r="J1897">
            <v>0</v>
          </cell>
          <cell r="K1897">
            <v>0</v>
          </cell>
          <cell r="L1897">
            <v>0</v>
          </cell>
          <cell r="M1897">
            <v>0</v>
          </cell>
          <cell r="N1897">
            <v>0</v>
          </cell>
          <cell r="O1897">
            <v>0</v>
          </cell>
        </row>
        <row r="1898">
          <cell r="A1898" t="str">
            <v>GermanyS/L TAX - INSURANCE PREMIUMS</v>
          </cell>
          <cell r="B1898">
            <v>0</v>
          </cell>
          <cell r="C1898">
            <v>0</v>
          </cell>
          <cell r="D1898">
            <v>0</v>
          </cell>
          <cell r="E1898">
            <v>0</v>
          </cell>
          <cell r="F1898">
            <v>0</v>
          </cell>
          <cell r="G1898">
            <v>0</v>
          </cell>
          <cell r="H1898">
            <v>0</v>
          </cell>
          <cell r="I1898">
            <v>0</v>
          </cell>
          <cell r="J1898">
            <v>0</v>
          </cell>
          <cell r="K1898">
            <v>0</v>
          </cell>
          <cell r="L1898">
            <v>0</v>
          </cell>
          <cell r="M1898">
            <v>0</v>
          </cell>
          <cell r="N1898">
            <v>0</v>
          </cell>
          <cell r="O1898">
            <v>0</v>
          </cell>
        </row>
        <row r="1899">
          <cell r="A1899" t="str">
            <v>GermanySATELLITE LEASE EXPENSE</v>
          </cell>
          <cell r="B1899">
            <v>0</v>
          </cell>
          <cell r="C1899">
            <v>0</v>
          </cell>
          <cell r="D1899">
            <v>0</v>
          </cell>
          <cell r="E1899">
            <v>0</v>
          </cell>
          <cell r="F1899">
            <v>0</v>
          </cell>
          <cell r="G1899">
            <v>0</v>
          </cell>
          <cell r="H1899">
            <v>0</v>
          </cell>
          <cell r="I1899">
            <v>0</v>
          </cell>
          <cell r="J1899">
            <v>0</v>
          </cell>
          <cell r="K1899">
            <v>0</v>
          </cell>
          <cell r="L1899">
            <v>0</v>
          </cell>
          <cell r="M1899">
            <v>0</v>
          </cell>
          <cell r="N1899">
            <v>0</v>
          </cell>
          <cell r="O1899">
            <v>0</v>
          </cell>
        </row>
        <row r="1900">
          <cell r="A1900" t="str">
            <v>GermanyBUSINESS SHARE EXPENSE</v>
          </cell>
          <cell r="B1900">
            <v>0</v>
          </cell>
          <cell r="C1900">
            <v>0</v>
          </cell>
          <cell r="D1900">
            <v>0</v>
          </cell>
          <cell r="E1900">
            <v>0</v>
          </cell>
          <cell r="F1900">
            <v>0</v>
          </cell>
          <cell r="G1900">
            <v>0</v>
          </cell>
          <cell r="H1900">
            <v>0</v>
          </cell>
          <cell r="I1900">
            <v>0</v>
          </cell>
          <cell r="J1900">
            <v>0</v>
          </cell>
          <cell r="K1900">
            <v>0</v>
          </cell>
          <cell r="L1900">
            <v>0</v>
          </cell>
          <cell r="M1900">
            <v>0</v>
          </cell>
          <cell r="N1900">
            <v>0</v>
          </cell>
          <cell r="O1900">
            <v>0</v>
          </cell>
        </row>
        <row r="1901">
          <cell r="A1901" t="str">
            <v>GermanyINSURANCE AFFILIATE EXPENSE</v>
          </cell>
          <cell r="B1901">
            <v>0</v>
          </cell>
          <cell r="C1901">
            <v>0</v>
          </cell>
          <cell r="D1901">
            <v>0</v>
          </cell>
          <cell r="E1901">
            <v>0</v>
          </cell>
          <cell r="F1901">
            <v>0</v>
          </cell>
          <cell r="G1901">
            <v>0</v>
          </cell>
          <cell r="H1901">
            <v>0</v>
          </cell>
          <cell r="I1901">
            <v>0</v>
          </cell>
          <cell r="J1901">
            <v>0</v>
          </cell>
          <cell r="K1901">
            <v>0</v>
          </cell>
          <cell r="L1901">
            <v>0</v>
          </cell>
          <cell r="M1901">
            <v>0</v>
          </cell>
          <cell r="N1901">
            <v>0</v>
          </cell>
          <cell r="O1901">
            <v>0</v>
          </cell>
        </row>
        <row r="1902">
          <cell r="A1902" t="str">
            <v>GermanyOTHER FACILITY EXPENSE</v>
          </cell>
          <cell r="B1902">
            <v>141593.71</v>
          </cell>
          <cell r="C1902">
            <v>210372.67</v>
          </cell>
          <cell r="D1902">
            <v>246887.59</v>
          </cell>
          <cell r="E1902">
            <v>280375.12</v>
          </cell>
          <cell r="F1902">
            <v>879229.09</v>
          </cell>
          <cell r="G1902">
            <v>154544.13513499999</v>
          </cell>
          <cell r="H1902">
            <v>154544.13513499999</v>
          </cell>
          <cell r="I1902">
            <v>154544.13513499999</v>
          </cell>
          <cell r="J1902">
            <v>154544.13513499999</v>
          </cell>
          <cell r="K1902">
            <v>618176.54054099997</v>
          </cell>
          <cell r="L1902">
            <v>157442.06</v>
          </cell>
          <cell r="M1902">
            <v>752092.39280799998</v>
          </cell>
          <cell r="N1902">
            <v>753195.020747</v>
          </cell>
          <cell r="O1902">
            <v>753195.020747</v>
          </cell>
        </row>
        <row r="1903">
          <cell r="A1903" t="str">
            <v>GermanyGROSS OP &amp; ADMIN BUS SHARE</v>
          </cell>
          <cell r="B1903">
            <v>0</v>
          </cell>
          <cell r="C1903">
            <v>0</v>
          </cell>
          <cell r="D1903">
            <v>0</v>
          </cell>
          <cell r="E1903">
            <v>0</v>
          </cell>
          <cell r="F1903">
            <v>0</v>
          </cell>
          <cell r="G1903">
            <v>0</v>
          </cell>
          <cell r="H1903">
            <v>0</v>
          </cell>
          <cell r="I1903">
            <v>0</v>
          </cell>
          <cell r="J1903">
            <v>0</v>
          </cell>
          <cell r="K1903">
            <v>0</v>
          </cell>
          <cell r="L1903">
            <v>0</v>
          </cell>
          <cell r="M1903">
            <v>0</v>
          </cell>
          <cell r="N1903">
            <v>0</v>
          </cell>
          <cell r="O1903">
            <v>0</v>
          </cell>
        </row>
        <row r="1904">
          <cell r="A1904" t="str">
            <v>GermanyOTHER EXPENSE</v>
          </cell>
          <cell r="B1904">
            <v>-128857.72</v>
          </cell>
          <cell r="C1904">
            <v>-277361.45</v>
          </cell>
          <cell r="D1904">
            <v>-646978.53</v>
          </cell>
          <cell r="E1904">
            <v>-819984.84</v>
          </cell>
          <cell r="F1904">
            <v>-1873182.54</v>
          </cell>
          <cell r="G1904">
            <v>2199.9911870000001</v>
          </cell>
          <cell r="H1904">
            <v>128596.94774800001</v>
          </cell>
          <cell r="I1904">
            <v>-34664.313514000001</v>
          </cell>
          <cell r="J1904">
            <v>-45475.124323999997</v>
          </cell>
          <cell r="K1904">
            <v>50657.501097</v>
          </cell>
          <cell r="L1904">
            <v>-437187</v>
          </cell>
          <cell r="M1904">
            <v>293549.955433</v>
          </cell>
          <cell r="N1904">
            <v>1289400.5778389999</v>
          </cell>
          <cell r="O1904">
            <v>1385850.5547869999</v>
          </cell>
        </row>
        <row r="1905">
          <cell r="A1905" t="str">
            <v>GermanyGECC INTERCO EXPENSES EXCL GECIS</v>
          </cell>
          <cell r="B1905">
            <v>0</v>
          </cell>
          <cell r="C1905">
            <v>0</v>
          </cell>
          <cell r="D1905">
            <v>0</v>
          </cell>
          <cell r="E1905">
            <v>0</v>
          </cell>
          <cell r="F1905">
            <v>0</v>
          </cell>
          <cell r="G1905">
            <v>0</v>
          </cell>
          <cell r="H1905">
            <v>0</v>
          </cell>
          <cell r="I1905">
            <v>0</v>
          </cell>
          <cell r="J1905">
            <v>0</v>
          </cell>
          <cell r="K1905">
            <v>0</v>
          </cell>
          <cell r="L1905">
            <v>0</v>
          </cell>
          <cell r="M1905">
            <v>0</v>
          </cell>
          <cell r="N1905">
            <v>0</v>
          </cell>
          <cell r="O1905">
            <v>0</v>
          </cell>
        </row>
        <row r="1906">
          <cell r="A1906" t="str">
            <v>GermanyGECIS INTERCO CHARGES</v>
          </cell>
          <cell r="B1906">
            <v>0</v>
          </cell>
          <cell r="C1906">
            <v>0</v>
          </cell>
          <cell r="D1906">
            <v>0</v>
          </cell>
          <cell r="E1906">
            <v>0</v>
          </cell>
          <cell r="F1906">
            <v>0</v>
          </cell>
          <cell r="G1906">
            <v>0</v>
          </cell>
          <cell r="H1906">
            <v>0</v>
          </cell>
          <cell r="I1906">
            <v>0</v>
          </cell>
          <cell r="J1906">
            <v>0</v>
          </cell>
          <cell r="K1906">
            <v>0</v>
          </cell>
          <cell r="L1906">
            <v>0</v>
          </cell>
          <cell r="M1906">
            <v>0</v>
          </cell>
          <cell r="N1906">
            <v>0</v>
          </cell>
          <cell r="O1906">
            <v>0</v>
          </cell>
        </row>
        <row r="1907">
          <cell r="A1907" t="str">
            <v>GermanyLOSS ADJUSTED EXPENSE</v>
          </cell>
          <cell r="B1907">
            <v>0</v>
          </cell>
          <cell r="C1907">
            <v>0</v>
          </cell>
          <cell r="D1907">
            <v>0</v>
          </cell>
          <cell r="E1907">
            <v>0</v>
          </cell>
          <cell r="F1907">
            <v>0</v>
          </cell>
          <cell r="G1907">
            <v>0</v>
          </cell>
          <cell r="H1907">
            <v>0</v>
          </cell>
          <cell r="I1907">
            <v>0</v>
          </cell>
          <cell r="J1907">
            <v>0</v>
          </cell>
          <cell r="K1907">
            <v>0</v>
          </cell>
          <cell r="L1907">
            <v>0</v>
          </cell>
          <cell r="M1907">
            <v>0</v>
          </cell>
          <cell r="N1907">
            <v>0</v>
          </cell>
          <cell r="O1907">
            <v>0</v>
          </cell>
        </row>
        <row r="1908">
          <cell r="A1908" t="str">
            <v>GermanyALL OTHER EXPENSES</v>
          </cell>
          <cell r="B1908">
            <v>0</v>
          </cell>
          <cell r="C1908">
            <v>0</v>
          </cell>
          <cell r="D1908">
            <v>0</v>
          </cell>
          <cell r="E1908">
            <v>0.01</v>
          </cell>
          <cell r="F1908">
            <v>0.01</v>
          </cell>
          <cell r="G1908">
            <v>0</v>
          </cell>
          <cell r="H1908">
            <v>0</v>
          </cell>
          <cell r="I1908">
            <v>0</v>
          </cell>
          <cell r="J1908">
            <v>0</v>
          </cell>
          <cell r="K1908">
            <v>0</v>
          </cell>
          <cell r="L1908">
            <v>-0.01</v>
          </cell>
          <cell r="M1908">
            <v>0</v>
          </cell>
          <cell r="N1908">
            <v>0</v>
          </cell>
          <cell r="O1908">
            <v>0</v>
          </cell>
        </row>
        <row r="1909">
          <cell r="A1909" t="str">
            <v>GermanyASSESSMENTS</v>
          </cell>
          <cell r="B1909">
            <v>317285.28999999998</v>
          </cell>
          <cell r="C1909">
            <v>307890.28999999998</v>
          </cell>
          <cell r="D1909">
            <v>361965.75</v>
          </cell>
          <cell r="E1909">
            <v>1267737.53</v>
          </cell>
          <cell r="F1909">
            <v>2254878.86</v>
          </cell>
          <cell r="G1909">
            <v>334633.43829999998</v>
          </cell>
          <cell r="H1909">
            <v>334633.43829999998</v>
          </cell>
          <cell r="I1909">
            <v>334633.43829999998</v>
          </cell>
          <cell r="J1909">
            <v>334633.43829999998</v>
          </cell>
          <cell r="K1909">
            <v>1338533.7531999999</v>
          </cell>
          <cell r="L1909">
            <v>276393.89</v>
          </cell>
          <cell r="M1909">
            <v>1768423.40873</v>
          </cell>
          <cell r="N1909">
            <v>1981681.94041</v>
          </cell>
          <cell r="O1909">
            <v>2225113.7914840002</v>
          </cell>
        </row>
        <row r="1910">
          <cell r="A1910" t="str">
            <v>GermanyFAS 91</v>
          </cell>
          <cell r="B1910">
            <v>-1155919.58</v>
          </cell>
          <cell r="C1910">
            <v>-1092846.5</v>
          </cell>
          <cell r="D1910">
            <v>-963241.03</v>
          </cell>
          <cell r="E1910">
            <v>-1151175.1299999999</v>
          </cell>
          <cell r="F1910">
            <v>-4363182.24</v>
          </cell>
          <cell r="G1910">
            <v>-1152031.942879</v>
          </cell>
          <cell r="H1910">
            <v>-1197840.1807309999</v>
          </cell>
          <cell r="I1910">
            <v>-1237648.719762</v>
          </cell>
          <cell r="J1910">
            <v>-1309452.1956879999</v>
          </cell>
          <cell r="K1910">
            <v>-4896973.0390600003</v>
          </cell>
          <cell r="L1910">
            <v>-525561.30000000005</v>
          </cell>
          <cell r="M1910">
            <v>-4882304.7244260004</v>
          </cell>
          <cell r="N1910">
            <v>-5291608.4148439998</v>
          </cell>
          <cell r="O1910">
            <v>-4539962.5973659996</v>
          </cell>
        </row>
        <row r="1911">
          <cell r="A1911" t="str">
            <v>GermanyGOODWILL AMORTIZATION</v>
          </cell>
          <cell r="B1911">
            <v>569815.93000000005</v>
          </cell>
          <cell r="C1911">
            <v>565510.73</v>
          </cell>
          <cell r="D1911">
            <v>572340.35</v>
          </cell>
          <cell r="E1911">
            <v>602183.81000000006</v>
          </cell>
          <cell r="F1911">
            <v>2309850.8199999998</v>
          </cell>
          <cell r="G1911">
            <v>0</v>
          </cell>
          <cell r="H1911">
            <v>0</v>
          </cell>
          <cell r="I1911">
            <v>0</v>
          </cell>
          <cell r="J1911">
            <v>0</v>
          </cell>
          <cell r="K1911">
            <v>0</v>
          </cell>
          <cell r="L1911">
            <v>0.13</v>
          </cell>
          <cell r="M1911">
            <v>2113825.647105</v>
          </cell>
          <cell r="N1911">
            <v>2113825.647105</v>
          </cell>
          <cell r="O1911">
            <v>2113825.647105</v>
          </cell>
        </row>
        <row r="1912">
          <cell r="A1912" t="str">
            <v>GermanyDEPRECIATION EXPENSE</v>
          </cell>
          <cell r="B1912">
            <v>704978.46</v>
          </cell>
          <cell r="C1912">
            <v>653646.43999999994</v>
          </cell>
          <cell r="D1912">
            <v>573996.18000000005</v>
          </cell>
          <cell r="E1912">
            <v>605539.24</v>
          </cell>
          <cell r="F1912">
            <v>2538160.3199999998</v>
          </cell>
          <cell r="G1912">
            <v>763678.70193900005</v>
          </cell>
          <cell r="H1912">
            <v>788330.98363000003</v>
          </cell>
          <cell r="I1912">
            <v>816475.51502399996</v>
          </cell>
          <cell r="J1912">
            <v>783785.71386000002</v>
          </cell>
          <cell r="K1912">
            <v>3152270.9144540001</v>
          </cell>
          <cell r="L1912">
            <v>618971.61</v>
          </cell>
          <cell r="M1912">
            <v>3480018.715789</v>
          </cell>
          <cell r="N1912">
            <v>3162415.2978659999</v>
          </cell>
          <cell r="O1912">
            <v>2576998.8779239999</v>
          </cell>
        </row>
        <row r="1913">
          <cell r="A1913" t="str">
            <v>GermanyELTO AMORTIZATION</v>
          </cell>
          <cell r="B1913">
            <v>0</v>
          </cell>
          <cell r="C1913">
            <v>0</v>
          </cell>
          <cell r="D1913">
            <v>0</v>
          </cell>
          <cell r="E1913">
            <v>0</v>
          </cell>
          <cell r="F1913">
            <v>0</v>
          </cell>
          <cell r="G1913">
            <v>0</v>
          </cell>
          <cell r="H1913">
            <v>0</v>
          </cell>
          <cell r="I1913">
            <v>0</v>
          </cell>
          <cell r="J1913">
            <v>0</v>
          </cell>
          <cell r="K1913">
            <v>0</v>
          </cell>
          <cell r="L1913">
            <v>0</v>
          </cell>
          <cell r="M1913">
            <v>0</v>
          </cell>
          <cell r="N1913">
            <v>0</v>
          </cell>
          <cell r="O1913">
            <v>0</v>
          </cell>
        </row>
        <row r="1914">
          <cell r="A1914" t="str">
            <v>GermanyINSURANCE LOSSES AND BENEFITS</v>
          </cell>
          <cell r="B1914">
            <v>0</v>
          </cell>
          <cell r="C1914">
            <v>0</v>
          </cell>
          <cell r="D1914">
            <v>0</v>
          </cell>
          <cell r="E1914">
            <v>0</v>
          </cell>
          <cell r="F1914">
            <v>0</v>
          </cell>
          <cell r="G1914">
            <v>0</v>
          </cell>
          <cell r="H1914">
            <v>0</v>
          </cell>
          <cell r="I1914">
            <v>0</v>
          </cell>
          <cell r="J1914">
            <v>0</v>
          </cell>
          <cell r="K1914">
            <v>0</v>
          </cell>
          <cell r="L1914">
            <v>0</v>
          </cell>
          <cell r="M1914">
            <v>0</v>
          </cell>
          <cell r="N1914">
            <v>0</v>
          </cell>
          <cell r="O1914">
            <v>0</v>
          </cell>
        </row>
        <row r="1915">
          <cell r="A1915" t="str">
            <v>GermanyWRITE OFFS</v>
          </cell>
          <cell r="B1915">
            <v>1138276.43</v>
          </cell>
          <cell r="C1915">
            <v>1530336.4</v>
          </cell>
          <cell r="D1915">
            <v>2740737.18</v>
          </cell>
          <cell r="E1915">
            <v>1294903.26</v>
          </cell>
          <cell r="F1915">
            <v>6704253.2699999996</v>
          </cell>
          <cell r="G1915">
            <v>1909064.416187</v>
          </cell>
          <cell r="H1915">
            <v>1369547.385308</v>
          </cell>
          <cell r="I1915">
            <v>746856.79458400002</v>
          </cell>
          <cell r="J1915">
            <v>719993.56055399997</v>
          </cell>
          <cell r="K1915">
            <v>4745462.1566329999</v>
          </cell>
          <cell r="L1915">
            <v>2198001.75</v>
          </cell>
          <cell r="M1915">
            <v>6718652.8238169998</v>
          </cell>
          <cell r="N1915">
            <v>9678570.6893680003</v>
          </cell>
          <cell r="O1915">
            <v>14410055.061241999</v>
          </cell>
        </row>
        <row r="1916">
          <cell r="A1916" t="str">
            <v>GermanyRESERVE CHANGE</v>
          </cell>
          <cell r="B1916">
            <v>0</v>
          </cell>
          <cell r="C1916">
            <v>0</v>
          </cell>
          <cell r="D1916">
            <v>0</v>
          </cell>
          <cell r="E1916">
            <v>0</v>
          </cell>
          <cell r="F1916">
            <v>0</v>
          </cell>
          <cell r="G1916">
            <v>0</v>
          </cell>
          <cell r="H1916">
            <v>0</v>
          </cell>
          <cell r="I1916">
            <v>0</v>
          </cell>
          <cell r="J1916">
            <v>0</v>
          </cell>
          <cell r="K1916">
            <v>0</v>
          </cell>
          <cell r="L1916">
            <v>0</v>
          </cell>
          <cell r="M1916">
            <v>0</v>
          </cell>
          <cell r="N1916">
            <v>0</v>
          </cell>
          <cell r="O1916">
            <v>0</v>
          </cell>
        </row>
        <row r="1917">
          <cell r="A1917" t="str">
            <v>GermanyMINORITY INTEREST</v>
          </cell>
          <cell r="B1917">
            <v>0</v>
          </cell>
          <cell r="C1917">
            <v>0</v>
          </cell>
          <cell r="D1917">
            <v>0</v>
          </cell>
          <cell r="E1917">
            <v>0</v>
          </cell>
          <cell r="F1917">
            <v>0</v>
          </cell>
          <cell r="G1917">
            <v>0</v>
          </cell>
          <cell r="H1917">
            <v>0</v>
          </cell>
          <cell r="I1917">
            <v>0</v>
          </cell>
          <cell r="J1917">
            <v>0</v>
          </cell>
          <cell r="K1917">
            <v>0</v>
          </cell>
          <cell r="L1917">
            <v>0</v>
          </cell>
          <cell r="M1917">
            <v>0</v>
          </cell>
          <cell r="N1917">
            <v>0</v>
          </cell>
          <cell r="O1917">
            <v>0</v>
          </cell>
        </row>
        <row r="1918">
          <cell r="A1918" t="str">
            <v>GermanyINCOME TAXES</v>
          </cell>
          <cell r="B1918">
            <v>-858126.31</v>
          </cell>
          <cell r="C1918">
            <v>-734445.44</v>
          </cell>
          <cell r="D1918">
            <v>-300722.99</v>
          </cell>
          <cell r="E1918">
            <v>-185439.22</v>
          </cell>
          <cell r="F1918">
            <v>-2078733.96</v>
          </cell>
          <cell r="G1918">
            <v>284067.04877599998</v>
          </cell>
          <cell r="H1918">
            <v>335757.696024</v>
          </cell>
          <cell r="I1918">
            <v>621908.64813999995</v>
          </cell>
          <cell r="J1918">
            <v>735490.83935300005</v>
          </cell>
          <cell r="K1918">
            <v>1977224.232293</v>
          </cell>
          <cell r="L1918">
            <v>294829.28000000003</v>
          </cell>
          <cell r="M1918">
            <v>7563.9897469999996</v>
          </cell>
          <cell r="N1918">
            <v>2016848.6692069999</v>
          </cell>
          <cell r="O1918">
            <v>3098920.9955810001</v>
          </cell>
        </row>
        <row r="1919">
          <cell r="A1919" t="str">
            <v>GermanyCUMULATIVE TRANSITION ADJUSTMENT</v>
          </cell>
          <cell r="B1919">
            <v>0</v>
          </cell>
          <cell r="C1919">
            <v>0</v>
          </cell>
          <cell r="D1919">
            <v>0</v>
          </cell>
          <cell r="E1919">
            <v>0</v>
          </cell>
          <cell r="F1919">
            <v>0</v>
          </cell>
          <cell r="G1919">
            <v>0</v>
          </cell>
          <cell r="H1919">
            <v>0</v>
          </cell>
          <cell r="I1919">
            <v>0</v>
          </cell>
          <cell r="J1919">
            <v>0</v>
          </cell>
          <cell r="K1919">
            <v>0</v>
          </cell>
          <cell r="L1919">
            <v>0</v>
          </cell>
          <cell r="M1919">
            <v>0</v>
          </cell>
          <cell r="N1919">
            <v>0</v>
          </cell>
          <cell r="O1919">
            <v>0</v>
          </cell>
        </row>
        <row r="1920">
          <cell r="A1920" t="str">
            <v>GermanyASIA PACIFIC NI DIVIDEND</v>
          </cell>
          <cell r="B1920">
            <v>0</v>
          </cell>
          <cell r="C1920">
            <v>0</v>
          </cell>
          <cell r="D1920">
            <v>0</v>
          </cell>
          <cell r="E1920">
            <v>0</v>
          </cell>
          <cell r="F1920">
            <v>0</v>
          </cell>
          <cell r="G1920">
            <v>0</v>
          </cell>
          <cell r="H1920">
            <v>0</v>
          </cell>
          <cell r="I1920">
            <v>0</v>
          </cell>
          <cell r="J1920">
            <v>0</v>
          </cell>
          <cell r="K1920">
            <v>0</v>
          </cell>
          <cell r="L1920">
            <v>0</v>
          </cell>
          <cell r="M1920">
            <v>0</v>
          </cell>
          <cell r="N1920">
            <v>0</v>
          </cell>
          <cell r="O1920">
            <v>0</v>
          </cell>
        </row>
        <row r="1921">
          <cell r="A1921" t="str">
            <v>GermanyNet Income</v>
          </cell>
          <cell r="B1921">
            <v>1650811.73</v>
          </cell>
          <cell r="C1921">
            <v>1412303.02</v>
          </cell>
          <cell r="D1921">
            <v>601346.31999999995</v>
          </cell>
          <cell r="E1921">
            <v>371503.98</v>
          </cell>
          <cell r="F1921">
            <v>4035965.05</v>
          </cell>
          <cell r="G1921">
            <v>-484535.07256499998</v>
          </cell>
          <cell r="H1921">
            <v>-623550.00690200005</v>
          </cell>
          <cell r="I1921">
            <v>-1154973.2036890001</v>
          </cell>
          <cell r="J1921">
            <v>-1365911.558799</v>
          </cell>
          <cell r="K1921">
            <v>-3628969.8419550001</v>
          </cell>
          <cell r="L1921">
            <v>-513752.08</v>
          </cell>
          <cell r="M1921">
            <v>-16514.121726000001</v>
          </cell>
          <cell r="N1921">
            <v>-3748042.8121509999</v>
          </cell>
          <cell r="O1921">
            <v>-5757605.7039890001</v>
          </cell>
        </row>
        <row r="1922">
          <cell r="A1922" t="str">
            <v>GermanySubPart F</v>
          </cell>
          <cell r="B1922">
            <v>0</v>
          </cell>
          <cell r="C1922">
            <v>0</v>
          </cell>
          <cell r="D1922">
            <v>0</v>
          </cell>
          <cell r="E1922">
            <v>0</v>
          </cell>
          <cell r="F1922">
            <v>0</v>
          </cell>
          <cell r="G1922">
            <v>0</v>
          </cell>
          <cell r="H1922">
            <v>0</v>
          </cell>
          <cell r="I1922">
            <v>0</v>
          </cell>
          <cell r="J1922">
            <v>0</v>
          </cell>
          <cell r="K1922">
            <v>0</v>
          </cell>
          <cell r="L1922">
            <v>0</v>
          </cell>
          <cell r="M1922">
            <v>0</v>
          </cell>
          <cell r="N1922">
            <v>0</v>
          </cell>
          <cell r="O1922">
            <v>0</v>
          </cell>
        </row>
        <row r="1923">
          <cell r="A1923" t="str">
            <v>GermanyAssets</v>
          </cell>
          <cell r="B1923">
            <v>467423439.29000002</v>
          </cell>
          <cell r="C1923">
            <v>465896634.33999997</v>
          </cell>
          <cell r="D1923">
            <v>530518158.00999999</v>
          </cell>
          <cell r="E1923">
            <v>542258251.05999994</v>
          </cell>
          <cell r="F1923">
            <v>542258251.05999994</v>
          </cell>
          <cell r="G1923">
            <v>553315791.05770504</v>
          </cell>
          <cell r="H1923">
            <v>567724771.56982303</v>
          </cell>
          <cell r="I1923">
            <v>585175698.87299705</v>
          </cell>
          <cell r="J1923">
            <v>602600244.34969103</v>
          </cell>
          <cell r="K1923">
            <v>602600244.34969103</v>
          </cell>
          <cell r="L1923">
            <v>555050145.83000004</v>
          </cell>
          <cell r="M1923">
            <v>670997532.01073802</v>
          </cell>
          <cell r="N1923">
            <v>775479698.25857103</v>
          </cell>
          <cell r="O1923">
            <v>834006859.68967998</v>
          </cell>
        </row>
        <row r="1924">
          <cell r="A1924" t="str">
            <v>GermanyEnding Net Investment (ENI) incl Asia</v>
          </cell>
          <cell r="B1924">
            <v>451462717.08999997</v>
          </cell>
          <cell r="C1924">
            <v>459988850.73000002</v>
          </cell>
          <cell r="D1924">
            <v>518314698.63999999</v>
          </cell>
          <cell r="E1924">
            <v>545199068.87</v>
          </cell>
          <cell r="F1924">
            <v>545199068.87</v>
          </cell>
          <cell r="G1924">
            <v>553378026.58923697</v>
          </cell>
          <cell r="H1924">
            <v>567787007.101354</v>
          </cell>
          <cell r="I1924">
            <v>585237934.40452898</v>
          </cell>
          <cell r="J1924">
            <v>602662479.88122296</v>
          </cell>
          <cell r="K1924">
            <v>602662479.88122296</v>
          </cell>
          <cell r="L1924">
            <v>547443260.32000005</v>
          </cell>
          <cell r="M1924">
            <v>654725952.45279503</v>
          </cell>
          <cell r="N1924">
            <v>759208118.70062804</v>
          </cell>
          <cell r="O1924">
            <v>817735280.13173699</v>
          </cell>
        </row>
        <row r="1925">
          <cell r="A1925" t="str">
            <v>GermanyANR YTD</v>
          </cell>
          <cell r="B1925">
            <v>440111579.87</v>
          </cell>
          <cell r="C1925">
            <v>444922011</v>
          </cell>
          <cell r="D1925">
            <v>463511821.97500002</v>
          </cell>
          <cell r="E1925">
            <v>477961129.62</v>
          </cell>
          <cell r="F1925">
            <v>477961129.62</v>
          </cell>
          <cell r="G1925">
            <v>541778858.92035198</v>
          </cell>
          <cell r="H1925">
            <v>548999359.58839095</v>
          </cell>
          <cell r="I1925">
            <v>557423770.53332102</v>
          </cell>
          <cell r="J1925">
            <v>566325585.21901798</v>
          </cell>
          <cell r="K1925">
            <v>566325585.21901798</v>
          </cell>
          <cell r="L1925">
            <v>549690852.32000005</v>
          </cell>
          <cell r="M1925">
            <v>243506536.11467299</v>
          </cell>
          <cell r="N1925">
            <v>297106240.15374398</v>
          </cell>
          <cell r="O1925">
            <v>337198877.47043198</v>
          </cell>
        </row>
        <row r="1926">
          <cell r="A1926" t="str">
            <v>GermanyASA YTD</v>
          </cell>
          <cell r="B1926">
            <v>440111579.87</v>
          </cell>
          <cell r="C1926">
            <v>444922011</v>
          </cell>
          <cell r="D1926">
            <v>463511821.97500002</v>
          </cell>
          <cell r="E1926">
            <v>477961129.62</v>
          </cell>
          <cell r="F1926">
            <v>477961129.62</v>
          </cell>
          <cell r="G1926">
            <v>541778858.92035198</v>
          </cell>
          <cell r="H1926">
            <v>548999359.58839095</v>
          </cell>
          <cell r="I1926">
            <v>557423770.53332102</v>
          </cell>
          <cell r="J1926">
            <v>566325585.21901798</v>
          </cell>
          <cell r="K1926">
            <v>566325585.21901798</v>
          </cell>
          <cell r="L1926">
            <v>549690852.32000005</v>
          </cell>
          <cell r="M1926">
            <v>243506536.11467299</v>
          </cell>
          <cell r="N1926">
            <v>297106240.15374398</v>
          </cell>
          <cell r="O1926">
            <v>337198877.47043198</v>
          </cell>
        </row>
        <row r="1927">
          <cell r="A1927" t="str">
            <v>GermanyANI YTD incl Asia - 5 pt</v>
          </cell>
          <cell r="B1927">
            <v>442596759.54000002</v>
          </cell>
          <cell r="C1927">
            <v>448394123.26999998</v>
          </cell>
          <cell r="D1927">
            <v>465874267.11250001</v>
          </cell>
          <cell r="E1927">
            <v>481739227.46399999</v>
          </cell>
          <cell r="F1927">
            <v>481739227.46399999</v>
          </cell>
          <cell r="G1927">
            <v>549288547.72961795</v>
          </cell>
          <cell r="H1927">
            <v>555454700.85353005</v>
          </cell>
          <cell r="I1927">
            <v>562900509.24127996</v>
          </cell>
          <cell r="J1927">
            <v>570852903.36926794</v>
          </cell>
          <cell r="K1927">
            <v>570852903.36926794</v>
          </cell>
          <cell r="L1927">
            <v>546321164.59500003</v>
          </cell>
          <cell r="M1927">
            <v>235929886.25791401</v>
          </cell>
          <cell r="N1927">
            <v>282786814.230685</v>
          </cell>
          <cell r="O1927">
            <v>315388679.766473</v>
          </cell>
        </row>
        <row r="1928">
          <cell r="A1928" t="str">
            <v>GermanyOff Balance Sheet Assets</v>
          </cell>
          <cell r="B1928">
            <v>0</v>
          </cell>
          <cell r="C1928">
            <v>0</v>
          </cell>
          <cell r="D1928">
            <v>0</v>
          </cell>
          <cell r="E1928">
            <v>0</v>
          </cell>
          <cell r="F1928">
            <v>0</v>
          </cell>
          <cell r="G1928">
            <v>0</v>
          </cell>
          <cell r="H1928">
            <v>0</v>
          </cell>
          <cell r="I1928">
            <v>0</v>
          </cell>
          <cell r="J1928">
            <v>0</v>
          </cell>
          <cell r="K1928">
            <v>0</v>
          </cell>
          <cell r="L1928">
            <v>0</v>
          </cell>
          <cell r="M1928">
            <v>0</v>
          </cell>
          <cell r="N1928">
            <v>0</v>
          </cell>
          <cell r="O1928">
            <v>0</v>
          </cell>
        </row>
        <row r="1929">
          <cell r="A1929" t="str">
            <v>GermanyJV Receivables</v>
          </cell>
          <cell r="B1929">
            <v>0</v>
          </cell>
          <cell r="C1929">
            <v>0</v>
          </cell>
          <cell r="D1929">
            <v>0</v>
          </cell>
          <cell r="E1929">
            <v>0</v>
          </cell>
          <cell r="F1929">
            <v>0</v>
          </cell>
          <cell r="G1929">
            <v>0</v>
          </cell>
          <cell r="H1929">
            <v>0</v>
          </cell>
          <cell r="I1929">
            <v>0</v>
          </cell>
          <cell r="J1929">
            <v>0</v>
          </cell>
          <cell r="K1929">
            <v>0</v>
          </cell>
          <cell r="L1929">
            <v>0</v>
          </cell>
          <cell r="M1929">
            <v>0</v>
          </cell>
          <cell r="N1929">
            <v>0</v>
          </cell>
          <cell r="O1929">
            <v>0</v>
          </cell>
        </row>
        <row r="1930">
          <cell r="A1930" t="str">
            <v>Germany30+ DELINQUENCY $</v>
          </cell>
          <cell r="B1930">
            <v>32512870.879999999</v>
          </cell>
          <cell r="C1930">
            <v>31954363.989999998</v>
          </cell>
          <cell r="D1930">
            <v>35617721.840000004</v>
          </cell>
          <cell r="E1930">
            <v>36227114.640000001</v>
          </cell>
          <cell r="F1930">
            <v>36227114.640000001</v>
          </cell>
          <cell r="G1930">
            <v>38000000</v>
          </cell>
          <cell r="H1930">
            <v>40000000</v>
          </cell>
          <cell r="I1930">
            <v>42000000</v>
          </cell>
          <cell r="J1930">
            <v>44000000</v>
          </cell>
          <cell r="K1930">
            <v>44000000</v>
          </cell>
          <cell r="L1930">
            <v>36779527.020000003</v>
          </cell>
          <cell r="M1930">
            <v>44018906.805687003</v>
          </cell>
          <cell r="N1930">
            <v>52827966.684326001</v>
          </cell>
          <cell r="O1930">
            <v>64113653.719052002</v>
          </cell>
        </row>
        <row r="1931">
          <cell r="A1931" t="str">
            <v>Germany90+ DELINQUENCY $</v>
          </cell>
          <cell r="B1931">
            <v>22713852.850000001</v>
          </cell>
          <cell r="C1931">
            <v>20999880.75</v>
          </cell>
          <cell r="D1931">
            <v>24259902.850000001</v>
          </cell>
          <cell r="E1931">
            <v>23783600.260000002</v>
          </cell>
          <cell r="F1931">
            <v>23783600.260000002</v>
          </cell>
          <cell r="G1931">
            <v>23000000</v>
          </cell>
          <cell r="H1931">
            <v>22500000</v>
          </cell>
          <cell r="I1931">
            <v>22000000</v>
          </cell>
          <cell r="J1931">
            <v>22000000</v>
          </cell>
          <cell r="K1931">
            <v>22000000</v>
          </cell>
          <cell r="L1931">
            <v>28661523.309999999</v>
          </cell>
          <cell r="M1931">
            <v>29220183.382008001</v>
          </cell>
          <cell r="N1931">
            <v>35401337.613626003</v>
          </cell>
          <cell r="O1931">
            <v>40686972.700970002</v>
          </cell>
        </row>
        <row r="1932">
          <cell r="A1932" t="str">
            <v>GermanyTemporary Staff</v>
          </cell>
          <cell r="B1932">
            <v>0</v>
          </cell>
          <cell r="C1932">
            <v>6.5</v>
          </cell>
          <cell r="D1932">
            <v>0</v>
          </cell>
          <cell r="E1932">
            <v>3</v>
          </cell>
          <cell r="F1932">
            <v>3</v>
          </cell>
          <cell r="G1932">
            <v>3</v>
          </cell>
          <cell r="H1932">
            <v>3</v>
          </cell>
          <cell r="I1932">
            <v>3</v>
          </cell>
          <cell r="J1932">
            <v>3</v>
          </cell>
          <cell r="K1932">
            <v>3</v>
          </cell>
          <cell r="L1932">
            <v>4</v>
          </cell>
          <cell r="M1932">
            <v>0</v>
          </cell>
          <cell r="N1932">
            <v>0</v>
          </cell>
          <cell r="O1932">
            <v>0</v>
          </cell>
        </row>
        <row r="1933">
          <cell r="A1933" t="str">
            <v>GermanyContractors</v>
          </cell>
          <cell r="B1933">
            <v>0</v>
          </cell>
          <cell r="C1933">
            <v>0</v>
          </cell>
          <cell r="D1933">
            <v>1</v>
          </cell>
          <cell r="E1933">
            <v>2</v>
          </cell>
          <cell r="F1933">
            <v>2</v>
          </cell>
          <cell r="G1933">
            <v>2</v>
          </cell>
          <cell r="H1933">
            <v>2</v>
          </cell>
          <cell r="I1933">
            <v>2</v>
          </cell>
          <cell r="J1933">
            <v>2</v>
          </cell>
          <cell r="K1933">
            <v>2</v>
          </cell>
          <cell r="L1933">
            <v>3</v>
          </cell>
          <cell r="M1933">
            <v>0</v>
          </cell>
          <cell r="N1933">
            <v>0</v>
          </cell>
          <cell r="O1933">
            <v>0</v>
          </cell>
        </row>
        <row r="1934">
          <cell r="A1934" t="str">
            <v>GermanyOutsourced to LCC</v>
          </cell>
          <cell r="B1934">
            <v>0</v>
          </cell>
          <cell r="C1934">
            <v>0</v>
          </cell>
          <cell r="D1934">
            <v>0</v>
          </cell>
          <cell r="E1934">
            <v>0</v>
          </cell>
          <cell r="F1934">
            <v>0</v>
          </cell>
          <cell r="G1934">
            <v>0</v>
          </cell>
          <cell r="H1934">
            <v>0</v>
          </cell>
          <cell r="I1934">
            <v>0</v>
          </cell>
          <cell r="J1934">
            <v>0</v>
          </cell>
          <cell r="K1934">
            <v>0</v>
          </cell>
          <cell r="L1934">
            <v>0</v>
          </cell>
          <cell r="M1934">
            <v>0</v>
          </cell>
          <cell r="N1934">
            <v>0</v>
          </cell>
          <cell r="O1934">
            <v>0</v>
          </cell>
        </row>
        <row r="1935">
          <cell r="A1935" t="str">
            <v>GermanyTotal Headcount</v>
          </cell>
          <cell r="B1935">
            <v>445</v>
          </cell>
          <cell r="C1935">
            <v>409</v>
          </cell>
          <cell r="D1935">
            <v>388.5</v>
          </cell>
          <cell r="E1935">
            <v>378.5</v>
          </cell>
          <cell r="F1935">
            <v>378.5</v>
          </cell>
          <cell r="G1935">
            <v>408</v>
          </cell>
          <cell r="H1935">
            <v>409.5</v>
          </cell>
          <cell r="I1935">
            <v>412.5</v>
          </cell>
          <cell r="J1935">
            <v>413</v>
          </cell>
          <cell r="K1935">
            <v>413</v>
          </cell>
          <cell r="L1935">
            <v>377</v>
          </cell>
          <cell r="M1935">
            <v>433.7</v>
          </cell>
          <cell r="N1935">
            <v>456.20833299999998</v>
          </cell>
          <cell r="O1935">
            <v>479.20416699999998</v>
          </cell>
        </row>
        <row r="1936">
          <cell r="A1936" t="str">
            <v>GermanyTotal Workforce</v>
          </cell>
          <cell r="B1936">
            <v>445</v>
          </cell>
          <cell r="C1936">
            <v>415.5</v>
          </cell>
          <cell r="D1936">
            <v>389.5</v>
          </cell>
          <cell r="E1936">
            <v>383.5</v>
          </cell>
          <cell r="F1936">
            <v>383.5</v>
          </cell>
          <cell r="G1936">
            <v>413</v>
          </cell>
          <cell r="H1936">
            <v>414.5</v>
          </cell>
          <cell r="I1936">
            <v>417.5</v>
          </cell>
          <cell r="J1936">
            <v>418</v>
          </cell>
          <cell r="K1936">
            <v>418</v>
          </cell>
          <cell r="L1936">
            <v>384</v>
          </cell>
          <cell r="M1936">
            <v>433.7</v>
          </cell>
          <cell r="N1936">
            <v>456.20833299999998</v>
          </cell>
          <cell r="O1936">
            <v>479.20416699999998</v>
          </cell>
        </row>
        <row r="1937">
          <cell r="A1937" t="str">
            <v>GermanyTotal Earned Revenue</v>
          </cell>
          <cell r="B1937">
            <v>-12767614.57</v>
          </cell>
          <cell r="C1937">
            <v>-13817036.51</v>
          </cell>
          <cell r="D1937">
            <v>-15576723.58</v>
          </cell>
          <cell r="E1937">
            <v>-17157883.609999999</v>
          </cell>
          <cell r="F1937">
            <v>-59319258.270000003</v>
          </cell>
          <cell r="G1937">
            <v>-17158844.938779</v>
          </cell>
          <cell r="H1937">
            <v>-17162068.369819999</v>
          </cell>
          <cell r="I1937">
            <v>-17276760.697764002</v>
          </cell>
          <cell r="J1937">
            <v>-17484914.88329</v>
          </cell>
          <cell r="K1937">
            <v>-69082588.889651999</v>
          </cell>
          <cell r="L1937">
            <v>-16633067.949999999</v>
          </cell>
          <cell r="M1937">
            <v>-72302178.044761002</v>
          </cell>
          <cell r="N1937">
            <v>-86265212.420038</v>
          </cell>
          <cell r="O1937">
            <v>-99667995.088531002</v>
          </cell>
        </row>
        <row r="1938">
          <cell r="A1938" t="str">
            <v>GermanyOrdinary Gains - PreTax</v>
          </cell>
          <cell r="B1938">
            <v>0</v>
          </cell>
          <cell r="C1938">
            <v>0</v>
          </cell>
          <cell r="D1938">
            <v>0</v>
          </cell>
          <cell r="E1938">
            <v>0</v>
          </cell>
          <cell r="F1938">
            <v>0</v>
          </cell>
          <cell r="G1938">
            <v>0</v>
          </cell>
          <cell r="H1938">
            <v>0</v>
          </cell>
          <cell r="I1938">
            <v>0</v>
          </cell>
          <cell r="J1938">
            <v>0</v>
          </cell>
          <cell r="K1938">
            <v>0</v>
          </cell>
          <cell r="L1938">
            <v>0</v>
          </cell>
          <cell r="M1938">
            <v>0</v>
          </cell>
          <cell r="N1938">
            <v>0</v>
          </cell>
          <cell r="O1938">
            <v>0</v>
          </cell>
        </row>
        <row r="1939">
          <cell r="A1939" t="str">
            <v>GermanyOrdinary Gains - AfterTax</v>
          </cell>
          <cell r="B1939">
            <v>0</v>
          </cell>
          <cell r="C1939">
            <v>0</v>
          </cell>
          <cell r="D1939">
            <v>0</v>
          </cell>
          <cell r="E1939">
            <v>0</v>
          </cell>
          <cell r="F1939">
            <v>0</v>
          </cell>
          <cell r="G1939">
            <v>0</v>
          </cell>
          <cell r="H1939">
            <v>0</v>
          </cell>
          <cell r="I1939">
            <v>0</v>
          </cell>
          <cell r="J1939">
            <v>0</v>
          </cell>
          <cell r="K1939">
            <v>0</v>
          </cell>
          <cell r="L1939">
            <v>0</v>
          </cell>
          <cell r="M1939">
            <v>0</v>
          </cell>
          <cell r="N1939">
            <v>0</v>
          </cell>
          <cell r="O1939">
            <v>0</v>
          </cell>
        </row>
        <row r="1940">
          <cell r="A1940" t="str">
            <v>GermanyTotal Volume</v>
          </cell>
          <cell r="B1940">
            <v>70572780.810000002</v>
          </cell>
          <cell r="C1940">
            <v>71567000</v>
          </cell>
          <cell r="D1940">
            <v>77198214.450000003</v>
          </cell>
          <cell r="E1940">
            <v>74995346.739999995</v>
          </cell>
          <cell r="F1940">
            <v>294333342</v>
          </cell>
          <cell r="G1940">
            <v>80779422.972973004</v>
          </cell>
          <cell r="H1940">
            <v>86074792.571663007</v>
          </cell>
          <cell r="I1940">
            <v>91447161.793612003</v>
          </cell>
          <cell r="J1940">
            <v>93757423.091728002</v>
          </cell>
          <cell r="K1940">
            <v>352058800.42997497</v>
          </cell>
          <cell r="L1940">
            <v>84536673.969999999</v>
          </cell>
          <cell r="M1940">
            <v>368455970.49331498</v>
          </cell>
          <cell r="N1940">
            <v>425762563.393269</v>
          </cell>
          <cell r="O1940">
            <v>469662517.28907299</v>
          </cell>
        </row>
        <row r="1941">
          <cell r="A1941" t="str">
            <v>GermanyTOTAL # ACTIVE ACCOUNTS</v>
          </cell>
          <cell r="B1941">
            <v>112015</v>
          </cell>
          <cell r="C1941">
            <v>116216</v>
          </cell>
          <cell r="D1941">
            <v>118203</v>
          </cell>
          <cell r="E1941">
            <v>99742.25</v>
          </cell>
          <cell r="F1941">
            <v>99742.25</v>
          </cell>
          <cell r="G1941">
            <v>110732.272664</v>
          </cell>
          <cell r="H1941">
            <v>113913.090578</v>
          </cell>
          <cell r="I1941">
            <v>117108.037236</v>
          </cell>
          <cell r="J1941">
            <v>123966.676702</v>
          </cell>
          <cell r="K1941">
            <v>123966.676702</v>
          </cell>
          <cell r="L1941">
            <v>0</v>
          </cell>
          <cell r="M1941">
            <v>199784.49</v>
          </cell>
          <cell r="N1941">
            <v>256580.98166699999</v>
          </cell>
          <cell r="O1941">
            <v>305705.98166699999</v>
          </cell>
        </row>
        <row r="1942">
          <cell r="A1942" t="str">
            <v>Hong KongTOTAL FINANCING RECEIVABLES</v>
          </cell>
          <cell r="B1942">
            <v>498484799.13999999</v>
          </cell>
          <cell r="C1942">
            <v>536978707.92999995</v>
          </cell>
          <cell r="D1942">
            <v>563313505.20000005</v>
          </cell>
          <cell r="E1942">
            <v>573340748.65999997</v>
          </cell>
          <cell r="F1942">
            <v>573340748.65999997</v>
          </cell>
          <cell r="G1942">
            <v>623286505.56410301</v>
          </cell>
          <cell r="H1942">
            <v>702721303.74871802</v>
          </cell>
          <cell r="I1942">
            <v>783988780.13205099</v>
          </cell>
          <cell r="J1942">
            <v>837842640.47564101</v>
          </cell>
          <cell r="K1942">
            <v>837842640.47564101</v>
          </cell>
          <cell r="L1942">
            <v>618910204.33000004</v>
          </cell>
          <cell r="M1942">
            <v>699553851.97289002</v>
          </cell>
          <cell r="N1942">
            <v>844183158.11420298</v>
          </cell>
          <cell r="O1942">
            <v>972049550.06692505</v>
          </cell>
        </row>
        <row r="1943">
          <cell r="A1943" t="str">
            <v>Hong KongRECEIVABLE RESERVES</v>
          </cell>
          <cell r="B1943">
            <v>-6748862.0899999999</v>
          </cell>
          <cell r="C1943">
            <v>-7070163.0199999996</v>
          </cell>
          <cell r="D1943">
            <v>-7347776.9199999999</v>
          </cell>
          <cell r="E1943">
            <v>-8174428.5</v>
          </cell>
          <cell r="F1943">
            <v>-8174428.5</v>
          </cell>
          <cell r="G1943">
            <v>-11781116.847436</v>
          </cell>
          <cell r="H1943">
            <v>-13237535.358974</v>
          </cell>
          <cell r="I1943">
            <v>-15029397.438462</v>
          </cell>
          <cell r="J1943">
            <v>-13751556.243589999</v>
          </cell>
          <cell r="K1943">
            <v>-13751556.243589999</v>
          </cell>
          <cell r="L1943">
            <v>-10458517.710000001</v>
          </cell>
          <cell r="M1943">
            <v>-11619957.837781001</v>
          </cell>
          <cell r="N1943">
            <v>-16107175.043276001</v>
          </cell>
          <cell r="O1943">
            <v>-20183185.414590001</v>
          </cell>
        </row>
        <row r="1944">
          <cell r="A1944" t="str">
            <v>Hong KongCASH</v>
          </cell>
          <cell r="B1944">
            <v>6644297.2400000002</v>
          </cell>
          <cell r="C1944">
            <v>72456638.680000007</v>
          </cell>
          <cell r="D1944">
            <v>10662317.640000001</v>
          </cell>
          <cell r="E1944">
            <v>3399494.18</v>
          </cell>
          <cell r="F1944">
            <v>3399494.18</v>
          </cell>
          <cell r="G1944">
            <v>0</v>
          </cell>
          <cell r="H1944">
            <v>0</v>
          </cell>
          <cell r="I1944">
            <v>0</v>
          </cell>
          <cell r="J1944">
            <v>0</v>
          </cell>
          <cell r="K1944">
            <v>0</v>
          </cell>
          <cell r="L1944">
            <v>20290544.690000001</v>
          </cell>
          <cell r="M1944">
            <v>0</v>
          </cell>
          <cell r="N1944">
            <v>0</v>
          </cell>
          <cell r="O1944">
            <v>0</v>
          </cell>
        </row>
        <row r="1945">
          <cell r="A1945" t="str">
            <v>Hong KongINVESTMENT SECURITIES</v>
          </cell>
          <cell r="B1945">
            <v>0</v>
          </cell>
          <cell r="C1945">
            <v>0</v>
          </cell>
          <cell r="D1945">
            <v>0</v>
          </cell>
          <cell r="E1945">
            <v>0</v>
          </cell>
          <cell r="F1945">
            <v>0</v>
          </cell>
          <cell r="G1945">
            <v>0</v>
          </cell>
          <cell r="H1945">
            <v>0</v>
          </cell>
          <cell r="I1945">
            <v>0</v>
          </cell>
          <cell r="J1945">
            <v>0</v>
          </cell>
          <cell r="K1945">
            <v>0</v>
          </cell>
          <cell r="L1945">
            <v>0</v>
          </cell>
          <cell r="M1945">
            <v>0</v>
          </cell>
          <cell r="N1945">
            <v>0</v>
          </cell>
          <cell r="O1945">
            <v>0</v>
          </cell>
        </row>
        <row r="1946">
          <cell r="A1946" t="str">
            <v>Hong KongINV IN NON CONSOL AFFILIATES</v>
          </cell>
          <cell r="B1946">
            <v>1063312.1499999999</v>
          </cell>
          <cell r="C1946">
            <v>1063311.96</v>
          </cell>
          <cell r="D1946">
            <v>1063316.2</v>
          </cell>
          <cell r="E1946">
            <v>1063312.99</v>
          </cell>
          <cell r="F1946">
            <v>1063312.99</v>
          </cell>
          <cell r="G1946">
            <v>0</v>
          </cell>
          <cell r="H1946">
            <v>0</v>
          </cell>
          <cell r="I1946">
            <v>0</v>
          </cell>
          <cell r="J1946">
            <v>0</v>
          </cell>
          <cell r="K1946">
            <v>0</v>
          </cell>
          <cell r="L1946">
            <v>840911.33</v>
          </cell>
          <cell r="M1946">
            <v>0</v>
          </cell>
          <cell r="N1946">
            <v>0</v>
          </cell>
          <cell r="O1946">
            <v>0</v>
          </cell>
        </row>
        <row r="1947">
          <cell r="A1947" t="str">
            <v>Hong KongINVESTMENT IN JOINT VENTURE</v>
          </cell>
          <cell r="B1947">
            <v>0</v>
          </cell>
          <cell r="C1947">
            <v>0</v>
          </cell>
          <cell r="D1947">
            <v>0</v>
          </cell>
          <cell r="E1947">
            <v>0</v>
          </cell>
          <cell r="F1947">
            <v>0</v>
          </cell>
          <cell r="G1947">
            <v>0</v>
          </cell>
          <cell r="H1947">
            <v>0</v>
          </cell>
          <cell r="I1947">
            <v>0</v>
          </cell>
          <cell r="J1947">
            <v>0</v>
          </cell>
          <cell r="K1947">
            <v>0</v>
          </cell>
          <cell r="L1947">
            <v>0</v>
          </cell>
          <cell r="M1947">
            <v>0</v>
          </cell>
          <cell r="N1947">
            <v>0</v>
          </cell>
          <cell r="O1947">
            <v>0</v>
          </cell>
        </row>
        <row r="1948">
          <cell r="A1948" t="str">
            <v>Hong KongALL OTHER RECEIVABLES (NON-FINANCING)</v>
          </cell>
          <cell r="B1948">
            <v>-3368977.57</v>
          </cell>
          <cell r="C1948">
            <v>-7674329.8899999997</v>
          </cell>
          <cell r="D1948">
            <v>-9681128.4900000002</v>
          </cell>
          <cell r="E1948">
            <v>1585910.32</v>
          </cell>
          <cell r="F1948">
            <v>1585910.32</v>
          </cell>
          <cell r="G1948">
            <v>11971086.101282001</v>
          </cell>
          <cell r="H1948">
            <v>11994722.573077001</v>
          </cell>
          <cell r="I1948">
            <v>12118445.488461999</v>
          </cell>
          <cell r="J1948">
            <v>12089851.741025999</v>
          </cell>
          <cell r="K1948">
            <v>12089851.741025999</v>
          </cell>
          <cell r="L1948">
            <v>-13363497.98</v>
          </cell>
          <cell r="M1948">
            <v>0</v>
          </cell>
          <cell r="N1948">
            <v>0</v>
          </cell>
          <cell r="O1948">
            <v>0</v>
          </cell>
        </row>
        <row r="1949">
          <cell r="A1949" t="str">
            <v>Hong KongELTO (NET)</v>
          </cell>
          <cell r="B1949">
            <v>0</v>
          </cell>
          <cell r="C1949">
            <v>0</v>
          </cell>
          <cell r="D1949">
            <v>0</v>
          </cell>
          <cell r="E1949">
            <v>0</v>
          </cell>
          <cell r="F1949">
            <v>0</v>
          </cell>
          <cell r="G1949">
            <v>0</v>
          </cell>
          <cell r="H1949">
            <v>0</v>
          </cell>
          <cell r="I1949">
            <v>0</v>
          </cell>
          <cell r="J1949">
            <v>0</v>
          </cell>
          <cell r="K1949">
            <v>0</v>
          </cell>
          <cell r="L1949">
            <v>0</v>
          </cell>
          <cell r="M1949">
            <v>0</v>
          </cell>
          <cell r="N1949">
            <v>0</v>
          </cell>
          <cell r="O1949">
            <v>0</v>
          </cell>
        </row>
        <row r="1950">
          <cell r="A1950" t="str">
            <v>Hong KongGOODWILL</v>
          </cell>
          <cell r="B1950">
            <v>65109496.259999998</v>
          </cell>
          <cell r="C1950">
            <v>63204995.899999999</v>
          </cell>
          <cell r="D1950">
            <v>61304810.649999999</v>
          </cell>
          <cell r="E1950">
            <v>59397374.380000003</v>
          </cell>
          <cell r="F1950">
            <v>59397374.380000003</v>
          </cell>
          <cell r="G1950">
            <v>52254133.394872002</v>
          </cell>
          <cell r="H1950">
            <v>52244517.407692</v>
          </cell>
          <cell r="I1950">
            <v>52234901.421795003</v>
          </cell>
          <cell r="J1950">
            <v>52225285.434615001</v>
          </cell>
          <cell r="K1950">
            <v>52225285.434615001</v>
          </cell>
          <cell r="L1950">
            <v>52266032.359999999</v>
          </cell>
          <cell r="M1950">
            <v>0</v>
          </cell>
          <cell r="N1950">
            <v>0</v>
          </cell>
          <cell r="O1950">
            <v>0</v>
          </cell>
        </row>
        <row r="1951">
          <cell r="A1951" t="str">
            <v>Hong KongOTHER ASSETS</v>
          </cell>
          <cell r="B1951">
            <v>-855221.82</v>
          </cell>
          <cell r="C1951">
            <v>-8059174.9299999997</v>
          </cell>
          <cell r="D1951">
            <v>712360.97</v>
          </cell>
          <cell r="E1951">
            <v>-115639.71</v>
          </cell>
          <cell r="F1951">
            <v>-115639.71</v>
          </cell>
          <cell r="G1951">
            <v>0</v>
          </cell>
          <cell r="H1951">
            <v>0</v>
          </cell>
          <cell r="I1951">
            <v>0</v>
          </cell>
          <cell r="J1951">
            <v>0</v>
          </cell>
          <cell r="K1951">
            <v>0</v>
          </cell>
          <cell r="L1951">
            <v>6545111.7000000002</v>
          </cell>
          <cell r="M1951">
            <v>58022975.924167998</v>
          </cell>
          <cell r="N1951">
            <v>51927033.321168996</v>
          </cell>
          <cell r="O1951">
            <v>45204929.103133</v>
          </cell>
        </row>
        <row r="1952">
          <cell r="A1952" t="str">
            <v>Hong KongACCOUNTS PAYABLE</v>
          </cell>
          <cell r="B1952">
            <v>3792343.35</v>
          </cell>
          <cell r="C1952">
            <v>17762640.149999999</v>
          </cell>
          <cell r="D1952">
            <v>39269273.210000001</v>
          </cell>
          <cell r="E1952">
            <v>32515267.289999999</v>
          </cell>
          <cell r="F1952">
            <v>32515267.289999999</v>
          </cell>
          <cell r="G1952">
            <v>0</v>
          </cell>
          <cell r="H1952">
            <v>0</v>
          </cell>
          <cell r="I1952">
            <v>0</v>
          </cell>
          <cell r="J1952">
            <v>0</v>
          </cell>
          <cell r="K1952">
            <v>0</v>
          </cell>
          <cell r="L1952">
            <v>28893093.890000001</v>
          </cell>
          <cell r="M1952">
            <v>0</v>
          </cell>
          <cell r="N1952">
            <v>0</v>
          </cell>
          <cell r="O1952">
            <v>0</v>
          </cell>
        </row>
        <row r="1953">
          <cell r="A1953" t="str">
            <v>Hong KongDEFERRED INCOME TAXES</v>
          </cell>
          <cell r="B1953">
            <v>1067875.53</v>
          </cell>
          <cell r="C1953">
            <v>3799086.12</v>
          </cell>
          <cell r="D1953">
            <v>3308160.83</v>
          </cell>
          <cell r="E1953">
            <v>3049649.29</v>
          </cell>
          <cell r="F1953">
            <v>3049649.29</v>
          </cell>
          <cell r="G1953">
            <v>0</v>
          </cell>
          <cell r="H1953">
            <v>0</v>
          </cell>
          <cell r="I1953">
            <v>0</v>
          </cell>
          <cell r="J1953">
            <v>0</v>
          </cell>
          <cell r="K1953">
            <v>0</v>
          </cell>
          <cell r="L1953">
            <v>-898019.06</v>
          </cell>
          <cell r="M1953">
            <v>0</v>
          </cell>
          <cell r="N1953">
            <v>0</v>
          </cell>
          <cell r="O1953">
            <v>0</v>
          </cell>
        </row>
        <row r="1954">
          <cell r="A1954" t="str">
            <v>Hong KongWRITE-OFF (MEMO)</v>
          </cell>
          <cell r="B1954">
            <v>698054.77</v>
          </cell>
          <cell r="C1954">
            <v>1826028.44</v>
          </cell>
          <cell r="D1954">
            <v>3473013</v>
          </cell>
          <cell r="E1954">
            <v>5567100.9299999997</v>
          </cell>
          <cell r="F1954">
            <v>5567100.9299999997</v>
          </cell>
          <cell r="G1954">
            <v>2824733.8269230002</v>
          </cell>
          <cell r="H1954">
            <v>5649467.6538460003</v>
          </cell>
          <cell r="I1954">
            <v>8474201.4807689991</v>
          </cell>
          <cell r="J1954">
            <v>11298935.307692001</v>
          </cell>
          <cell r="K1954">
            <v>11298935.307692001</v>
          </cell>
          <cell r="L1954">
            <v>2775573.37</v>
          </cell>
          <cell r="M1954">
            <v>7000290</v>
          </cell>
          <cell r="N1954">
            <v>11640370</v>
          </cell>
          <cell r="O1954">
            <v>15754488</v>
          </cell>
        </row>
        <row r="1955">
          <cell r="A1955" t="str">
            <v>Hong KongINSURANCE RESERVES AND ANNUITY BENEFITS</v>
          </cell>
          <cell r="B1955">
            <v>0</v>
          </cell>
          <cell r="C1955">
            <v>0</v>
          </cell>
          <cell r="D1955">
            <v>0</v>
          </cell>
          <cell r="E1955">
            <v>0</v>
          </cell>
          <cell r="F1955">
            <v>0</v>
          </cell>
          <cell r="G1955">
            <v>0</v>
          </cell>
          <cell r="H1955">
            <v>0</v>
          </cell>
          <cell r="I1955">
            <v>0</v>
          </cell>
          <cell r="J1955">
            <v>0</v>
          </cell>
          <cell r="K1955">
            <v>0</v>
          </cell>
          <cell r="L1955">
            <v>0</v>
          </cell>
          <cell r="M1955">
            <v>0</v>
          </cell>
          <cell r="N1955">
            <v>0</v>
          </cell>
          <cell r="O1955">
            <v>0</v>
          </cell>
        </row>
        <row r="1956">
          <cell r="A1956" t="str">
            <v>Hong KongALL OTHER NON DEBT LIABILITIES</v>
          </cell>
          <cell r="B1956">
            <v>-31961588.670000002</v>
          </cell>
          <cell r="C1956">
            <v>-20253619.440000001</v>
          </cell>
          <cell r="D1956">
            <v>-17494415.93</v>
          </cell>
          <cell r="E1956">
            <v>-20402162.66</v>
          </cell>
          <cell r="F1956">
            <v>-20402162.66</v>
          </cell>
          <cell r="G1956">
            <v>-4753743.8897439996</v>
          </cell>
          <cell r="H1956">
            <v>-4792399.9269230003</v>
          </cell>
          <cell r="I1956">
            <v>-4894913.5615379997</v>
          </cell>
          <cell r="J1956">
            <v>-4900955.8269229997</v>
          </cell>
          <cell r="K1956">
            <v>-4900955.8269229997</v>
          </cell>
          <cell r="L1956">
            <v>-16510629.9</v>
          </cell>
          <cell r="M1956">
            <v>-15130719.111474</v>
          </cell>
          <cell r="N1956">
            <v>-18183281.634194002</v>
          </cell>
          <cell r="O1956">
            <v>-20879550.124152001</v>
          </cell>
        </row>
        <row r="1957">
          <cell r="A1957" t="str">
            <v>Hong KongMINORITY INTEREST (BS)</v>
          </cell>
          <cell r="B1957">
            <v>0</v>
          </cell>
          <cell r="C1957">
            <v>0</v>
          </cell>
          <cell r="D1957">
            <v>0</v>
          </cell>
          <cell r="E1957">
            <v>0</v>
          </cell>
          <cell r="F1957">
            <v>0</v>
          </cell>
          <cell r="G1957">
            <v>0</v>
          </cell>
          <cell r="H1957">
            <v>0</v>
          </cell>
          <cell r="I1957">
            <v>0</v>
          </cell>
          <cell r="J1957">
            <v>0</v>
          </cell>
          <cell r="K1957">
            <v>0</v>
          </cell>
          <cell r="L1957">
            <v>0</v>
          </cell>
          <cell r="M1957">
            <v>0</v>
          </cell>
          <cell r="N1957">
            <v>0</v>
          </cell>
          <cell r="O1957">
            <v>0</v>
          </cell>
        </row>
        <row r="1958">
          <cell r="A1958" t="str">
            <v>Hong KongASIA PACIFIC ENI DIVIDEND</v>
          </cell>
          <cell r="B1958">
            <v>0</v>
          </cell>
          <cell r="C1958">
            <v>0</v>
          </cell>
          <cell r="D1958">
            <v>0</v>
          </cell>
          <cell r="E1958">
            <v>0</v>
          </cell>
          <cell r="F1958">
            <v>0</v>
          </cell>
          <cell r="G1958">
            <v>0</v>
          </cell>
          <cell r="H1958">
            <v>0</v>
          </cell>
          <cell r="I1958">
            <v>0</v>
          </cell>
          <cell r="J1958">
            <v>0</v>
          </cell>
          <cell r="K1958">
            <v>0</v>
          </cell>
          <cell r="L1958">
            <v>0</v>
          </cell>
          <cell r="M1958">
            <v>0</v>
          </cell>
          <cell r="N1958">
            <v>0</v>
          </cell>
          <cell r="O1958">
            <v>0</v>
          </cell>
        </row>
        <row r="1959">
          <cell r="A1959" t="str">
            <v>Hong KongFINANCING INCOME</v>
          </cell>
          <cell r="B1959">
            <v>-10420724.060000001</v>
          </cell>
          <cell r="C1959">
            <v>-10061723.23</v>
          </cell>
          <cell r="D1959">
            <v>-10011366.1</v>
          </cell>
          <cell r="E1959">
            <v>-9683146.2799999993</v>
          </cell>
          <cell r="F1959">
            <v>-40176959.670000002</v>
          </cell>
          <cell r="G1959">
            <v>-10489656.010256</v>
          </cell>
          <cell r="H1959">
            <v>-12776813.219231</v>
          </cell>
          <cell r="I1959">
            <v>-15406874.655128</v>
          </cell>
          <cell r="J1959">
            <v>-17363385.405127998</v>
          </cell>
          <cell r="K1959">
            <v>-56036729.289742999</v>
          </cell>
          <cell r="L1959">
            <v>-9748372.1899999995</v>
          </cell>
          <cell r="M1959">
            <v>-68976345.752307996</v>
          </cell>
          <cell r="N1959">
            <v>-102078801.96725699</v>
          </cell>
          <cell r="O1959">
            <v>-132221644.033324</v>
          </cell>
        </row>
        <row r="1960">
          <cell r="A1960" t="str">
            <v>Hong KongINSURANCE PREMIUM INCOME</v>
          </cell>
          <cell r="B1960">
            <v>0</v>
          </cell>
          <cell r="C1960">
            <v>0</v>
          </cell>
          <cell r="D1960">
            <v>0</v>
          </cell>
          <cell r="E1960">
            <v>0</v>
          </cell>
          <cell r="F1960">
            <v>0</v>
          </cell>
          <cell r="G1960">
            <v>0</v>
          </cell>
          <cell r="H1960">
            <v>0</v>
          </cell>
          <cell r="I1960">
            <v>0</v>
          </cell>
          <cell r="J1960">
            <v>0</v>
          </cell>
          <cell r="K1960">
            <v>0</v>
          </cell>
          <cell r="L1960">
            <v>0</v>
          </cell>
          <cell r="M1960">
            <v>0</v>
          </cell>
          <cell r="N1960">
            <v>0</v>
          </cell>
          <cell r="O1960">
            <v>0</v>
          </cell>
        </row>
        <row r="1961">
          <cell r="A1961" t="str">
            <v>Hong KongINSURANCE INCOME (COMMISSIONS)</v>
          </cell>
          <cell r="B1961">
            <v>0</v>
          </cell>
          <cell r="C1961">
            <v>0</v>
          </cell>
          <cell r="D1961">
            <v>0</v>
          </cell>
          <cell r="E1961">
            <v>0</v>
          </cell>
          <cell r="F1961">
            <v>0</v>
          </cell>
          <cell r="G1961">
            <v>0</v>
          </cell>
          <cell r="H1961">
            <v>0</v>
          </cell>
          <cell r="I1961">
            <v>0</v>
          </cell>
          <cell r="J1961">
            <v>0</v>
          </cell>
          <cell r="K1961">
            <v>0</v>
          </cell>
          <cell r="L1961">
            <v>0</v>
          </cell>
          <cell r="M1961">
            <v>0</v>
          </cell>
          <cell r="N1961">
            <v>0</v>
          </cell>
          <cell r="O1961">
            <v>0</v>
          </cell>
        </row>
        <row r="1962">
          <cell r="A1962" t="str">
            <v>Hong KongSUNDRY INCOME</v>
          </cell>
          <cell r="B1962">
            <v>-1140409.82</v>
          </cell>
          <cell r="C1962">
            <v>-953855.23</v>
          </cell>
          <cell r="D1962">
            <v>-979690.36</v>
          </cell>
          <cell r="E1962">
            <v>-2249380.2599999998</v>
          </cell>
          <cell r="F1962">
            <v>-5323335.67</v>
          </cell>
          <cell r="G1962">
            <v>-1694478.2923079999</v>
          </cell>
          <cell r="H1962">
            <v>-1692035.35</v>
          </cell>
          <cell r="I1962">
            <v>-1689401.4564100001</v>
          </cell>
          <cell r="J1962">
            <v>-1689260.1205130001</v>
          </cell>
          <cell r="K1962">
            <v>-6765175.2192310002</v>
          </cell>
          <cell r="L1962">
            <v>248668.72</v>
          </cell>
          <cell r="M1962">
            <v>-1929191.5922910001</v>
          </cell>
          <cell r="N1962">
            <v>-3639745.3487249999</v>
          </cell>
          <cell r="O1962">
            <v>-5073893.2955120001</v>
          </cell>
        </row>
        <row r="1963">
          <cell r="A1963" t="str">
            <v>Hong KongINTEREST EXPENSE</v>
          </cell>
          <cell r="B1963">
            <v>10050497.6</v>
          </cell>
          <cell r="C1963">
            <v>9256061.1099999994</v>
          </cell>
          <cell r="D1963">
            <v>7879896.9800000004</v>
          </cell>
          <cell r="E1963">
            <v>6623433.9699999997</v>
          </cell>
          <cell r="F1963">
            <v>33809889.659999996</v>
          </cell>
          <cell r="G1963">
            <v>5278630.1628210004</v>
          </cell>
          <cell r="H1963">
            <v>5464315.7602559999</v>
          </cell>
          <cell r="I1963">
            <v>5820542.983333</v>
          </cell>
          <cell r="J1963">
            <v>6422467.230769</v>
          </cell>
          <cell r="K1963">
            <v>22985956.137178998</v>
          </cell>
          <cell r="L1963">
            <v>5264008.42</v>
          </cell>
          <cell r="M1963">
            <v>33196007.395390999</v>
          </cell>
          <cell r="N1963">
            <v>36935435.44258</v>
          </cell>
          <cell r="O1963">
            <v>45354332.509777002</v>
          </cell>
        </row>
        <row r="1964">
          <cell r="A1964" t="str">
            <v>Hong KongINTEREST EXPENSE REDUCTIONS / BUS SHARING</v>
          </cell>
          <cell r="B1964">
            <v>-1694059.02</v>
          </cell>
          <cell r="C1964">
            <v>-2020604.48</v>
          </cell>
          <cell r="D1964">
            <v>-1796733.15</v>
          </cell>
          <cell r="E1964">
            <v>-1668982.83</v>
          </cell>
          <cell r="F1964">
            <v>-7180379.4800000004</v>
          </cell>
          <cell r="G1964">
            <v>0</v>
          </cell>
          <cell r="H1964">
            <v>0</v>
          </cell>
          <cell r="I1964">
            <v>0</v>
          </cell>
          <cell r="J1964">
            <v>0</v>
          </cell>
          <cell r="K1964">
            <v>0</v>
          </cell>
          <cell r="L1964">
            <v>-171586.8</v>
          </cell>
          <cell r="M1964">
            <v>0</v>
          </cell>
          <cell r="N1964">
            <v>0</v>
          </cell>
          <cell r="O1964">
            <v>0</v>
          </cell>
        </row>
        <row r="1965">
          <cell r="A1965" t="str">
            <v>Hong KongALLOCATED COST OF PREFERRED EQUITY</v>
          </cell>
          <cell r="B1965">
            <v>79489.48</v>
          </cell>
          <cell r="C1965">
            <v>73282.94</v>
          </cell>
          <cell r="D1965">
            <v>60396.61</v>
          </cell>
          <cell r="E1965">
            <v>36821.18</v>
          </cell>
          <cell r="F1965">
            <v>249990.21</v>
          </cell>
          <cell r="G1965">
            <v>100275.457692</v>
          </cell>
          <cell r="H1965">
            <v>108192.8</v>
          </cell>
          <cell r="I1965">
            <v>119880.103846</v>
          </cell>
          <cell r="J1965">
            <v>132852.723077</v>
          </cell>
          <cell r="K1965">
            <v>461201.084615</v>
          </cell>
          <cell r="L1965">
            <v>95748.6</v>
          </cell>
          <cell r="M1965">
            <v>0</v>
          </cell>
          <cell r="N1965">
            <v>0</v>
          </cell>
          <cell r="O1965">
            <v>0</v>
          </cell>
        </row>
        <row r="1966">
          <cell r="A1966" t="str">
            <v>Hong KongSALARIES &amp; BENEFITS</v>
          </cell>
          <cell r="B1966">
            <v>2429487.4700000002</v>
          </cell>
          <cell r="C1966">
            <v>2706302.87</v>
          </cell>
          <cell r="D1966">
            <v>2131807.9500000002</v>
          </cell>
          <cell r="E1966">
            <v>1854220.74</v>
          </cell>
          <cell r="F1966">
            <v>9121819.0299999993</v>
          </cell>
          <cell r="G1966">
            <v>2018852.10641</v>
          </cell>
          <cell r="H1966">
            <v>2052080.6653849999</v>
          </cell>
          <cell r="I1966">
            <v>2045559.5064099999</v>
          </cell>
          <cell r="J1966">
            <v>2032214.8820509999</v>
          </cell>
          <cell r="K1966">
            <v>8148707.1602560002</v>
          </cell>
          <cell r="L1966">
            <v>1897494.9</v>
          </cell>
          <cell r="M1966">
            <v>13525748.545053</v>
          </cell>
          <cell r="N1966">
            <v>15588108.708587</v>
          </cell>
          <cell r="O1966">
            <v>16489121.214854</v>
          </cell>
        </row>
        <row r="1967">
          <cell r="A1967" t="str">
            <v>Hong KongLOSSES ON OTHER ASSETS</v>
          </cell>
          <cell r="B1967">
            <v>0</v>
          </cell>
          <cell r="C1967">
            <v>0</v>
          </cell>
          <cell r="D1967">
            <v>0</v>
          </cell>
          <cell r="E1967">
            <v>0</v>
          </cell>
          <cell r="F1967">
            <v>0</v>
          </cell>
          <cell r="G1967">
            <v>0</v>
          </cell>
          <cell r="H1967">
            <v>0</v>
          </cell>
          <cell r="I1967">
            <v>0</v>
          </cell>
          <cell r="J1967">
            <v>0</v>
          </cell>
          <cell r="K1967">
            <v>0</v>
          </cell>
          <cell r="L1967">
            <v>0</v>
          </cell>
          <cell r="M1967">
            <v>0</v>
          </cell>
          <cell r="N1967">
            <v>0</v>
          </cell>
          <cell r="O1967">
            <v>0</v>
          </cell>
        </row>
        <row r="1968">
          <cell r="A1968" t="str">
            <v>Hong KongCOST OF GOODS SOLD</v>
          </cell>
          <cell r="B1968">
            <v>0</v>
          </cell>
          <cell r="C1968">
            <v>0</v>
          </cell>
          <cell r="D1968">
            <v>0</v>
          </cell>
          <cell r="E1968">
            <v>0</v>
          </cell>
          <cell r="F1968">
            <v>0</v>
          </cell>
          <cell r="G1968">
            <v>0</v>
          </cell>
          <cell r="H1968">
            <v>0</v>
          </cell>
          <cell r="I1968">
            <v>0</v>
          </cell>
          <cell r="J1968">
            <v>0</v>
          </cell>
          <cell r="K1968">
            <v>0</v>
          </cell>
          <cell r="L1968">
            <v>0</v>
          </cell>
          <cell r="M1968">
            <v>0</v>
          </cell>
          <cell r="N1968">
            <v>0</v>
          </cell>
          <cell r="O1968">
            <v>0</v>
          </cell>
        </row>
        <row r="1969">
          <cell r="A1969" t="str">
            <v>Hong KongCOST OF GOODS SOLD - DISTRIBUTION</v>
          </cell>
          <cell r="B1969">
            <v>0</v>
          </cell>
          <cell r="C1969">
            <v>0</v>
          </cell>
          <cell r="D1969">
            <v>0</v>
          </cell>
          <cell r="E1969">
            <v>0</v>
          </cell>
          <cell r="F1969">
            <v>0</v>
          </cell>
          <cell r="G1969">
            <v>0</v>
          </cell>
          <cell r="H1969">
            <v>0</v>
          </cell>
          <cell r="I1969">
            <v>0</v>
          </cell>
          <cell r="J1969">
            <v>0</v>
          </cell>
          <cell r="K1969">
            <v>0</v>
          </cell>
          <cell r="L1969">
            <v>0</v>
          </cell>
          <cell r="M1969">
            <v>0</v>
          </cell>
          <cell r="N1969">
            <v>0</v>
          </cell>
          <cell r="O1969">
            <v>0</v>
          </cell>
        </row>
        <row r="1970">
          <cell r="A1970" t="str">
            <v>Hong KongPOSTAGE</v>
          </cell>
          <cell r="B1970">
            <v>15757.4</v>
          </cell>
          <cell r="C1970">
            <v>15237.14</v>
          </cell>
          <cell r="D1970">
            <v>16722.759999999998</v>
          </cell>
          <cell r="E1970">
            <v>20836.099999999999</v>
          </cell>
          <cell r="F1970">
            <v>68553.399999999994</v>
          </cell>
          <cell r="G1970">
            <v>18387.684614999998</v>
          </cell>
          <cell r="H1970">
            <v>18411.835897000001</v>
          </cell>
          <cell r="I1970">
            <v>18411.835897000001</v>
          </cell>
          <cell r="J1970">
            <v>18424.65641</v>
          </cell>
          <cell r="K1970">
            <v>73636.012818999996</v>
          </cell>
          <cell r="L1970">
            <v>18091.599999999999</v>
          </cell>
          <cell r="M1970">
            <v>66481.018549999993</v>
          </cell>
          <cell r="N1970">
            <v>72851.382339000003</v>
          </cell>
          <cell r="O1970">
            <v>79298.561486000006</v>
          </cell>
        </row>
        <row r="1971">
          <cell r="A1971" t="str">
            <v>Hong KongTELEPHONE</v>
          </cell>
          <cell r="B1971">
            <v>31878.82</v>
          </cell>
          <cell r="C1971">
            <v>50521.25</v>
          </cell>
          <cell r="D1971">
            <v>59303.38</v>
          </cell>
          <cell r="E1971">
            <v>72651.42</v>
          </cell>
          <cell r="F1971">
            <v>214354.87</v>
          </cell>
          <cell r="G1971">
            <v>25520.876923</v>
          </cell>
          <cell r="H1971">
            <v>25605.846153999999</v>
          </cell>
          <cell r="I1971">
            <v>25605.846153999999</v>
          </cell>
          <cell r="J1971">
            <v>25605.846153999999</v>
          </cell>
          <cell r="K1971">
            <v>102338.415385</v>
          </cell>
          <cell r="L1971">
            <v>50425.31</v>
          </cell>
          <cell r="M1971">
            <v>216561.098891</v>
          </cell>
          <cell r="N1971">
            <v>253705.191509</v>
          </cell>
          <cell r="O1971">
            <v>287089.01611999999</v>
          </cell>
        </row>
        <row r="1972">
          <cell r="A1972" t="str">
            <v>Hong KongCUSTOMER SERVICE / COLLECTIONS</v>
          </cell>
          <cell r="B1972">
            <v>25320.86</v>
          </cell>
          <cell r="C1972">
            <v>33897.160000000003</v>
          </cell>
          <cell r="D1972">
            <v>40750.14</v>
          </cell>
          <cell r="E1972">
            <v>21891.71</v>
          </cell>
          <cell r="F1972">
            <v>121859.87</v>
          </cell>
          <cell r="G1972">
            <v>54903.846153999999</v>
          </cell>
          <cell r="H1972">
            <v>54903.846153999999</v>
          </cell>
          <cell r="I1972">
            <v>54903.846153999999</v>
          </cell>
          <cell r="J1972">
            <v>54903.846153999999</v>
          </cell>
          <cell r="K1972">
            <v>219615.384616</v>
          </cell>
          <cell r="L1972">
            <v>45801.49</v>
          </cell>
          <cell r="M1972">
            <v>261732</v>
          </cell>
          <cell r="N1972">
            <v>261732</v>
          </cell>
          <cell r="O1972">
            <v>261732</v>
          </cell>
        </row>
        <row r="1973">
          <cell r="A1973" t="str">
            <v>Hong KongSTATIONARY - OFFICE SUPPLIES</v>
          </cell>
          <cell r="B1973">
            <v>38671.1</v>
          </cell>
          <cell r="C1973">
            <v>53532.12</v>
          </cell>
          <cell r="D1973">
            <v>53670.39</v>
          </cell>
          <cell r="E1973">
            <v>55000.31</v>
          </cell>
          <cell r="F1973">
            <v>200873.92</v>
          </cell>
          <cell r="G1973">
            <v>42439.685897000003</v>
          </cell>
          <cell r="H1973">
            <v>42856.246154</v>
          </cell>
          <cell r="I1973">
            <v>42447.565385000002</v>
          </cell>
          <cell r="J1973">
            <v>42863.192307999998</v>
          </cell>
          <cell r="K1973">
            <v>170606.689744</v>
          </cell>
          <cell r="L1973">
            <v>42049.919999999998</v>
          </cell>
          <cell r="M1973">
            <v>142450.40137499999</v>
          </cell>
          <cell r="N1973">
            <v>151928.93860699999</v>
          </cell>
          <cell r="O1973">
            <v>161849.583595</v>
          </cell>
        </row>
        <row r="1974">
          <cell r="A1974" t="str">
            <v>Hong KongT&amp;L</v>
          </cell>
          <cell r="B1974">
            <v>69446.28</v>
          </cell>
          <cell r="C1974">
            <v>53479.39</v>
          </cell>
          <cell r="D1974">
            <v>40347</v>
          </cell>
          <cell r="E1974">
            <v>39141.550000000003</v>
          </cell>
          <cell r="F1974">
            <v>202414.22</v>
          </cell>
          <cell r="G1974">
            <v>86609.941026</v>
          </cell>
          <cell r="H1974">
            <v>41371.082050999998</v>
          </cell>
          <cell r="I1974">
            <v>44313.441026</v>
          </cell>
          <cell r="J1974">
            <v>39323.005127999997</v>
          </cell>
          <cell r="K1974">
            <v>211617.469231</v>
          </cell>
          <cell r="L1974">
            <v>33704.28</v>
          </cell>
          <cell r="M1974">
            <v>203305.898579</v>
          </cell>
          <cell r="N1974">
            <v>213134.74022899999</v>
          </cell>
          <cell r="O1974">
            <v>220063.59122199999</v>
          </cell>
        </row>
        <row r="1975">
          <cell r="A1975" t="str">
            <v>Hong KongRENTAL - BLDG/FACILITIES</v>
          </cell>
          <cell r="B1975">
            <v>398239.96</v>
          </cell>
          <cell r="C1975">
            <v>421837.47</v>
          </cell>
          <cell r="D1975">
            <v>452686.52</v>
          </cell>
          <cell r="E1975">
            <v>499284.67</v>
          </cell>
          <cell r="F1975">
            <v>1772048.62</v>
          </cell>
          <cell r="G1975">
            <v>344559.14615400002</v>
          </cell>
          <cell r="H1975">
            <v>348662.22564100003</v>
          </cell>
          <cell r="I1975">
            <v>356868.38461499999</v>
          </cell>
          <cell r="J1975">
            <v>357253</v>
          </cell>
          <cell r="K1975">
            <v>1407342.7564099999</v>
          </cell>
          <cell r="L1975">
            <v>360800.93</v>
          </cell>
          <cell r="M1975">
            <v>2480080.0559999999</v>
          </cell>
          <cell r="N1975">
            <v>2914826.1455999999</v>
          </cell>
          <cell r="O1975">
            <v>3014194.6239</v>
          </cell>
        </row>
        <row r="1976">
          <cell r="A1976" t="str">
            <v>Hong KongRENTAL - FURNITURE/EQUIP</v>
          </cell>
          <cell r="B1976">
            <v>0</v>
          </cell>
          <cell r="C1976">
            <v>0</v>
          </cell>
          <cell r="D1976">
            <v>0</v>
          </cell>
          <cell r="E1976">
            <v>0</v>
          </cell>
          <cell r="F1976">
            <v>0</v>
          </cell>
          <cell r="G1976">
            <v>0</v>
          </cell>
          <cell r="H1976">
            <v>0</v>
          </cell>
          <cell r="I1976">
            <v>0</v>
          </cell>
          <cell r="J1976">
            <v>0</v>
          </cell>
          <cell r="K1976">
            <v>0</v>
          </cell>
          <cell r="L1976">
            <v>0</v>
          </cell>
          <cell r="M1976">
            <v>0</v>
          </cell>
          <cell r="N1976">
            <v>0</v>
          </cell>
          <cell r="O1976">
            <v>0</v>
          </cell>
        </row>
        <row r="1977">
          <cell r="A1977" t="str">
            <v>Hong KongRENTAL - COMPUTERS</v>
          </cell>
          <cell r="B1977">
            <v>0</v>
          </cell>
          <cell r="C1977">
            <v>0</v>
          </cell>
          <cell r="D1977">
            <v>0</v>
          </cell>
          <cell r="E1977">
            <v>0</v>
          </cell>
          <cell r="F1977">
            <v>0</v>
          </cell>
          <cell r="G1977">
            <v>0</v>
          </cell>
          <cell r="H1977">
            <v>0</v>
          </cell>
          <cell r="I1977">
            <v>0</v>
          </cell>
          <cell r="J1977">
            <v>0</v>
          </cell>
          <cell r="K1977">
            <v>0</v>
          </cell>
          <cell r="L1977">
            <v>0</v>
          </cell>
          <cell r="M1977">
            <v>0</v>
          </cell>
          <cell r="N1977">
            <v>0</v>
          </cell>
          <cell r="O1977">
            <v>0</v>
          </cell>
        </row>
        <row r="1978">
          <cell r="A1978" t="str">
            <v>Hong KongLEASE IN - LEASE OUT</v>
          </cell>
          <cell r="B1978">
            <v>0</v>
          </cell>
          <cell r="C1978">
            <v>0</v>
          </cell>
          <cell r="D1978">
            <v>0</v>
          </cell>
          <cell r="E1978">
            <v>0</v>
          </cell>
          <cell r="F1978">
            <v>0</v>
          </cell>
          <cell r="G1978">
            <v>0</v>
          </cell>
          <cell r="H1978">
            <v>0</v>
          </cell>
          <cell r="I1978">
            <v>0</v>
          </cell>
          <cell r="J1978">
            <v>0</v>
          </cell>
          <cell r="K1978">
            <v>0</v>
          </cell>
          <cell r="L1978">
            <v>0</v>
          </cell>
          <cell r="M1978">
            <v>0</v>
          </cell>
          <cell r="N1978">
            <v>0</v>
          </cell>
          <cell r="O1978">
            <v>0</v>
          </cell>
        </row>
        <row r="1979">
          <cell r="A1979" t="str">
            <v>Hong KongFURNITURE / EQUIPMENT / COMPUTER EXP</v>
          </cell>
          <cell r="B1979">
            <v>46286.17</v>
          </cell>
          <cell r="C1979">
            <v>47950.97</v>
          </cell>
          <cell r="D1979">
            <v>96234.42</v>
          </cell>
          <cell r="E1979">
            <v>78310.41</v>
          </cell>
          <cell r="F1979">
            <v>268781.96999999997</v>
          </cell>
          <cell r="G1979">
            <v>82736.035896999994</v>
          </cell>
          <cell r="H1979">
            <v>67987.137178999998</v>
          </cell>
          <cell r="I1979">
            <v>67860.214103000006</v>
          </cell>
          <cell r="J1979">
            <v>67987.137178999998</v>
          </cell>
          <cell r="K1979">
            <v>286570.52435800002</v>
          </cell>
          <cell r="L1979">
            <v>38946.94</v>
          </cell>
          <cell r="M1979">
            <v>65944.704664000004</v>
          </cell>
          <cell r="N1979">
            <v>72511.095103</v>
          </cell>
          <cell r="O1979">
            <v>79734.003584999999</v>
          </cell>
        </row>
        <row r="1980">
          <cell r="A1980" t="str">
            <v>Hong KongSOFTWARE EXPENSE</v>
          </cell>
          <cell r="B1980">
            <v>63968.92</v>
          </cell>
          <cell r="C1980">
            <v>59621.75</v>
          </cell>
          <cell r="D1980">
            <v>92750.13</v>
          </cell>
          <cell r="E1980">
            <v>107838.19</v>
          </cell>
          <cell r="F1980">
            <v>324178.99</v>
          </cell>
          <cell r="G1980">
            <v>72285.892307999995</v>
          </cell>
          <cell r="H1980">
            <v>72285.892307999995</v>
          </cell>
          <cell r="I1980">
            <v>72285.892307999995</v>
          </cell>
          <cell r="J1980">
            <v>72285.892307999995</v>
          </cell>
          <cell r="K1980">
            <v>289143.56923199998</v>
          </cell>
          <cell r="L1980">
            <v>6283.85</v>
          </cell>
          <cell r="M1980">
            <v>977415.18316799996</v>
          </cell>
          <cell r="N1980">
            <v>907896.77389299998</v>
          </cell>
          <cell r="O1980">
            <v>834556.83817600005</v>
          </cell>
        </row>
        <row r="1981">
          <cell r="A1981" t="str">
            <v>Hong KongAMORTIZATION OF INTANGIBLES</v>
          </cell>
          <cell r="B1981">
            <v>221960</v>
          </cell>
          <cell r="C1981">
            <v>207721.82</v>
          </cell>
          <cell r="D1981">
            <v>198194.13</v>
          </cell>
          <cell r="E1981">
            <v>33385.39</v>
          </cell>
          <cell r="F1981">
            <v>661261.34</v>
          </cell>
          <cell r="G1981">
            <v>9615.9884619999993</v>
          </cell>
          <cell r="H1981">
            <v>9615.9884619999993</v>
          </cell>
          <cell r="I1981">
            <v>9615.9884619999993</v>
          </cell>
          <cell r="J1981">
            <v>9615.9884619999993</v>
          </cell>
          <cell r="K1981">
            <v>38463.953847999997</v>
          </cell>
          <cell r="L1981">
            <v>47442.63</v>
          </cell>
          <cell r="M1981">
            <v>43714</v>
          </cell>
          <cell r="N1981">
            <v>27264.36</v>
          </cell>
          <cell r="O1981">
            <v>16332</v>
          </cell>
        </row>
        <row r="1982">
          <cell r="A1982" t="str">
            <v>Hong KongELTO MAINTENANCE</v>
          </cell>
          <cell r="B1982">
            <v>0</v>
          </cell>
          <cell r="C1982">
            <v>0</v>
          </cell>
          <cell r="D1982">
            <v>0</v>
          </cell>
          <cell r="E1982">
            <v>0</v>
          </cell>
          <cell r="F1982">
            <v>0</v>
          </cell>
          <cell r="G1982">
            <v>0</v>
          </cell>
          <cell r="H1982">
            <v>0</v>
          </cell>
          <cell r="I1982">
            <v>0</v>
          </cell>
          <cell r="J1982">
            <v>0</v>
          </cell>
          <cell r="K1982">
            <v>0</v>
          </cell>
          <cell r="L1982">
            <v>0</v>
          </cell>
          <cell r="M1982">
            <v>0</v>
          </cell>
          <cell r="N1982">
            <v>0</v>
          </cell>
          <cell r="O1982">
            <v>0</v>
          </cell>
        </row>
        <row r="1983">
          <cell r="A1983" t="str">
            <v>Hong KongELTO OTHER</v>
          </cell>
          <cell r="B1983">
            <v>0</v>
          </cell>
          <cell r="C1983">
            <v>0</v>
          </cell>
          <cell r="D1983">
            <v>0</v>
          </cell>
          <cell r="E1983">
            <v>0</v>
          </cell>
          <cell r="F1983">
            <v>0</v>
          </cell>
          <cell r="G1983">
            <v>0</v>
          </cell>
          <cell r="H1983">
            <v>0</v>
          </cell>
          <cell r="I1983">
            <v>0</v>
          </cell>
          <cell r="J1983">
            <v>0</v>
          </cell>
          <cell r="K1983">
            <v>0</v>
          </cell>
          <cell r="L1983">
            <v>0</v>
          </cell>
          <cell r="M1983">
            <v>0</v>
          </cell>
          <cell r="N1983">
            <v>0</v>
          </cell>
          <cell r="O1983">
            <v>0</v>
          </cell>
        </row>
        <row r="1984">
          <cell r="A1984" t="str">
            <v>Hong KongLEGAL</v>
          </cell>
          <cell r="B1984">
            <v>66060.09</v>
          </cell>
          <cell r="C1984">
            <v>73855.08</v>
          </cell>
          <cell r="D1984">
            <v>78446.58</v>
          </cell>
          <cell r="E1984">
            <v>164283.76999999999</v>
          </cell>
          <cell r="F1984">
            <v>382645.52</v>
          </cell>
          <cell r="G1984">
            <v>31923.076923000001</v>
          </cell>
          <cell r="H1984">
            <v>31923.076923000001</v>
          </cell>
          <cell r="I1984">
            <v>31923.076923000001</v>
          </cell>
          <cell r="J1984">
            <v>31923.076923000001</v>
          </cell>
          <cell r="K1984">
            <v>127692.307692</v>
          </cell>
          <cell r="L1984">
            <v>64029.96</v>
          </cell>
          <cell r="M1984">
            <v>100484.56</v>
          </cell>
          <cell r="N1984">
            <v>105501.09</v>
          </cell>
          <cell r="O1984">
            <v>110774.22</v>
          </cell>
        </row>
        <row r="1985">
          <cell r="A1985" t="str">
            <v>Hong KongADVERTISING</v>
          </cell>
          <cell r="B1985">
            <v>106881.51</v>
          </cell>
          <cell r="C1985">
            <v>249581.19</v>
          </cell>
          <cell r="D1985">
            <v>532899.06999999995</v>
          </cell>
          <cell r="E1985">
            <v>411388.45</v>
          </cell>
          <cell r="F1985">
            <v>1300750.22</v>
          </cell>
          <cell r="G1985">
            <v>279102.56153800001</v>
          </cell>
          <cell r="H1985">
            <v>339358.97179500002</v>
          </cell>
          <cell r="I1985">
            <v>280384.61282099999</v>
          </cell>
          <cell r="J1985">
            <v>96025.638462000003</v>
          </cell>
          <cell r="K1985">
            <v>994871.78461600002</v>
          </cell>
          <cell r="L1985">
            <v>279133.06</v>
          </cell>
          <cell r="M1985">
            <v>3023094</v>
          </cell>
          <cell r="N1985">
            <v>3024248.7</v>
          </cell>
          <cell r="O1985">
            <v>3025461.1349999998</v>
          </cell>
        </row>
        <row r="1986">
          <cell r="A1986" t="str">
            <v>Hong KongSALES PROMOTIONS</v>
          </cell>
          <cell r="B1986">
            <v>0</v>
          </cell>
          <cell r="C1986">
            <v>0</v>
          </cell>
          <cell r="D1986">
            <v>0</v>
          </cell>
          <cell r="E1986">
            <v>0</v>
          </cell>
          <cell r="F1986">
            <v>0</v>
          </cell>
          <cell r="G1986">
            <v>0</v>
          </cell>
          <cell r="H1986">
            <v>0</v>
          </cell>
          <cell r="I1986">
            <v>0</v>
          </cell>
          <cell r="J1986">
            <v>0</v>
          </cell>
          <cell r="K1986">
            <v>0</v>
          </cell>
          <cell r="L1986">
            <v>0</v>
          </cell>
          <cell r="M1986">
            <v>0</v>
          </cell>
          <cell r="N1986">
            <v>0</v>
          </cell>
          <cell r="O1986">
            <v>0</v>
          </cell>
        </row>
        <row r="1987">
          <cell r="A1987" t="str">
            <v>Hong KongDIRECT MAIL</v>
          </cell>
          <cell r="B1987">
            <v>0</v>
          </cell>
          <cell r="C1987">
            <v>0</v>
          </cell>
          <cell r="D1987">
            <v>0</v>
          </cell>
          <cell r="E1987">
            <v>0</v>
          </cell>
          <cell r="F1987">
            <v>0</v>
          </cell>
          <cell r="G1987">
            <v>0</v>
          </cell>
          <cell r="H1987">
            <v>0</v>
          </cell>
          <cell r="I1987">
            <v>0</v>
          </cell>
          <cell r="J1987">
            <v>0</v>
          </cell>
          <cell r="K1987">
            <v>0</v>
          </cell>
          <cell r="L1987">
            <v>0</v>
          </cell>
          <cell r="M1987">
            <v>0</v>
          </cell>
          <cell r="N1987">
            <v>0</v>
          </cell>
          <cell r="O1987">
            <v>0</v>
          </cell>
        </row>
        <row r="1988">
          <cell r="A1988" t="str">
            <v>Hong KongDATA PROCESSING</v>
          </cell>
          <cell r="B1988">
            <v>45917.74</v>
          </cell>
          <cell r="C1988">
            <v>61280.5</v>
          </cell>
          <cell r="D1988">
            <v>72908.67</v>
          </cell>
          <cell r="E1988">
            <v>210778.01</v>
          </cell>
          <cell r="F1988">
            <v>390884.92</v>
          </cell>
          <cell r="G1988">
            <v>48836.473077000002</v>
          </cell>
          <cell r="H1988">
            <v>48836.473077000002</v>
          </cell>
          <cell r="I1988">
            <v>22836.473076999999</v>
          </cell>
          <cell r="J1988">
            <v>22836.473076999999</v>
          </cell>
          <cell r="K1988">
            <v>143345.89230800001</v>
          </cell>
          <cell r="L1988">
            <v>55807.48</v>
          </cell>
          <cell r="M1988">
            <v>150022.688544</v>
          </cell>
          <cell r="N1988">
            <v>72953.347404</v>
          </cell>
          <cell r="O1988">
            <v>78789.615195999999</v>
          </cell>
        </row>
        <row r="1989">
          <cell r="A1989" t="str">
            <v>Hong KongCONSULTING</v>
          </cell>
          <cell r="B1989">
            <v>35323.64</v>
          </cell>
          <cell r="C1989">
            <v>41539.980000000003</v>
          </cell>
          <cell r="D1989">
            <v>50540.3</v>
          </cell>
          <cell r="E1989">
            <v>89941.31</v>
          </cell>
          <cell r="F1989">
            <v>217345.23</v>
          </cell>
          <cell r="G1989">
            <v>169934.88076900001</v>
          </cell>
          <cell r="H1989">
            <v>169934.88076900001</v>
          </cell>
          <cell r="I1989">
            <v>169934.88076900001</v>
          </cell>
          <cell r="J1989">
            <v>169934.88076900001</v>
          </cell>
          <cell r="K1989">
            <v>679739.52307600004</v>
          </cell>
          <cell r="L1989">
            <v>59964.33</v>
          </cell>
          <cell r="M1989">
            <v>1590274.097386</v>
          </cell>
          <cell r="N1989">
            <v>1410912.217836</v>
          </cell>
          <cell r="O1989">
            <v>1373279.2102880001</v>
          </cell>
        </row>
        <row r="1990">
          <cell r="A1990" t="str">
            <v>Hong KongTEMP SERVICES</v>
          </cell>
          <cell r="B1990">
            <v>0</v>
          </cell>
          <cell r="C1990">
            <v>0</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Hong KongGDC CHARGES</v>
          </cell>
          <cell r="B1991">
            <v>0</v>
          </cell>
          <cell r="C1991">
            <v>0</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Hong KongTRAINING AND EDUCATION</v>
          </cell>
          <cell r="B1992">
            <v>31797.75</v>
          </cell>
          <cell r="C1992">
            <v>31232.75</v>
          </cell>
          <cell r="D1992">
            <v>-3112.19</v>
          </cell>
          <cell r="E1992">
            <v>-35229.839999999997</v>
          </cell>
          <cell r="F1992">
            <v>24688.47</v>
          </cell>
          <cell r="G1992">
            <v>23843.901281999999</v>
          </cell>
          <cell r="H1992">
            <v>23843.901281999999</v>
          </cell>
          <cell r="I1992">
            <v>23843.901281999999</v>
          </cell>
          <cell r="J1992">
            <v>23843.901281999999</v>
          </cell>
          <cell r="K1992">
            <v>95375.605127999996</v>
          </cell>
          <cell r="L1992">
            <v>27226.97</v>
          </cell>
          <cell r="M1992">
            <v>151394</v>
          </cell>
          <cell r="N1992">
            <v>141130</v>
          </cell>
          <cell r="O1992">
            <v>143696</v>
          </cell>
        </row>
        <row r="1993">
          <cell r="A1993" t="str">
            <v>Hong KongOUTSIDE SERVICES  AND FEES</v>
          </cell>
          <cell r="B1993">
            <v>111979.93</v>
          </cell>
          <cell r="C1993">
            <v>185241.17</v>
          </cell>
          <cell r="D1993">
            <v>204206.92</v>
          </cell>
          <cell r="E1993">
            <v>172057.72</v>
          </cell>
          <cell r="F1993">
            <v>673485.74</v>
          </cell>
          <cell r="G1993">
            <v>110949.90897400001</v>
          </cell>
          <cell r="H1993">
            <v>109715.98846199999</v>
          </cell>
          <cell r="I1993">
            <v>110688.808974</v>
          </cell>
          <cell r="J1993">
            <v>109715.98846199999</v>
          </cell>
          <cell r="K1993">
            <v>441070.69487200002</v>
          </cell>
          <cell r="L1993">
            <v>163527.51</v>
          </cell>
          <cell r="M1993">
            <v>453432.48423</v>
          </cell>
          <cell r="N1993">
            <v>498275.52623600001</v>
          </cell>
          <cell r="O1993">
            <v>525976.51715099998</v>
          </cell>
        </row>
        <row r="1994">
          <cell r="A1994" t="str">
            <v>Hong KongSTATE, FOREIGN, LOCAL TAXES</v>
          </cell>
          <cell r="B1994">
            <v>0</v>
          </cell>
          <cell r="C1994">
            <v>0</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Hong KongS/L TAX - INSURANCE PREMIUMS</v>
          </cell>
          <cell r="B1995">
            <v>0</v>
          </cell>
          <cell r="C1995">
            <v>0</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Hong KongSATELLITE LEASE EXPENSE</v>
          </cell>
          <cell r="B1996">
            <v>0</v>
          </cell>
          <cell r="C1996">
            <v>0</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Hong KongBUSINESS SHARE EXPENSE</v>
          </cell>
          <cell r="B1997">
            <v>0</v>
          </cell>
          <cell r="C1997">
            <v>0</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Hong KongINSURANCE AFFILIATE EXPENSE</v>
          </cell>
          <cell r="B1998">
            <v>0</v>
          </cell>
          <cell r="C1998">
            <v>0</v>
          </cell>
          <cell r="D1998">
            <v>0</v>
          </cell>
          <cell r="E1998">
            <v>0</v>
          </cell>
          <cell r="F1998">
            <v>0</v>
          </cell>
          <cell r="G1998">
            <v>0</v>
          </cell>
          <cell r="H1998">
            <v>0</v>
          </cell>
          <cell r="I1998">
            <v>0</v>
          </cell>
          <cell r="J1998">
            <v>0</v>
          </cell>
          <cell r="K1998">
            <v>0</v>
          </cell>
          <cell r="L1998">
            <v>0</v>
          </cell>
          <cell r="M1998">
            <v>0</v>
          </cell>
          <cell r="N1998">
            <v>0</v>
          </cell>
          <cell r="O1998">
            <v>0</v>
          </cell>
        </row>
        <row r="1999">
          <cell r="A1999" t="str">
            <v>Hong KongOTHER FACILITY EXPENSE</v>
          </cell>
          <cell r="B1999">
            <v>28077.52</v>
          </cell>
          <cell r="C1999">
            <v>32806.18</v>
          </cell>
          <cell r="D1999">
            <v>39645.71</v>
          </cell>
          <cell r="E1999">
            <v>36754.589999999997</v>
          </cell>
          <cell r="F1999">
            <v>137284</v>
          </cell>
          <cell r="G1999">
            <v>59533.942307999998</v>
          </cell>
          <cell r="H1999">
            <v>50338.648717999997</v>
          </cell>
          <cell r="I1999">
            <v>50452.170512999997</v>
          </cell>
          <cell r="J1999">
            <v>49089.903846000001</v>
          </cell>
          <cell r="K1999">
            <v>209414.665385</v>
          </cell>
          <cell r="L1999">
            <v>34015.879999999997</v>
          </cell>
          <cell r="M1999">
            <v>235848.00006799999</v>
          </cell>
          <cell r="N1999">
            <v>270756.82370399998</v>
          </cell>
          <cell r="O1999">
            <v>304371.32505500002</v>
          </cell>
        </row>
        <row r="2000">
          <cell r="A2000" t="str">
            <v>Hong KongGROSS OP &amp; ADMIN BUS SHARE</v>
          </cell>
          <cell r="B2000">
            <v>-738030</v>
          </cell>
          <cell r="C2000">
            <v>-845101</v>
          </cell>
          <cell r="D2000">
            <v>-509587</v>
          </cell>
          <cell r="E2000">
            <v>-1160084</v>
          </cell>
          <cell r="F2000">
            <v>-3252802</v>
          </cell>
          <cell r="G2000">
            <v>0</v>
          </cell>
          <cell r="H2000">
            <v>0</v>
          </cell>
          <cell r="I2000">
            <v>0</v>
          </cell>
          <cell r="J2000">
            <v>0</v>
          </cell>
          <cell r="K2000">
            <v>0</v>
          </cell>
          <cell r="L2000">
            <v>-10527</v>
          </cell>
          <cell r="M2000">
            <v>-2838164.3590540001</v>
          </cell>
          <cell r="N2000">
            <v>-2588763.1523899999</v>
          </cell>
          <cell r="O2000">
            <v>-2338811.0920609999</v>
          </cell>
        </row>
        <row r="2001">
          <cell r="A2001" t="str">
            <v>Hong KongOTHER EXPENSE</v>
          </cell>
          <cell r="B2001">
            <v>485673.74</v>
          </cell>
          <cell r="C2001">
            <v>504790.67</v>
          </cell>
          <cell r="D2001">
            <v>-173474.78</v>
          </cell>
          <cell r="E2001">
            <v>-372800.89</v>
          </cell>
          <cell r="F2001">
            <v>444188.74</v>
          </cell>
          <cell r="G2001">
            <v>-315939.5</v>
          </cell>
          <cell r="H2001">
            <v>-320608.29359000002</v>
          </cell>
          <cell r="I2001">
            <v>-306664.79615399998</v>
          </cell>
          <cell r="J2001">
            <v>-388566.82692299999</v>
          </cell>
          <cell r="K2001">
            <v>-1331779.4166669999</v>
          </cell>
          <cell r="L2001">
            <v>215324.61</v>
          </cell>
          <cell r="M2001">
            <v>-2140960.982911</v>
          </cell>
          <cell r="N2001">
            <v>-1764846.969336</v>
          </cell>
          <cell r="O2001">
            <v>-2126907.1447919998</v>
          </cell>
        </row>
        <row r="2002">
          <cell r="A2002" t="str">
            <v>Hong KongGECC INTERCO EXPENSES EXCL GECIS</v>
          </cell>
          <cell r="B2002">
            <v>176400</v>
          </cell>
          <cell r="C2002">
            <v>176400</v>
          </cell>
          <cell r="D2002">
            <v>176400</v>
          </cell>
          <cell r="E2002">
            <v>169483</v>
          </cell>
          <cell r="F2002">
            <v>698683</v>
          </cell>
          <cell r="G2002">
            <v>0</v>
          </cell>
          <cell r="H2002">
            <v>0</v>
          </cell>
          <cell r="I2002">
            <v>0</v>
          </cell>
          <cell r="J2002">
            <v>0</v>
          </cell>
          <cell r="K2002">
            <v>0</v>
          </cell>
          <cell r="L2002">
            <v>134283.6</v>
          </cell>
          <cell r="M2002">
            <v>0</v>
          </cell>
          <cell r="N2002">
            <v>0</v>
          </cell>
          <cell r="O2002">
            <v>0</v>
          </cell>
        </row>
        <row r="2003">
          <cell r="A2003" t="str">
            <v>Hong KongGECIS INTERCO CHARGES</v>
          </cell>
          <cell r="B2003">
            <v>31733.62</v>
          </cell>
          <cell r="C2003">
            <v>31732.54</v>
          </cell>
          <cell r="D2003">
            <v>31732.41</v>
          </cell>
          <cell r="E2003">
            <v>31732.14</v>
          </cell>
          <cell r="F2003">
            <v>126930.71</v>
          </cell>
          <cell r="G2003">
            <v>0</v>
          </cell>
          <cell r="H2003">
            <v>0</v>
          </cell>
          <cell r="I2003">
            <v>0</v>
          </cell>
          <cell r="J2003">
            <v>0</v>
          </cell>
          <cell r="K2003">
            <v>0</v>
          </cell>
          <cell r="L2003">
            <v>20945.54</v>
          </cell>
          <cell r="M2003">
            <v>0</v>
          </cell>
          <cell r="N2003">
            <v>0</v>
          </cell>
          <cell r="O2003">
            <v>0</v>
          </cell>
        </row>
        <row r="2004">
          <cell r="A2004" t="str">
            <v>Hong KongLOSS ADJUSTED EXPENSE</v>
          </cell>
          <cell r="B2004">
            <v>0</v>
          </cell>
          <cell r="C2004">
            <v>0</v>
          </cell>
          <cell r="D2004">
            <v>0</v>
          </cell>
          <cell r="E2004">
            <v>0</v>
          </cell>
          <cell r="F2004">
            <v>0</v>
          </cell>
          <cell r="G2004">
            <v>0</v>
          </cell>
          <cell r="H2004">
            <v>0</v>
          </cell>
          <cell r="I2004">
            <v>0</v>
          </cell>
          <cell r="J2004">
            <v>0</v>
          </cell>
          <cell r="K2004">
            <v>0</v>
          </cell>
          <cell r="L2004">
            <v>0</v>
          </cell>
          <cell r="M2004">
            <v>0</v>
          </cell>
          <cell r="N2004">
            <v>0</v>
          </cell>
          <cell r="O2004">
            <v>0</v>
          </cell>
        </row>
        <row r="2005">
          <cell r="A2005" t="str">
            <v>Hong KongALL OTHER EXPENSES</v>
          </cell>
          <cell r="B2005">
            <v>0.01</v>
          </cell>
          <cell r="C2005">
            <v>0</v>
          </cell>
          <cell r="D2005">
            <v>-0.01</v>
          </cell>
          <cell r="E2005">
            <v>-0.01</v>
          </cell>
          <cell r="F2005">
            <v>-0.01</v>
          </cell>
          <cell r="G2005">
            <v>0</v>
          </cell>
          <cell r="H2005">
            <v>0</v>
          </cell>
          <cell r="I2005">
            <v>0</v>
          </cell>
          <cell r="J2005">
            <v>0</v>
          </cell>
          <cell r="K2005">
            <v>0</v>
          </cell>
          <cell r="L2005">
            <v>0.02</v>
          </cell>
          <cell r="M2005">
            <v>0</v>
          </cell>
          <cell r="N2005">
            <v>0</v>
          </cell>
          <cell r="O2005">
            <v>0</v>
          </cell>
        </row>
        <row r="2006">
          <cell r="A2006" t="str">
            <v>Hong KongASSESSMENTS</v>
          </cell>
          <cell r="B2006">
            <v>-152919.18</v>
          </cell>
          <cell r="C2006">
            <v>-308456.24</v>
          </cell>
          <cell r="D2006">
            <v>-1006030.33</v>
          </cell>
          <cell r="E2006">
            <v>-833405.65</v>
          </cell>
          <cell r="F2006">
            <v>-2300811.4</v>
          </cell>
          <cell r="G2006">
            <v>608614.267949</v>
          </cell>
          <cell r="H2006">
            <v>617151.687179</v>
          </cell>
          <cell r="I2006">
            <v>622291.51666700002</v>
          </cell>
          <cell r="J2006">
            <v>638680.10641000001</v>
          </cell>
          <cell r="K2006">
            <v>2486737.5782050001</v>
          </cell>
          <cell r="L2006">
            <v>465504.88</v>
          </cell>
          <cell r="M2006">
            <v>777438.95890299999</v>
          </cell>
          <cell r="N2006">
            <v>1046614.438411</v>
          </cell>
          <cell r="O2006">
            <v>1354664.311008</v>
          </cell>
        </row>
        <row r="2007">
          <cell r="A2007" t="str">
            <v>Hong KongFAS 91</v>
          </cell>
          <cell r="B2007">
            <v>-724083.33</v>
          </cell>
          <cell r="C2007">
            <v>-797418.46</v>
          </cell>
          <cell r="D2007">
            <v>-845120.14</v>
          </cell>
          <cell r="E2007">
            <v>-535031.65</v>
          </cell>
          <cell r="F2007">
            <v>-2901653.58</v>
          </cell>
          <cell r="G2007">
            <v>-383533.88974399999</v>
          </cell>
          <cell r="H2007">
            <v>-466137.25256400002</v>
          </cell>
          <cell r="I2007">
            <v>-425962.64871799998</v>
          </cell>
          <cell r="J2007">
            <v>-595774.61538500001</v>
          </cell>
          <cell r="K2007">
            <v>-1871408.4064110001</v>
          </cell>
          <cell r="L2007">
            <v>-610883.5</v>
          </cell>
          <cell r="M2007">
            <v>-2734471.34638</v>
          </cell>
          <cell r="N2007">
            <v>-2821828.3133120001</v>
          </cell>
          <cell r="O2007">
            <v>-2387816.3882860001</v>
          </cell>
        </row>
        <row r="2008">
          <cell r="A2008" t="str">
            <v>Hong KongGOODWILL AMORTIZATION</v>
          </cell>
          <cell r="B2008">
            <v>1904424.98</v>
          </cell>
          <cell r="C2008">
            <v>1904360.6</v>
          </cell>
          <cell r="D2008">
            <v>1904352.21</v>
          </cell>
          <cell r="E2008">
            <v>1904335.92</v>
          </cell>
          <cell r="F2008">
            <v>7617473.71</v>
          </cell>
          <cell r="G2008">
            <v>0</v>
          </cell>
          <cell r="H2008">
            <v>0</v>
          </cell>
          <cell r="I2008">
            <v>0</v>
          </cell>
          <cell r="J2008">
            <v>0</v>
          </cell>
          <cell r="K2008">
            <v>0</v>
          </cell>
          <cell r="L2008">
            <v>0</v>
          </cell>
          <cell r="M2008">
            <v>7636692</v>
          </cell>
          <cell r="N2008">
            <v>7636692</v>
          </cell>
          <cell r="O2008">
            <v>7636692</v>
          </cell>
        </row>
        <row r="2009">
          <cell r="A2009" t="str">
            <v>Hong KongDEPRECIATION EXPENSE</v>
          </cell>
          <cell r="B2009">
            <v>147724.46</v>
          </cell>
          <cell r="C2009">
            <v>168565.86</v>
          </cell>
          <cell r="D2009">
            <v>187795.69</v>
          </cell>
          <cell r="E2009">
            <v>197472.9</v>
          </cell>
          <cell r="F2009">
            <v>701558.91</v>
          </cell>
          <cell r="G2009">
            <v>173008.61538500001</v>
          </cell>
          <cell r="H2009">
            <v>173008.61538500001</v>
          </cell>
          <cell r="I2009">
            <v>150120.07948700001</v>
          </cell>
          <cell r="J2009">
            <v>103534.353846</v>
          </cell>
          <cell r="K2009">
            <v>599671.66410299996</v>
          </cell>
          <cell r="L2009">
            <v>157768.79999999999</v>
          </cell>
          <cell r="M2009">
            <v>844217.60927100002</v>
          </cell>
          <cell r="N2009">
            <v>625507.23949599999</v>
          </cell>
          <cell r="O2009">
            <v>636546.57546800002</v>
          </cell>
        </row>
        <row r="2010">
          <cell r="A2010" t="str">
            <v>Hong KongELTO AMORTIZATION</v>
          </cell>
          <cell r="B2010">
            <v>0</v>
          </cell>
          <cell r="C2010">
            <v>0</v>
          </cell>
          <cell r="D2010">
            <v>0</v>
          </cell>
          <cell r="E2010">
            <v>0</v>
          </cell>
          <cell r="F2010">
            <v>0</v>
          </cell>
          <cell r="G2010">
            <v>0</v>
          </cell>
          <cell r="H2010">
            <v>0</v>
          </cell>
          <cell r="I2010">
            <v>0</v>
          </cell>
          <cell r="J2010">
            <v>0</v>
          </cell>
          <cell r="K2010">
            <v>0</v>
          </cell>
          <cell r="L2010">
            <v>0</v>
          </cell>
          <cell r="M2010">
            <v>0</v>
          </cell>
          <cell r="N2010">
            <v>0</v>
          </cell>
          <cell r="O2010">
            <v>0</v>
          </cell>
        </row>
        <row r="2011">
          <cell r="A2011" t="str">
            <v>Hong KongINSURANCE LOSSES AND BENEFITS</v>
          </cell>
          <cell r="B2011">
            <v>0</v>
          </cell>
          <cell r="C2011">
            <v>0</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Hong KongWRITE OFFS</v>
          </cell>
          <cell r="B2012">
            <v>1923535.04</v>
          </cell>
          <cell r="C2012">
            <v>717564.94</v>
          </cell>
          <cell r="D2012">
            <v>2087661.61</v>
          </cell>
          <cell r="E2012">
            <v>1557082.73</v>
          </cell>
          <cell r="F2012">
            <v>6285844.3200000003</v>
          </cell>
          <cell r="G2012">
            <v>6431424.6756410003</v>
          </cell>
          <cell r="H2012">
            <v>4281152.3371789996</v>
          </cell>
          <cell r="I2012">
            <v>4616595.9051280003</v>
          </cell>
          <cell r="J2012">
            <v>1546892.6307689999</v>
          </cell>
          <cell r="K2012">
            <v>16876065.548717</v>
          </cell>
          <cell r="L2012">
            <v>3734138.59</v>
          </cell>
          <cell r="M2012">
            <v>11372258.578918001</v>
          </cell>
          <cell r="N2012">
            <v>16167745.225671999</v>
          </cell>
          <cell r="O2012">
            <v>19830498.513530999</v>
          </cell>
        </row>
        <row r="2013">
          <cell r="A2013" t="str">
            <v>Hong KongRESERVE CHANGE</v>
          </cell>
          <cell r="B2013">
            <v>-79835.360000000001</v>
          </cell>
          <cell r="C2013">
            <v>738884.29</v>
          </cell>
          <cell r="D2013">
            <v>-225380.26</v>
          </cell>
          <cell r="E2013">
            <v>1786949.41</v>
          </cell>
          <cell r="F2013">
            <v>2220618.08</v>
          </cell>
          <cell r="G2013">
            <v>0</v>
          </cell>
          <cell r="H2013">
            <v>0</v>
          </cell>
          <cell r="I2013">
            <v>0</v>
          </cell>
          <cell r="J2013">
            <v>0</v>
          </cell>
          <cell r="K2013">
            <v>0</v>
          </cell>
          <cell r="L2013">
            <v>1325193.3400000001</v>
          </cell>
          <cell r="M2013">
            <v>0</v>
          </cell>
          <cell r="N2013">
            <v>0</v>
          </cell>
          <cell r="O2013">
            <v>0</v>
          </cell>
        </row>
        <row r="2014">
          <cell r="A2014" t="str">
            <v>Hong KongMINORITY INTEREST</v>
          </cell>
          <cell r="B2014">
            <v>0</v>
          </cell>
          <cell r="C2014">
            <v>0</v>
          </cell>
          <cell r="D2014">
            <v>0</v>
          </cell>
          <cell r="E2014">
            <v>0</v>
          </cell>
          <cell r="F2014">
            <v>0</v>
          </cell>
          <cell r="G2014">
            <v>0</v>
          </cell>
          <cell r="H2014">
            <v>0</v>
          </cell>
          <cell r="I2014">
            <v>0</v>
          </cell>
          <cell r="J2014">
            <v>0</v>
          </cell>
          <cell r="K2014">
            <v>0</v>
          </cell>
          <cell r="L2014">
            <v>0</v>
          </cell>
          <cell r="M2014">
            <v>0</v>
          </cell>
          <cell r="N2014">
            <v>0</v>
          </cell>
          <cell r="O2014">
            <v>0</v>
          </cell>
        </row>
        <row r="2015">
          <cell r="A2015" t="str">
            <v>Hong KongINCOME TAXES</v>
          </cell>
          <cell r="B2015">
            <v>-559298.64</v>
          </cell>
          <cell r="C2015">
            <v>-129021.4</v>
          </cell>
          <cell r="D2015">
            <v>284303.13</v>
          </cell>
          <cell r="E2015">
            <v>352640.94</v>
          </cell>
          <cell r="F2015">
            <v>-51375.97</v>
          </cell>
          <cell r="G2015">
            <v>-1084202.6871789999</v>
          </cell>
          <cell r="H2015">
            <v>420915.95897400001</v>
          </cell>
          <cell r="I2015">
            <v>1113630.2230769999</v>
          </cell>
          <cell r="J2015">
            <v>2832182.2743589999</v>
          </cell>
          <cell r="K2015">
            <v>3282525.769231</v>
          </cell>
          <cell r="L2015">
            <v>-1480283.48</v>
          </cell>
          <cell r="M2015">
            <v>1093583.0412010001</v>
          </cell>
          <cell r="N2015">
            <v>5233126.3956070002</v>
          </cell>
          <cell r="O2015">
            <v>7646229.8714079997</v>
          </cell>
        </row>
        <row r="2016">
          <cell r="A2016" t="str">
            <v>Hong KongCUMULATIVE TRANSITION ADJUSTMENT</v>
          </cell>
          <cell r="B2016">
            <v>1455000</v>
          </cell>
          <cell r="C2016">
            <v>0</v>
          </cell>
          <cell r="D2016">
            <v>0</v>
          </cell>
          <cell r="E2016">
            <v>0</v>
          </cell>
          <cell r="F2016">
            <v>1455000</v>
          </cell>
          <cell r="G2016">
            <v>0</v>
          </cell>
          <cell r="H2016">
            <v>0</v>
          </cell>
          <cell r="I2016">
            <v>0</v>
          </cell>
          <cell r="J2016">
            <v>0</v>
          </cell>
          <cell r="K2016">
            <v>0</v>
          </cell>
          <cell r="L2016">
            <v>0</v>
          </cell>
          <cell r="M2016">
            <v>0</v>
          </cell>
          <cell r="N2016">
            <v>0</v>
          </cell>
          <cell r="O2016">
            <v>0</v>
          </cell>
        </row>
        <row r="2017">
          <cell r="A2017" t="str">
            <v>Hong KongASIA PACIFIC NI DIVIDEND</v>
          </cell>
          <cell r="B2017">
            <v>0</v>
          </cell>
          <cell r="C2017">
            <v>0</v>
          </cell>
          <cell r="D2017">
            <v>0</v>
          </cell>
          <cell r="E2017">
            <v>0</v>
          </cell>
          <cell r="F2017">
            <v>0</v>
          </cell>
          <cell r="G2017">
            <v>0</v>
          </cell>
          <cell r="H2017">
            <v>0</v>
          </cell>
          <cell r="I2017">
            <v>0</v>
          </cell>
          <cell r="J2017">
            <v>0</v>
          </cell>
          <cell r="K2017">
            <v>0</v>
          </cell>
          <cell r="L2017">
            <v>0</v>
          </cell>
          <cell r="M2017">
            <v>0</v>
          </cell>
          <cell r="N2017">
            <v>0</v>
          </cell>
          <cell r="O2017">
            <v>0</v>
          </cell>
        </row>
        <row r="2018">
          <cell r="A2018" t="str">
            <v>Hong KongNet Income</v>
          </cell>
          <cell r="B2018">
            <v>4512174.68</v>
          </cell>
          <cell r="C2018">
            <v>2781101.7</v>
          </cell>
          <cell r="D2018">
            <v>1223158.3899999999</v>
          </cell>
          <cell r="E2018">
            <v>-10344.879999999999</v>
          </cell>
          <cell r="F2018">
            <v>8506089.8900000006</v>
          </cell>
          <cell r="G2018">
            <v>2104178.748718</v>
          </cell>
          <cell r="H2018">
            <v>-683124.25000100001</v>
          </cell>
          <cell r="I2018">
            <v>-1957906.299999</v>
          </cell>
          <cell r="J2018">
            <v>-5136530.3397439998</v>
          </cell>
          <cell r="K2018">
            <v>-5673382.1410259996</v>
          </cell>
          <cell r="L2018">
            <v>2864679.19</v>
          </cell>
          <cell r="M2018">
            <v>-10953.712754</v>
          </cell>
          <cell r="N2018">
            <v>-19261127.968208998</v>
          </cell>
          <cell r="O2018">
            <v>-34683788.717154004</v>
          </cell>
        </row>
        <row r="2019">
          <cell r="A2019" t="str">
            <v>Hong KongSubPart F</v>
          </cell>
          <cell r="B2019">
            <v>0</v>
          </cell>
          <cell r="C2019">
            <v>0</v>
          </cell>
          <cell r="D2019">
            <v>0</v>
          </cell>
          <cell r="E2019">
            <v>0</v>
          </cell>
          <cell r="F2019">
            <v>0</v>
          </cell>
          <cell r="G2019">
            <v>0</v>
          </cell>
          <cell r="H2019">
            <v>0</v>
          </cell>
          <cell r="I2019">
            <v>0</v>
          </cell>
          <cell r="J2019">
            <v>0</v>
          </cell>
          <cell r="K2019">
            <v>0</v>
          </cell>
          <cell r="L2019">
            <v>0</v>
          </cell>
          <cell r="M2019">
            <v>1790319.12552</v>
          </cell>
          <cell r="N2019">
            <v>5863992.7053859998</v>
          </cell>
          <cell r="O2019">
            <v>9723026.6201419998</v>
          </cell>
        </row>
        <row r="2020">
          <cell r="A2020" t="str">
            <v>Hong KongAssets</v>
          </cell>
          <cell r="B2020">
            <v>560328843.30999994</v>
          </cell>
          <cell r="C2020">
            <v>650899986.63</v>
          </cell>
          <cell r="D2020">
            <v>620027405.25</v>
          </cell>
          <cell r="E2020">
            <v>630496772.32000005</v>
          </cell>
          <cell r="F2020">
            <v>630496772.32000005</v>
          </cell>
          <cell r="G2020">
            <v>675730608.21282101</v>
          </cell>
          <cell r="H2020">
            <v>753723008.37051296</v>
          </cell>
          <cell r="I2020">
            <v>833312729.60384595</v>
          </cell>
          <cell r="J2020">
            <v>888406221.40769196</v>
          </cell>
          <cell r="K2020">
            <v>888406221.40769196</v>
          </cell>
          <cell r="L2020">
            <v>675030788.72000003</v>
          </cell>
          <cell r="M2020">
            <v>745956870.05927706</v>
          </cell>
          <cell r="N2020">
            <v>880003016.392097</v>
          </cell>
          <cell r="O2020">
            <v>997071293.75546706</v>
          </cell>
        </row>
        <row r="2021">
          <cell r="A2021" t="str">
            <v>Hong KongEnding Net Investment (ENI) incl Asia</v>
          </cell>
          <cell r="B2021">
            <v>533227473.51999998</v>
          </cell>
          <cell r="C2021">
            <v>652208093.46000004</v>
          </cell>
          <cell r="D2021">
            <v>645110423.36000001</v>
          </cell>
          <cell r="E2021">
            <v>645659526.24000001</v>
          </cell>
          <cell r="F2021">
            <v>645659526.24000001</v>
          </cell>
          <cell r="G2021">
            <v>670976864.32307696</v>
          </cell>
          <cell r="H2021">
            <v>748930608.44359004</v>
          </cell>
          <cell r="I2021">
            <v>828417816.04230797</v>
          </cell>
          <cell r="J2021">
            <v>883505265.58076894</v>
          </cell>
          <cell r="K2021">
            <v>883505265.58076894</v>
          </cell>
          <cell r="L2021">
            <v>686515233.64999998</v>
          </cell>
          <cell r="M2021">
            <v>730826150.94780302</v>
          </cell>
          <cell r="N2021">
            <v>861819734.75790298</v>
          </cell>
          <cell r="O2021">
            <v>976191743.63131499</v>
          </cell>
        </row>
        <row r="2022">
          <cell r="A2022" t="str">
            <v>Hong KongANR YTD</v>
          </cell>
          <cell r="B2022">
            <v>482769961.84500003</v>
          </cell>
          <cell r="C2022">
            <v>500839543.87333298</v>
          </cell>
          <cell r="D2022">
            <v>516458034.20499998</v>
          </cell>
          <cell r="E2022">
            <v>527834577.09600002</v>
          </cell>
          <cell r="F2022">
            <v>527834577.09600002</v>
          </cell>
          <cell r="G2022">
            <v>311643252.78205198</v>
          </cell>
          <cell r="H2022">
            <v>442002603.10427397</v>
          </cell>
          <cell r="I2022">
            <v>527499147.36121798</v>
          </cell>
          <cell r="J2022">
            <v>589567845.98410296</v>
          </cell>
          <cell r="K2022">
            <v>589567845.98410296</v>
          </cell>
          <cell r="L2022">
            <v>596125476.495</v>
          </cell>
          <cell r="M2022">
            <v>253472669.19397399</v>
          </cell>
          <cell r="N2022">
            <v>308747402.01741898</v>
          </cell>
          <cell r="O2022">
            <v>363246541.636226</v>
          </cell>
        </row>
        <row r="2023">
          <cell r="A2023" t="str">
            <v>Hong KongASA YTD</v>
          </cell>
          <cell r="B2023">
            <v>552605360.34500003</v>
          </cell>
          <cell r="C2023">
            <v>567832526.20666695</v>
          </cell>
          <cell r="D2023">
            <v>581128324.50250006</v>
          </cell>
          <cell r="E2023">
            <v>590507495.93400002</v>
          </cell>
          <cell r="F2023">
            <v>590507495.93400002</v>
          </cell>
          <cell r="G2023">
            <v>336413552.28205198</v>
          </cell>
          <cell r="H2023">
            <v>474098224.10427397</v>
          </cell>
          <cell r="I2023">
            <v>562598248.86121798</v>
          </cell>
          <cell r="J2023">
            <v>626469035.78410304</v>
          </cell>
          <cell r="K2023">
            <v>626469035.78410304</v>
          </cell>
          <cell r="L2023">
            <v>650018192.995</v>
          </cell>
          <cell r="M2023">
            <v>253472669.19397399</v>
          </cell>
          <cell r="N2023">
            <v>308747402.01741898</v>
          </cell>
          <cell r="O2023">
            <v>363246541.636226</v>
          </cell>
        </row>
        <row r="2024">
          <cell r="A2024" t="str">
            <v>Hong KongANI YTD incl Asia - 5 pt</v>
          </cell>
          <cell r="B2024">
            <v>532726430.97000003</v>
          </cell>
          <cell r="C2024">
            <v>572553651.79999995</v>
          </cell>
          <cell r="D2024">
            <v>590692844.69000006</v>
          </cell>
          <cell r="E2024">
            <v>601686181</v>
          </cell>
          <cell r="F2024">
            <v>601686181</v>
          </cell>
          <cell r="G2024">
            <v>335488432.161538</v>
          </cell>
          <cell r="H2024">
            <v>473302490.92222202</v>
          </cell>
          <cell r="I2024">
            <v>562081322.20224404</v>
          </cell>
          <cell r="J2024">
            <v>626366110.877949</v>
          </cell>
          <cell r="K2024">
            <v>626366110.877949</v>
          </cell>
          <cell r="L2024">
            <v>666087379.94500005</v>
          </cell>
          <cell r="M2024">
            <v>268296669.35267401</v>
          </cell>
          <cell r="N2024">
            <v>318529177.141141</v>
          </cell>
          <cell r="O2024">
            <v>367602295.67784399</v>
          </cell>
        </row>
        <row r="2025">
          <cell r="A2025" t="str">
            <v>Hong KongOff Balance Sheet Assets</v>
          </cell>
          <cell r="B2025">
            <v>67446000</v>
          </cell>
          <cell r="C2025">
            <v>61308150</v>
          </cell>
          <cell r="D2025">
            <v>57702214.189999998</v>
          </cell>
          <cell r="E2025">
            <v>54683433</v>
          </cell>
          <cell r="F2025">
            <v>54683433</v>
          </cell>
          <cell r="G2025">
            <v>49540599</v>
          </cell>
          <cell r="H2025">
            <v>46746264</v>
          </cell>
          <cell r="I2025">
            <v>44109543</v>
          </cell>
          <cell r="J2025">
            <v>44109543</v>
          </cell>
          <cell r="K2025">
            <v>44109543</v>
          </cell>
          <cell r="L2025">
            <v>53102000</v>
          </cell>
          <cell r="M2025">
            <v>0</v>
          </cell>
          <cell r="N2025">
            <v>0</v>
          </cell>
          <cell r="O2025">
            <v>0</v>
          </cell>
        </row>
        <row r="2026">
          <cell r="A2026" t="str">
            <v>Hong KongJV Receivables</v>
          </cell>
          <cell r="B2026">
            <v>0</v>
          </cell>
          <cell r="C2026">
            <v>0</v>
          </cell>
          <cell r="D2026">
            <v>0</v>
          </cell>
          <cell r="E2026">
            <v>0</v>
          </cell>
          <cell r="F2026">
            <v>0</v>
          </cell>
          <cell r="G2026">
            <v>0</v>
          </cell>
          <cell r="H2026">
            <v>0</v>
          </cell>
          <cell r="I2026">
            <v>0</v>
          </cell>
          <cell r="J2026">
            <v>0</v>
          </cell>
          <cell r="K2026">
            <v>0</v>
          </cell>
          <cell r="L2026">
            <v>0</v>
          </cell>
          <cell r="M2026">
            <v>0</v>
          </cell>
          <cell r="N2026">
            <v>0</v>
          </cell>
          <cell r="O2026">
            <v>0</v>
          </cell>
        </row>
        <row r="2027">
          <cell r="A2027" t="str">
            <v>Hong Kong30+ DELINQUENCY $</v>
          </cell>
          <cell r="B2027">
            <v>9594257</v>
          </cell>
          <cell r="C2027">
            <v>9953453</v>
          </cell>
          <cell r="D2027">
            <v>7571000</v>
          </cell>
          <cell r="E2027">
            <v>11461965</v>
          </cell>
          <cell r="F2027">
            <v>11461965</v>
          </cell>
          <cell r="G2027">
            <v>9869276</v>
          </cell>
          <cell r="H2027">
            <v>10571699</v>
          </cell>
          <cell r="I2027">
            <v>11965670</v>
          </cell>
          <cell r="J2027">
            <v>12243971</v>
          </cell>
          <cell r="K2027">
            <v>12243971</v>
          </cell>
          <cell r="L2027">
            <v>15352000</v>
          </cell>
          <cell r="M2027">
            <v>0</v>
          </cell>
          <cell r="N2027">
            <v>0</v>
          </cell>
          <cell r="O2027">
            <v>0</v>
          </cell>
        </row>
        <row r="2028">
          <cell r="A2028" t="str">
            <v>Hong Kong90+ DELINQUENCY $</v>
          </cell>
          <cell r="B2028">
            <v>2458940</v>
          </cell>
          <cell r="C2028">
            <v>3853896</v>
          </cell>
          <cell r="D2028">
            <v>2283000</v>
          </cell>
          <cell r="E2028">
            <v>2933962</v>
          </cell>
          <cell r="F2028">
            <v>2933962</v>
          </cell>
          <cell r="G2028">
            <v>3396876</v>
          </cell>
          <cell r="H2028">
            <v>3277134</v>
          </cell>
          <cell r="I2028">
            <v>3663434</v>
          </cell>
          <cell r="J2028">
            <v>3715144</v>
          </cell>
          <cell r="K2028">
            <v>3715144</v>
          </cell>
          <cell r="L2028">
            <v>3974000</v>
          </cell>
          <cell r="M2028">
            <v>0</v>
          </cell>
          <cell r="N2028">
            <v>0</v>
          </cell>
          <cell r="O2028">
            <v>0</v>
          </cell>
        </row>
        <row r="2029">
          <cell r="A2029" t="str">
            <v>Hong KongTemporary Staff</v>
          </cell>
          <cell r="B2029">
            <v>0</v>
          </cell>
          <cell r="C2029">
            <v>0</v>
          </cell>
          <cell r="D2029">
            <v>0</v>
          </cell>
          <cell r="E2029">
            <v>0</v>
          </cell>
          <cell r="F2029">
            <v>0</v>
          </cell>
          <cell r="G2029">
            <v>0</v>
          </cell>
          <cell r="H2029">
            <v>0</v>
          </cell>
          <cell r="I2029">
            <v>0</v>
          </cell>
          <cell r="J2029">
            <v>0</v>
          </cell>
          <cell r="K2029">
            <v>0</v>
          </cell>
          <cell r="L2029">
            <v>16.399999999999999</v>
          </cell>
          <cell r="M2029">
            <v>0</v>
          </cell>
          <cell r="N2029">
            <v>0</v>
          </cell>
          <cell r="O2029">
            <v>0</v>
          </cell>
        </row>
        <row r="2030">
          <cell r="A2030" t="str">
            <v>Hong KongContractors</v>
          </cell>
          <cell r="B2030">
            <v>6</v>
          </cell>
          <cell r="C2030">
            <v>6</v>
          </cell>
          <cell r="D2030">
            <v>6</v>
          </cell>
          <cell r="E2030">
            <v>6</v>
          </cell>
          <cell r="F2030">
            <v>6</v>
          </cell>
          <cell r="G2030">
            <v>6</v>
          </cell>
          <cell r="H2030">
            <v>6</v>
          </cell>
          <cell r="I2030">
            <v>6</v>
          </cell>
          <cell r="J2030">
            <v>6</v>
          </cell>
          <cell r="K2030">
            <v>6</v>
          </cell>
          <cell r="L2030">
            <v>4.0999999999999996</v>
          </cell>
          <cell r="M2030">
            <v>2</v>
          </cell>
          <cell r="N2030">
            <v>2</v>
          </cell>
          <cell r="O2030">
            <v>2</v>
          </cell>
        </row>
        <row r="2031">
          <cell r="A2031" t="str">
            <v>Hong KongOutsourced to LCC</v>
          </cell>
          <cell r="B2031">
            <v>0</v>
          </cell>
          <cell r="C2031">
            <v>0</v>
          </cell>
          <cell r="D2031">
            <v>0</v>
          </cell>
          <cell r="E2031">
            <v>0</v>
          </cell>
          <cell r="F2031">
            <v>0</v>
          </cell>
          <cell r="G2031">
            <v>0</v>
          </cell>
          <cell r="H2031">
            <v>0</v>
          </cell>
          <cell r="I2031">
            <v>0</v>
          </cell>
          <cell r="J2031">
            <v>0</v>
          </cell>
          <cell r="K2031">
            <v>0</v>
          </cell>
          <cell r="L2031">
            <v>4</v>
          </cell>
          <cell r="M2031">
            <v>4</v>
          </cell>
          <cell r="N2031">
            <v>4</v>
          </cell>
          <cell r="O2031">
            <v>4</v>
          </cell>
        </row>
        <row r="2032">
          <cell r="A2032" t="str">
            <v>Hong KongTotal Headcount</v>
          </cell>
          <cell r="B2032">
            <v>153.38509999999999</v>
          </cell>
          <cell r="C2032">
            <v>160.19425000000001</v>
          </cell>
          <cell r="D2032">
            <v>178.81524999999999</v>
          </cell>
          <cell r="E2032">
            <v>173.85</v>
          </cell>
          <cell r="F2032">
            <v>173.85</v>
          </cell>
          <cell r="G2032">
            <v>175</v>
          </cell>
          <cell r="H2032">
            <v>175</v>
          </cell>
          <cell r="I2032">
            <v>173</v>
          </cell>
          <cell r="J2032">
            <v>173</v>
          </cell>
          <cell r="K2032">
            <v>173</v>
          </cell>
          <cell r="L2032">
            <v>164.8</v>
          </cell>
          <cell r="M2032">
            <v>223.613225</v>
          </cell>
          <cell r="N2032">
            <v>247.56367900000001</v>
          </cell>
          <cell r="O2032">
            <v>276.38539600000001</v>
          </cell>
        </row>
        <row r="2033">
          <cell r="A2033" t="str">
            <v>Hong KongTotal Workforce</v>
          </cell>
          <cell r="B2033">
            <v>159.38509999999999</v>
          </cell>
          <cell r="C2033">
            <v>166.19425000000001</v>
          </cell>
          <cell r="D2033">
            <v>184.81524999999999</v>
          </cell>
          <cell r="E2033">
            <v>179.85</v>
          </cell>
          <cell r="F2033">
            <v>179.85</v>
          </cell>
          <cell r="G2033">
            <v>181</v>
          </cell>
          <cell r="H2033">
            <v>181</v>
          </cell>
          <cell r="I2033">
            <v>179</v>
          </cell>
          <cell r="J2033">
            <v>179</v>
          </cell>
          <cell r="K2033">
            <v>179</v>
          </cell>
          <cell r="L2033">
            <v>189.3</v>
          </cell>
          <cell r="M2033">
            <v>229.613225</v>
          </cell>
          <cell r="N2033">
            <v>253.56367900000001</v>
          </cell>
          <cell r="O2033">
            <v>282.38539600000001</v>
          </cell>
        </row>
        <row r="2034">
          <cell r="A2034" t="str">
            <v>Hong KongTotal Earned Revenue</v>
          </cell>
          <cell r="B2034">
            <v>-11561133.880000001</v>
          </cell>
          <cell r="C2034">
            <v>-11015578.460000001</v>
          </cell>
          <cell r="D2034">
            <v>-10991056.460000001</v>
          </cell>
          <cell r="E2034">
            <v>-11932526.539999999</v>
          </cell>
          <cell r="F2034">
            <v>-45500295.340000004</v>
          </cell>
          <cell r="G2034">
            <v>-12184134.302564001</v>
          </cell>
          <cell r="H2034">
            <v>-14468848.569231</v>
          </cell>
          <cell r="I2034">
            <v>-17096276.111538</v>
          </cell>
          <cell r="J2034">
            <v>-19052645.525641002</v>
          </cell>
          <cell r="K2034">
            <v>-62801904.508974001</v>
          </cell>
          <cell r="L2034">
            <v>-9499703.4700000007</v>
          </cell>
          <cell r="M2034">
            <v>-70905537.344598994</v>
          </cell>
          <cell r="N2034">
            <v>-105718547.315982</v>
          </cell>
          <cell r="O2034">
            <v>-137295537.32883599</v>
          </cell>
        </row>
        <row r="2035">
          <cell r="A2035" t="str">
            <v>Hong KongOrdinary Gains - PreTax</v>
          </cell>
          <cell r="B2035">
            <v>0</v>
          </cell>
          <cell r="C2035">
            <v>0</v>
          </cell>
          <cell r="D2035">
            <v>0</v>
          </cell>
          <cell r="E2035">
            <v>0</v>
          </cell>
          <cell r="F2035">
            <v>0</v>
          </cell>
          <cell r="G2035">
            <v>0</v>
          </cell>
          <cell r="H2035">
            <v>0</v>
          </cell>
          <cell r="I2035">
            <v>0</v>
          </cell>
          <cell r="J2035">
            <v>0</v>
          </cell>
          <cell r="K2035">
            <v>0</v>
          </cell>
          <cell r="L2035">
            <v>0</v>
          </cell>
          <cell r="M2035">
            <v>0</v>
          </cell>
          <cell r="N2035">
            <v>0</v>
          </cell>
          <cell r="O2035">
            <v>0</v>
          </cell>
        </row>
        <row r="2036">
          <cell r="A2036" t="str">
            <v>Hong KongOrdinary Gains - AfterTax</v>
          </cell>
          <cell r="B2036">
            <v>0</v>
          </cell>
          <cell r="C2036">
            <v>0</v>
          </cell>
          <cell r="D2036">
            <v>0</v>
          </cell>
          <cell r="E2036">
            <v>0</v>
          </cell>
          <cell r="F2036">
            <v>0</v>
          </cell>
          <cell r="G2036">
            <v>0</v>
          </cell>
          <cell r="H2036">
            <v>0</v>
          </cell>
          <cell r="I2036">
            <v>0</v>
          </cell>
          <cell r="J2036">
            <v>0</v>
          </cell>
          <cell r="K2036">
            <v>0</v>
          </cell>
          <cell r="L2036">
            <v>0</v>
          </cell>
          <cell r="M2036">
            <v>0</v>
          </cell>
          <cell r="N2036">
            <v>0</v>
          </cell>
          <cell r="O2036">
            <v>0</v>
          </cell>
        </row>
        <row r="2037">
          <cell r="A2037" t="str">
            <v>Hong KongTotal Volume</v>
          </cell>
          <cell r="B2037">
            <v>95284000</v>
          </cell>
          <cell r="C2037">
            <v>115917000</v>
          </cell>
          <cell r="D2037">
            <v>97211000</v>
          </cell>
          <cell r="E2037">
            <v>97306210</v>
          </cell>
          <cell r="F2037">
            <v>405718210</v>
          </cell>
          <cell r="G2037">
            <v>117021479.54871801</v>
          </cell>
          <cell r="H2037">
            <v>151164102.87564</v>
          </cell>
          <cell r="I2037">
            <v>156585715.816668</v>
          </cell>
          <cell r="J2037">
            <v>132742556.00769199</v>
          </cell>
          <cell r="K2037">
            <v>557513854.24871802</v>
          </cell>
          <cell r="L2037">
            <v>111706120</v>
          </cell>
          <cell r="M2037">
            <v>397603187.44800001</v>
          </cell>
          <cell r="N2037">
            <v>487913184.84384</v>
          </cell>
          <cell r="O2037">
            <v>545805762.73489106</v>
          </cell>
        </row>
        <row r="2038">
          <cell r="A2038" t="str">
            <v>Hong KongTOTAL # ACTIVE ACCOUNTS</v>
          </cell>
          <cell r="B2038">
            <v>13662</v>
          </cell>
          <cell r="C2038">
            <v>16065</v>
          </cell>
          <cell r="D2038">
            <v>19023</v>
          </cell>
          <cell r="E2038">
            <v>20459</v>
          </cell>
          <cell r="F2038">
            <v>20459</v>
          </cell>
          <cell r="G2038">
            <v>22035.376648000001</v>
          </cell>
          <cell r="H2038">
            <v>25636.430665</v>
          </cell>
          <cell r="I2038">
            <v>29716.021554999999</v>
          </cell>
          <cell r="J2038">
            <v>30422.534391000001</v>
          </cell>
          <cell r="K2038">
            <v>30422.534391000001</v>
          </cell>
          <cell r="L2038">
            <v>0</v>
          </cell>
          <cell r="M2038">
            <v>31219.674862</v>
          </cell>
          <cell r="N2038">
            <v>46746.90019</v>
          </cell>
          <cell r="O2038">
            <v>59271.995854000001</v>
          </cell>
        </row>
        <row r="2039">
          <cell r="A2039" t="str">
            <v>Housing BankTOTAL FINANCING RECEIVABLES</v>
          </cell>
          <cell r="B2039">
            <v>142120566.58000001</v>
          </cell>
          <cell r="C2039">
            <v>166610934.30000001</v>
          </cell>
          <cell r="D2039">
            <v>207755722.36000001</v>
          </cell>
          <cell r="E2039">
            <v>266873181.83000001</v>
          </cell>
          <cell r="F2039">
            <v>266873181.83000001</v>
          </cell>
          <cell r="G2039">
            <v>291276664</v>
          </cell>
          <cell r="H2039">
            <v>333574573</v>
          </cell>
          <cell r="I2039">
            <v>381758838</v>
          </cell>
          <cell r="J2039">
            <v>442123503</v>
          </cell>
          <cell r="K2039">
            <v>442123503</v>
          </cell>
          <cell r="L2039">
            <v>293015228.37</v>
          </cell>
          <cell r="M2039">
            <v>534671000</v>
          </cell>
          <cell r="N2039">
            <v>907485000</v>
          </cell>
          <cell r="O2039">
            <v>1326358000</v>
          </cell>
        </row>
        <row r="2040">
          <cell r="A2040" t="str">
            <v>Housing BankRECEIVABLE RESERVES</v>
          </cell>
          <cell r="B2040">
            <v>-4693569.57</v>
          </cell>
          <cell r="C2040">
            <v>-5471929.3499999996</v>
          </cell>
          <cell r="D2040">
            <v>-3987155.1</v>
          </cell>
          <cell r="E2040">
            <v>-5152370.32</v>
          </cell>
          <cell r="F2040">
            <v>-5152370.32</v>
          </cell>
          <cell r="G2040">
            <v>-5512165.5592769999</v>
          </cell>
          <cell r="H2040">
            <v>-6112516.0746139996</v>
          </cell>
          <cell r="I2040">
            <v>-6797890.3244190002</v>
          </cell>
          <cell r="J2040">
            <v>-7640869.5454350002</v>
          </cell>
          <cell r="K2040">
            <v>-7640869.5454350002</v>
          </cell>
          <cell r="L2040">
            <v>-5082485.29</v>
          </cell>
          <cell r="M2040">
            <v>-9624083.7942699995</v>
          </cell>
          <cell r="N2040">
            <v>-16334729.742562</v>
          </cell>
          <cell r="O2040">
            <v>-23874440.466568999</v>
          </cell>
        </row>
        <row r="2041">
          <cell r="A2041" t="str">
            <v>Housing BankCASH</v>
          </cell>
          <cell r="B2041">
            <v>-421682.54</v>
          </cell>
          <cell r="C2041">
            <v>-378228.69</v>
          </cell>
          <cell r="D2041">
            <v>16032017.199999999</v>
          </cell>
          <cell r="E2041">
            <v>13410889.07</v>
          </cell>
          <cell r="F2041">
            <v>13410889.07</v>
          </cell>
          <cell r="G2041">
            <v>30000</v>
          </cell>
          <cell r="H2041">
            <v>30000</v>
          </cell>
          <cell r="I2041">
            <v>30000</v>
          </cell>
          <cell r="J2041">
            <v>30000</v>
          </cell>
          <cell r="K2041">
            <v>30000</v>
          </cell>
          <cell r="L2041">
            <v>-975383.61</v>
          </cell>
          <cell r="M2041">
            <v>62180403.977626003</v>
          </cell>
          <cell r="N2041">
            <v>77096500.932255998</v>
          </cell>
          <cell r="O2041">
            <v>96984630.205096006</v>
          </cell>
        </row>
        <row r="2042">
          <cell r="A2042" t="str">
            <v>Housing BankINVESTMENT SECURITIES</v>
          </cell>
          <cell r="B2042">
            <v>2185.35</v>
          </cell>
          <cell r="C2042">
            <v>2367.27</v>
          </cell>
          <cell r="D2042">
            <v>2286.15</v>
          </cell>
          <cell r="E2042">
            <v>4527.12</v>
          </cell>
          <cell r="F2042">
            <v>4527.12</v>
          </cell>
          <cell r="G2042">
            <v>5000</v>
          </cell>
          <cell r="H2042">
            <v>5000</v>
          </cell>
          <cell r="I2042">
            <v>5000</v>
          </cell>
          <cell r="J2042">
            <v>5000</v>
          </cell>
          <cell r="K2042">
            <v>5000</v>
          </cell>
          <cell r="L2042">
            <v>4531.57</v>
          </cell>
          <cell r="M2042">
            <v>2000</v>
          </cell>
          <cell r="N2042">
            <v>2000</v>
          </cell>
          <cell r="O2042">
            <v>2000</v>
          </cell>
        </row>
        <row r="2043">
          <cell r="A2043" t="str">
            <v>Housing BankINV IN NON CONSOL AFFILIATES</v>
          </cell>
          <cell r="B2043">
            <v>0</v>
          </cell>
          <cell r="C2043">
            <v>0</v>
          </cell>
          <cell r="D2043">
            <v>0</v>
          </cell>
          <cell r="E2043">
            <v>0</v>
          </cell>
          <cell r="F2043">
            <v>0</v>
          </cell>
          <cell r="G2043">
            <v>0</v>
          </cell>
          <cell r="H2043">
            <v>0</v>
          </cell>
          <cell r="I2043">
            <v>0</v>
          </cell>
          <cell r="J2043">
            <v>0</v>
          </cell>
          <cell r="K2043">
            <v>0</v>
          </cell>
          <cell r="L2043">
            <v>0</v>
          </cell>
          <cell r="M2043">
            <v>0</v>
          </cell>
          <cell r="N2043">
            <v>0</v>
          </cell>
          <cell r="O2043">
            <v>0</v>
          </cell>
        </row>
        <row r="2044">
          <cell r="A2044" t="str">
            <v>Housing BankINVESTMENT IN JOINT VENTURE</v>
          </cell>
          <cell r="B2044">
            <v>0</v>
          </cell>
          <cell r="C2044">
            <v>0</v>
          </cell>
          <cell r="D2044">
            <v>0</v>
          </cell>
          <cell r="E2044">
            <v>0</v>
          </cell>
          <cell r="F2044">
            <v>0</v>
          </cell>
          <cell r="G2044">
            <v>0</v>
          </cell>
          <cell r="H2044">
            <v>0</v>
          </cell>
          <cell r="I2044">
            <v>0</v>
          </cell>
          <cell r="J2044">
            <v>0</v>
          </cell>
          <cell r="K2044">
            <v>0</v>
          </cell>
          <cell r="L2044">
            <v>0</v>
          </cell>
          <cell r="M2044">
            <v>0</v>
          </cell>
          <cell r="N2044">
            <v>0</v>
          </cell>
          <cell r="O2044">
            <v>0</v>
          </cell>
        </row>
        <row r="2045">
          <cell r="A2045" t="str">
            <v>Housing BankALL OTHER RECEIVABLES (NON-FINANCING)</v>
          </cell>
          <cell r="B2045">
            <v>108350.3</v>
          </cell>
          <cell r="C2045">
            <v>141135.21</v>
          </cell>
          <cell r="D2045">
            <v>18976.41</v>
          </cell>
          <cell r="E2045">
            <v>60870.62</v>
          </cell>
          <cell r="F2045">
            <v>60870.62</v>
          </cell>
          <cell r="G2045">
            <v>300000</v>
          </cell>
          <cell r="H2045">
            <v>300000</v>
          </cell>
          <cell r="I2045">
            <v>300000</v>
          </cell>
          <cell r="J2045">
            <v>300000</v>
          </cell>
          <cell r="K2045">
            <v>300000</v>
          </cell>
          <cell r="L2045">
            <v>141327.82999999999</v>
          </cell>
          <cell r="M2045">
            <v>300000</v>
          </cell>
          <cell r="N2045">
            <v>300000</v>
          </cell>
          <cell r="O2045">
            <v>300000</v>
          </cell>
        </row>
        <row r="2046">
          <cell r="A2046" t="str">
            <v>Housing BankELTO (NET)</v>
          </cell>
          <cell r="B2046">
            <v>0</v>
          </cell>
          <cell r="C2046">
            <v>0</v>
          </cell>
          <cell r="D2046">
            <v>0</v>
          </cell>
          <cell r="E2046">
            <v>0</v>
          </cell>
          <cell r="F2046">
            <v>0</v>
          </cell>
          <cell r="G2046">
            <v>0</v>
          </cell>
          <cell r="H2046">
            <v>0</v>
          </cell>
          <cell r="I2046">
            <v>0</v>
          </cell>
          <cell r="J2046">
            <v>0</v>
          </cell>
          <cell r="K2046">
            <v>0</v>
          </cell>
          <cell r="L2046">
            <v>0</v>
          </cell>
          <cell r="M2046">
            <v>0</v>
          </cell>
          <cell r="N2046">
            <v>0</v>
          </cell>
          <cell r="O2046">
            <v>0</v>
          </cell>
        </row>
        <row r="2047">
          <cell r="A2047" t="str">
            <v>Housing BankGOODWILL</v>
          </cell>
          <cell r="B2047">
            <v>12232472.42</v>
          </cell>
          <cell r="C2047">
            <v>10720408</v>
          </cell>
          <cell r="D2047">
            <v>9812201.5500000007</v>
          </cell>
          <cell r="E2047">
            <v>10209452.07</v>
          </cell>
          <cell r="F2047">
            <v>10209452.07</v>
          </cell>
          <cell r="G2047">
            <v>10168819.402984999</v>
          </cell>
          <cell r="H2047">
            <v>10168819.402984999</v>
          </cell>
          <cell r="I2047">
            <v>10168819.402984999</v>
          </cell>
          <cell r="J2047">
            <v>10168819.402984999</v>
          </cell>
          <cell r="K2047">
            <v>10168819.402984999</v>
          </cell>
          <cell r="L2047">
            <v>9947354.4800000004</v>
          </cell>
          <cell r="M2047">
            <v>11020930</v>
          </cell>
          <cell r="N2047">
            <v>10328890</v>
          </cell>
          <cell r="O2047">
            <v>9636850</v>
          </cell>
        </row>
        <row r="2048">
          <cell r="A2048" t="str">
            <v>Housing BankOTHER ASSETS</v>
          </cell>
          <cell r="B2048">
            <v>2152594.4500000002</v>
          </cell>
          <cell r="C2048">
            <v>2949066.14</v>
          </cell>
          <cell r="D2048">
            <v>2873958.86</v>
          </cell>
          <cell r="E2048">
            <v>2906845.74</v>
          </cell>
          <cell r="F2048">
            <v>2906845.74</v>
          </cell>
          <cell r="G2048">
            <v>1472694.5895519999</v>
          </cell>
          <cell r="H2048">
            <v>1664162.7487560001</v>
          </cell>
          <cell r="I2048">
            <v>1686346.0613599999</v>
          </cell>
          <cell r="J2048">
            <v>2343876.2023220002</v>
          </cell>
          <cell r="K2048">
            <v>2343876.2023220002</v>
          </cell>
          <cell r="L2048">
            <v>3126690.09</v>
          </cell>
          <cell r="M2048">
            <v>35814633.333333001</v>
          </cell>
          <cell r="N2048">
            <v>46459633.333333001</v>
          </cell>
          <cell r="O2048">
            <v>1788633.3333330001</v>
          </cell>
        </row>
        <row r="2049">
          <cell r="A2049" t="str">
            <v>Housing BankACCOUNTS PAYABLE</v>
          </cell>
          <cell r="B2049">
            <v>699167.7</v>
          </cell>
          <cell r="C2049">
            <v>1073613.8700000001</v>
          </cell>
          <cell r="D2049">
            <v>1365900.15</v>
          </cell>
          <cell r="E2049">
            <v>1352145.9</v>
          </cell>
          <cell r="F2049">
            <v>1352145.9</v>
          </cell>
          <cell r="G2049">
            <v>0</v>
          </cell>
          <cell r="H2049">
            <v>0</v>
          </cell>
          <cell r="I2049">
            <v>0</v>
          </cell>
          <cell r="J2049">
            <v>0</v>
          </cell>
          <cell r="K2049">
            <v>0</v>
          </cell>
          <cell r="L2049">
            <v>569334.43999999994</v>
          </cell>
          <cell r="M2049">
            <v>0</v>
          </cell>
          <cell r="N2049">
            <v>0</v>
          </cell>
          <cell r="O2049">
            <v>0</v>
          </cell>
        </row>
        <row r="2050">
          <cell r="A2050" t="str">
            <v>Housing BankDEFERRED INCOME TAXES</v>
          </cell>
          <cell r="B2050">
            <v>582241.91</v>
          </cell>
          <cell r="C2050">
            <v>1324498.8799999999</v>
          </cell>
          <cell r="D2050">
            <v>1055724.33</v>
          </cell>
          <cell r="E2050">
            <v>1612874.38</v>
          </cell>
          <cell r="F2050">
            <v>1612874.38</v>
          </cell>
          <cell r="G2050">
            <v>0</v>
          </cell>
          <cell r="H2050">
            <v>0</v>
          </cell>
          <cell r="I2050">
            <v>0</v>
          </cell>
          <cell r="J2050">
            <v>0</v>
          </cell>
          <cell r="K2050">
            <v>0</v>
          </cell>
          <cell r="L2050">
            <v>1763430.75</v>
          </cell>
          <cell r="M2050">
            <v>0</v>
          </cell>
          <cell r="N2050">
            <v>0</v>
          </cell>
          <cell r="O2050">
            <v>0</v>
          </cell>
        </row>
        <row r="2051">
          <cell r="A2051" t="str">
            <v>Housing BankWRITE-OFF (MEMO)</v>
          </cell>
          <cell r="B2051">
            <v>17582.080000000002</v>
          </cell>
          <cell r="C2051">
            <v>545772.5</v>
          </cell>
          <cell r="D2051">
            <v>545772.5</v>
          </cell>
          <cell r="E2051">
            <v>178776.46</v>
          </cell>
          <cell r="F2051">
            <v>178776.46</v>
          </cell>
          <cell r="G2051">
            <v>96366.188250000007</v>
          </cell>
          <cell r="H2051">
            <v>402615.11249500001</v>
          </cell>
          <cell r="I2051">
            <v>395437.231134</v>
          </cell>
          <cell r="J2051">
            <v>460263.76500700001</v>
          </cell>
          <cell r="K2051">
            <v>460263.76500700001</v>
          </cell>
          <cell r="L2051">
            <v>35152.53</v>
          </cell>
          <cell r="M2051">
            <v>0</v>
          </cell>
          <cell r="N2051">
            <v>0</v>
          </cell>
          <cell r="O2051">
            <v>0</v>
          </cell>
        </row>
        <row r="2052">
          <cell r="A2052" t="str">
            <v>Housing BankINSURANCE RESERVES AND ANNUITY BENEFITS</v>
          </cell>
          <cell r="B2052">
            <v>0</v>
          </cell>
          <cell r="C2052">
            <v>0</v>
          </cell>
          <cell r="D2052">
            <v>0</v>
          </cell>
          <cell r="E2052">
            <v>0</v>
          </cell>
          <cell r="F2052">
            <v>0</v>
          </cell>
          <cell r="G2052">
            <v>0</v>
          </cell>
          <cell r="H2052">
            <v>0</v>
          </cell>
          <cell r="I2052">
            <v>0</v>
          </cell>
          <cell r="J2052">
            <v>0</v>
          </cell>
          <cell r="K2052">
            <v>0</v>
          </cell>
          <cell r="L2052">
            <v>0</v>
          </cell>
          <cell r="M2052">
            <v>0</v>
          </cell>
          <cell r="N2052">
            <v>0</v>
          </cell>
          <cell r="O2052">
            <v>0</v>
          </cell>
        </row>
        <row r="2053">
          <cell r="A2053" t="str">
            <v>Housing BankALL OTHER NON DEBT LIABILITIES</v>
          </cell>
          <cell r="B2053">
            <v>-617486.30000000005</v>
          </cell>
          <cell r="C2053">
            <v>435814.1</v>
          </cell>
          <cell r="D2053">
            <v>1980660.83</v>
          </cell>
          <cell r="E2053">
            <v>-735934.38</v>
          </cell>
          <cell r="F2053">
            <v>-735934.38</v>
          </cell>
          <cell r="G2053">
            <v>-1200000</v>
          </cell>
          <cell r="H2053">
            <v>-1200000</v>
          </cell>
          <cell r="I2053">
            <v>-1200000</v>
          </cell>
          <cell r="J2053">
            <v>-1200000</v>
          </cell>
          <cell r="K2053">
            <v>-1200000</v>
          </cell>
          <cell r="L2053">
            <v>-386155.84</v>
          </cell>
          <cell r="M2053">
            <v>1200000</v>
          </cell>
          <cell r="N2053">
            <v>1200000</v>
          </cell>
          <cell r="O2053">
            <v>1200000</v>
          </cell>
        </row>
        <row r="2054">
          <cell r="A2054" t="str">
            <v>Housing BankMINORITY INTEREST (BS)</v>
          </cell>
          <cell r="B2054">
            <v>0</v>
          </cell>
          <cell r="C2054">
            <v>0</v>
          </cell>
          <cell r="D2054">
            <v>0</v>
          </cell>
          <cell r="E2054">
            <v>0</v>
          </cell>
          <cell r="F2054">
            <v>0</v>
          </cell>
          <cell r="G2054">
            <v>0</v>
          </cell>
          <cell r="H2054">
            <v>0</v>
          </cell>
          <cell r="I2054">
            <v>0</v>
          </cell>
          <cell r="J2054">
            <v>0</v>
          </cell>
          <cell r="K2054">
            <v>0</v>
          </cell>
          <cell r="L2054">
            <v>0</v>
          </cell>
          <cell r="M2054">
            <v>0</v>
          </cell>
          <cell r="N2054">
            <v>0</v>
          </cell>
          <cell r="O2054">
            <v>0</v>
          </cell>
        </row>
        <row r="2055">
          <cell r="A2055" t="str">
            <v>Housing BankASIA PACIFIC ENI DIVIDEND</v>
          </cell>
          <cell r="B2055">
            <v>0</v>
          </cell>
          <cell r="C2055">
            <v>0</v>
          </cell>
          <cell r="D2055">
            <v>0</v>
          </cell>
          <cell r="E2055">
            <v>0</v>
          </cell>
          <cell r="F2055">
            <v>0</v>
          </cell>
          <cell r="G2055">
            <v>0</v>
          </cell>
          <cell r="H2055">
            <v>0</v>
          </cell>
          <cell r="I2055">
            <v>0</v>
          </cell>
          <cell r="J2055">
            <v>0</v>
          </cell>
          <cell r="K2055">
            <v>0</v>
          </cell>
          <cell r="L2055">
            <v>0</v>
          </cell>
          <cell r="M2055">
            <v>0</v>
          </cell>
          <cell r="N2055">
            <v>0</v>
          </cell>
          <cell r="O2055">
            <v>0</v>
          </cell>
        </row>
        <row r="2056">
          <cell r="A2056" t="str">
            <v>Housing BankFINANCING INCOME</v>
          </cell>
          <cell r="B2056">
            <v>-3833207.23</v>
          </cell>
          <cell r="C2056">
            <v>-4361484.91</v>
          </cell>
          <cell r="D2056">
            <v>-4845766.2</v>
          </cell>
          <cell r="E2056">
            <v>-7806669.4800000004</v>
          </cell>
          <cell r="F2056">
            <v>-20847127.82</v>
          </cell>
          <cell r="G2056">
            <v>-6129820</v>
          </cell>
          <cell r="H2056">
            <v>-6923706</v>
          </cell>
          <cell r="I2056">
            <v>-8111812</v>
          </cell>
          <cell r="J2056">
            <v>-9548421</v>
          </cell>
          <cell r="K2056">
            <v>-30713759</v>
          </cell>
          <cell r="L2056">
            <v>-5753631.5499999998</v>
          </cell>
          <cell r="M2056">
            <v>-46498000</v>
          </cell>
          <cell r="N2056">
            <v>-78598000</v>
          </cell>
          <cell r="O2056">
            <v>-112841000</v>
          </cell>
        </row>
        <row r="2057">
          <cell r="A2057" t="str">
            <v>Housing BankINSURANCE PREMIUM INCOME</v>
          </cell>
          <cell r="B2057">
            <v>0</v>
          </cell>
          <cell r="C2057">
            <v>0</v>
          </cell>
          <cell r="D2057">
            <v>0</v>
          </cell>
          <cell r="E2057">
            <v>0</v>
          </cell>
          <cell r="F2057">
            <v>0</v>
          </cell>
          <cell r="G2057">
            <v>0</v>
          </cell>
          <cell r="H2057">
            <v>0</v>
          </cell>
          <cell r="I2057">
            <v>0</v>
          </cell>
          <cell r="J2057">
            <v>0</v>
          </cell>
          <cell r="K2057">
            <v>0</v>
          </cell>
          <cell r="L2057">
            <v>0</v>
          </cell>
          <cell r="M2057">
            <v>0</v>
          </cell>
          <cell r="N2057">
            <v>0</v>
          </cell>
          <cell r="O2057">
            <v>0</v>
          </cell>
        </row>
        <row r="2058">
          <cell r="A2058" t="str">
            <v>Housing BankINSURANCE INCOME (COMMISSIONS)</v>
          </cell>
          <cell r="B2058">
            <v>-89.06</v>
          </cell>
          <cell r="C2058">
            <v>-93.49</v>
          </cell>
          <cell r="D2058">
            <v>-88.29</v>
          </cell>
          <cell r="E2058">
            <v>-96.08</v>
          </cell>
          <cell r="F2058">
            <v>-366.92</v>
          </cell>
          <cell r="G2058">
            <v>0</v>
          </cell>
          <cell r="H2058">
            <v>0</v>
          </cell>
          <cell r="I2058">
            <v>0</v>
          </cell>
          <cell r="J2058">
            <v>0</v>
          </cell>
          <cell r="K2058">
            <v>0</v>
          </cell>
          <cell r="L2058">
            <v>-119.02</v>
          </cell>
          <cell r="M2058">
            <v>0</v>
          </cell>
          <cell r="N2058">
            <v>0</v>
          </cell>
          <cell r="O2058">
            <v>0</v>
          </cell>
        </row>
        <row r="2059">
          <cell r="A2059" t="str">
            <v>Housing BankSUNDRY INCOME</v>
          </cell>
          <cell r="B2059">
            <v>156299.67000000001</v>
          </cell>
          <cell r="C2059">
            <v>-116944.27</v>
          </cell>
          <cell r="D2059">
            <v>62501.14</v>
          </cell>
          <cell r="E2059">
            <v>-792463.7</v>
          </cell>
          <cell r="F2059">
            <v>-690607.16</v>
          </cell>
          <cell r="G2059">
            <v>0</v>
          </cell>
          <cell r="H2059">
            <v>0</v>
          </cell>
          <cell r="I2059">
            <v>0</v>
          </cell>
          <cell r="J2059">
            <v>0</v>
          </cell>
          <cell r="K2059">
            <v>0</v>
          </cell>
          <cell r="L2059">
            <v>-343535.55</v>
          </cell>
          <cell r="M2059">
            <v>0</v>
          </cell>
          <cell r="N2059">
            <v>0</v>
          </cell>
          <cell r="O2059">
            <v>0</v>
          </cell>
        </row>
        <row r="2060">
          <cell r="A2060" t="str">
            <v>Housing BankINTEREST EXPENSE</v>
          </cell>
          <cell r="B2060">
            <v>2175113.9500000002</v>
          </cell>
          <cell r="C2060">
            <v>2107681.73</v>
          </cell>
          <cell r="D2060">
            <v>2392830.9500000002</v>
          </cell>
          <cell r="E2060">
            <v>2879514.1</v>
          </cell>
          <cell r="F2060">
            <v>9555140.7300000004</v>
          </cell>
          <cell r="G2060">
            <v>2338214</v>
          </cell>
          <cell r="H2060">
            <v>2813539</v>
          </cell>
          <cell r="I2060">
            <v>3323334</v>
          </cell>
          <cell r="J2060">
            <v>3920057</v>
          </cell>
          <cell r="K2060">
            <v>12395144</v>
          </cell>
          <cell r="L2060">
            <v>2579816.5499999998</v>
          </cell>
          <cell r="M2060">
            <v>28977000</v>
          </cell>
          <cell r="N2060">
            <v>46918000</v>
          </cell>
          <cell r="O2060">
            <v>67120000</v>
          </cell>
        </row>
        <row r="2061">
          <cell r="A2061" t="str">
            <v>Housing BankINTEREST EXPENSE REDUCTIONS / BUS SHARING</v>
          </cell>
          <cell r="B2061">
            <v>-244041.75</v>
          </cell>
          <cell r="C2061">
            <v>-7069.95</v>
          </cell>
          <cell r="D2061">
            <v>-438008.49</v>
          </cell>
          <cell r="E2061">
            <v>-908994.47</v>
          </cell>
          <cell r="F2061">
            <v>-1598114.66</v>
          </cell>
          <cell r="G2061">
            <v>0</v>
          </cell>
          <cell r="H2061">
            <v>0</v>
          </cell>
          <cell r="I2061">
            <v>0</v>
          </cell>
          <cell r="J2061">
            <v>0</v>
          </cell>
          <cell r="K2061">
            <v>0</v>
          </cell>
          <cell r="L2061">
            <v>-51965.120000000003</v>
          </cell>
          <cell r="M2061">
            <v>0</v>
          </cell>
          <cell r="N2061">
            <v>0</v>
          </cell>
          <cell r="O2061">
            <v>0</v>
          </cell>
        </row>
        <row r="2062">
          <cell r="A2062" t="str">
            <v>Housing BankALLOCATED COST OF PREFERRED EQUITY</v>
          </cell>
          <cell r="B2062">
            <v>19576.650000000001</v>
          </cell>
          <cell r="C2062">
            <v>17118.73</v>
          </cell>
          <cell r="D2062">
            <v>17120.64</v>
          </cell>
          <cell r="E2062">
            <v>13382.7</v>
          </cell>
          <cell r="F2062">
            <v>67198.720000000001</v>
          </cell>
          <cell r="G2062">
            <v>0</v>
          </cell>
          <cell r="H2062">
            <v>0</v>
          </cell>
          <cell r="I2062">
            <v>0</v>
          </cell>
          <cell r="J2062">
            <v>0</v>
          </cell>
          <cell r="K2062">
            <v>0</v>
          </cell>
          <cell r="L2062">
            <v>17386.59</v>
          </cell>
          <cell r="M2062">
            <v>0</v>
          </cell>
          <cell r="N2062">
            <v>0</v>
          </cell>
          <cell r="O2062">
            <v>0</v>
          </cell>
        </row>
        <row r="2063">
          <cell r="A2063" t="str">
            <v>Housing BankSALARIES &amp; BENEFITS</v>
          </cell>
          <cell r="B2063">
            <v>1508053</v>
          </cell>
          <cell r="C2063">
            <v>1033003.33</v>
          </cell>
          <cell r="D2063">
            <v>967545.81</v>
          </cell>
          <cell r="E2063">
            <v>2544067.0699999998</v>
          </cell>
          <cell r="F2063">
            <v>6052669.21</v>
          </cell>
          <cell r="G2063">
            <v>1242795</v>
          </cell>
          <cell r="H2063">
            <v>1535332</v>
          </cell>
          <cell r="I2063">
            <v>1571380</v>
          </cell>
          <cell r="J2063">
            <v>1816873</v>
          </cell>
          <cell r="K2063">
            <v>6166380</v>
          </cell>
          <cell r="L2063">
            <v>1433517.64</v>
          </cell>
          <cell r="M2063">
            <v>7375000</v>
          </cell>
          <cell r="N2063">
            <v>8974000</v>
          </cell>
          <cell r="O2063">
            <v>10166000</v>
          </cell>
        </row>
        <row r="2064">
          <cell r="A2064" t="str">
            <v>Housing BankLOSSES ON OTHER ASSETS</v>
          </cell>
          <cell r="B2064">
            <v>0</v>
          </cell>
          <cell r="C2064">
            <v>0</v>
          </cell>
          <cell r="D2064">
            <v>0</v>
          </cell>
          <cell r="E2064">
            <v>-197140.05</v>
          </cell>
          <cell r="F2064">
            <v>-197140.05</v>
          </cell>
          <cell r="G2064">
            <v>-994000</v>
          </cell>
          <cell r="H2064">
            <v>0</v>
          </cell>
          <cell r="I2064">
            <v>0</v>
          </cell>
          <cell r="J2064">
            <v>0</v>
          </cell>
          <cell r="K2064">
            <v>-994000</v>
          </cell>
          <cell r="L2064">
            <v>-994016.17</v>
          </cell>
          <cell r="M2064">
            <v>0</v>
          </cell>
          <cell r="N2064">
            <v>0</v>
          </cell>
          <cell r="O2064">
            <v>0</v>
          </cell>
        </row>
        <row r="2065">
          <cell r="A2065" t="str">
            <v>Housing BankCOST OF GOODS SOLD</v>
          </cell>
          <cell r="B2065">
            <v>0</v>
          </cell>
          <cell r="C2065">
            <v>0</v>
          </cell>
          <cell r="D2065">
            <v>0</v>
          </cell>
          <cell r="E2065">
            <v>0</v>
          </cell>
          <cell r="F2065">
            <v>0</v>
          </cell>
          <cell r="G2065">
            <v>0</v>
          </cell>
          <cell r="H2065">
            <v>0</v>
          </cell>
          <cell r="I2065">
            <v>0</v>
          </cell>
          <cell r="J2065">
            <v>0</v>
          </cell>
          <cell r="K2065">
            <v>0</v>
          </cell>
          <cell r="L2065">
            <v>0</v>
          </cell>
          <cell r="M2065">
            <v>0</v>
          </cell>
          <cell r="N2065">
            <v>0</v>
          </cell>
          <cell r="O2065">
            <v>0</v>
          </cell>
        </row>
        <row r="2066">
          <cell r="A2066" t="str">
            <v>Housing BankCOST OF GOODS SOLD - DISTRIBUTION</v>
          </cell>
          <cell r="B2066">
            <v>0</v>
          </cell>
          <cell r="C2066">
            <v>0</v>
          </cell>
          <cell r="D2066">
            <v>0</v>
          </cell>
          <cell r="E2066">
            <v>0</v>
          </cell>
          <cell r="F2066">
            <v>0</v>
          </cell>
          <cell r="G2066">
            <v>0</v>
          </cell>
          <cell r="H2066">
            <v>0</v>
          </cell>
          <cell r="I2066">
            <v>0</v>
          </cell>
          <cell r="J2066">
            <v>0</v>
          </cell>
          <cell r="K2066">
            <v>0</v>
          </cell>
          <cell r="L2066">
            <v>0</v>
          </cell>
          <cell r="M2066">
            <v>0</v>
          </cell>
          <cell r="N2066">
            <v>0</v>
          </cell>
          <cell r="O2066">
            <v>0</v>
          </cell>
        </row>
        <row r="2067">
          <cell r="A2067" t="str">
            <v>Housing BankPOSTAGE</v>
          </cell>
          <cell r="B2067">
            <v>24354.9</v>
          </cell>
          <cell r="C2067">
            <v>38536.79</v>
          </cell>
          <cell r="D2067">
            <v>38782.120000000003</v>
          </cell>
          <cell r="E2067">
            <v>60760.94</v>
          </cell>
          <cell r="F2067">
            <v>162434.75</v>
          </cell>
          <cell r="G2067">
            <v>56393.944909999998</v>
          </cell>
          <cell r="H2067">
            <v>59307.957165</v>
          </cell>
          <cell r="I2067">
            <v>58840.022448999996</v>
          </cell>
          <cell r="J2067">
            <v>61423.750152000001</v>
          </cell>
          <cell r="K2067">
            <v>235965.67467499999</v>
          </cell>
          <cell r="L2067">
            <v>66719.460000000006</v>
          </cell>
          <cell r="M2067">
            <v>196000</v>
          </cell>
          <cell r="N2067">
            <v>261000</v>
          </cell>
          <cell r="O2067">
            <v>361000</v>
          </cell>
        </row>
        <row r="2068">
          <cell r="A2068" t="str">
            <v>Housing BankTELEPHONE</v>
          </cell>
          <cell r="B2068">
            <v>85893.87</v>
          </cell>
          <cell r="C2068">
            <v>104637.93</v>
          </cell>
          <cell r="D2068">
            <v>97985.78</v>
          </cell>
          <cell r="E2068">
            <v>163672.63</v>
          </cell>
          <cell r="F2068">
            <v>452190.21</v>
          </cell>
          <cell r="G2068">
            <v>129532.18023100001</v>
          </cell>
          <cell r="H2068">
            <v>143838.33239699999</v>
          </cell>
          <cell r="I2068">
            <v>140935.40799499999</v>
          </cell>
          <cell r="J2068">
            <v>152954.94445899999</v>
          </cell>
          <cell r="K2068">
            <v>567260.86508200003</v>
          </cell>
          <cell r="L2068">
            <v>132531.44</v>
          </cell>
          <cell r="M2068">
            <v>576000</v>
          </cell>
          <cell r="N2068">
            <v>924000</v>
          </cell>
          <cell r="O2068">
            <v>1219000</v>
          </cell>
        </row>
        <row r="2069">
          <cell r="A2069" t="str">
            <v>Housing BankCUSTOMER SERVICE / COLLECTIONS</v>
          </cell>
          <cell r="B2069">
            <v>0</v>
          </cell>
          <cell r="C2069">
            <v>0</v>
          </cell>
          <cell r="D2069">
            <v>0</v>
          </cell>
          <cell r="E2069">
            <v>0</v>
          </cell>
          <cell r="F2069">
            <v>0</v>
          </cell>
          <cell r="G2069">
            <v>0</v>
          </cell>
          <cell r="H2069">
            <v>0</v>
          </cell>
          <cell r="I2069">
            <v>0</v>
          </cell>
          <cell r="J2069">
            <v>0</v>
          </cell>
          <cell r="K2069">
            <v>0</v>
          </cell>
          <cell r="L2069">
            <v>0</v>
          </cell>
          <cell r="M2069">
            <v>0</v>
          </cell>
          <cell r="N2069">
            <v>0</v>
          </cell>
          <cell r="O2069">
            <v>0</v>
          </cell>
        </row>
        <row r="2070">
          <cell r="A2070" t="str">
            <v>Housing BankSTATIONARY - OFFICE SUPPLIES</v>
          </cell>
          <cell r="B2070">
            <v>45589.440000000002</v>
          </cell>
          <cell r="C2070">
            <v>56523.94</v>
          </cell>
          <cell r="D2070">
            <v>42363.17</v>
          </cell>
          <cell r="E2070">
            <v>55868.87</v>
          </cell>
          <cell r="F2070">
            <v>200345.42</v>
          </cell>
          <cell r="G2070">
            <v>62637.800023999996</v>
          </cell>
          <cell r="H2070">
            <v>66910.157747999998</v>
          </cell>
          <cell r="I2070">
            <v>65329.827690999999</v>
          </cell>
          <cell r="J2070">
            <v>70682.454798999999</v>
          </cell>
          <cell r="K2070">
            <v>265560.24026200001</v>
          </cell>
          <cell r="L2070">
            <v>45154.26</v>
          </cell>
          <cell r="M2070">
            <v>226000</v>
          </cell>
          <cell r="N2070">
            <v>282000</v>
          </cell>
          <cell r="O2070">
            <v>394000</v>
          </cell>
        </row>
        <row r="2071">
          <cell r="A2071" t="str">
            <v>Housing BankT&amp;L</v>
          </cell>
          <cell r="B2071">
            <v>48066.49</v>
          </cell>
          <cell r="C2071">
            <v>52795.29</v>
          </cell>
          <cell r="D2071">
            <v>51213.62</v>
          </cell>
          <cell r="E2071">
            <v>48585.3</v>
          </cell>
          <cell r="F2071">
            <v>200660.7</v>
          </cell>
          <cell r="G2071">
            <v>63965.580632999998</v>
          </cell>
          <cell r="H2071">
            <v>75278.431016000002</v>
          </cell>
          <cell r="I2071">
            <v>68719.760951000004</v>
          </cell>
          <cell r="J2071">
            <v>68830.123770999999</v>
          </cell>
          <cell r="K2071">
            <v>276793.89637199999</v>
          </cell>
          <cell r="L2071">
            <v>93285.08</v>
          </cell>
          <cell r="M2071">
            <v>107000</v>
          </cell>
          <cell r="N2071">
            <v>123000</v>
          </cell>
          <cell r="O2071">
            <v>135000</v>
          </cell>
        </row>
        <row r="2072">
          <cell r="A2072" t="str">
            <v>Housing BankRENTAL - BLDG/FACILITIES</v>
          </cell>
          <cell r="B2072">
            <v>183799.14</v>
          </cell>
          <cell r="C2072">
            <v>180032.36</v>
          </cell>
          <cell r="D2072">
            <v>207809.92000000001</v>
          </cell>
          <cell r="E2072">
            <v>301440.15999999997</v>
          </cell>
          <cell r="F2072">
            <v>873081.58</v>
          </cell>
          <cell r="G2072">
            <v>238378.79508099999</v>
          </cell>
          <cell r="H2072">
            <v>237282.516474</v>
          </cell>
          <cell r="I2072">
            <v>237282.516474</v>
          </cell>
          <cell r="J2072">
            <v>237282.516474</v>
          </cell>
          <cell r="K2072">
            <v>950226.34450300003</v>
          </cell>
          <cell r="L2072">
            <v>221505.05</v>
          </cell>
          <cell r="M2072">
            <v>1091000</v>
          </cell>
          <cell r="N2072">
            <v>1254000</v>
          </cell>
          <cell r="O2072">
            <v>1442000</v>
          </cell>
        </row>
        <row r="2073">
          <cell r="A2073" t="str">
            <v>Housing BankRENTAL - FURNITURE/EQUIP</v>
          </cell>
          <cell r="B2073">
            <v>17858.55</v>
          </cell>
          <cell r="C2073">
            <v>12254.4</v>
          </cell>
          <cell r="D2073">
            <v>11651.51</v>
          </cell>
          <cell r="E2073">
            <v>13931.11</v>
          </cell>
          <cell r="F2073">
            <v>55695.57</v>
          </cell>
          <cell r="G2073">
            <v>0</v>
          </cell>
          <cell r="H2073">
            <v>0</v>
          </cell>
          <cell r="I2073">
            <v>0</v>
          </cell>
          <cell r="J2073">
            <v>0</v>
          </cell>
          <cell r="K2073">
            <v>0</v>
          </cell>
          <cell r="L2073">
            <v>10386.24</v>
          </cell>
          <cell r="M2073">
            <v>0</v>
          </cell>
          <cell r="N2073">
            <v>0</v>
          </cell>
          <cell r="O2073">
            <v>0</v>
          </cell>
        </row>
        <row r="2074">
          <cell r="A2074" t="str">
            <v>Housing BankRENTAL - COMPUTERS</v>
          </cell>
          <cell r="B2074">
            <v>0</v>
          </cell>
          <cell r="C2074">
            <v>0</v>
          </cell>
          <cell r="D2074">
            <v>0</v>
          </cell>
          <cell r="E2074">
            <v>0</v>
          </cell>
          <cell r="F2074">
            <v>0</v>
          </cell>
          <cell r="G2074">
            <v>0</v>
          </cell>
          <cell r="H2074">
            <v>0</v>
          </cell>
          <cell r="I2074">
            <v>0</v>
          </cell>
          <cell r="J2074">
            <v>0</v>
          </cell>
          <cell r="K2074">
            <v>0</v>
          </cell>
          <cell r="L2074">
            <v>0</v>
          </cell>
          <cell r="M2074">
            <v>0</v>
          </cell>
          <cell r="N2074">
            <v>0</v>
          </cell>
          <cell r="O2074">
            <v>0</v>
          </cell>
        </row>
        <row r="2075">
          <cell r="A2075" t="str">
            <v>Housing BankLEASE IN - LEASE OUT</v>
          </cell>
          <cell r="B2075">
            <v>0</v>
          </cell>
          <cell r="C2075">
            <v>0</v>
          </cell>
          <cell r="D2075">
            <v>0</v>
          </cell>
          <cell r="E2075">
            <v>0</v>
          </cell>
          <cell r="F2075">
            <v>0</v>
          </cell>
          <cell r="G2075">
            <v>0</v>
          </cell>
          <cell r="H2075">
            <v>0</v>
          </cell>
          <cell r="I2075">
            <v>0</v>
          </cell>
          <cell r="J2075">
            <v>0</v>
          </cell>
          <cell r="K2075">
            <v>0</v>
          </cell>
          <cell r="L2075">
            <v>0</v>
          </cell>
          <cell r="M2075">
            <v>0</v>
          </cell>
          <cell r="N2075">
            <v>0</v>
          </cell>
          <cell r="O2075">
            <v>0</v>
          </cell>
        </row>
        <row r="2076">
          <cell r="A2076" t="str">
            <v>Housing BankFURNITURE / EQUIPMENT / COMPUTER EXP</v>
          </cell>
          <cell r="B2076">
            <v>0</v>
          </cell>
          <cell r="C2076">
            <v>0</v>
          </cell>
          <cell r="D2076">
            <v>0</v>
          </cell>
          <cell r="E2076">
            <v>207099.38</v>
          </cell>
          <cell r="F2076">
            <v>207099.38</v>
          </cell>
          <cell r="G2076">
            <v>0</v>
          </cell>
          <cell r="H2076">
            <v>0</v>
          </cell>
          <cell r="I2076">
            <v>0</v>
          </cell>
          <cell r="J2076">
            <v>0</v>
          </cell>
          <cell r="K2076">
            <v>0</v>
          </cell>
          <cell r="L2076">
            <v>0</v>
          </cell>
          <cell r="M2076">
            <v>0</v>
          </cell>
          <cell r="N2076">
            <v>0</v>
          </cell>
          <cell r="O2076">
            <v>0</v>
          </cell>
        </row>
        <row r="2077">
          <cell r="A2077" t="str">
            <v>Housing BankSOFTWARE EXPENSE</v>
          </cell>
          <cell r="B2077">
            <v>0</v>
          </cell>
          <cell r="C2077">
            <v>0</v>
          </cell>
          <cell r="D2077">
            <v>15654.03</v>
          </cell>
          <cell r="E2077">
            <v>319281.19</v>
          </cell>
          <cell r="F2077">
            <v>334935.21999999997</v>
          </cell>
          <cell r="G2077">
            <v>0</v>
          </cell>
          <cell r="H2077">
            <v>0</v>
          </cell>
          <cell r="I2077">
            <v>0</v>
          </cell>
          <cell r="J2077">
            <v>0</v>
          </cell>
          <cell r="K2077">
            <v>0</v>
          </cell>
          <cell r="L2077">
            <v>-208291.94</v>
          </cell>
          <cell r="M2077">
            <v>0</v>
          </cell>
          <cell r="N2077">
            <v>0</v>
          </cell>
          <cell r="O2077">
            <v>0</v>
          </cell>
        </row>
        <row r="2078">
          <cell r="A2078" t="str">
            <v>Housing BankAMORTIZATION OF INTANGIBLES</v>
          </cell>
          <cell r="B2078">
            <v>10422.44</v>
          </cell>
          <cell r="C2078">
            <v>10544.96</v>
          </cell>
          <cell r="D2078">
            <v>59231.22</v>
          </cell>
          <cell r="E2078">
            <v>222263.13</v>
          </cell>
          <cell r="F2078">
            <v>302461.75</v>
          </cell>
          <cell r="G2078">
            <v>0</v>
          </cell>
          <cell r="H2078">
            <v>0</v>
          </cell>
          <cell r="I2078">
            <v>0</v>
          </cell>
          <cell r="J2078">
            <v>0</v>
          </cell>
          <cell r="K2078">
            <v>0</v>
          </cell>
          <cell r="L2078">
            <v>63803.87</v>
          </cell>
          <cell r="M2078">
            <v>0</v>
          </cell>
          <cell r="N2078">
            <v>0</v>
          </cell>
          <cell r="O2078">
            <v>0</v>
          </cell>
        </row>
        <row r="2079">
          <cell r="A2079" t="str">
            <v>Housing BankELTO MAINTENANCE</v>
          </cell>
          <cell r="B2079">
            <v>0</v>
          </cell>
          <cell r="C2079">
            <v>0</v>
          </cell>
          <cell r="D2079">
            <v>0</v>
          </cell>
          <cell r="E2079">
            <v>0</v>
          </cell>
          <cell r="F2079">
            <v>0</v>
          </cell>
          <cell r="G2079">
            <v>0</v>
          </cell>
          <cell r="H2079">
            <v>0</v>
          </cell>
          <cell r="I2079">
            <v>0</v>
          </cell>
          <cell r="J2079">
            <v>0</v>
          </cell>
          <cell r="K2079">
            <v>0</v>
          </cell>
          <cell r="L2079">
            <v>0</v>
          </cell>
          <cell r="M2079">
            <v>0</v>
          </cell>
          <cell r="N2079">
            <v>0</v>
          </cell>
          <cell r="O2079">
            <v>0</v>
          </cell>
        </row>
        <row r="2080">
          <cell r="A2080" t="str">
            <v>Housing BankELTO OTHER</v>
          </cell>
          <cell r="B2080">
            <v>0</v>
          </cell>
          <cell r="C2080">
            <v>0</v>
          </cell>
          <cell r="D2080">
            <v>0</v>
          </cell>
          <cell r="E2080">
            <v>0</v>
          </cell>
          <cell r="F2080">
            <v>0</v>
          </cell>
          <cell r="G2080">
            <v>0</v>
          </cell>
          <cell r="H2080">
            <v>0</v>
          </cell>
          <cell r="I2080">
            <v>0</v>
          </cell>
          <cell r="J2080">
            <v>0</v>
          </cell>
          <cell r="K2080">
            <v>0</v>
          </cell>
          <cell r="L2080">
            <v>0</v>
          </cell>
          <cell r="M2080">
            <v>0</v>
          </cell>
          <cell r="N2080">
            <v>0</v>
          </cell>
          <cell r="O2080">
            <v>0</v>
          </cell>
        </row>
        <row r="2081">
          <cell r="A2081" t="str">
            <v>Housing BankLEGAL</v>
          </cell>
          <cell r="B2081">
            <v>20250.400000000001</v>
          </cell>
          <cell r="C2081">
            <v>23735.040000000001</v>
          </cell>
          <cell r="D2081">
            <v>-15939.9</v>
          </cell>
          <cell r="E2081">
            <v>4727.08</v>
          </cell>
          <cell r="F2081">
            <v>32772.620000000003</v>
          </cell>
          <cell r="G2081">
            <v>2226.3681590000001</v>
          </cell>
          <cell r="H2081">
            <v>2475.124378</v>
          </cell>
          <cell r="I2081">
            <v>6778.6069649999999</v>
          </cell>
          <cell r="J2081">
            <v>2276.1194030000001</v>
          </cell>
          <cell r="K2081">
            <v>13756.218905</v>
          </cell>
          <cell r="L2081">
            <v>30806.959999999999</v>
          </cell>
          <cell r="M2081">
            <v>0</v>
          </cell>
          <cell r="N2081">
            <v>0</v>
          </cell>
          <cell r="O2081">
            <v>0</v>
          </cell>
        </row>
        <row r="2082">
          <cell r="A2082" t="str">
            <v>Housing BankADVERTISING</v>
          </cell>
          <cell r="B2082">
            <v>65080.37</v>
          </cell>
          <cell r="C2082">
            <v>55502.87</v>
          </cell>
          <cell r="D2082">
            <v>52262.87</v>
          </cell>
          <cell r="E2082">
            <v>129135.44</v>
          </cell>
          <cell r="F2082">
            <v>301981.55</v>
          </cell>
          <cell r="G2082">
            <v>52860.696516999997</v>
          </cell>
          <cell r="H2082">
            <v>52860.696516999997</v>
          </cell>
          <cell r="I2082">
            <v>52860.696516999997</v>
          </cell>
          <cell r="J2082">
            <v>52860.696516999997</v>
          </cell>
          <cell r="K2082">
            <v>211442.78607</v>
          </cell>
          <cell r="L2082">
            <v>82280.3</v>
          </cell>
          <cell r="M2082">
            <v>261000</v>
          </cell>
          <cell r="N2082">
            <v>486000</v>
          </cell>
          <cell r="O2082">
            <v>582000</v>
          </cell>
        </row>
        <row r="2083">
          <cell r="A2083" t="str">
            <v>Housing BankSALES PROMOTIONS</v>
          </cell>
          <cell r="B2083">
            <v>0</v>
          </cell>
          <cell r="C2083">
            <v>0</v>
          </cell>
          <cell r="D2083">
            <v>0</v>
          </cell>
          <cell r="E2083">
            <v>0</v>
          </cell>
          <cell r="F2083">
            <v>0</v>
          </cell>
          <cell r="G2083">
            <v>0</v>
          </cell>
          <cell r="H2083">
            <v>0</v>
          </cell>
          <cell r="I2083">
            <v>0</v>
          </cell>
          <cell r="J2083">
            <v>0</v>
          </cell>
          <cell r="K2083">
            <v>0</v>
          </cell>
          <cell r="L2083">
            <v>0</v>
          </cell>
          <cell r="M2083">
            <v>0</v>
          </cell>
          <cell r="N2083">
            <v>0</v>
          </cell>
          <cell r="O2083">
            <v>0</v>
          </cell>
        </row>
        <row r="2084">
          <cell r="A2084" t="str">
            <v>Housing BankDIRECT MAIL</v>
          </cell>
          <cell r="B2084">
            <v>0</v>
          </cell>
          <cell r="C2084">
            <v>0</v>
          </cell>
          <cell r="D2084">
            <v>0</v>
          </cell>
          <cell r="E2084">
            <v>0</v>
          </cell>
          <cell r="F2084">
            <v>0</v>
          </cell>
          <cell r="G2084">
            <v>0</v>
          </cell>
          <cell r="H2084">
            <v>0</v>
          </cell>
          <cell r="I2084">
            <v>0</v>
          </cell>
          <cell r="J2084">
            <v>0</v>
          </cell>
          <cell r="K2084">
            <v>0</v>
          </cell>
          <cell r="L2084">
            <v>0</v>
          </cell>
          <cell r="M2084">
            <v>0</v>
          </cell>
          <cell r="N2084">
            <v>0</v>
          </cell>
          <cell r="O2084">
            <v>0</v>
          </cell>
        </row>
        <row r="2085">
          <cell r="A2085" t="str">
            <v>Housing BankDATA PROCESSING</v>
          </cell>
          <cell r="B2085">
            <v>0</v>
          </cell>
          <cell r="C2085">
            <v>0</v>
          </cell>
          <cell r="D2085">
            <v>0</v>
          </cell>
          <cell r="E2085">
            <v>0</v>
          </cell>
          <cell r="F2085">
            <v>0</v>
          </cell>
          <cell r="G2085">
            <v>0</v>
          </cell>
          <cell r="H2085">
            <v>0</v>
          </cell>
          <cell r="I2085">
            <v>0</v>
          </cell>
          <cell r="J2085">
            <v>0</v>
          </cell>
          <cell r="K2085">
            <v>0</v>
          </cell>
          <cell r="L2085">
            <v>0</v>
          </cell>
          <cell r="M2085">
            <v>0</v>
          </cell>
          <cell r="N2085">
            <v>0</v>
          </cell>
          <cell r="O2085">
            <v>0</v>
          </cell>
        </row>
        <row r="2086">
          <cell r="A2086" t="str">
            <v>Housing BankCONSULTING</v>
          </cell>
          <cell r="B2086">
            <v>569.75</v>
          </cell>
          <cell r="C2086">
            <v>585.12</v>
          </cell>
          <cell r="D2086">
            <v>552.48</v>
          </cell>
          <cell r="E2086">
            <v>569.65</v>
          </cell>
          <cell r="F2086">
            <v>2277</v>
          </cell>
          <cell r="G2086">
            <v>0</v>
          </cell>
          <cell r="H2086">
            <v>0</v>
          </cell>
          <cell r="I2086">
            <v>0</v>
          </cell>
          <cell r="J2086">
            <v>0</v>
          </cell>
          <cell r="K2086">
            <v>0</v>
          </cell>
          <cell r="L2086">
            <v>572.44000000000005</v>
          </cell>
          <cell r="M2086">
            <v>0</v>
          </cell>
          <cell r="N2086">
            <v>0</v>
          </cell>
          <cell r="O2086">
            <v>0</v>
          </cell>
        </row>
        <row r="2087">
          <cell r="A2087" t="str">
            <v>Housing BankTEMP SERVICES</v>
          </cell>
          <cell r="B2087">
            <v>63184.13</v>
          </cell>
          <cell r="C2087">
            <v>44745.97</v>
          </cell>
          <cell r="D2087">
            <v>66438.14</v>
          </cell>
          <cell r="E2087">
            <v>105481.69</v>
          </cell>
          <cell r="F2087">
            <v>279849.93</v>
          </cell>
          <cell r="G2087">
            <v>0</v>
          </cell>
          <cell r="H2087">
            <v>0</v>
          </cell>
          <cell r="I2087">
            <v>0</v>
          </cell>
          <cell r="J2087">
            <v>0</v>
          </cell>
          <cell r="K2087">
            <v>0</v>
          </cell>
          <cell r="L2087">
            <v>225863.03</v>
          </cell>
          <cell r="M2087">
            <v>142000</v>
          </cell>
          <cell r="N2087">
            <v>428000</v>
          </cell>
          <cell r="O2087">
            <v>1416000</v>
          </cell>
        </row>
        <row r="2088">
          <cell r="A2088" t="str">
            <v>Housing BankGDC CHARGES</v>
          </cell>
          <cell r="B2088">
            <v>0</v>
          </cell>
          <cell r="C2088">
            <v>0</v>
          </cell>
          <cell r="D2088">
            <v>0</v>
          </cell>
          <cell r="E2088">
            <v>0</v>
          </cell>
          <cell r="F2088">
            <v>0</v>
          </cell>
          <cell r="G2088">
            <v>0</v>
          </cell>
          <cell r="H2088">
            <v>0</v>
          </cell>
          <cell r="I2088">
            <v>0</v>
          </cell>
          <cell r="J2088">
            <v>0</v>
          </cell>
          <cell r="K2088">
            <v>0</v>
          </cell>
          <cell r="L2088">
            <v>0</v>
          </cell>
          <cell r="M2088">
            <v>0</v>
          </cell>
          <cell r="N2088">
            <v>0</v>
          </cell>
          <cell r="O2088">
            <v>0</v>
          </cell>
        </row>
        <row r="2089">
          <cell r="A2089" t="str">
            <v>Housing BankTRAINING AND EDUCATION</v>
          </cell>
          <cell r="B2089">
            <v>33053.25</v>
          </cell>
          <cell r="C2089">
            <v>27186.18</v>
          </cell>
          <cell r="D2089">
            <v>37807.519999999997</v>
          </cell>
          <cell r="E2089">
            <v>53769.25</v>
          </cell>
          <cell r="F2089">
            <v>151816.20000000001</v>
          </cell>
          <cell r="G2089">
            <v>0</v>
          </cell>
          <cell r="H2089">
            <v>0</v>
          </cell>
          <cell r="I2089">
            <v>0</v>
          </cell>
          <cell r="J2089">
            <v>0</v>
          </cell>
          <cell r="K2089">
            <v>0</v>
          </cell>
          <cell r="L2089">
            <v>144958.26</v>
          </cell>
          <cell r="M2089">
            <v>0</v>
          </cell>
          <cell r="N2089">
            <v>0</v>
          </cell>
          <cell r="O2089">
            <v>0</v>
          </cell>
        </row>
        <row r="2090">
          <cell r="A2090" t="str">
            <v>Housing BankOUTSIDE SERVICES  AND FEES</v>
          </cell>
          <cell r="B2090">
            <v>0</v>
          </cell>
          <cell r="C2090">
            <v>0</v>
          </cell>
          <cell r="D2090">
            <v>0</v>
          </cell>
          <cell r="E2090">
            <v>0</v>
          </cell>
          <cell r="F2090">
            <v>0</v>
          </cell>
          <cell r="G2090">
            <v>370727.114428</v>
          </cell>
          <cell r="H2090">
            <v>281055.47263700003</v>
          </cell>
          <cell r="I2090">
            <v>314552.98507499998</v>
          </cell>
          <cell r="J2090">
            <v>319403.73134300002</v>
          </cell>
          <cell r="K2090">
            <v>1285739.303483</v>
          </cell>
          <cell r="L2090">
            <v>0</v>
          </cell>
          <cell r="M2090">
            <v>0</v>
          </cell>
          <cell r="N2090">
            <v>0</v>
          </cell>
          <cell r="O2090">
            <v>0</v>
          </cell>
        </row>
        <row r="2091">
          <cell r="A2091" t="str">
            <v>Housing BankSTATE, FOREIGN, LOCAL TAXES</v>
          </cell>
          <cell r="B2091">
            <v>0</v>
          </cell>
          <cell r="C2091">
            <v>380.61</v>
          </cell>
          <cell r="D2091">
            <v>7505.46</v>
          </cell>
          <cell r="E2091">
            <v>5278.94</v>
          </cell>
          <cell r="F2091">
            <v>13165.01</v>
          </cell>
          <cell r="G2091">
            <v>0</v>
          </cell>
          <cell r="H2091">
            <v>0</v>
          </cell>
          <cell r="I2091">
            <v>0</v>
          </cell>
          <cell r="J2091">
            <v>0</v>
          </cell>
          <cell r="K2091">
            <v>0</v>
          </cell>
          <cell r="L2091">
            <v>46868.52</v>
          </cell>
          <cell r="M2091">
            <v>0</v>
          </cell>
          <cell r="N2091">
            <v>0</v>
          </cell>
          <cell r="O2091">
            <v>0</v>
          </cell>
        </row>
        <row r="2092">
          <cell r="A2092" t="str">
            <v>Housing BankS/L TAX - INSURANCE PREMIUMS</v>
          </cell>
          <cell r="B2092">
            <v>0</v>
          </cell>
          <cell r="C2092">
            <v>0</v>
          </cell>
          <cell r="D2092">
            <v>0</v>
          </cell>
          <cell r="E2092">
            <v>0</v>
          </cell>
          <cell r="F2092">
            <v>0</v>
          </cell>
          <cell r="G2092">
            <v>0</v>
          </cell>
          <cell r="H2092">
            <v>0</v>
          </cell>
          <cell r="I2092">
            <v>0</v>
          </cell>
          <cell r="J2092">
            <v>0</v>
          </cell>
          <cell r="K2092">
            <v>0</v>
          </cell>
          <cell r="L2092">
            <v>0</v>
          </cell>
          <cell r="M2092">
            <v>0</v>
          </cell>
          <cell r="N2092">
            <v>0</v>
          </cell>
          <cell r="O2092">
            <v>0</v>
          </cell>
        </row>
        <row r="2093">
          <cell r="A2093" t="str">
            <v>Housing BankSATELLITE LEASE EXPENSE</v>
          </cell>
          <cell r="B2093">
            <v>0</v>
          </cell>
          <cell r="C2093">
            <v>0</v>
          </cell>
          <cell r="D2093">
            <v>0</v>
          </cell>
          <cell r="E2093">
            <v>0</v>
          </cell>
          <cell r="F2093">
            <v>0</v>
          </cell>
          <cell r="G2093">
            <v>0</v>
          </cell>
          <cell r="H2093">
            <v>0</v>
          </cell>
          <cell r="I2093">
            <v>0</v>
          </cell>
          <cell r="J2093">
            <v>0</v>
          </cell>
          <cell r="K2093">
            <v>0</v>
          </cell>
          <cell r="L2093">
            <v>0</v>
          </cell>
          <cell r="M2093">
            <v>0</v>
          </cell>
          <cell r="N2093">
            <v>0</v>
          </cell>
          <cell r="O2093">
            <v>0</v>
          </cell>
        </row>
        <row r="2094">
          <cell r="A2094" t="str">
            <v>Housing BankBUSINESS SHARE EXPENSE</v>
          </cell>
          <cell r="B2094">
            <v>0</v>
          </cell>
          <cell r="C2094">
            <v>0</v>
          </cell>
          <cell r="D2094">
            <v>0</v>
          </cell>
          <cell r="E2094">
            <v>0</v>
          </cell>
          <cell r="F2094">
            <v>0</v>
          </cell>
          <cell r="G2094">
            <v>0</v>
          </cell>
          <cell r="H2094">
            <v>0</v>
          </cell>
          <cell r="I2094">
            <v>0</v>
          </cell>
          <cell r="J2094">
            <v>0</v>
          </cell>
          <cell r="K2094">
            <v>0</v>
          </cell>
          <cell r="L2094">
            <v>0</v>
          </cell>
          <cell r="M2094">
            <v>0</v>
          </cell>
          <cell r="N2094">
            <v>0</v>
          </cell>
          <cell r="O2094">
            <v>0</v>
          </cell>
        </row>
        <row r="2095">
          <cell r="A2095" t="str">
            <v>Housing BankINSURANCE AFFILIATE EXPENSE</v>
          </cell>
          <cell r="B2095">
            <v>0</v>
          </cell>
          <cell r="C2095">
            <v>0</v>
          </cell>
          <cell r="D2095">
            <v>0</v>
          </cell>
          <cell r="E2095">
            <v>0</v>
          </cell>
          <cell r="F2095">
            <v>0</v>
          </cell>
          <cell r="G2095">
            <v>0</v>
          </cell>
          <cell r="H2095">
            <v>0</v>
          </cell>
          <cell r="I2095">
            <v>0</v>
          </cell>
          <cell r="J2095">
            <v>0</v>
          </cell>
          <cell r="K2095">
            <v>0</v>
          </cell>
          <cell r="L2095">
            <v>0</v>
          </cell>
          <cell r="M2095">
            <v>0</v>
          </cell>
          <cell r="N2095">
            <v>0</v>
          </cell>
          <cell r="O2095">
            <v>0</v>
          </cell>
        </row>
        <row r="2096">
          <cell r="A2096" t="str">
            <v>Housing BankOTHER FACILITY EXPENSE</v>
          </cell>
          <cell r="B2096">
            <v>28021.33</v>
          </cell>
          <cell r="C2096">
            <v>22682.25</v>
          </cell>
          <cell r="D2096">
            <v>27480.1</v>
          </cell>
          <cell r="E2096">
            <v>36696.85</v>
          </cell>
          <cell r="F2096">
            <v>114880.53</v>
          </cell>
          <cell r="G2096">
            <v>32305.970149000001</v>
          </cell>
          <cell r="H2096">
            <v>32845.771143999998</v>
          </cell>
          <cell r="I2096">
            <v>32742.537313000001</v>
          </cell>
          <cell r="J2096">
            <v>32742.537313000001</v>
          </cell>
          <cell r="K2096">
            <v>130636.81591999999</v>
          </cell>
          <cell r="L2096">
            <v>27149.33</v>
          </cell>
          <cell r="M2096">
            <v>70000</v>
          </cell>
          <cell r="N2096">
            <v>215000</v>
          </cell>
          <cell r="O2096">
            <v>712000</v>
          </cell>
        </row>
        <row r="2097">
          <cell r="A2097" t="str">
            <v>Housing BankGROSS OP &amp; ADMIN BUS SHARE</v>
          </cell>
          <cell r="B2097">
            <v>0</v>
          </cell>
          <cell r="C2097">
            <v>0</v>
          </cell>
          <cell r="D2097">
            <v>0</v>
          </cell>
          <cell r="E2097">
            <v>0</v>
          </cell>
          <cell r="F2097">
            <v>0</v>
          </cell>
          <cell r="G2097">
            <v>0</v>
          </cell>
          <cell r="H2097">
            <v>0</v>
          </cell>
          <cell r="I2097">
            <v>0</v>
          </cell>
          <cell r="J2097">
            <v>0</v>
          </cell>
          <cell r="K2097">
            <v>0</v>
          </cell>
          <cell r="L2097">
            <v>0</v>
          </cell>
          <cell r="M2097">
            <v>0</v>
          </cell>
          <cell r="N2097">
            <v>0</v>
          </cell>
          <cell r="O2097">
            <v>0</v>
          </cell>
        </row>
        <row r="2098">
          <cell r="A2098" t="str">
            <v>Housing BankOTHER EXPENSE</v>
          </cell>
          <cell r="B2098">
            <v>78599.72</v>
          </cell>
          <cell r="C2098">
            <v>34282.76</v>
          </cell>
          <cell r="D2098">
            <v>27669.45</v>
          </cell>
          <cell r="E2098">
            <v>-45458.73</v>
          </cell>
          <cell r="F2098">
            <v>95093.2</v>
          </cell>
          <cell r="G2098">
            <v>42525.870647000003</v>
          </cell>
          <cell r="H2098">
            <v>42525.870647000003</v>
          </cell>
          <cell r="I2098">
            <v>35063.184079999999</v>
          </cell>
          <cell r="J2098">
            <v>35063.184079999999</v>
          </cell>
          <cell r="K2098">
            <v>155178.10945300001</v>
          </cell>
          <cell r="L2098">
            <v>691.71</v>
          </cell>
          <cell r="M2098">
            <v>71000</v>
          </cell>
          <cell r="N2098">
            <v>214000</v>
          </cell>
          <cell r="O2098">
            <v>708000</v>
          </cell>
        </row>
        <row r="2099">
          <cell r="A2099" t="str">
            <v>Housing BankGECC INTERCO EXPENSES EXCL GECIS</v>
          </cell>
          <cell r="B2099">
            <v>0</v>
          </cell>
          <cell r="C2099">
            <v>0</v>
          </cell>
          <cell r="D2099">
            <v>0</v>
          </cell>
          <cell r="E2099">
            <v>0</v>
          </cell>
          <cell r="F2099">
            <v>0</v>
          </cell>
          <cell r="G2099">
            <v>0</v>
          </cell>
          <cell r="H2099">
            <v>0</v>
          </cell>
          <cell r="I2099">
            <v>0</v>
          </cell>
          <cell r="J2099">
            <v>0</v>
          </cell>
          <cell r="K2099">
            <v>0</v>
          </cell>
          <cell r="L2099">
            <v>0</v>
          </cell>
          <cell r="M2099">
            <v>0</v>
          </cell>
          <cell r="N2099">
            <v>0</v>
          </cell>
          <cell r="O2099">
            <v>0</v>
          </cell>
        </row>
        <row r="2100">
          <cell r="A2100" t="str">
            <v>Housing BankGECIS INTERCO CHARGES</v>
          </cell>
          <cell r="B2100">
            <v>0</v>
          </cell>
          <cell r="C2100">
            <v>0</v>
          </cell>
          <cell r="D2100">
            <v>0</v>
          </cell>
          <cell r="E2100">
            <v>0</v>
          </cell>
          <cell r="F2100">
            <v>0</v>
          </cell>
          <cell r="G2100">
            <v>0</v>
          </cell>
          <cell r="H2100">
            <v>0</v>
          </cell>
          <cell r="I2100">
            <v>0</v>
          </cell>
          <cell r="J2100">
            <v>0</v>
          </cell>
          <cell r="K2100">
            <v>0</v>
          </cell>
          <cell r="L2100">
            <v>0</v>
          </cell>
          <cell r="M2100">
            <v>0</v>
          </cell>
          <cell r="N2100">
            <v>0</v>
          </cell>
          <cell r="O2100">
            <v>0</v>
          </cell>
        </row>
        <row r="2101">
          <cell r="A2101" t="str">
            <v>Housing BankLOSS ADJUSTED EXPENSE</v>
          </cell>
          <cell r="B2101">
            <v>0</v>
          </cell>
          <cell r="C2101">
            <v>0</v>
          </cell>
          <cell r="D2101">
            <v>0</v>
          </cell>
          <cell r="E2101">
            <v>0</v>
          </cell>
          <cell r="F2101">
            <v>0</v>
          </cell>
          <cell r="G2101">
            <v>0</v>
          </cell>
          <cell r="H2101">
            <v>0</v>
          </cell>
          <cell r="I2101">
            <v>0</v>
          </cell>
          <cell r="J2101">
            <v>0</v>
          </cell>
          <cell r="K2101">
            <v>0</v>
          </cell>
          <cell r="L2101">
            <v>0</v>
          </cell>
          <cell r="M2101">
            <v>0</v>
          </cell>
          <cell r="N2101">
            <v>0</v>
          </cell>
          <cell r="O2101">
            <v>0</v>
          </cell>
        </row>
        <row r="2102">
          <cell r="A2102" t="str">
            <v>Housing BankALL OTHER EXPENSES</v>
          </cell>
          <cell r="B2102">
            <v>0</v>
          </cell>
          <cell r="C2102">
            <v>0.01</v>
          </cell>
          <cell r="D2102">
            <v>-0.02</v>
          </cell>
          <cell r="E2102">
            <v>0.01</v>
          </cell>
          <cell r="F2102">
            <v>0</v>
          </cell>
          <cell r="G2102">
            <v>0</v>
          </cell>
          <cell r="H2102">
            <v>0</v>
          </cell>
          <cell r="I2102">
            <v>0</v>
          </cell>
          <cell r="J2102">
            <v>0</v>
          </cell>
          <cell r="K2102">
            <v>0</v>
          </cell>
          <cell r="L2102">
            <v>0.01</v>
          </cell>
          <cell r="M2102">
            <v>0</v>
          </cell>
          <cell r="N2102">
            <v>0</v>
          </cell>
          <cell r="O2102">
            <v>0</v>
          </cell>
        </row>
        <row r="2103">
          <cell r="A2103" t="str">
            <v>Housing BankASSESSMENTS</v>
          </cell>
          <cell r="B2103">
            <v>154219.32</v>
          </cell>
          <cell r="C2103">
            <v>162660.49</v>
          </cell>
          <cell r="D2103">
            <v>155927.57999999999</v>
          </cell>
          <cell r="E2103">
            <v>155587.24</v>
          </cell>
          <cell r="F2103">
            <v>628394.63</v>
          </cell>
          <cell r="G2103">
            <v>220455.527481</v>
          </cell>
          <cell r="H2103">
            <v>220455.527481</v>
          </cell>
          <cell r="I2103">
            <v>220455.527481</v>
          </cell>
          <cell r="J2103">
            <v>220455.527481</v>
          </cell>
          <cell r="K2103">
            <v>881822.10992199997</v>
          </cell>
          <cell r="L2103">
            <v>220417.36</v>
          </cell>
          <cell r="M2103">
            <v>1164000</v>
          </cell>
          <cell r="N2103">
            <v>2055000</v>
          </cell>
          <cell r="O2103">
            <v>3082000</v>
          </cell>
        </row>
        <row r="2104">
          <cell r="A2104" t="str">
            <v>Housing BankFAS 91</v>
          </cell>
          <cell r="B2104">
            <v>-651934.81000000006</v>
          </cell>
          <cell r="C2104">
            <v>-565586.6</v>
          </cell>
          <cell r="D2104">
            <v>-547213.31999999995</v>
          </cell>
          <cell r="E2104">
            <v>-279869.21999999997</v>
          </cell>
          <cell r="F2104">
            <v>-2044603.95</v>
          </cell>
          <cell r="G2104">
            <v>-514276.44409599999</v>
          </cell>
          <cell r="H2104">
            <v>-706018.699012</v>
          </cell>
          <cell r="I2104">
            <v>-737221.53432900005</v>
          </cell>
          <cell r="J2104">
            <v>-886271.265992</v>
          </cell>
          <cell r="K2104">
            <v>-2843787.94343</v>
          </cell>
          <cell r="L2104">
            <v>-321802.62</v>
          </cell>
          <cell r="M2104">
            <v>-4106000</v>
          </cell>
          <cell r="N2104">
            <v>-5731000</v>
          </cell>
          <cell r="O2104">
            <v>-6869000</v>
          </cell>
        </row>
        <row r="2105">
          <cell r="A2105" t="str">
            <v>Housing BankGOODWILL AMORTIZATION</v>
          </cell>
          <cell r="B2105">
            <v>173101.03</v>
          </cell>
          <cell r="C2105">
            <v>-76140.850000000006</v>
          </cell>
          <cell r="D2105">
            <v>143566.10999999999</v>
          </cell>
          <cell r="E2105">
            <v>184212.77</v>
          </cell>
          <cell r="F2105">
            <v>424739.06</v>
          </cell>
          <cell r="G2105">
            <v>0</v>
          </cell>
          <cell r="H2105">
            <v>0</v>
          </cell>
          <cell r="I2105">
            <v>0</v>
          </cell>
          <cell r="J2105">
            <v>0</v>
          </cell>
          <cell r="K2105">
            <v>0</v>
          </cell>
          <cell r="L2105">
            <v>0</v>
          </cell>
          <cell r="M2105">
            <v>692000</v>
          </cell>
          <cell r="N2105">
            <v>692000</v>
          </cell>
          <cell r="O2105">
            <v>692000</v>
          </cell>
        </row>
        <row r="2106">
          <cell r="A2106" t="str">
            <v>Housing BankDEPRECIATION EXPENSE</v>
          </cell>
          <cell r="B2106">
            <v>73064.33</v>
          </cell>
          <cell r="C2106">
            <v>85460.21</v>
          </cell>
          <cell r="D2106">
            <v>102522.61</v>
          </cell>
          <cell r="E2106">
            <v>116331.87</v>
          </cell>
          <cell r="F2106">
            <v>377379.02</v>
          </cell>
          <cell r="G2106">
            <v>220300.37313399999</v>
          </cell>
          <cell r="H2106">
            <v>238379.58126000001</v>
          </cell>
          <cell r="I2106">
            <v>253962.686567</v>
          </cell>
          <cell r="J2106">
            <v>319114.53150899999</v>
          </cell>
          <cell r="K2106">
            <v>1031757.172471</v>
          </cell>
          <cell r="L2106">
            <v>108306.11</v>
          </cell>
          <cell r="M2106">
            <v>984000</v>
          </cell>
          <cell r="N2106">
            <v>1114000</v>
          </cell>
          <cell r="O2106">
            <v>1234000</v>
          </cell>
        </row>
        <row r="2107">
          <cell r="A2107" t="str">
            <v>Housing BankELTO AMORTIZATION</v>
          </cell>
          <cell r="B2107">
            <v>0</v>
          </cell>
          <cell r="C2107">
            <v>0</v>
          </cell>
          <cell r="D2107">
            <v>0</v>
          </cell>
          <cell r="E2107">
            <v>0</v>
          </cell>
          <cell r="F2107">
            <v>0</v>
          </cell>
          <cell r="G2107">
            <v>0</v>
          </cell>
          <cell r="H2107">
            <v>0</v>
          </cell>
          <cell r="I2107">
            <v>0</v>
          </cell>
          <cell r="J2107">
            <v>0</v>
          </cell>
          <cell r="K2107">
            <v>0</v>
          </cell>
          <cell r="L2107">
            <v>0</v>
          </cell>
          <cell r="M2107">
            <v>0</v>
          </cell>
          <cell r="N2107">
            <v>0</v>
          </cell>
          <cell r="O2107">
            <v>0</v>
          </cell>
        </row>
        <row r="2108">
          <cell r="A2108" t="str">
            <v>Housing BankINSURANCE LOSSES AND BENEFITS</v>
          </cell>
          <cell r="B2108">
            <v>0</v>
          </cell>
          <cell r="C2108">
            <v>0</v>
          </cell>
          <cell r="D2108">
            <v>0</v>
          </cell>
          <cell r="E2108">
            <v>0</v>
          </cell>
          <cell r="F2108">
            <v>0</v>
          </cell>
          <cell r="G2108">
            <v>0</v>
          </cell>
          <cell r="H2108">
            <v>0</v>
          </cell>
          <cell r="I2108">
            <v>0</v>
          </cell>
          <cell r="J2108">
            <v>0</v>
          </cell>
          <cell r="K2108">
            <v>0</v>
          </cell>
          <cell r="L2108">
            <v>0</v>
          </cell>
          <cell r="M2108">
            <v>0</v>
          </cell>
          <cell r="N2108">
            <v>0</v>
          </cell>
          <cell r="O2108">
            <v>0</v>
          </cell>
        </row>
        <row r="2109">
          <cell r="A2109" t="str">
            <v>Housing BankWRITE OFFS</v>
          </cell>
          <cell r="B2109">
            <v>1072872.83</v>
          </cell>
          <cell r="C2109">
            <v>1434634.48</v>
          </cell>
          <cell r="D2109">
            <v>-1676890.22</v>
          </cell>
          <cell r="E2109">
            <v>855282.93</v>
          </cell>
          <cell r="F2109">
            <v>1685900.02</v>
          </cell>
          <cell r="G2109">
            <v>359796</v>
          </cell>
          <cell r="H2109">
            <v>600351</v>
          </cell>
          <cell r="I2109">
            <v>685374</v>
          </cell>
          <cell r="J2109">
            <v>842979</v>
          </cell>
          <cell r="K2109">
            <v>2488500</v>
          </cell>
          <cell r="L2109">
            <v>33491.93</v>
          </cell>
          <cell r="M2109">
            <v>4996000</v>
          </cell>
          <cell r="N2109">
            <v>6711000</v>
          </cell>
          <cell r="O2109">
            <v>7540000</v>
          </cell>
        </row>
        <row r="2110">
          <cell r="A2110" t="str">
            <v>Housing BankRESERVE CHANGE</v>
          </cell>
          <cell r="B2110">
            <v>0</v>
          </cell>
          <cell r="C2110">
            <v>0</v>
          </cell>
          <cell r="D2110">
            <v>0</v>
          </cell>
          <cell r="E2110">
            <v>0</v>
          </cell>
          <cell r="F2110">
            <v>0</v>
          </cell>
          <cell r="G2110">
            <v>0</v>
          </cell>
          <cell r="H2110">
            <v>0</v>
          </cell>
          <cell r="I2110">
            <v>0</v>
          </cell>
          <cell r="J2110">
            <v>0</v>
          </cell>
          <cell r="K2110">
            <v>0</v>
          </cell>
          <cell r="L2110">
            <v>0</v>
          </cell>
          <cell r="M2110">
            <v>0</v>
          </cell>
          <cell r="N2110">
            <v>0</v>
          </cell>
          <cell r="O2110">
            <v>0</v>
          </cell>
        </row>
        <row r="2111">
          <cell r="A2111" t="str">
            <v>Housing BankMINORITY INTEREST</v>
          </cell>
          <cell r="B2111">
            <v>0</v>
          </cell>
          <cell r="C2111">
            <v>0</v>
          </cell>
          <cell r="D2111">
            <v>0</v>
          </cell>
          <cell r="E2111">
            <v>0</v>
          </cell>
          <cell r="F2111">
            <v>0</v>
          </cell>
          <cell r="G2111">
            <v>0</v>
          </cell>
          <cell r="H2111">
            <v>0</v>
          </cell>
          <cell r="I2111">
            <v>0</v>
          </cell>
          <cell r="J2111">
            <v>0</v>
          </cell>
          <cell r="K2111">
            <v>0</v>
          </cell>
          <cell r="L2111">
            <v>0</v>
          </cell>
          <cell r="M2111">
            <v>0</v>
          </cell>
          <cell r="N2111">
            <v>0</v>
          </cell>
          <cell r="O2111">
            <v>0</v>
          </cell>
        </row>
        <row r="2112">
          <cell r="A2112" t="str">
            <v>Housing BankINCOME TAXES</v>
          </cell>
          <cell r="B2112">
            <v>-388081.69</v>
          </cell>
          <cell r="C2112">
            <v>-640031.22</v>
          </cell>
          <cell r="D2112">
            <v>503875.92</v>
          </cell>
          <cell r="E2112">
            <v>-415072.15</v>
          </cell>
          <cell r="F2112">
            <v>-939309.14</v>
          </cell>
          <cell r="G2112">
            <v>619246</v>
          </cell>
          <cell r="H2112">
            <v>344671</v>
          </cell>
          <cell r="I2112">
            <v>500294</v>
          </cell>
          <cell r="J2112">
            <v>640789</v>
          </cell>
          <cell r="K2112">
            <v>2105000</v>
          </cell>
          <cell r="L2112">
            <v>476077.64</v>
          </cell>
          <cell r="M2112">
            <v>495000</v>
          </cell>
          <cell r="N2112">
            <v>4748000</v>
          </cell>
          <cell r="O2112">
            <v>7985000</v>
          </cell>
        </row>
        <row r="2113">
          <cell r="A2113" t="str">
            <v>Housing BankCUMULATIVE TRANSITION ADJUSTMENT</v>
          </cell>
          <cell r="B2113">
            <v>0</v>
          </cell>
          <cell r="C2113">
            <v>0</v>
          </cell>
          <cell r="D2113">
            <v>0</v>
          </cell>
          <cell r="E2113">
            <v>0</v>
          </cell>
          <cell r="F2113">
            <v>0</v>
          </cell>
          <cell r="G2113">
            <v>0</v>
          </cell>
          <cell r="H2113">
            <v>0</v>
          </cell>
          <cell r="I2113">
            <v>0</v>
          </cell>
          <cell r="J2113">
            <v>0</v>
          </cell>
          <cell r="K2113">
            <v>0</v>
          </cell>
          <cell r="L2113">
            <v>0</v>
          </cell>
          <cell r="M2113">
            <v>0</v>
          </cell>
          <cell r="N2113">
            <v>0</v>
          </cell>
          <cell r="O2113">
            <v>0</v>
          </cell>
        </row>
        <row r="2114">
          <cell r="A2114" t="str">
            <v>Housing BankASIA PACIFIC NI DIVIDEND</v>
          </cell>
          <cell r="B2114">
            <v>0</v>
          </cell>
          <cell r="C2114">
            <v>0</v>
          </cell>
          <cell r="D2114">
            <v>0</v>
          </cell>
          <cell r="E2114">
            <v>0</v>
          </cell>
          <cell r="F2114">
            <v>0</v>
          </cell>
          <cell r="G2114">
            <v>0</v>
          </cell>
          <cell r="H2114">
            <v>0</v>
          </cell>
          <cell r="I2114">
            <v>0</v>
          </cell>
          <cell r="J2114">
            <v>0</v>
          </cell>
          <cell r="K2114">
            <v>0</v>
          </cell>
          <cell r="L2114">
            <v>0</v>
          </cell>
          <cell r="M2114">
            <v>0</v>
          </cell>
          <cell r="N2114">
            <v>0</v>
          </cell>
          <cell r="O2114">
            <v>0</v>
          </cell>
        </row>
        <row r="2115">
          <cell r="A2115" t="str">
            <v>Housing BankNet Income</v>
          </cell>
          <cell r="B2115">
            <v>919690.02</v>
          </cell>
          <cell r="C2115">
            <v>-262365.84000000003</v>
          </cell>
          <cell r="D2115">
            <v>-2433608.29</v>
          </cell>
          <cell r="E2115">
            <v>-1968823.58</v>
          </cell>
          <cell r="F2115">
            <v>-3745107.69</v>
          </cell>
          <cell r="G2115">
            <v>-1585735.222701</v>
          </cell>
          <cell r="H2115">
            <v>-882616.26014799997</v>
          </cell>
          <cell r="I2115">
            <v>-1281127.774772</v>
          </cell>
          <cell r="J2115">
            <v>-1640904.148691</v>
          </cell>
          <cell r="K2115">
            <v>-5390383.406312</v>
          </cell>
          <cell r="L2115">
            <v>-1611772.19</v>
          </cell>
          <cell r="M2115">
            <v>-3181000</v>
          </cell>
          <cell r="N2115">
            <v>-8930000</v>
          </cell>
          <cell r="O2115">
            <v>-14922000</v>
          </cell>
        </row>
        <row r="2116">
          <cell r="A2116" t="str">
            <v>Housing BankSubPart F</v>
          </cell>
          <cell r="B2116">
            <v>0</v>
          </cell>
          <cell r="C2116">
            <v>0</v>
          </cell>
          <cell r="D2116">
            <v>0</v>
          </cell>
          <cell r="E2116">
            <v>0</v>
          </cell>
          <cell r="F2116">
            <v>0</v>
          </cell>
          <cell r="G2116">
            <v>0</v>
          </cell>
          <cell r="H2116">
            <v>0</v>
          </cell>
          <cell r="I2116">
            <v>0</v>
          </cell>
          <cell r="J2116">
            <v>0</v>
          </cell>
          <cell r="K2116">
            <v>0</v>
          </cell>
          <cell r="L2116">
            <v>0</v>
          </cell>
          <cell r="M2116">
            <v>0</v>
          </cell>
          <cell r="N2116">
            <v>0</v>
          </cell>
          <cell r="O2116">
            <v>0</v>
          </cell>
        </row>
        <row r="2117">
          <cell r="A2117" t="str">
            <v>Housing BankAssets</v>
          </cell>
          <cell r="B2117">
            <v>151500916.99000001</v>
          </cell>
          <cell r="C2117">
            <v>174573752.88</v>
          </cell>
          <cell r="D2117">
            <v>232508007.43000001</v>
          </cell>
          <cell r="E2117">
            <v>288313396.13</v>
          </cell>
          <cell r="F2117">
            <v>288313396.13</v>
          </cell>
          <cell r="G2117">
            <v>297741012.43326002</v>
          </cell>
          <cell r="H2117">
            <v>339630039.07712799</v>
          </cell>
          <cell r="I2117">
            <v>387151113.13992602</v>
          </cell>
          <cell r="J2117">
            <v>447330329.05987197</v>
          </cell>
          <cell r="K2117">
            <v>447330329.05987197</v>
          </cell>
          <cell r="L2117">
            <v>300177263.44</v>
          </cell>
          <cell r="M2117">
            <v>634364883.51668894</v>
          </cell>
          <cell r="N2117">
            <v>1025337294.52302</v>
          </cell>
          <cell r="O2117">
            <v>1411195673.0718601</v>
          </cell>
        </row>
        <row r="2118">
          <cell r="A2118" t="str">
            <v>Housing BankEnding Net Investment (ENI) incl Asia</v>
          </cell>
          <cell r="B2118">
            <v>152164840.30000001</v>
          </cell>
          <cell r="C2118">
            <v>177407679.72999999</v>
          </cell>
          <cell r="D2118">
            <v>236910292.74000001</v>
          </cell>
          <cell r="E2118">
            <v>290542482.02999997</v>
          </cell>
          <cell r="F2118">
            <v>290542482.02999997</v>
          </cell>
          <cell r="G2118">
            <v>296541012.43326002</v>
          </cell>
          <cell r="H2118">
            <v>338430039.07712799</v>
          </cell>
          <cell r="I2118">
            <v>385951113.13992602</v>
          </cell>
          <cell r="J2118">
            <v>446130329.05987197</v>
          </cell>
          <cell r="K2118">
            <v>446130329.05987197</v>
          </cell>
          <cell r="L2118">
            <v>302123872.79000002</v>
          </cell>
          <cell r="M2118">
            <v>635564883.51668894</v>
          </cell>
          <cell r="N2118">
            <v>1026537294.52302</v>
          </cell>
          <cell r="O2118">
            <v>1412395673.0718601</v>
          </cell>
        </row>
        <row r="2119">
          <cell r="A2119" t="str">
            <v>Housing BankANR YTD</v>
          </cell>
          <cell r="B2119">
            <v>126705707.88500001</v>
          </cell>
          <cell r="C2119">
            <v>140007450.02333301</v>
          </cell>
          <cell r="D2119">
            <v>156944518.10749999</v>
          </cell>
          <cell r="E2119">
            <v>178930250.852</v>
          </cell>
          <cell r="F2119">
            <v>178930250.852</v>
          </cell>
          <cell r="G2119">
            <v>279074922.91500002</v>
          </cell>
          <cell r="H2119">
            <v>297241472.94333303</v>
          </cell>
          <cell r="I2119">
            <v>318370814.20749998</v>
          </cell>
          <cell r="J2119">
            <v>343121351.96600002</v>
          </cell>
          <cell r="K2119">
            <v>343121351.96600002</v>
          </cell>
          <cell r="L2119">
            <v>279944205.10000002</v>
          </cell>
          <cell r="M2119">
            <v>158358800</v>
          </cell>
          <cell r="N2119">
            <v>288431200</v>
          </cell>
          <cell r="O2119">
            <v>446768600</v>
          </cell>
        </row>
        <row r="2120">
          <cell r="A2120" t="str">
            <v>Housing BankASA YTD</v>
          </cell>
          <cell r="B2120">
            <v>126705707.88500001</v>
          </cell>
          <cell r="C2120">
            <v>140007450.02333301</v>
          </cell>
          <cell r="D2120">
            <v>156944518.10749999</v>
          </cell>
          <cell r="E2120">
            <v>178930250.852</v>
          </cell>
          <cell r="F2120">
            <v>178930250.852</v>
          </cell>
          <cell r="G2120">
            <v>279074922.91500002</v>
          </cell>
          <cell r="H2120">
            <v>297241472.94333303</v>
          </cell>
          <cell r="I2120">
            <v>318370814.20749998</v>
          </cell>
          <cell r="J2120">
            <v>343121351.96600002</v>
          </cell>
          <cell r="K2120">
            <v>343121351.96600002</v>
          </cell>
          <cell r="L2120">
            <v>279944205.10000002</v>
          </cell>
          <cell r="M2120">
            <v>158358800</v>
          </cell>
          <cell r="N2120">
            <v>288431200</v>
          </cell>
          <cell r="O2120">
            <v>446768600</v>
          </cell>
        </row>
        <row r="2121">
          <cell r="A2121" t="str">
            <v>Housing BankANI YTD incl Asia - 5 pt</v>
          </cell>
          <cell r="B2121">
            <v>152065949.88499999</v>
          </cell>
          <cell r="C2121">
            <v>160513193.16666701</v>
          </cell>
          <cell r="D2121">
            <v>179612468.06</v>
          </cell>
          <cell r="E2121">
            <v>201798470.854</v>
          </cell>
          <cell r="F2121">
            <v>201798470.854</v>
          </cell>
          <cell r="G2121">
            <v>293541747.23163003</v>
          </cell>
          <cell r="H2121">
            <v>308504511.18012899</v>
          </cell>
          <cell r="I2121">
            <v>327866161.67007798</v>
          </cell>
          <cell r="J2121">
            <v>351518995.14803702</v>
          </cell>
          <cell r="K2121">
            <v>351518995.14803702</v>
          </cell>
          <cell r="L2121">
            <v>296333177.41000003</v>
          </cell>
          <cell r="M2121">
            <v>191782178.045468</v>
          </cell>
          <cell r="N2121">
            <v>332420435.607943</v>
          </cell>
          <cell r="O2121">
            <v>487786593.518978</v>
          </cell>
        </row>
        <row r="2122">
          <cell r="A2122" t="str">
            <v>Housing BankOff Balance Sheet Assets</v>
          </cell>
          <cell r="B2122">
            <v>0</v>
          </cell>
          <cell r="C2122">
            <v>0</v>
          </cell>
          <cell r="D2122">
            <v>0</v>
          </cell>
          <cell r="E2122">
            <v>0</v>
          </cell>
          <cell r="F2122">
            <v>0</v>
          </cell>
          <cell r="G2122">
            <v>0</v>
          </cell>
          <cell r="H2122">
            <v>0</v>
          </cell>
          <cell r="I2122">
            <v>0</v>
          </cell>
          <cell r="J2122">
            <v>0</v>
          </cell>
          <cell r="K2122">
            <v>0</v>
          </cell>
          <cell r="L2122">
            <v>0</v>
          </cell>
          <cell r="M2122">
            <v>0</v>
          </cell>
          <cell r="N2122">
            <v>0</v>
          </cell>
          <cell r="O2122">
            <v>0</v>
          </cell>
        </row>
        <row r="2123">
          <cell r="A2123" t="str">
            <v>Housing BankJV Receivables</v>
          </cell>
          <cell r="B2123">
            <v>0</v>
          </cell>
          <cell r="C2123">
            <v>0</v>
          </cell>
          <cell r="D2123">
            <v>0</v>
          </cell>
          <cell r="E2123">
            <v>0</v>
          </cell>
          <cell r="F2123">
            <v>0</v>
          </cell>
          <cell r="G2123">
            <v>0</v>
          </cell>
          <cell r="H2123">
            <v>0</v>
          </cell>
          <cell r="I2123">
            <v>0</v>
          </cell>
          <cell r="J2123">
            <v>0</v>
          </cell>
          <cell r="K2123">
            <v>0</v>
          </cell>
          <cell r="L2123">
            <v>0</v>
          </cell>
          <cell r="M2123">
            <v>0</v>
          </cell>
          <cell r="N2123">
            <v>0</v>
          </cell>
          <cell r="O2123">
            <v>0</v>
          </cell>
        </row>
        <row r="2124">
          <cell r="A2124" t="str">
            <v>Housing Bank30+ DELINQUENCY $</v>
          </cell>
          <cell r="B2124">
            <v>3709346.79</v>
          </cell>
          <cell r="C2124">
            <v>4215256.6399999997</v>
          </cell>
          <cell r="D2124">
            <v>6620394.8700000001</v>
          </cell>
          <cell r="E2124">
            <v>6671830</v>
          </cell>
          <cell r="F2124">
            <v>6671830</v>
          </cell>
          <cell r="G2124">
            <v>8650917</v>
          </cell>
          <cell r="H2124">
            <v>10907889</v>
          </cell>
          <cell r="I2124">
            <v>12139931</v>
          </cell>
          <cell r="J2124">
            <v>13661616</v>
          </cell>
          <cell r="K2124">
            <v>13661616</v>
          </cell>
          <cell r="L2124">
            <v>0</v>
          </cell>
          <cell r="M2124">
            <v>13366775</v>
          </cell>
          <cell r="N2124">
            <v>22687125</v>
          </cell>
          <cell r="O2124">
            <v>33158950</v>
          </cell>
        </row>
        <row r="2125">
          <cell r="A2125" t="str">
            <v>Housing Bank90+ DELINQUENCY $</v>
          </cell>
          <cell r="B2125">
            <v>1051692.19</v>
          </cell>
          <cell r="C2125">
            <v>483171.71</v>
          </cell>
          <cell r="D2125">
            <v>1764098.55</v>
          </cell>
          <cell r="E2125">
            <v>800620</v>
          </cell>
          <cell r="F2125">
            <v>800620</v>
          </cell>
          <cell r="G2125">
            <v>1602022</v>
          </cell>
          <cell r="H2125">
            <v>3235673</v>
          </cell>
          <cell r="I2125">
            <v>3283126</v>
          </cell>
          <cell r="J2125">
            <v>3492776</v>
          </cell>
          <cell r="K2125">
            <v>3492776</v>
          </cell>
          <cell r="L2125">
            <v>0</v>
          </cell>
          <cell r="M2125">
            <v>4812039</v>
          </cell>
          <cell r="N2125">
            <v>8167365</v>
          </cell>
          <cell r="O2125">
            <v>11937222</v>
          </cell>
        </row>
        <row r="2126">
          <cell r="A2126" t="str">
            <v>Housing BankTemporary Staff</v>
          </cell>
          <cell r="B2126">
            <v>0</v>
          </cell>
          <cell r="C2126">
            <v>17</v>
          </cell>
          <cell r="D2126">
            <v>16</v>
          </cell>
          <cell r="E2126">
            <v>21</v>
          </cell>
          <cell r="F2126">
            <v>21</v>
          </cell>
          <cell r="G2126">
            <v>17</v>
          </cell>
          <cell r="H2126">
            <v>18</v>
          </cell>
          <cell r="I2126">
            <v>20</v>
          </cell>
          <cell r="J2126">
            <v>20</v>
          </cell>
          <cell r="K2126">
            <v>20</v>
          </cell>
          <cell r="L2126">
            <v>19</v>
          </cell>
          <cell r="M2126">
            <v>0</v>
          </cell>
          <cell r="N2126">
            <v>0</v>
          </cell>
          <cell r="O2126">
            <v>0</v>
          </cell>
        </row>
        <row r="2127">
          <cell r="A2127" t="str">
            <v>Housing BankContractors</v>
          </cell>
          <cell r="B2127">
            <v>0</v>
          </cell>
          <cell r="C2127">
            <v>0</v>
          </cell>
          <cell r="D2127">
            <v>10</v>
          </cell>
          <cell r="E2127">
            <v>10</v>
          </cell>
          <cell r="F2127">
            <v>10</v>
          </cell>
          <cell r="G2127">
            <v>11</v>
          </cell>
          <cell r="H2127">
            <v>12</v>
          </cell>
          <cell r="I2127">
            <v>12</v>
          </cell>
          <cell r="J2127">
            <v>12</v>
          </cell>
          <cell r="K2127">
            <v>12</v>
          </cell>
          <cell r="L2127">
            <v>25</v>
          </cell>
          <cell r="M2127">
            <v>0</v>
          </cell>
          <cell r="N2127">
            <v>0</v>
          </cell>
          <cell r="O2127">
            <v>0</v>
          </cell>
        </row>
        <row r="2128">
          <cell r="A2128" t="str">
            <v>Housing BankOutsourced to LCC</v>
          </cell>
          <cell r="B2128">
            <v>0</v>
          </cell>
          <cell r="C2128">
            <v>0</v>
          </cell>
          <cell r="D2128">
            <v>0</v>
          </cell>
          <cell r="E2128">
            <v>0</v>
          </cell>
          <cell r="F2128">
            <v>0</v>
          </cell>
          <cell r="G2128">
            <v>0</v>
          </cell>
          <cell r="H2128">
            <v>0</v>
          </cell>
          <cell r="I2128">
            <v>0</v>
          </cell>
          <cell r="J2128">
            <v>0</v>
          </cell>
          <cell r="K2128">
            <v>0</v>
          </cell>
          <cell r="L2128">
            <v>0</v>
          </cell>
          <cell r="M2128">
            <v>0</v>
          </cell>
          <cell r="N2128">
            <v>0</v>
          </cell>
          <cell r="O2128">
            <v>0</v>
          </cell>
        </row>
        <row r="2129">
          <cell r="A2129" t="str">
            <v>Housing BankTotal Headcount</v>
          </cell>
          <cell r="B2129">
            <v>145</v>
          </cell>
          <cell r="C2129">
            <v>158</v>
          </cell>
          <cell r="D2129">
            <v>153</v>
          </cell>
          <cell r="E2129">
            <v>162</v>
          </cell>
          <cell r="F2129">
            <v>162</v>
          </cell>
          <cell r="G2129">
            <v>173</v>
          </cell>
          <cell r="H2129">
            <v>180</v>
          </cell>
          <cell r="I2129">
            <v>183</v>
          </cell>
          <cell r="J2129">
            <v>185</v>
          </cell>
          <cell r="K2129">
            <v>185</v>
          </cell>
          <cell r="L2129">
            <v>164</v>
          </cell>
          <cell r="M2129">
            <v>185</v>
          </cell>
          <cell r="N2129">
            <v>197</v>
          </cell>
          <cell r="O2129">
            <v>202</v>
          </cell>
        </row>
        <row r="2130">
          <cell r="A2130" t="str">
            <v>Housing BankTotal Workforce</v>
          </cell>
          <cell r="B2130">
            <v>145</v>
          </cell>
          <cell r="C2130">
            <v>175</v>
          </cell>
          <cell r="D2130">
            <v>179</v>
          </cell>
          <cell r="E2130">
            <v>193</v>
          </cell>
          <cell r="F2130">
            <v>193</v>
          </cell>
          <cell r="G2130">
            <v>201</v>
          </cell>
          <cell r="H2130">
            <v>210</v>
          </cell>
          <cell r="I2130">
            <v>215</v>
          </cell>
          <cell r="J2130">
            <v>217</v>
          </cell>
          <cell r="K2130">
            <v>217</v>
          </cell>
          <cell r="L2130">
            <v>208</v>
          </cell>
          <cell r="M2130">
            <v>185</v>
          </cell>
          <cell r="N2130">
            <v>197</v>
          </cell>
          <cell r="O2130">
            <v>202</v>
          </cell>
        </row>
        <row r="2131">
          <cell r="A2131" t="str">
            <v>Housing BankTotal Earned Revenue</v>
          </cell>
          <cell r="B2131">
            <v>-3676996.62</v>
          </cell>
          <cell r="C2131">
            <v>-4478522.67</v>
          </cell>
          <cell r="D2131">
            <v>-4783353.3499999996</v>
          </cell>
          <cell r="E2131">
            <v>-8599229.2599999998</v>
          </cell>
          <cell r="F2131">
            <v>-21538101.899999999</v>
          </cell>
          <cell r="G2131">
            <v>-6129820</v>
          </cell>
          <cell r="H2131">
            <v>-6923706</v>
          </cell>
          <cell r="I2131">
            <v>-8111812</v>
          </cell>
          <cell r="J2131">
            <v>-9548421</v>
          </cell>
          <cell r="K2131">
            <v>-30713759</v>
          </cell>
          <cell r="L2131">
            <v>-6097286.1200000001</v>
          </cell>
          <cell r="M2131">
            <v>-46498000</v>
          </cell>
          <cell r="N2131">
            <v>-78598000</v>
          </cell>
          <cell r="O2131">
            <v>-112841000</v>
          </cell>
        </row>
        <row r="2132">
          <cell r="A2132" t="str">
            <v>Housing BankOrdinary Gains - PreTax</v>
          </cell>
          <cell r="B2132">
            <v>0</v>
          </cell>
          <cell r="C2132">
            <v>0</v>
          </cell>
          <cell r="D2132">
            <v>0</v>
          </cell>
          <cell r="E2132">
            <v>0</v>
          </cell>
          <cell r="F2132">
            <v>0</v>
          </cell>
          <cell r="G2132">
            <v>0</v>
          </cell>
          <cell r="H2132">
            <v>0</v>
          </cell>
          <cell r="I2132">
            <v>0</v>
          </cell>
          <cell r="J2132">
            <v>0</v>
          </cell>
          <cell r="K2132">
            <v>0</v>
          </cell>
          <cell r="L2132">
            <v>0</v>
          </cell>
          <cell r="M2132">
            <v>0</v>
          </cell>
          <cell r="N2132">
            <v>0</v>
          </cell>
          <cell r="O2132">
            <v>0</v>
          </cell>
        </row>
        <row r="2133">
          <cell r="A2133" t="str">
            <v>Housing BankOrdinary Gains - AfterTax</v>
          </cell>
          <cell r="B2133">
            <v>0</v>
          </cell>
          <cell r="C2133">
            <v>0</v>
          </cell>
          <cell r="D2133">
            <v>0</v>
          </cell>
          <cell r="E2133">
            <v>0</v>
          </cell>
          <cell r="F2133">
            <v>0</v>
          </cell>
          <cell r="G2133">
            <v>0</v>
          </cell>
          <cell r="H2133">
            <v>0</v>
          </cell>
          <cell r="I2133">
            <v>0</v>
          </cell>
          <cell r="J2133">
            <v>0</v>
          </cell>
          <cell r="K2133">
            <v>0</v>
          </cell>
          <cell r="L2133">
            <v>0</v>
          </cell>
          <cell r="M2133">
            <v>0</v>
          </cell>
          <cell r="N2133">
            <v>0</v>
          </cell>
          <cell r="O2133">
            <v>0</v>
          </cell>
        </row>
        <row r="2134">
          <cell r="A2134" t="str">
            <v>Housing BankTotal Volume</v>
          </cell>
          <cell r="B2134">
            <v>35521906</v>
          </cell>
          <cell r="C2134">
            <v>35579000</v>
          </cell>
          <cell r="D2134">
            <v>40894000</v>
          </cell>
          <cell r="E2134">
            <v>73102000</v>
          </cell>
          <cell r="F2134">
            <v>185096906</v>
          </cell>
          <cell r="G2134">
            <v>32444500</v>
          </cell>
          <cell r="H2134">
            <v>54136500</v>
          </cell>
          <cell r="I2134">
            <v>61803500</v>
          </cell>
          <cell r="J2134">
            <v>76015500</v>
          </cell>
          <cell r="K2134">
            <v>224400000</v>
          </cell>
          <cell r="L2134">
            <v>35314000</v>
          </cell>
          <cell r="M2134">
            <v>332000000</v>
          </cell>
          <cell r="N2134">
            <v>473000000</v>
          </cell>
          <cell r="O2134">
            <v>574000000</v>
          </cell>
        </row>
        <row r="2135">
          <cell r="A2135" t="str">
            <v>Housing BankTOTAL # ACTIVE ACCOUNTS</v>
          </cell>
          <cell r="B2135">
            <v>5752</v>
          </cell>
          <cell r="C2135">
            <v>7064</v>
          </cell>
          <cell r="D2135">
            <v>8359</v>
          </cell>
          <cell r="E2135">
            <v>10810</v>
          </cell>
          <cell r="F2135">
            <v>10810</v>
          </cell>
          <cell r="G2135">
            <v>11651</v>
          </cell>
          <cell r="H2135">
            <v>13343</v>
          </cell>
          <cell r="I2135">
            <v>15270</v>
          </cell>
          <cell r="J2135">
            <v>17685</v>
          </cell>
          <cell r="K2135">
            <v>17685</v>
          </cell>
          <cell r="L2135">
            <v>0</v>
          </cell>
          <cell r="M2135">
            <v>23873</v>
          </cell>
          <cell r="N2135">
            <v>39382</v>
          </cell>
          <cell r="O2135">
            <v>56932</v>
          </cell>
        </row>
        <row r="2136">
          <cell r="A2136" t="str">
            <v>I GroupTOTAL FINANCING RECEIVABLES</v>
          </cell>
          <cell r="B2136">
            <v>0</v>
          </cell>
          <cell r="C2136">
            <v>2527122133.1100001</v>
          </cell>
          <cell r="D2136">
            <v>2831535748.54</v>
          </cell>
          <cell r="E2136">
            <v>3502626563.96</v>
          </cell>
          <cell r="F2136">
            <v>3502626563.96</v>
          </cell>
          <cell r="G2136">
            <v>3730241527.43542</v>
          </cell>
          <cell r="H2136">
            <v>4028979073.7827101</v>
          </cell>
          <cell r="I2136">
            <v>4425252817.18647</v>
          </cell>
          <cell r="J2136">
            <v>4858914069.2764397</v>
          </cell>
          <cell r="K2136">
            <v>4858914069.2764397</v>
          </cell>
          <cell r="L2136">
            <v>3896395902.3899999</v>
          </cell>
          <cell r="M2136">
            <v>3840700000</v>
          </cell>
          <cell r="N2136">
            <v>4483700000</v>
          </cell>
          <cell r="O2136">
            <v>4942400000</v>
          </cell>
        </row>
        <row r="2137">
          <cell r="A2137" t="str">
            <v>I GroupRECEIVABLE RESERVES</v>
          </cell>
          <cell r="B2137">
            <v>0</v>
          </cell>
          <cell r="C2137">
            <v>-38229670.780000001</v>
          </cell>
          <cell r="D2137">
            <v>-43187845.630000003</v>
          </cell>
          <cell r="E2137">
            <v>-45633183.049999997</v>
          </cell>
          <cell r="F2137">
            <v>-45633183.049999997</v>
          </cell>
          <cell r="G2137">
            <v>-48125979.402686998</v>
          </cell>
          <cell r="H2137">
            <v>-51415423.909561999</v>
          </cell>
          <cell r="I2137">
            <v>-55905243.135906003</v>
          </cell>
          <cell r="J2137">
            <v>-60870236.034838997</v>
          </cell>
          <cell r="K2137">
            <v>-60870236.034838997</v>
          </cell>
          <cell r="L2137">
            <v>-50007250.039999999</v>
          </cell>
          <cell r="M2137">
            <v>-51700000</v>
          </cell>
          <cell r="N2137">
            <v>-59500000</v>
          </cell>
          <cell r="O2137">
            <v>-65100000</v>
          </cell>
        </row>
        <row r="2138">
          <cell r="A2138" t="str">
            <v>I GroupCASH</v>
          </cell>
          <cell r="B2138">
            <v>0</v>
          </cell>
          <cell r="C2138">
            <v>135314030.97999999</v>
          </cell>
          <cell r="D2138">
            <v>143307956.09999999</v>
          </cell>
          <cell r="E2138">
            <v>98970440.810000002</v>
          </cell>
          <cell r="F2138">
            <v>98970440.810000002</v>
          </cell>
          <cell r="G2138">
            <v>100172590.195904</v>
          </cell>
          <cell r="H2138">
            <v>100481843.225471</v>
          </cell>
          <cell r="I2138">
            <v>99000659.075210005</v>
          </cell>
          <cell r="J2138">
            <v>100262761.579266</v>
          </cell>
          <cell r="K2138">
            <v>100262761.579266</v>
          </cell>
          <cell r="L2138">
            <v>95495746.799999997</v>
          </cell>
          <cell r="M2138">
            <v>101300000</v>
          </cell>
          <cell r="N2138">
            <v>86900000</v>
          </cell>
          <cell r="O2138">
            <v>57900000</v>
          </cell>
        </row>
        <row r="2139">
          <cell r="A2139" t="str">
            <v>I GroupINVESTMENT SECURITIES</v>
          </cell>
          <cell r="B2139">
            <v>0</v>
          </cell>
          <cell r="C2139">
            <v>0</v>
          </cell>
          <cell r="D2139">
            <v>0</v>
          </cell>
          <cell r="E2139">
            <v>0</v>
          </cell>
          <cell r="F2139">
            <v>0</v>
          </cell>
          <cell r="G2139">
            <v>0</v>
          </cell>
          <cell r="H2139">
            <v>0</v>
          </cell>
          <cell r="I2139">
            <v>0</v>
          </cell>
          <cell r="J2139">
            <v>0</v>
          </cell>
          <cell r="K2139">
            <v>0</v>
          </cell>
          <cell r="L2139">
            <v>0</v>
          </cell>
          <cell r="M2139">
            <v>0</v>
          </cell>
          <cell r="N2139">
            <v>0</v>
          </cell>
          <cell r="O2139">
            <v>0</v>
          </cell>
        </row>
        <row r="2140">
          <cell r="A2140" t="str">
            <v>I GroupINV IN NON CONSOL AFFILIATES</v>
          </cell>
          <cell r="B2140">
            <v>0</v>
          </cell>
          <cell r="C2140">
            <v>0</v>
          </cell>
          <cell r="D2140">
            <v>0</v>
          </cell>
          <cell r="E2140">
            <v>0</v>
          </cell>
          <cell r="F2140">
            <v>0</v>
          </cell>
          <cell r="G2140">
            <v>0</v>
          </cell>
          <cell r="H2140">
            <v>0</v>
          </cell>
          <cell r="I2140">
            <v>0</v>
          </cell>
          <cell r="J2140">
            <v>0</v>
          </cell>
          <cell r="K2140">
            <v>0</v>
          </cell>
          <cell r="L2140">
            <v>0</v>
          </cell>
          <cell r="M2140">
            <v>0</v>
          </cell>
          <cell r="N2140">
            <v>0</v>
          </cell>
          <cell r="O2140">
            <v>0</v>
          </cell>
        </row>
        <row r="2141">
          <cell r="A2141" t="str">
            <v>I GroupINVESTMENT IN JOINT VENTURE</v>
          </cell>
          <cell r="B2141">
            <v>0</v>
          </cell>
          <cell r="C2141">
            <v>0</v>
          </cell>
          <cell r="D2141">
            <v>0</v>
          </cell>
          <cell r="E2141">
            <v>0</v>
          </cell>
          <cell r="F2141">
            <v>0</v>
          </cell>
          <cell r="G2141">
            <v>0</v>
          </cell>
          <cell r="H2141">
            <v>0</v>
          </cell>
          <cell r="I2141">
            <v>0</v>
          </cell>
          <cell r="J2141">
            <v>0</v>
          </cell>
          <cell r="K2141">
            <v>0</v>
          </cell>
          <cell r="L2141">
            <v>0</v>
          </cell>
          <cell r="M2141">
            <v>0</v>
          </cell>
          <cell r="N2141">
            <v>0</v>
          </cell>
          <cell r="O2141">
            <v>0</v>
          </cell>
        </row>
        <row r="2142">
          <cell r="A2142" t="str">
            <v>I GroupALL OTHER RECEIVABLES (NON-FINANCING)</v>
          </cell>
          <cell r="B2142">
            <v>0</v>
          </cell>
          <cell r="C2142">
            <v>0</v>
          </cell>
          <cell r="D2142">
            <v>0</v>
          </cell>
          <cell r="E2142">
            <v>0</v>
          </cell>
          <cell r="F2142">
            <v>0</v>
          </cell>
          <cell r="G2142">
            <v>2577156.7739340002</v>
          </cell>
          <cell r="H2142">
            <v>2653053.448965</v>
          </cell>
          <cell r="I2142">
            <v>2775762.36461</v>
          </cell>
          <cell r="J2142">
            <v>2635614.1257349998</v>
          </cell>
          <cell r="K2142">
            <v>2635614.1257349998</v>
          </cell>
          <cell r="L2142">
            <v>82056302.900000006</v>
          </cell>
          <cell r="M2142">
            <v>0</v>
          </cell>
          <cell r="N2142">
            <v>0</v>
          </cell>
          <cell r="O2142">
            <v>0</v>
          </cell>
        </row>
        <row r="2143">
          <cell r="A2143" t="str">
            <v>I GroupELTO (NET)</v>
          </cell>
          <cell r="B2143">
            <v>0</v>
          </cell>
          <cell r="C2143">
            <v>0</v>
          </cell>
          <cell r="D2143">
            <v>0</v>
          </cell>
          <cell r="E2143">
            <v>0</v>
          </cell>
          <cell r="F2143">
            <v>0</v>
          </cell>
          <cell r="G2143">
            <v>0</v>
          </cell>
          <cell r="H2143">
            <v>0</v>
          </cell>
          <cell r="I2143">
            <v>0</v>
          </cell>
          <cell r="J2143">
            <v>0</v>
          </cell>
          <cell r="K2143">
            <v>0</v>
          </cell>
          <cell r="L2143">
            <v>0</v>
          </cell>
          <cell r="M2143">
            <v>0</v>
          </cell>
          <cell r="N2143">
            <v>0</v>
          </cell>
          <cell r="O2143">
            <v>0</v>
          </cell>
        </row>
        <row r="2144">
          <cell r="A2144" t="str">
            <v>I GroupGOODWILL</v>
          </cell>
          <cell r="B2144">
            <v>0</v>
          </cell>
          <cell r="C2144">
            <v>256907621.22</v>
          </cell>
          <cell r="D2144">
            <v>289513502.48000002</v>
          </cell>
          <cell r="E2144">
            <v>273483600</v>
          </cell>
          <cell r="F2144">
            <v>273483600</v>
          </cell>
          <cell r="G2144">
            <v>272463768.115942</v>
          </cell>
          <cell r="H2144">
            <v>286376811.594203</v>
          </cell>
          <cell r="I2144">
            <v>286376811.594203</v>
          </cell>
          <cell r="J2144">
            <v>286376811.594203</v>
          </cell>
          <cell r="K2144">
            <v>286376811.594203</v>
          </cell>
          <cell r="L2144">
            <v>267721116</v>
          </cell>
          <cell r="M2144">
            <v>242100000</v>
          </cell>
          <cell r="N2144">
            <v>243800000</v>
          </cell>
          <cell r="O2144">
            <v>229800000</v>
          </cell>
        </row>
        <row r="2145">
          <cell r="A2145" t="str">
            <v>I GroupOTHER ASSETS</v>
          </cell>
          <cell r="B2145">
            <v>0</v>
          </cell>
          <cell r="C2145">
            <v>126760893.29000001</v>
          </cell>
          <cell r="D2145">
            <v>136511438.16999999</v>
          </cell>
          <cell r="E2145">
            <v>22328500.149999999</v>
          </cell>
          <cell r="F2145">
            <v>22328500.149999999</v>
          </cell>
          <cell r="G2145">
            <v>20060683.054347999</v>
          </cell>
          <cell r="H2145">
            <v>20045359.436393</v>
          </cell>
          <cell r="I2145">
            <v>19972832.325684</v>
          </cell>
          <cell r="J2145">
            <v>19495580.979871001</v>
          </cell>
          <cell r="K2145">
            <v>19495580.979871001</v>
          </cell>
          <cell r="L2145">
            <v>4628216.8899999997</v>
          </cell>
          <cell r="M2145">
            <v>88800000</v>
          </cell>
          <cell r="N2145">
            <v>99300000</v>
          </cell>
          <cell r="O2145">
            <v>102300000</v>
          </cell>
        </row>
        <row r="2146">
          <cell r="A2146" t="str">
            <v>I GroupACCOUNTS PAYABLE</v>
          </cell>
          <cell r="B2146">
            <v>0</v>
          </cell>
          <cell r="C2146">
            <v>0</v>
          </cell>
          <cell r="D2146">
            <v>-1859616.27</v>
          </cell>
          <cell r="E2146">
            <v>-7357008.6699999999</v>
          </cell>
          <cell r="F2146">
            <v>-7357008.6699999999</v>
          </cell>
          <cell r="G2146">
            <v>-13529529.300633</v>
          </cell>
          <cell r="H2146">
            <v>-18985204.222924002</v>
          </cell>
          <cell r="I2146">
            <v>-18087227.269168999</v>
          </cell>
          <cell r="J2146">
            <v>-18584742.544406001</v>
          </cell>
          <cell r="K2146">
            <v>-18584742.544406001</v>
          </cell>
          <cell r="L2146">
            <v>-50853138.189999998</v>
          </cell>
          <cell r="M2146">
            <v>0</v>
          </cell>
          <cell r="N2146">
            <v>0</v>
          </cell>
          <cell r="O2146">
            <v>0</v>
          </cell>
        </row>
        <row r="2147">
          <cell r="A2147" t="str">
            <v>I GroupDEFERRED INCOME TAXES</v>
          </cell>
          <cell r="B2147">
            <v>0</v>
          </cell>
          <cell r="C2147">
            <v>0</v>
          </cell>
          <cell r="D2147">
            <v>0</v>
          </cell>
          <cell r="E2147">
            <v>0</v>
          </cell>
          <cell r="F2147">
            <v>0</v>
          </cell>
          <cell r="G2147">
            <v>0</v>
          </cell>
          <cell r="H2147">
            <v>0</v>
          </cell>
          <cell r="I2147">
            <v>0</v>
          </cell>
          <cell r="J2147">
            <v>0</v>
          </cell>
          <cell r="K2147">
            <v>0</v>
          </cell>
          <cell r="L2147">
            <v>4904810.93</v>
          </cell>
          <cell r="M2147">
            <v>0</v>
          </cell>
          <cell r="N2147">
            <v>0</v>
          </cell>
          <cell r="O2147">
            <v>0</v>
          </cell>
        </row>
        <row r="2148">
          <cell r="A2148" t="str">
            <v>I GroupWRITE-OFF (MEMO)</v>
          </cell>
          <cell r="B2148">
            <v>0</v>
          </cell>
          <cell r="C2148">
            <v>0</v>
          </cell>
          <cell r="D2148">
            <v>0</v>
          </cell>
          <cell r="E2148">
            <v>0</v>
          </cell>
          <cell r="F2148">
            <v>0</v>
          </cell>
          <cell r="G2148">
            <v>633812.581076</v>
          </cell>
          <cell r="H2148">
            <v>1588545.050423</v>
          </cell>
          <cell r="I2148">
            <v>2935300.043966</v>
          </cell>
          <cell r="J2148">
            <v>4742734.2142540002</v>
          </cell>
          <cell r="K2148">
            <v>4742734.2142540002</v>
          </cell>
          <cell r="L2148">
            <v>-11079884.74</v>
          </cell>
          <cell r="M2148">
            <v>0</v>
          </cell>
          <cell r="N2148">
            <v>0</v>
          </cell>
          <cell r="O2148">
            <v>0</v>
          </cell>
        </row>
        <row r="2149">
          <cell r="A2149" t="str">
            <v>I GroupINSURANCE RESERVES AND ANNUITY BENEFITS</v>
          </cell>
          <cell r="B2149">
            <v>0</v>
          </cell>
          <cell r="C2149">
            <v>0</v>
          </cell>
          <cell r="D2149">
            <v>0</v>
          </cell>
          <cell r="E2149">
            <v>0</v>
          </cell>
          <cell r="F2149">
            <v>0</v>
          </cell>
          <cell r="G2149">
            <v>0</v>
          </cell>
          <cell r="H2149">
            <v>0</v>
          </cell>
          <cell r="I2149">
            <v>0</v>
          </cell>
          <cell r="J2149">
            <v>0</v>
          </cell>
          <cell r="K2149">
            <v>0</v>
          </cell>
          <cell r="L2149">
            <v>0</v>
          </cell>
          <cell r="M2149">
            <v>0</v>
          </cell>
          <cell r="N2149">
            <v>0</v>
          </cell>
          <cell r="O2149">
            <v>0</v>
          </cell>
        </row>
        <row r="2150">
          <cell r="A2150" t="str">
            <v>I GroupALL OTHER NON DEBT LIABILITIES</v>
          </cell>
          <cell r="B2150">
            <v>0</v>
          </cell>
          <cell r="C2150">
            <v>-63046533.399999999</v>
          </cell>
          <cell r="D2150">
            <v>-42590417.399999999</v>
          </cell>
          <cell r="E2150">
            <v>-65297012.609999999</v>
          </cell>
          <cell r="F2150">
            <v>-65297012.609999999</v>
          </cell>
          <cell r="G2150">
            <v>-54330734.857972004</v>
          </cell>
          <cell r="H2150">
            <v>-52176765.255223997</v>
          </cell>
          <cell r="I2150">
            <v>-49138481.361469001</v>
          </cell>
          <cell r="J2150">
            <v>-47394179.108465999</v>
          </cell>
          <cell r="K2150">
            <v>-47394179.108465999</v>
          </cell>
          <cell r="L2150">
            <v>-23745989.870000001</v>
          </cell>
          <cell r="M2150">
            <v>0</v>
          </cell>
          <cell r="N2150">
            <v>0</v>
          </cell>
          <cell r="O2150">
            <v>0</v>
          </cell>
        </row>
        <row r="2151">
          <cell r="A2151" t="str">
            <v>I GroupMINORITY INTEREST (BS)</v>
          </cell>
          <cell r="B2151">
            <v>0</v>
          </cell>
          <cell r="C2151">
            <v>0</v>
          </cell>
          <cell r="D2151">
            <v>0</v>
          </cell>
          <cell r="E2151">
            <v>0</v>
          </cell>
          <cell r="F2151">
            <v>0</v>
          </cell>
          <cell r="G2151">
            <v>0</v>
          </cell>
          <cell r="H2151">
            <v>0</v>
          </cell>
          <cell r="I2151">
            <v>0</v>
          </cell>
          <cell r="J2151">
            <v>0</v>
          </cell>
          <cell r="K2151">
            <v>0</v>
          </cell>
          <cell r="L2151">
            <v>0</v>
          </cell>
          <cell r="M2151">
            <v>0</v>
          </cell>
          <cell r="N2151">
            <v>0</v>
          </cell>
          <cell r="O2151">
            <v>0</v>
          </cell>
        </row>
        <row r="2152">
          <cell r="A2152" t="str">
            <v>I GroupASIA PACIFIC ENI DIVIDEND</v>
          </cell>
          <cell r="B2152">
            <v>0</v>
          </cell>
          <cell r="C2152">
            <v>0</v>
          </cell>
          <cell r="D2152">
            <v>0</v>
          </cell>
          <cell r="E2152">
            <v>0</v>
          </cell>
          <cell r="F2152">
            <v>0</v>
          </cell>
          <cell r="G2152">
            <v>0</v>
          </cell>
          <cell r="H2152">
            <v>0</v>
          </cell>
          <cell r="I2152">
            <v>0</v>
          </cell>
          <cell r="J2152">
            <v>0</v>
          </cell>
          <cell r="K2152">
            <v>0</v>
          </cell>
          <cell r="L2152">
            <v>0</v>
          </cell>
          <cell r="M2152">
            <v>0</v>
          </cell>
          <cell r="N2152">
            <v>0</v>
          </cell>
          <cell r="O2152">
            <v>0</v>
          </cell>
        </row>
        <row r="2153">
          <cell r="A2153" t="str">
            <v>I GroupFINANCING INCOME</v>
          </cell>
          <cell r="B2153">
            <v>0</v>
          </cell>
          <cell r="C2153">
            <v>0</v>
          </cell>
          <cell r="D2153">
            <v>-65198520.600000001</v>
          </cell>
          <cell r="E2153">
            <v>-42013585.229999997</v>
          </cell>
          <cell r="F2153">
            <v>-107212105.83</v>
          </cell>
          <cell r="G2153">
            <v>-65884464.612172998</v>
          </cell>
          <cell r="H2153">
            <v>-71922853.064551994</v>
          </cell>
          <cell r="I2153">
            <v>-79711520.898622006</v>
          </cell>
          <cell r="J2153">
            <v>-89547172.588294998</v>
          </cell>
          <cell r="K2153">
            <v>-307066011.16364199</v>
          </cell>
          <cell r="L2153">
            <v>-60837541.469999999</v>
          </cell>
          <cell r="M2153">
            <v>-325700000</v>
          </cell>
          <cell r="N2153">
            <v>-390500000</v>
          </cell>
          <cell r="O2153">
            <v>-435200000</v>
          </cell>
        </row>
        <row r="2154">
          <cell r="A2154" t="str">
            <v>I GroupINSURANCE PREMIUM INCOME</v>
          </cell>
          <cell r="B2154">
            <v>0</v>
          </cell>
          <cell r="C2154">
            <v>0</v>
          </cell>
          <cell r="D2154">
            <v>0</v>
          </cell>
          <cell r="E2154">
            <v>0</v>
          </cell>
          <cell r="F2154">
            <v>0</v>
          </cell>
          <cell r="G2154">
            <v>0</v>
          </cell>
          <cell r="H2154">
            <v>0</v>
          </cell>
          <cell r="I2154">
            <v>0</v>
          </cell>
          <cell r="J2154">
            <v>0</v>
          </cell>
          <cell r="K2154">
            <v>0</v>
          </cell>
          <cell r="L2154">
            <v>0</v>
          </cell>
          <cell r="M2154">
            <v>0</v>
          </cell>
          <cell r="N2154">
            <v>0</v>
          </cell>
          <cell r="O2154">
            <v>0</v>
          </cell>
        </row>
        <row r="2155">
          <cell r="A2155" t="str">
            <v>I GroupINSURANCE INCOME (COMMISSIONS)</v>
          </cell>
          <cell r="B2155">
            <v>0</v>
          </cell>
          <cell r="C2155">
            <v>0</v>
          </cell>
          <cell r="D2155">
            <v>-482634.3</v>
          </cell>
          <cell r="E2155">
            <v>-4278345.78</v>
          </cell>
          <cell r="F2155">
            <v>-4760980.08</v>
          </cell>
          <cell r="G2155">
            <v>-3044684.3884689999</v>
          </cell>
          <cell r="H2155">
            <v>-3489113.6747389999</v>
          </cell>
          <cell r="I2155">
            <v>-3913551.4769979999</v>
          </cell>
          <cell r="J2155">
            <v>-4242595.5013809996</v>
          </cell>
          <cell r="K2155">
            <v>-14689945.041587001</v>
          </cell>
          <cell r="L2155">
            <v>-13006159.970000001</v>
          </cell>
          <cell r="M2155">
            <v>-3900000</v>
          </cell>
          <cell r="N2155">
            <v>-6900000</v>
          </cell>
          <cell r="O2155">
            <v>-9000000</v>
          </cell>
        </row>
        <row r="2156">
          <cell r="A2156" t="str">
            <v>I GroupSUNDRY INCOME</v>
          </cell>
          <cell r="B2156">
            <v>0</v>
          </cell>
          <cell r="C2156">
            <v>0</v>
          </cell>
          <cell r="D2156">
            <v>-9493231.5999999996</v>
          </cell>
          <cell r="E2156">
            <v>-27536011.879999999</v>
          </cell>
          <cell r="F2156">
            <v>-37029243.479999997</v>
          </cell>
          <cell r="G2156">
            <v>-7436850.6294170003</v>
          </cell>
          <cell r="H2156">
            <v>-8350946.3413969995</v>
          </cell>
          <cell r="I2156">
            <v>-9312457.9948529992</v>
          </cell>
          <cell r="J2156">
            <v>-9011444.6086660009</v>
          </cell>
          <cell r="K2156">
            <v>-34111699.574334003</v>
          </cell>
          <cell r="L2156">
            <v>-15332619.82</v>
          </cell>
          <cell r="M2156">
            <v>-65900000</v>
          </cell>
          <cell r="N2156">
            <v>-84800000</v>
          </cell>
          <cell r="O2156">
            <v>-100900000</v>
          </cell>
        </row>
        <row r="2157">
          <cell r="A2157" t="str">
            <v>I GroupINTEREST EXPENSE</v>
          </cell>
          <cell r="B2157">
            <v>0</v>
          </cell>
          <cell r="C2157">
            <v>0</v>
          </cell>
          <cell r="D2157">
            <v>36141491.350000001</v>
          </cell>
          <cell r="E2157">
            <v>46293963.899999999</v>
          </cell>
          <cell r="F2157">
            <v>82435455.25</v>
          </cell>
          <cell r="G2157">
            <v>37398434.596203998</v>
          </cell>
          <cell r="H2157">
            <v>42124290.908341996</v>
          </cell>
          <cell r="I2157">
            <v>48110474.965112999</v>
          </cell>
          <cell r="J2157">
            <v>54816328.073495001</v>
          </cell>
          <cell r="K2157">
            <v>182449528.54315299</v>
          </cell>
          <cell r="L2157">
            <v>47350153.950000003</v>
          </cell>
          <cell r="M2157">
            <v>236500000</v>
          </cell>
          <cell r="N2157">
            <v>282500000</v>
          </cell>
          <cell r="O2157">
            <v>313200000</v>
          </cell>
        </row>
        <row r="2158">
          <cell r="A2158" t="str">
            <v>I GroupINTEREST EXPENSE REDUCTIONS / BUS SHARING</v>
          </cell>
          <cell r="B2158">
            <v>0</v>
          </cell>
          <cell r="C2158">
            <v>0</v>
          </cell>
          <cell r="D2158">
            <v>0</v>
          </cell>
          <cell r="E2158">
            <v>0</v>
          </cell>
          <cell r="F2158">
            <v>0</v>
          </cell>
          <cell r="G2158">
            <v>0</v>
          </cell>
          <cell r="H2158">
            <v>0</v>
          </cell>
          <cell r="I2158">
            <v>0</v>
          </cell>
          <cell r="J2158">
            <v>0</v>
          </cell>
          <cell r="K2158">
            <v>0</v>
          </cell>
          <cell r="L2158">
            <v>0</v>
          </cell>
          <cell r="M2158">
            <v>0</v>
          </cell>
          <cell r="N2158">
            <v>0</v>
          </cell>
          <cell r="O2158">
            <v>0</v>
          </cell>
        </row>
        <row r="2159">
          <cell r="A2159" t="str">
            <v>I GroupALLOCATED COST OF PREFERRED EQUITY</v>
          </cell>
          <cell r="B2159">
            <v>0</v>
          </cell>
          <cell r="C2159">
            <v>0</v>
          </cell>
          <cell r="D2159">
            <v>280060.46999999997</v>
          </cell>
          <cell r="E2159">
            <v>181192.93</v>
          </cell>
          <cell r="F2159">
            <v>461253.4</v>
          </cell>
          <cell r="G2159">
            <v>570772.57585400005</v>
          </cell>
          <cell r="H2159">
            <v>615089.35365399998</v>
          </cell>
          <cell r="I2159">
            <v>673339.86912299995</v>
          </cell>
          <cell r="J2159">
            <v>735847.44091300003</v>
          </cell>
          <cell r="K2159">
            <v>2595049.239544</v>
          </cell>
          <cell r="L2159">
            <v>237679.03</v>
          </cell>
          <cell r="M2159">
            <v>0</v>
          </cell>
          <cell r="N2159">
            <v>0</v>
          </cell>
          <cell r="O2159">
            <v>0</v>
          </cell>
        </row>
        <row r="2160">
          <cell r="A2160" t="str">
            <v>I GroupSALARIES &amp; BENEFITS</v>
          </cell>
          <cell r="B2160">
            <v>0</v>
          </cell>
          <cell r="C2160">
            <v>0</v>
          </cell>
          <cell r="D2160">
            <v>7172600.5999999996</v>
          </cell>
          <cell r="E2160">
            <v>0</v>
          </cell>
          <cell r="F2160">
            <v>7172600.5999999996</v>
          </cell>
          <cell r="G2160">
            <v>7274846.3452270003</v>
          </cell>
          <cell r="H2160">
            <v>7635239.2146359999</v>
          </cell>
          <cell r="I2160">
            <v>7883713.9718350004</v>
          </cell>
          <cell r="J2160">
            <v>7900316.8956319997</v>
          </cell>
          <cell r="K2160">
            <v>30694116.427331001</v>
          </cell>
          <cell r="L2160">
            <v>7055396.4900000002</v>
          </cell>
          <cell r="M2160">
            <v>0</v>
          </cell>
          <cell r="N2160">
            <v>0</v>
          </cell>
          <cell r="O2160">
            <v>0</v>
          </cell>
        </row>
        <row r="2161">
          <cell r="A2161" t="str">
            <v>I GroupLOSSES ON OTHER ASSETS</v>
          </cell>
          <cell r="B2161">
            <v>0</v>
          </cell>
          <cell r="C2161">
            <v>0</v>
          </cell>
          <cell r="D2161">
            <v>0</v>
          </cell>
          <cell r="E2161">
            <v>0</v>
          </cell>
          <cell r="F2161">
            <v>0</v>
          </cell>
          <cell r="G2161">
            <v>0</v>
          </cell>
          <cell r="H2161">
            <v>0</v>
          </cell>
          <cell r="I2161">
            <v>0</v>
          </cell>
          <cell r="J2161">
            <v>0</v>
          </cell>
          <cell r="K2161">
            <v>0</v>
          </cell>
          <cell r="L2161">
            <v>0</v>
          </cell>
          <cell r="M2161">
            <v>0</v>
          </cell>
          <cell r="N2161">
            <v>0</v>
          </cell>
          <cell r="O2161">
            <v>0</v>
          </cell>
        </row>
        <row r="2162">
          <cell r="A2162" t="str">
            <v>I GroupCOST OF GOODS SOLD</v>
          </cell>
          <cell r="B2162">
            <v>0</v>
          </cell>
          <cell r="C2162">
            <v>0</v>
          </cell>
          <cell r="D2162">
            <v>0</v>
          </cell>
          <cell r="E2162">
            <v>0</v>
          </cell>
          <cell r="F2162">
            <v>0</v>
          </cell>
          <cell r="G2162">
            <v>0</v>
          </cell>
          <cell r="H2162">
            <v>0</v>
          </cell>
          <cell r="I2162">
            <v>0</v>
          </cell>
          <cell r="J2162">
            <v>0</v>
          </cell>
          <cell r="K2162">
            <v>0</v>
          </cell>
          <cell r="L2162">
            <v>0</v>
          </cell>
          <cell r="M2162">
            <v>0</v>
          </cell>
          <cell r="N2162">
            <v>0</v>
          </cell>
          <cell r="O2162">
            <v>0</v>
          </cell>
        </row>
        <row r="2163">
          <cell r="A2163" t="str">
            <v>I GroupCOST OF GOODS SOLD - DISTRIBUTION</v>
          </cell>
          <cell r="B2163">
            <v>0</v>
          </cell>
          <cell r="C2163">
            <v>0</v>
          </cell>
          <cell r="D2163">
            <v>0</v>
          </cell>
          <cell r="E2163">
            <v>0</v>
          </cell>
          <cell r="F2163">
            <v>0</v>
          </cell>
          <cell r="G2163">
            <v>0</v>
          </cell>
          <cell r="H2163">
            <v>0</v>
          </cell>
          <cell r="I2163">
            <v>0</v>
          </cell>
          <cell r="J2163">
            <v>0</v>
          </cell>
          <cell r="K2163">
            <v>0</v>
          </cell>
          <cell r="L2163">
            <v>0</v>
          </cell>
          <cell r="M2163">
            <v>0</v>
          </cell>
          <cell r="N2163">
            <v>0</v>
          </cell>
          <cell r="O2163">
            <v>0</v>
          </cell>
        </row>
        <row r="2164">
          <cell r="A2164" t="str">
            <v>I GroupPOSTAGE</v>
          </cell>
          <cell r="B2164">
            <v>0</v>
          </cell>
          <cell r="C2164">
            <v>0</v>
          </cell>
          <cell r="D2164">
            <v>0</v>
          </cell>
          <cell r="E2164">
            <v>0</v>
          </cell>
          <cell r="F2164">
            <v>0</v>
          </cell>
          <cell r="G2164">
            <v>193833.33333299999</v>
          </cell>
          <cell r="H2164">
            <v>193833.33333299999</v>
          </cell>
          <cell r="I2164">
            <v>193833.33333299999</v>
          </cell>
          <cell r="J2164">
            <v>193833.33333299999</v>
          </cell>
          <cell r="K2164">
            <v>775333.33333299996</v>
          </cell>
          <cell r="L2164">
            <v>197901</v>
          </cell>
          <cell r="M2164">
            <v>0</v>
          </cell>
          <cell r="N2164">
            <v>0</v>
          </cell>
          <cell r="O2164">
            <v>0</v>
          </cell>
        </row>
        <row r="2165">
          <cell r="A2165" t="str">
            <v>I GroupTELEPHONE</v>
          </cell>
          <cell r="B2165">
            <v>0</v>
          </cell>
          <cell r="C2165">
            <v>0</v>
          </cell>
          <cell r="D2165">
            <v>0</v>
          </cell>
          <cell r="E2165">
            <v>0</v>
          </cell>
          <cell r="F2165">
            <v>0</v>
          </cell>
          <cell r="G2165">
            <v>265192.745482</v>
          </cell>
          <cell r="H2165">
            <v>263593.66133999999</v>
          </cell>
          <cell r="I2165">
            <v>283643.03700100002</v>
          </cell>
          <cell r="J2165">
            <v>273921.54459499998</v>
          </cell>
          <cell r="K2165">
            <v>1086350.9884180001</v>
          </cell>
          <cell r="L2165">
            <v>251690</v>
          </cell>
          <cell r="M2165">
            <v>0</v>
          </cell>
          <cell r="N2165">
            <v>0</v>
          </cell>
          <cell r="O2165">
            <v>0</v>
          </cell>
        </row>
        <row r="2166">
          <cell r="A2166" t="str">
            <v>I GroupCUSTOMER SERVICE / COLLECTIONS</v>
          </cell>
          <cell r="B2166">
            <v>0</v>
          </cell>
          <cell r="C2166">
            <v>0</v>
          </cell>
          <cell r="D2166">
            <v>0</v>
          </cell>
          <cell r="E2166">
            <v>0</v>
          </cell>
          <cell r="F2166">
            <v>0</v>
          </cell>
          <cell r="G2166">
            <v>0</v>
          </cell>
          <cell r="H2166">
            <v>0</v>
          </cell>
          <cell r="I2166">
            <v>0</v>
          </cell>
          <cell r="J2166">
            <v>0</v>
          </cell>
          <cell r="K2166">
            <v>0</v>
          </cell>
          <cell r="L2166">
            <v>0</v>
          </cell>
          <cell r="M2166">
            <v>0</v>
          </cell>
          <cell r="N2166">
            <v>0</v>
          </cell>
          <cell r="O2166">
            <v>0</v>
          </cell>
        </row>
        <row r="2167">
          <cell r="A2167" t="str">
            <v>I GroupSTATIONARY - OFFICE SUPPLIES</v>
          </cell>
          <cell r="B2167">
            <v>0</v>
          </cell>
          <cell r="C2167">
            <v>0</v>
          </cell>
          <cell r="D2167">
            <v>0</v>
          </cell>
          <cell r="E2167">
            <v>0</v>
          </cell>
          <cell r="F2167">
            <v>0</v>
          </cell>
          <cell r="G2167">
            <v>372218.84058000002</v>
          </cell>
          <cell r="H2167">
            <v>365388.40579699998</v>
          </cell>
          <cell r="I2167">
            <v>365388.40579699998</v>
          </cell>
          <cell r="J2167">
            <v>365389.85507200001</v>
          </cell>
          <cell r="K2167">
            <v>1468385.507246</v>
          </cell>
          <cell r="L2167">
            <v>205520.97</v>
          </cell>
          <cell r="M2167">
            <v>0</v>
          </cell>
          <cell r="N2167">
            <v>0</v>
          </cell>
          <cell r="O2167">
            <v>0</v>
          </cell>
        </row>
        <row r="2168">
          <cell r="A2168" t="str">
            <v>I GroupT&amp;L</v>
          </cell>
          <cell r="B2168">
            <v>0</v>
          </cell>
          <cell r="C2168">
            <v>0</v>
          </cell>
          <cell r="D2168">
            <v>0</v>
          </cell>
          <cell r="E2168">
            <v>0</v>
          </cell>
          <cell r="F2168">
            <v>0</v>
          </cell>
          <cell r="G2168">
            <v>410862.30669</v>
          </cell>
          <cell r="H2168">
            <v>412231.59779999999</v>
          </cell>
          <cell r="I2168">
            <v>415515.30225100002</v>
          </cell>
          <cell r="J2168">
            <v>414066.02688899997</v>
          </cell>
          <cell r="K2168">
            <v>1652675.2336309999</v>
          </cell>
          <cell r="L2168">
            <v>328203.23</v>
          </cell>
          <cell r="M2168">
            <v>0</v>
          </cell>
          <cell r="N2168">
            <v>0</v>
          </cell>
          <cell r="O2168">
            <v>0</v>
          </cell>
        </row>
        <row r="2169">
          <cell r="A2169" t="str">
            <v>I GroupRENTAL - BLDG/FACILITIES</v>
          </cell>
          <cell r="B2169">
            <v>0</v>
          </cell>
          <cell r="C2169">
            <v>0</v>
          </cell>
          <cell r="D2169">
            <v>0</v>
          </cell>
          <cell r="E2169">
            <v>0</v>
          </cell>
          <cell r="F2169">
            <v>0</v>
          </cell>
          <cell r="G2169">
            <v>538478.26087</v>
          </cell>
          <cell r="H2169">
            <v>538478.26087</v>
          </cell>
          <cell r="I2169">
            <v>538478.26087</v>
          </cell>
          <cell r="J2169">
            <v>625434.78260899999</v>
          </cell>
          <cell r="K2169">
            <v>2240869.565217</v>
          </cell>
          <cell r="L2169">
            <v>949809.25</v>
          </cell>
          <cell r="M2169">
            <v>0</v>
          </cell>
          <cell r="N2169">
            <v>0</v>
          </cell>
          <cell r="O2169">
            <v>0</v>
          </cell>
        </row>
        <row r="2170">
          <cell r="A2170" t="str">
            <v>I GroupRENTAL - FURNITURE/EQUIP</v>
          </cell>
          <cell r="B2170">
            <v>0</v>
          </cell>
          <cell r="C2170">
            <v>0</v>
          </cell>
          <cell r="D2170">
            <v>0</v>
          </cell>
          <cell r="E2170">
            <v>0</v>
          </cell>
          <cell r="F2170">
            <v>0</v>
          </cell>
          <cell r="G2170">
            <v>2173.913043</v>
          </cell>
          <cell r="H2170">
            <v>2173.913043</v>
          </cell>
          <cell r="I2170">
            <v>2173.913043</v>
          </cell>
          <cell r="J2170">
            <v>2173.913043</v>
          </cell>
          <cell r="K2170">
            <v>8695.6521740000007</v>
          </cell>
          <cell r="L2170">
            <v>0</v>
          </cell>
          <cell r="M2170">
            <v>0</v>
          </cell>
          <cell r="N2170">
            <v>0</v>
          </cell>
          <cell r="O2170">
            <v>0</v>
          </cell>
        </row>
        <row r="2171">
          <cell r="A2171" t="str">
            <v>I GroupRENTAL - COMPUTERS</v>
          </cell>
          <cell r="B2171">
            <v>0</v>
          </cell>
          <cell r="C2171">
            <v>0</v>
          </cell>
          <cell r="D2171">
            <v>0</v>
          </cell>
          <cell r="E2171">
            <v>0</v>
          </cell>
          <cell r="F2171">
            <v>0</v>
          </cell>
          <cell r="G2171">
            <v>0</v>
          </cell>
          <cell r="H2171">
            <v>0</v>
          </cell>
          <cell r="I2171">
            <v>0</v>
          </cell>
          <cell r="J2171">
            <v>0</v>
          </cell>
          <cell r="K2171">
            <v>0</v>
          </cell>
          <cell r="L2171">
            <v>0</v>
          </cell>
          <cell r="M2171">
            <v>0</v>
          </cell>
          <cell r="N2171">
            <v>0</v>
          </cell>
          <cell r="O2171">
            <v>0</v>
          </cell>
        </row>
        <row r="2172">
          <cell r="A2172" t="str">
            <v>I GroupLEASE IN - LEASE OUT</v>
          </cell>
          <cell r="B2172">
            <v>0</v>
          </cell>
          <cell r="C2172">
            <v>0</v>
          </cell>
          <cell r="D2172">
            <v>0</v>
          </cell>
          <cell r="E2172">
            <v>0</v>
          </cell>
          <cell r="F2172">
            <v>0</v>
          </cell>
          <cell r="G2172">
            <v>0</v>
          </cell>
          <cell r="H2172">
            <v>0</v>
          </cell>
          <cell r="I2172">
            <v>0</v>
          </cell>
          <cell r="J2172">
            <v>0</v>
          </cell>
          <cell r="K2172">
            <v>0</v>
          </cell>
          <cell r="L2172">
            <v>0</v>
          </cell>
          <cell r="M2172">
            <v>0</v>
          </cell>
          <cell r="N2172">
            <v>0</v>
          </cell>
          <cell r="O2172">
            <v>0</v>
          </cell>
        </row>
        <row r="2173">
          <cell r="A2173" t="str">
            <v>I GroupFURNITURE / EQUIPMENT / COMPUTER EXP</v>
          </cell>
          <cell r="B2173">
            <v>0</v>
          </cell>
          <cell r="C2173">
            <v>0</v>
          </cell>
          <cell r="D2173">
            <v>0</v>
          </cell>
          <cell r="E2173">
            <v>0</v>
          </cell>
          <cell r="F2173">
            <v>0</v>
          </cell>
          <cell r="G2173">
            <v>296910.86231900001</v>
          </cell>
          <cell r="H2173">
            <v>295450.264493</v>
          </cell>
          <cell r="I2173">
            <v>277334.32246400003</v>
          </cell>
          <cell r="J2173">
            <v>277334.32246400003</v>
          </cell>
          <cell r="K2173">
            <v>1147029.771739</v>
          </cell>
          <cell r="L2173">
            <v>283960.77</v>
          </cell>
          <cell r="M2173">
            <v>0</v>
          </cell>
          <cell r="N2173">
            <v>0</v>
          </cell>
          <cell r="O2173">
            <v>0</v>
          </cell>
        </row>
        <row r="2174">
          <cell r="A2174" t="str">
            <v>I GroupSOFTWARE EXPENSE</v>
          </cell>
          <cell r="B2174">
            <v>0</v>
          </cell>
          <cell r="C2174">
            <v>0</v>
          </cell>
          <cell r="D2174">
            <v>0</v>
          </cell>
          <cell r="E2174">
            <v>0</v>
          </cell>
          <cell r="F2174">
            <v>0</v>
          </cell>
          <cell r="G2174">
            <v>52502.554347999998</v>
          </cell>
          <cell r="H2174">
            <v>51942.438406000001</v>
          </cell>
          <cell r="I2174">
            <v>51942.438406000001</v>
          </cell>
          <cell r="J2174">
            <v>51942.438406000001</v>
          </cell>
          <cell r="K2174">
            <v>208329.869565</v>
          </cell>
          <cell r="L2174">
            <v>0</v>
          </cell>
          <cell r="M2174">
            <v>0</v>
          </cell>
          <cell r="N2174">
            <v>0</v>
          </cell>
          <cell r="O2174">
            <v>0</v>
          </cell>
        </row>
        <row r="2175">
          <cell r="A2175" t="str">
            <v>I GroupAMORTIZATION OF INTANGIBLES</v>
          </cell>
          <cell r="B2175">
            <v>0</v>
          </cell>
          <cell r="C2175">
            <v>0</v>
          </cell>
          <cell r="D2175">
            <v>0</v>
          </cell>
          <cell r="E2175">
            <v>0</v>
          </cell>
          <cell r="F2175">
            <v>0</v>
          </cell>
          <cell r="G2175">
            <v>0</v>
          </cell>
          <cell r="H2175">
            <v>0</v>
          </cell>
          <cell r="I2175">
            <v>0</v>
          </cell>
          <cell r="J2175">
            <v>0</v>
          </cell>
          <cell r="K2175">
            <v>0</v>
          </cell>
          <cell r="L2175">
            <v>0</v>
          </cell>
          <cell r="M2175">
            <v>0</v>
          </cell>
          <cell r="N2175">
            <v>0</v>
          </cell>
          <cell r="O2175">
            <v>0</v>
          </cell>
        </row>
        <row r="2176">
          <cell r="A2176" t="str">
            <v>I GroupELTO MAINTENANCE</v>
          </cell>
          <cell r="B2176">
            <v>0</v>
          </cell>
          <cell r="C2176">
            <v>0</v>
          </cell>
          <cell r="D2176">
            <v>0</v>
          </cell>
          <cell r="E2176">
            <v>0</v>
          </cell>
          <cell r="F2176">
            <v>0</v>
          </cell>
          <cell r="G2176">
            <v>0</v>
          </cell>
          <cell r="H2176">
            <v>0</v>
          </cell>
          <cell r="I2176">
            <v>0</v>
          </cell>
          <cell r="J2176">
            <v>0</v>
          </cell>
          <cell r="K2176">
            <v>0</v>
          </cell>
          <cell r="L2176">
            <v>0</v>
          </cell>
          <cell r="M2176">
            <v>0</v>
          </cell>
          <cell r="N2176">
            <v>0</v>
          </cell>
          <cell r="O2176">
            <v>0</v>
          </cell>
        </row>
        <row r="2177">
          <cell r="A2177" t="str">
            <v>I GroupELTO OTHER</v>
          </cell>
          <cell r="B2177">
            <v>0</v>
          </cell>
          <cell r="C2177">
            <v>0</v>
          </cell>
          <cell r="D2177">
            <v>0</v>
          </cell>
          <cell r="E2177">
            <v>0</v>
          </cell>
          <cell r="F2177">
            <v>0</v>
          </cell>
          <cell r="G2177">
            <v>0</v>
          </cell>
          <cell r="H2177">
            <v>0</v>
          </cell>
          <cell r="I2177">
            <v>0</v>
          </cell>
          <cell r="J2177">
            <v>0</v>
          </cell>
          <cell r="K2177">
            <v>0</v>
          </cell>
          <cell r="L2177">
            <v>0</v>
          </cell>
          <cell r="M2177">
            <v>0</v>
          </cell>
          <cell r="N2177">
            <v>0</v>
          </cell>
          <cell r="O2177">
            <v>0</v>
          </cell>
        </row>
        <row r="2178">
          <cell r="A2178" t="str">
            <v>I GroupLEGAL</v>
          </cell>
          <cell r="B2178">
            <v>0</v>
          </cell>
          <cell r="C2178">
            <v>0</v>
          </cell>
          <cell r="D2178">
            <v>0</v>
          </cell>
          <cell r="E2178">
            <v>0</v>
          </cell>
          <cell r="F2178">
            <v>0</v>
          </cell>
          <cell r="G2178">
            <v>197463.76811599999</v>
          </cell>
          <cell r="H2178">
            <v>197463.76811599999</v>
          </cell>
          <cell r="I2178">
            <v>208333.33333299999</v>
          </cell>
          <cell r="J2178">
            <v>197463.76811599999</v>
          </cell>
          <cell r="K2178">
            <v>800724.63768100005</v>
          </cell>
          <cell r="L2178">
            <v>36529.68</v>
          </cell>
          <cell r="M2178">
            <v>0</v>
          </cell>
          <cell r="N2178">
            <v>0</v>
          </cell>
          <cell r="O2178">
            <v>0</v>
          </cell>
        </row>
        <row r="2179">
          <cell r="A2179" t="str">
            <v>I GroupADVERTISING</v>
          </cell>
          <cell r="B2179">
            <v>0</v>
          </cell>
          <cell r="C2179">
            <v>0</v>
          </cell>
          <cell r="D2179">
            <v>0</v>
          </cell>
          <cell r="E2179">
            <v>0</v>
          </cell>
          <cell r="F2179">
            <v>0</v>
          </cell>
          <cell r="G2179">
            <v>3162226.901087</v>
          </cell>
          <cell r="H2179">
            <v>3072182.986449</v>
          </cell>
          <cell r="I2179">
            <v>3236343.3246010002</v>
          </cell>
          <cell r="J2179">
            <v>2855926.8929710002</v>
          </cell>
          <cell r="K2179">
            <v>12326680.105109001</v>
          </cell>
          <cell r="L2179">
            <v>3189683.21</v>
          </cell>
          <cell r="M2179">
            <v>0</v>
          </cell>
          <cell r="N2179">
            <v>0</v>
          </cell>
          <cell r="O2179">
            <v>0</v>
          </cell>
        </row>
        <row r="2180">
          <cell r="A2180" t="str">
            <v>I GroupSALES PROMOTIONS</v>
          </cell>
          <cell r="B2180">
            <v>0</v>
          </cell>
          <cell r="C2180">
            <v>0</v>
          </cell>
          <cell r="D2180">
            <v>0</v>
          </cell>
          <cell r="E2180">
            <v>0</v>
          </cell>
          <cell r="F2180">
            <v>0</v>
          </cell>
          <cell r="G2180">
            <v>270762.48619700002</v>
          </cell>
          <cell r="H2180">
            <v>369682.33380199998</v>
          </cell>
          <cell r="I2180">
            <v>186828.41412199999</v>
          </cell>
          <cell r="J2180">
            <v>391873.51825000002</v>
          </cell>
          <cell r="K2180">
            <v>1219146.7523709999</v>
          </cell>
          <cell r="L2180">
            <v>269729.05</v>
          </cell>
          <cell r="M2180">
            <v>0</v>
          </cell>
          <cell r="N2180">
            <v>0</v>
          </cell>
          <cell r="O2180">
            <v>0</v>
          </cell>
        </row>
        <row r="2181">
          <cell r="A2181" t="str">
            <v>I GroupDIRECT MAIL</v>
          </cell>
          <cell r="B2181">
            <v>0</v>
          </cell>
          <cell r="C2181">
            <v>0</v>
          </cell>
          <cell r="D2181">
            <v>0</v>
          </cell>
          <cell r="E2181">
            <v>0</v>
          </cell>
          <cell r="F2181">
            <v>0</v>
          </cell>
          <cell r="G2181">
            <v>0</v>
          </cell>
          <cell r="H2181">
            <v>0</v>
          </cell>
          <cell r="I2181">
            <v>0</v>
          </cell>
          <cell r="J2181">
            <v>0</v>
          </cell>
          <cell r="K2181">
            <v>0</v>
          </cell>
          <cell r="L2181">
            <v>0</v>
          </cell>
          <cell r="M2181">
            <v>0</v>
          </cell>
          <cell r="N2181">
            <v>0</v>
          </cell>
          <cell r="O2181">
            <v>0</v>
          </cell>
        </row>
        <row r="2182">
          <cell r="A2182" t="str">
            <v>I GroupDATA PROCESSING</v>
          </cell>
          <cell r="B2182">
            <v>0</v>
          </cell>
          <cell r="C2182">
            <v>0</v>
          </cell>
          <cell r="D2182">
            <v>0</v>
          </cell>
          <cell r="E2182">
            <v>0</v>
          </cell>
          <cell r="F2182">
            <v>0</v>
          </cell>
          <cell r="G2182">
            <v>0</v>
          </cell>
          <cell r="H2182">
            <v>0</v>
          </cell>
          <cell r="I2182">
            <v>0</v>
          </cell>
          <cell r="J2182">
            <v>0</v>
          </cell>
          <cell r="K2182">
            <v>0</v>
          </cell>
          <cell r="L2182">
            <v>20902.14</v>
          </cell>
          <cell r="M2182">
            <v>0</v>
          </cell>
          <cell r="N2182">
            <v>0</v>
          </cell>
          <cell r="O2182">
            <v>0</v>
          </cell>
        </row>
        <row r="2183">
          <cell r="A2183" t="str">
            <v>I GroupCONSULTING</v>
          </cell>
          <cell r="B2183">
            <v>0</v>
          </cell>
          <cell r="C2183">
            <v>0</v>
          </cell>
          <cell r="D2183">
            <v>0</v>
          </cell>
          <cell r="E2183">
            <v>0</v>
          </cell>
          <cell r="F2183">
            <v>0</v>
          </cell>
          <cell r="G2183">
            <v>315485.50724599999</v>
          </cell>
          <cell r="H2183">
            <v>269144.92753599997</v>
          </cell>
          <cell r="I2183">
            <v>256862.318841</v>
          </cell>
          <cell r="J2183">
            <v>256862.318841</v>
          </cell>
          <cell r="K2183">
            <v>1098355.072464</v>
          </cell>
          <cell r="L2183">
            <v>0</v>
          </cell>
          <cell r="M2183">
            <v>0</v>
          </cell>
          <cell r="N2183">
            <v>0</v>
          </cell>
          <cell r="O2183">
            <v>0</v>
          </cell>
        </row>
        <row r="2184">
          <cell r="A2184" t="str">
            <v>I GroupTEMP SERVICES</v>
          </cell>
          <cell r="B2184">
            <v>0</v>
          </cell>
          <cell r="C2184">
            <v>0</v>
          </cell>
          <cell r="D2184">
            <v>0</v>
          </cell>
          <cell r="E2184">
            <v>0</v>
          </cell>
          <cell r="F2184">
            <v>0</v>
          </cell>
          <cell r="G2184">
            <v>51652.536231999999</v>
          </cell>
          <cell r="H2184">
            <v>50203.260869999998</v>
          </cell>
          <cell r="I2184">
            <v>50203.260869999998</v>
          </cell>
          <cell r="J2184">
            <v>50203.260869999998</v>
          </cell>
          <cell r="K2184">
            <v>202262.318841</v>
          </cell>
          <cell r="L2184">
            <v>0</v>
          </cell>
          <cell r="M2184">
            <v>0</v>
          </cell>
          <cell r="N2184">
            <v>0</v>
          </cell>
          <cell r="O2184">
            <v>0</v>
          </cell>
        </row>
        <row r="2185">
          <cell r="A2185" t="str">
            <v>I GroupGDC CHARGES</v>
          </cell>
          <cell r="B2185">
            <v>0</v>
          </cell>
          <cell r="C2185">
            <v>0</v>
          </cell>
          <cell r="D2185">
            <v>0</v>
          </cell>
          <cell r="E2185">
            <v>0</v>
          </cell>
          <cell r="F2185">
            <v>0</v>
          </cell>
          <cell r="G2185">
            <v>0</v>
          </cell>
          <cell r="H2185">
            <v>0</v>
          </cell>
          <cell r="I2185">
            <v>0</v>
          </cell>
          <cell r="J2185">
            <v>0</v>
          </cell>
          <cell r="K2185">
            <v>0</v>
          </cell>
          <cell r="L2185">
            <v>0</v>
          </cell>
          <cell r="M2185">
            <v>0</v>
          </cell>
          <cell r="N2185">
            <v>0</v>
          </cell>
          <cell r="O2185">
            <v>0</v>
          </cell>
        </row>
        <row r="2186">
          <cell r="A2186" t="str">
            <v>I GroupTRAINING AND EDUCATION</v>
          </cell>
          <cell r="B2186">
            <v>0</v>
          </cell>
          <cell r="C2186">
            <v>0</v>
          </cell>
          <cell r="D2186">
            <v>0</v>
          </cell>
          <cell r="E2186">
            <v>0</v>
          </cell>
          <cell r="F2186">
            <v>0</v>
          </cell>
          <cell r="G2186">
            <v>214821.74644799999</v>
          </cell>
          <cell r="H2186">
            <v>207476.23829099999</v>
          </cell>
          <cell r="I2186">
            <v>209371.428587</v>
          </cell>
          <cell r="J2186">
            <v>209371.428587</v>
          </cell>
          <cell r="K2186">
            <v>841040.84191299998</v>
          </cell>
          <cell r="L2186">
            <v>127641.62</v>
          </cell>
          <cell r="M2186">
            <v>0</v>
          </cell>
          <cell r="N2186">
            <v>0</v>
          </cell>
          <cell r="O2186">
            <v>0</v>
          </cell>
        </row>
        <row r="2187">
          <cell r="A2187" t="str">
            <v>I GroupOUTSIDE SERVICES  AND FEES</v>
          </cell>
          <cell r="B2187">
            <v>0</v>
          </cell>
          <cell r="C2187">
            <v>0</v>
          </cell>
          <cell r="D2187">
            <v>0</v>
          </cell>
          <cell r="E2187">
            <v>0</v>
          </cell>
          <cell r="F2187">
            <v>0</v>
          </cell>
          <cell r="G2187">
            <v>293791.30434799998</v>
          </cell>
          <cell r="H2187">
            <v>293791.30434799998</v>
          </cell>
          <cell r="I2187">
            <v>293791.30434799998</v>
          </cell>
          <cell r="J2187">
            <v>293791.30434799998</v>
          </cell>
          <cell r="K2187">
            <v>1175165.2173909999</v>
          </cell>
          <cell r="L2187">
            <v>0</v>
          </cell>
          <cell r="M2187">
            <v>0</v>
          </cell>
          <cell r="N2187">
            <v>0</v>
          </cell>
          <cell r="O2187">
            <v>0</v>
          </cell>
        </row>
        <row r="2188">
          <cell r="A2188" t="str">
            <v>I GroupSTATE, FOREIGN, LOCAL TAXES</v>
          </cell>
          <cell r="B2188">
            <v>0</v>
          </cell>
          <cell r="C2188">
            <v>0</v>
          </cell>
          <cell r="D2188">
            <v>0</v>
          </cell>
          <cell r="E2188">
            <v>102180</v>
          </cell>
          <cell r="F2188">
            <v>102180</v>
          </cell>
          <cell r="G2188">
            <v>676040.66360099998</v>
          </cell>
          <cell r="H2188">
            <v>674907.19210999995</v>
          </cell>
          <cell r="I2188">
            <v>658819.07509099995</v>
          </cell>
          <cell r="J2188">
            <v>721133.26094199996</v>
          </cell>
          <cell r="K2188">
            <v>2730900.191745</v>
          </cell>
          <cell r="L2188">
            <v>875451.81</v>
          </cell>
          <cell r="M2188">
            <v>0</v>
          </cell>
          <cell r="N2188">
            <v>0</v>
          </cell>
          <cell r="O2188">
            <v>0</v>
          </cell>
        </row>
        <row r="2189">
          <cell r="A2189" t="str">
            <v>I GroupS/L TAX - INSURANCE PREMIUMS</v>
          </cell>
          <cell r="B2189">
            <v>0</v>
          </cell>
          <cell r="C2189">
            <v>0</v>
          </cell>
          <cell r="D2189">
            <v>0</v>
          </cell>
          <cell r="E2189">
            <v>0</v>
          </cell>
          <cell r="F2189">
            <v>0</v>
          </cell>
          <cell r="G2189">
            <v>0</v>
          </cell>
          <cell r="H2189">
            <v>0</v>
          </cell>
          <cell r="I2189">
            <v>0</v>
          </cell>
          <cell r="J2189">
            <v>0</v>
          </cell>
          <cell r="K2189">
            <v>0</v>
          </cell>
          <cell r="L2189">
            <v>0</v>
          </cell>
          <cell r="M2189">
            <v>0</v>
          </cell>
          <cell r="N2189">
            <v>0</v>
          </cell>
          <cell r="O2189">
            <v>0</v>
          </cell>
        </row>
        <row r="2190">
          <cell r="A2190" t="str">
            <v>I GroupSATELLITE LEASE EXPENSE</v>
          </cell>
          <cell r="B2190">
            <v>0</v>
          </cell>
          <cell r="C2190">
            <v>0</v>
          </cell>
          <cell r="D2190">
            <v>0</v>
          </cell>
          <cell r="E2190">
            <v>0</v>
          </cell>
          <cell r="F2190">
            <v>0</v>
          </cell>
          <cell r="G2190">
            <v>0</v>
          </cell>
          <cell r="H2190">
            <v>0</v>
          </cell>
          <cell r="I2190">
            <v>0</v>
          </cell>
          <cell r="J2190">
            <v>0</v>
          </cell>
          <cell r="K2190">
            <v>0</v>
          </cell>
          <cell r="L2190">
            <v>0</v>
          </cell>
          <cell r="M2190">
            <v>0</v>
          </cell>
          <cell r="N2190">
            <v>0</v>
          </cell>
          <cell r="O2190">
            <v>0</v>
          </cell>
        </row>
        <row r="2191">
          <cell r="A2191" t="str">
            <v>I GroupBUSINESS SHARE EXPENSE</v>
          </cell>
          <cell r="B2191">
            <v>0</v>
          </cell>
          <cell r="C2191">
            <v>0</v>
          </cell>
          <cell r="D2191">
            <v>0</v>
          </cell>
          <cell r="E2191">
            <v>0</v>
          </cell>
          <cell r="F2191">
            <v>0</v>
          </cell>
          <cell r="G2191">
            <v>0</v>
          </cell>
          <cell r="H2191">
            <v>0</v>
          </cell>
          <cell r="I2191">
            <v>0</v>
          </cell>
          <cell r="J2191">
            <v>0</v>
          </cell>
          <cell r="K2191">
            <v>0</v>
          </cell>
          <cell r="L2191">
            <v>0</v>
          </cell>
          <cell r="M2191">
            <v>0</v>
          </cell>
          <cell r="N2191">
            <v>0</v>
          </cell>
          <cell r="O2191">
            <v>0</v>
          </cell>
        </row>
        <row r="2192">
          <cell r="A2192" t="str">
            <v>I GroupINSURANCE AFFILIATE EXPENSE</v>
          </cell>
          <cell r="B2192">
            <v>0</v>
          </cell>
          <cell r="C2192">
            <v>0</v>
          </cell>
          <cell r="D2192">
            <v>0</v>
          </cell>
          <cell r="E2192">
            <v>0</v>
          </cell>
          <cell r="F2192">
            <v>0</v>
          </cell>
          <cell r="G2192">
            <v>0</v>
          </cell>
          <cell r="H2192">
            <v>0</v>
          </cell>
          <cell r="I2192">
            <v>0</v>
          </cell>
          <cell r="J2192">
            <v>0</v>
          </cell>
          <cell r="K2192">
            <v>0</v>
          </cell>
          <cell r="L2192">
            <v>0</v>
          </cell>
          <cell r="M2192">
            <v>0</v>
          </cell>
          <cell r="N2192">
            <v>0</v>
          </cell>
          <cell r="O2192">
            <v>0</v>
          </cell>
        </row>
        <row r="2193">
          <cell r="A2193" t="str">
            <v>I GroupOTHER FACILITY EXPENSE</v>
          </cell>
          <cell r="B2193">
            <v>0</v>
          </cell>
          <cell r="C2193">
            <v>0</v>
          </cell>
          <cell r="D2193">
            <v>0</v>
          </cell>
          <cell r="E2193">
            <v>0</v>
          </cell>
          <cell r="F2193">
            <v>0</v>
          </cell>
          <cell r="G2193">
            <v>772942.43478300003</v>
          </cell>
          <cell r="H2193">
            <v>717652.57970999996</v>
          </cell>
          <cell r="I2193">
            <v>758461.27536199999</v>
          </cell>
          <cell r="J2193">
            <v>787472.86956499994</v>
          </cell>
          <cell r="K2193">
            <v>3036529.1594199999</v>
          </cell>
          <cell r="L2193">
            <v>328382.2</v>
          </cell>
          <cell r="M2193">
            <v>0</v>
          </cell>
          <cell r="N2193">
            <v>0</v>
          </cell>
          <cell r="O2193">
            <v>0</v>
          </cell>
        </row>
        <row r="2194">
          <cell r="A2194" t="str">
            <v>I GroupGROSS OP &amp; ADMIN BUS SHARE</v>
          </cell>
          <cell r="B2194">
            <v>0</v>
          </cell>
          <cell r="C2194">
            <v>0</v>
          </cell>
          <cell r="D2194">
            <v>0</v>
          </cell>
          <cell r="E2194">
            <v>0</v>
          </cell>
          <cell r="F2194">
            <v>0</v>
          </cell>
          <cell r="G2194">
            <v>0</v>
          </cell>
          <cell r="H2194">
            <v>0</v>
          </cell>
          <cell r="I2194">
            <v>0</v>
          </cell>
          <cell r="J2194">
            <v>0</v>
          </cell>
          <cell r="K2194">
            <v>0</v>
          </cell>
          <cell r="L2194">
            <v>0</v>
          </cell>
          <cell r="M2194">
            <v>0</v>
          </cell>
          <cell r="N2194">
            <v>0</v>
          </cell>
          <cell r="O2194">
            <v>0</v>
          </cell>
        </row>
        <row r="2195">
          <cell r="A2195" t="str">
            <v>I GroupOTHER EXPENSE</v>
          </cell>
          <cell r="B2195">
            <v>0</v>
          </cell>
          <cell r="C2195">
            <v>0</v>
          </cell>
          <cell r="D2195">
            <v>24595841.199999999</v>
          </cell>
          <cell r="E2195">
            <v>19037402.98</v>
          </cell>
          <cell r="F2195">
            <v>43633244.18</v>
          </cell>
          <cell r="G2195">
            <v>32934.782609000002</v>
          </cell>
          <cell r="H2195">
            <v>32934.782609000002</v>
          </cell>
          <cell r="I2195">
            <v>32934.782609000002</v>
          </cell>
          <cell r="J2195">
            <v>32934.782609000002</v>
          </cell>
          <cell r="K2195">
            <v>131739.130435</v>
          </cell>
          <cell r="L2195">
            <v>-8481409.3599999994</v>
          </cell>
          <cell r="M2195">
            <v>38300000</v>
          </cell>
          <cell r="N2195">
            <v>41100000</v>
          </cell>
          <cell r="O2195">
            <v>42800000</v>
          </cell>
        </row>
        <row r="2196">
          <cell r="A2196" t="str">
            <v>I GroupGECC INTERCO EXPENSES EXCL GECIS</v>
          </cell>
          <cell r="B2196">
            <v>0</v>
          </cell>
          <cell r="C2196">
            <v>0</v>
          </cell>
          <cell r="D2196">
            <v>0</v>
          </cell>
          <cell r="E2196">
            <v>0</v>
          </cell>
          <cell r="F2196">
            <v>0</v>
          </cell>
          <cell r="G2196">
            <v>0</v>
          </cell>
          <cell r="H2196">
            <v>0</v>
          </cell>
          <cell r="I2196">
            <v>0</v>
          </cell>
          <cell r="J2196">
            <v>0</v>
          </cell>
          <cell r="K2196">
            <v>0</v>
          </cell>
          <cell r="L2196">
            <v>-21167</v>
          </cell>
          <cell r="M2196">
            <v>0</v>
          </cell>
          <cell r="N2196">
            <v>0</v>
          </cell>
          <cell r="O2196">
            <v>0</v>
          </cell>
        </row>
        <row r="2197">
          <cell r="A2197" t="str">
            <v>I GroupGECIS INTERCO CHARGES</v>
          </cell>
          <cell r="B2197">
            <v>0</v>
          </cell>
          <cell r="C2197">
            <v>0</v>
          </cell>
          <cell r="D2197">
            <v>0</v>
          </cell>
          <cell r="E2197">
            <v>0</v>
          </cell>
          <cell r="F2197">
            <v>0</v>
          </cell>
          <cell r="G2197">
            <v>0</v>
          </cell>
          <cell r="H2197">
            <v>0</v>
          </cell>
          <cell r="I2197">
            <v>0</v>
          </cell>
          <cell r="J2197">
            <v>0</v>
          </cell>
          <cell r="K2197">
            <v>0</v>
          </cell>
          <cell r="L2197">
            <v>0</v>
          </cell>
          <cell r="M2197">
            <v>0</v>
          </cell>
          <cell r="N2197">
            <v>0</v>
          </cell>
          <cell r="O2197">
            <v>0</v>
          </cell>
        </row>
        <row r="2198">
          <cell r="A2198" t="str">
            <v>I GroupLOSS ADJUSTED EXPENSE</v>
          </cell>
          <cell r="B2198">
            <v>0</v>
          </cell>
          <cell r="C2198">
            <v>0</v>
          </cell>
          <cell r="D2198">
            <v>0</v>
          </cell>
          <cell r="E2198">
            <v>0</v>
          </cell>
          <cell r="F2198">
            <v>0</v>
          </cell>
          <cell r="G2198">
            <v>0</v>
          </cell>
          <cell r="H2198">
            <v>0</v>
          </cell>
          <cell r="I2198">
            <v>0</v>
          </cell>
          <cell r="J2198">
            <v>0</v>
          </cell>
          <cell r="K2198">
            <v>0</v>
          </cell>
          <cell r="L2198">
            <v>0</v>
          </cell>
          <cell r="M2198">
            <v>0</v>
          </cell>
          <cell r="N2198">
            <v>0</v>
          </cell>
          <cell r="O2198">
            <v>0</v>
          </cell>
        </row>
        <row r="2199">
          <cell r="A2199" t="str">
            <v>I GroupALL OTHER EXPENSES</v>
          </cell>
          <cell r="B2199">
            <v>0</v>
          </cell>
          <cell r="C2199">
            <v>0</v>
          </cell>
          <cell r="D2199">
            <v>0</v>
          </cell>
          <cell r="E2199">
            <v>0.03</v>
          </cell>
          <cell r="F2199">
            <v>0.03</v>
          </cell>
          <cell r="G2199">
            <v>0</v>
          </cell>
          <cell r="H2199">
            <v>0</v>
          </cell>
          <cell r="I2199">
            <v>0</v>
          </cell>
          <cell r="J2199">
            <v>0</v>
          </cell>
          <cell r="K2199">
            <v>0</v>
          </cell>
          <cell r="L2199">
            <v>-0.05</v>
          </cell>
          <cell r="M2199">
            <v>0</v>
          </cell>
          <cell r="N2199">
            <v>0</v>
          </cell>
          <cell r="O2199">
            <v>0</v>
          </cell>
        </row>
        <row r="2200">
          <cell r="A2200" t="str">
            <v>I GroupASSESSMENTS</v>
          </cell>
          <cell r="B2200">
            <v>0</v>
          </cell>
          <cell r="C2200">
            <v>0</v>
          </cell>
          <cell r="D2200">
            <v>0</v>
          </cell>
          <cell r="E2200">
            <v>-102180</v>
          </cell>
          <cell r="F2200">
            <v>-102180</v>
          </cell>
          <cell r="G2200">
            <v>2557717.004123</v>
          </cell>
          <cell r="H2200">
            <v>2557717.004123</v>
          </cell>
          <cell r="I2200">
            <v>2557717.004123</v>
          </cell>
          <cell r="J2200">
            <v>2557717.004123</v>
          </cell>
          <cell r="K2200">
            <v>10230868.016492</v>
          </cell>
          <cell r="L2200">
            <v>2386758.7200000002</v>
          </cell>
          <cell r="M2200">
            <v>10700000</v>
          </cell>
          <cell r="N2200">
            <v>12800000</v>
          </cell>
          <cell r="O2200">
            <v>14300000</v>
          </cell>
        </row>
        <row r="2201">
          <cell r="A2201" t="str">
            <v>I GroupFAS 91</v>
          </cell>
          <cell r="B2201">
            <v>0</v>
          </cell>
          <cell r="C2201">
            <v>0</v>
          </cell>
          <cell r="D2201">
            <v>0</v>
          </cell>
          <cell r="E2201">
            <v>0</v>
          </cell>
          <cell r="F2201">
            <v>0</v>
          </cell>
          <cell r="G2201">
            <v>-711385.75490399997</v>
          </cell>
          <cell r="H2201">
            <v>-745849.85640799999</v>
          </cell>
          <cell r="I2201">
            <v>-766349.50265899999</v>
          </cell>
          <cell r="J2201">
            <v>-771036.41160999995</v>
          </cell>
          <cell r="K2201">
            <v>-2994621.5255809999</v>
          </cell>
          <cell r="L2201">
            <v>8790664.5</v>
          </cell>
          <cell r="M2201">
            <v>0</v>
          </cell>
          <cell r="N2201">
            <v>0</v>
          </cell>
          <cell r="O2201">
            <v>0</v>
          </cell>
        </row>
        <row r="2202">
          <cell r="A2202" t="str">
            <v>I GroupGOODWILL AMORTIZATION</v>
          </cell>
          <cell r="B2202">
            <v>0</v>
          </cell>
          <cell r="C2202">
            <v>0</v>
          </cell>
          <cell r="D2202">
            <v>0</v>
          </cell>
          <cell r="E2202">
            <v>0</v>
          </cell>
          <cell r="F2202">
            <v>0</v>
          </cell>
          <cell r="G2202">
            <v>0</v>
          </cell>
          <cell r="H2202">
            <v>0</v>
          </cell>
          <cell r="I2202">
            <v>0</v>
          </cell>
          <cell r="J2202">
            <v>0</v>
          </cell>
          <cell r="K2202">
            <v>0</v>
          </cell>
          <cell r="L2202">
            <v>0</v>
          </cell>
          <cell r="M2202">
            <v>25000000</v>
          </cell>
          <cell r="N2202">
            <v>25900000</v>
          </cell>
          <cell r="O2202">
            <v>26000000</v>
          </cell>
        </row>
        <row r="2203">
          <cell r="A2203" t="str">
            <v>I GroupDEPRECIATION EXPENSE</v>
          </cell>
          <cell r="B2203">
            <v>0</v>
          </cell>
          <cell r="C2203">
            <v>0</v>
          </cell>
          <cell r="D2203">
            <v>0</v>
          </cell>
          <cell r="E2203">
            <v>0</v>
          </cell>
          <cell r="F2203">
            <v>0</v>
          </cell>
          <cell r="G2203">
            <v>433853.05998399999</v>
          </cell>
          <cell r="H2203">
            <v>578726.51650599996</v>
          </cell>
          <cell r="I2203">
            <v>619843.05273800006</v>
          </cell>
          <cell r="J2203">
            <v>639712.21537800005</v>
          </cell>
          <cell r="K2203">
            <v>2272134.8446050002</v>
          </cell>
          <cell r="L2203">
            <v>358231.77</v>
          </cell>
          <cell r="M2203">
            <v>0</v>
          </cell>
          <cell r="N2203">
            <v>0</v>
          </cell>
          <cell r="O2203">
            <v>0</v>
          </cell>
        </row>
        <row r="2204">
          <cell r="A2204" t="str">
            <v>I GroupELTO AMORTIZATION</v>
          </cell>
          <cell r="B2204">
            <v>0</v>
          </cell>
          <cell r="C2204">
            <v>0</v>
          </cell>
          <cell r="D2204">
            <v>0</v>
          </cell>
          <cell r="E2204">
            <v>0</v>
          </cell>
          <cell r="F2204">
            <v>0</v>
          </cell>
          <cell r="G2204">
            <v>0</v>
          </cell>
          <cell r="H2204">
            <v>0</v>
          </cell>
          <cell r="I2204">
            <v>0</v>
          </cell>
          <cell r="J2204">
            <v>0</v>
          </cell>
          <cell r="K2204">
            <v>0</v>
          </cell>
          <cell r="L2204">
            <v>0</v>
          </cell>
          <cell r="M2204">
            <v>0</v>
          </cell>
          <cell r="N2204">
            <v>0</v>
          </cell>
          <cell r="O2204">
            <v>0</v>
          </cell>
        </row>
        <row r="2205">
          <cell r="A2205" t="str">
            <v>I GroupINSURANCE LOSSES AND BENEFITS</v>
          </cell>
          <cell r="B2205">
            <v>0</v>
          </cell>
          <cell r="C2205">
            <v>0</v>
          </cell>
          <cell r="D2205">
            <v>0</v>
          </cell>
          <cell r="E2205">
            <v>0</v>
          </cell>
          <cell r="F2205">
            <v>0</v>
          </cell>
          <cell r="G2205">
            <v>0</v>
          </cell>
          <cell r="H2205">
            <v>0</v>
          </cell>
          <cell r="I2205">
            <v>0</v>
          </cell>
          <cell r="J2205">
            <v>0</v>
          </cell>
          <cell r="K2205">
            <v>0</v>
          </cell>
          <cell r="L2205">
            <v>0</v>
          </cell>
          <cell r="M2205">
            <v>0</v>
          </cell>
          <cell r="N2205">
            <v>0</v>
          </cell>
          <cell r="O2205">
            <v>0</v>
          </cell>
        </row>
        <row r="2206">
          <cell r="A2206" t="str">
            <v>I GroupWRITE OFFS</v>
          </cell>
          <cell r="B2206">
            <v>0</v>
          </cell>
          <cell r="C2206">
            <v>0</v>
          </cell>
          <cell r="D2206">
            <v>0</v>
          </cell>
          <cell r="E2206">
            <v>0</v>
          </cell>
          <cell r="F2206">
            <v>0</v>
          </cell>
          <cell r="G2206">
            <v>3296777.49101</v>
          </cell>
          <cell r="H2206">
            <v>4244176.9762209998</v>
          </cell>
          <cell r="I2206">
            <v>5836574.2198879998</v>
          </cell>
          <cell r="J2206">
            <v>6772427.0692210002</v>
          </cell>
          <cell r="K2206">
            <v>20149955.756340001</v>
          </cell>
          <cell r="L2206">
            <v>4759218.03</v>
          </cell>
          <cell r="M2206">
            <v>27400000</v>
          </cell>
          <cell r="N2206">
            <v>27800000</v>
          </cell>
          <cell r="O2206">
            <v>28000000</v>
          </cell>
        </row>
        <row r="2207">
          <cell r="A2207" t="str">
            <v>I GroupRESERVE CHANGE</v>
          </cell>
          <cell r="B2207">
            <v>0</v>
          </cell>
          <cell r="C2207">
            <v>0</v>
          </cell>
          <cell r="D2207">
            <v>0</v>
          </cell>
          <cell r="E2207">
            <v>0</v>
          </cell>
          <cell r="F2207">
            <v>0</v>
          </cell>
          <cell r="G2207">
            <v>0</v>
          </cell>
          <cell r="H2207">
            <v>0</v>
          </cell>
          <cell r="I2207">
            <v>0</v>
          </cell>
          <cell r="J2207">
            <v>0</v>
          </cell>
          <cell r="K2207">
            <v>0</v>
          </cell>
          <cell r="L2207">
            <v>0</v>
          </cell>
          <cell r="M2207">
            <v>0</v>
          </cell>
          <cell r="N2207">
            <v>0</v>
          </cell>
          <cell r="O2207">
            <v>0</v>
          </cell>
        </row>
        <row r="2208">
          <cell r="A2208" t="str">
            <v>I GroupMINORITY INTEREST</v>
          </cell>
          <cell r="B2208">
            <v>0</v>
          </cell>
          <cell r="C2208">
            <v>0</v>
          </cell>
          <cell r="D2208">
            <v>0</v>
          </cell>
          <cell r="E2208">
            <v>0</v>
          </cell>
          <cell r="F2208">
            <v>0</v>
          </cell>
          <cell r="G2208">
            <v>0</v>
          </cell>
          <cell r="H2208">
            <v>0</v>
          </cell>
          <cell r="I2208">
            <v>0</v>
          </cell>
          <cell r="J2208">
            <v>0</v>
          </cell>
          <cell r="K2208">
            <v>0</v>
          </cell>
          <cell r="L2208">
            <v>0</v>
          </cell>
          <cell r="M2208">
            <v>0</v>
          </cell>
          <cell r="N2208">
            <v>0</v>
          </cell>
          <cell r="O2208">
            <v>0</v>
          </cell>
        </row>
        <row r="2209">
          <cell r="A2209" t="str">
            <v>I GroupINCOME TAXES</v>
          </cell>
          <cell r="B2209">
            <v>0</v>
          </cell>
          <cell r="C2209">
            <v>0</v>
          </cell>
          <cell r="D2209">
            <v>755210.77</v>
          </cell>
          <cell r="E2209">
            <v>-5009637.8099999996</v>
          </cell>
          <cell r="F2209">
            <v>-4254427.04</v>
          </cell>
          <cell r="G2209">
            <v>-4923911.8861090001</v>
          </cell>
          <cell r="H2209">
            <v>-5152514.3601660002</v>
          </cell>
          <cell r="I2209">
            <v>-5855456.9407879999</v>
          </cell>
          <cell r="J2209">
            <v>-6392299.6482469998</v>
          </cell>
          <cell r="K2209">
            <v>-22324182.835310001</v>
          </cell>
          <cell r="L2209">
            <v>-2953705.64</v>
          </cell>
          <cell r="M2209">
            <v>21000000</v>
          </cell>
          <cell r="N2209">
            <v>33300000</v>
          </cell>
          <cell r="O2209">
            <v>43500000</v>
          </cell>
        </row>
        <row r="2210">
          <cell r="A2210" t="str">
            <v>I GroupCUMULATIVE TRANSITION ADJUSTMENT</v>
          </cell>
          <cell r="B2210">
            <v>0</v>
          </cell>
          <cell r="C2210">
            <v>0</v>
          </cell>
          <cell r="D2210">
            <v>0</v>
          </cell>
          <cell r="E2210">
            <v>0</v>
          </cell>
          <cell r="F2210">
            <v>0</v>
          </cell>
          <cell r="G2210">
            <v>0</v>
          </cell>
          <cell r="H2210">
            <v>0</v>
          </cell>
          <cell r="I2210">
            <v>0</v>
          </cell>
          <cell r="J2210">
            <v>0</v>
          </cell>
          <cell r="K2210">
            <v>0</v>
          </cell>
          <cell r="L2210">
            <v>0</v>
          </cell>
          <cell r="M2210">
            <v>0</v>
          </cell>
          <cell r="N2210">
            <v>0</v>
          </cell>
          <cell r="O2210">
            <v>0</v>
          </cell>
        </row>
        <row r="2211">
          <cell r="A2211" t="str">
            <v>I GroupASIA PACIFIC NI DIVIDEND</v>
          </cell>
          <cell r="B2211">
            <v>0</v>
          </cell>
          <cell r="C2211">
            <v>0</v>
          </cell>
          <cell r="D2211">
            <v>0</v>
          </cell>
          <cell r="E2211">
            <v>0</v>
          </cell>
          <cell r="F2211">
            <v>0</v>
          </cell>
          <cell r="G2211">
            <v>0</v>
          </cell>
          <cell r="H2211">
            <v>0</v>
          </cell>
          <cell r="I2211">
            <v>0</v>
          </cell>
          <cell r="J2211">
            <v>0</v>
          </cell>
          <cell r="K2211">
            <v>0</v>
          </cell>
          <cell r="L2211">
            <v>0</v>
          </cell>
          <cell r="M2211">
            <v>0</v>
          </cell>
          <cell r="N2211">
            <v>0</v>
          </cell>
          <cell r="O2211">
            <v>0</v>
          </cell>
        </row>
        <row r="2212">
          <cell r="A2212" t="str">
            <v>I GroupNet Income</v>
          </cell>
          <cell r="B2212">
            <v>0</v>
          </cell>
          <cell r="C2212">
            <v>0</v>
          </cell>
          <cell r="D2212">
            <v>-6229182.1100000003</v>
          </cell>
          <cell r="E2212">
            <v>-13325020.859999999</v>
          </cell>
          <cell r="F2212">
            <v>-19554202.969999999</v>
          </cell>
          <cell r="G2212">
            <v>-22348601.251339</v>
          </cell>
          <cell r="H2212">
            <v>-23897506.074857</v>
          </cell>
          <cell r="I2212">
            <v>-25857416.200173002</v>
          </cell>
          <cell r="J2212">
            <v>-28541070.437926002</v>
          </cell>
          <cell r="K2212">
            <v>-100644593.964295</v>
          </cell>
          <cell r="L2212">
            <v>-22629095.890000001</v>
          </cell>
          <cell r="M2212">
            <v>-36600000</v>
          </cell>
          <cell r="N2212">
            <v>-58800000</v>
          </cell>
          <cell r="O2212">
            <v>-77300000</v>
          </cell>
        </row>
        <row r="2213">
          <cell r="A2213" t="str">
            <v>I GroupSubPart F</v>
          </cell>
          <cell r="B2213">
            <v>0</v>
          </cell>
          <cell r="C2213">
            <v>0</v>
          </cell>
          <cell r="D2213">
            <v>1787348</v>
          </cell>
          <cell r="E2213">
            <v>7869547</v>
          </cell>
          <cell r="F2213">
            <v>9656895</v>
          </cell>
          <cell r="G2213">
            <v>9722323.5654879995</v>
          </cell>
          <cell r="H2213">
            <v>11428542.734087</v>
          </cell>
          <cell r="I2213">
            <v>13591811.635766</v>
          </cell>
          <cell r="J2213">
            <v>15901916.028953999</v>
          </cell>
          <cell r="K2213">
            <v>50644593.964295</v>
          </cell>
          <cell r="L2213">
            <v>9907878.75</v>
          </cell>
          <cell r="M2213">
            <v>0</v>
          </cell>
          <cell r="N2213">
            <v>0</v>
          </cell>
          <cell r="O2213">
            <v>0</v>
          </cell>
        </row>
        <row r="2214">
          <cell r="A2214" t="str">
            <v>I GroupAssets</v>
          </cell>
          <cell r="B2214">
            <v>0</v>
          </cell>
          <cell r="C2214">
            <v>3007875007.8200002</v>
          </cell>
          <cell r="D2214">
            <v>3357680799.6599998</v>
          </cell>
          <cell r="E2214">
            <v>3851775921.8699999</v>
          </cell>
          <cell r="F2214">
            <v>3851775921.8699999</v>
          </cell>
          <cell r="G2214">
            <v>4077389746.1728601</v>
          </cell>
          <cell r="H2214">
            <v>4387120717.5781803</v>
          </cell>
          <cell r="I2214">
            <v>4777473639.4102697</v>
          </cell>
          <cell r="J2214">
            <v>5206814601.5206699</v>
          </cell>
          <cell r="K2214">
            <v>5206814601.5206699</v>
          </cell>
          <cell r="L2214">
            <v>4296290034.9399996</v>
          </cell>
          <cell r="M2214">
            <v>4221200000</v>
          </cell>
          <cell r="N2214">
            <v>4854200000</v>
          </cell>
          <cell r="O2214">
            <v>5267300000</v>
          </cell>
        </row>
        <row r="2215">
          <cell r="A2215" t="str">
            <v>I GroupEnding Net Investment (ENI) incl Asia</v>
          </cell>
          <cell r="B2215">
            <v>0</v>
          </cell>
          <cell r="C2215">
            <v>2944828474.4200001</v>
          </cell>
          <cell r="D2215">
            <v>3313230765.9899998</v>
          </cell>
          <cell r="E2215">
            <v>3779121900.5900002</v>
          </cell>
          <cell r="F2215">
            <v>3779121900.5900002</v>
          </cell>
          <cell r="G2215">
            <v>4009529482.0142498</v>
          </cell>
          <cell r="H2215">
            <v>4315958748.1000404</v>
          </cell>
          <cell r="I2215">
            <v>4710247930.7796297</v>
          </cell>
          <cell r="J2215">
            <v>5140835679.8677998</v>
          </cell>
          <cell r="K2215">
            <v>5140835679.8677998</v>
          </cell>
          <cell r="L2215">
            <v>4226595717.8099999</v>
          </cell>
          <cell r="M2215">
            <v>4221200000</v>
          </cell>
          <cell r="N2215">
            <v>4854200000</v>
          </cell>
          <cell r="O2215">
            <v>5267300000</v>
          </cell>
        </row>
        <row r="2216">
          <cell r="A2216" t="str">
            <v>I GroupANR YTD</v>
          </cell>
          <cell r="B2216">
            <v>0</v>
          </cell>
          <cell r="C2216">
            <v>842374044.37</v>
          </cell>
          <cell r="D2216">
            <v>1339664470.4124999</v>
          </cell>
          <cell r="E2216">
            <v>1772256889.122</v>
          </cell>
          <cell r="F2216">
            <v>1772256889.122</v>
          </cell>
          <cell r="G2216">
            <v>3616434045.69771</v>
          </cell>
          <cell r="H2216">
            <v>3753949055.0593801</v>
          </cell>
          <cell r="I2216">
            <v>3921774995.5911498</v>
          </cell>
          <cell r="J2216">
            <v>4109202810.3282099</v>
          </cell>
          <cell r="K2216">
            <v>4109202810.3282099</v>
          </cell>
          <cell r="L2216">
            <v>3699511233.1750002</v>
          </cell>
          <cell r="M2216">
            <v>1359200000</v>
          </cell>
          <cell r="N2216">
            <v>1664880000</v>
          </cell>
          <cell r="O2216">
            <v>1885220000</v>
          </cell>
        </row>
        <row r="2217">
          <cell r="A2217" t="str">
            <v>I GroupASA YTD</v>
          </cell>
          <cell r="B2217">
            <v>0</v>
          </cell>
          <cell r="C2217">
            <v>842374044.37</v>
          </cell>
          <cell r="D2217">
            <v>1339664470.4124999</v>
          </cell>
          <cell r="E2217">
            <v>1792486265.424</v>
          </cell>
          <cell r="F2217">
            <v>1792486265.424</v>
          </cell>
          <cell r="G2217">
            <v>3657207657.1551099</v>
          </cell>
          <cell r="H2217">
            <v>3805538567.1750002</v>
          </cell>
          <cell r="I2217">
            <v>3976903497.9227901</v>
          </cell>
          <cell r="J2217">
            <v>4166454706.7894602</v>
          </cell>
          <cell r="K2217">
            <v>4166454706.7894602</v>
          </cell>
          <cell r="L2217">
            <v>3750084673.9299998</v>
          </cell>
          <cell r="M2217">
            <v>1359200000</v>
          </cell>
          <cell r="N2217">
            <v>1664880000</v>
          </cell>
          <cell r="O2217">
            <v>1885220000</v>
          </cell>
        </row>
        <row r="2218">
          <cell r="A2218" t="str">
            <v>I GroupANI YTD incl Asia - 5 pt</v>
          </cell>
          <cell r="B2218">
            <v>0</v>
          </cell>
          <cell r="C2218">
            <v>981609491.473333</v>
          </cell>
          <cell r="D2218">
            <v>1564514810.1025</v>
          </cell>
          <cell r="E2218">
            <v>2007436228.2</v>
          </cell>
          <cell r="F2218">
            <v>2007436228.2</v>
          </cell>
          <cell r="G2218">
            <v>3894325691.3021202</v>
          </cell>
          <cell r="H2218">
            <v>4034870043.56809</v>
          </cell>
          <cell r="I2218">
            <v>4203714515.3709798</v>
          </cell>
          <cell r="J2218">
            <v>4391138748.27034</v>
          </cell>
          <cell r="K2218">
            <v>4391138748.27034</v>
          </cell>
          <cell r="L2218">
            <v>4002858809.1999998</v>
          </cell>
          <cell r="M2218">
            <v>1510240000</v>
          </cell>
          <cell r="N2218">
            <v>1815080000</v>
          </cell>
          <cell r="O2218">
            <v>2024300000</v>
          </cell>
        </row>
        <row r="2219">
          <cell r="A2219" t="str">
            <v>I GroupOff Balance Sheet Assets</v>
          </cell>
          <cell r="B2219">
            <v>0</v>
          </cell>
          <cell r="C2219">
            <v>0</v>
          </cell>
          <cell r="D2219">
            <v>0</v>
          </cell>
          <cell r="E2219">
            <v>101146881.51000001</v>
          </cell>
          <cell r="F2219">
            <v>101146881.51000001</v>
          </cell>
          <cell r="G2219">
            <v>81547222.914802998</v>
          </cell>
          <cell r="H2219">
            <v>73221313.432056993</v>
          </cell>
          <cell r="I2219">
            <v>65745472.979709998</v>
          </cell>
          <cell r="J2219">
            <v>65745472.979709998</v>
          </cell>
          <cell r="K2219">
            <v>65745472.979709998</v>
          </cell>
          <cell r="L2219">
            <v>0</v>
          </cell>
          <cell r="M2219">
            <v>0</v>
          </cell>
          <cell r="N2219">
            <v>0</v>
          </cell>
          <cell r="O2219">
            <v>0</v>
          </cell>
        </row>
        <row r="2220">
          <cell r="A2220" t="str">
            <v>I GroupJV Receivables</v>
          </cell>
          <cell r="B2220">
            <v>0</v>
          </cell>
          <cell r="C2220">
            <v>0</v>
          </cell>
          <cell r="D2220">
            <v>0</v>
          </cell>
          <cell r="E2220">
            <v>0</v>
          </cell>
          <cell r="F2220">
            <v>0</v>
          </cell>
          <cell r="G2220">
            <v>0</v>
          </cell>
          <cell r="H2220">
            <v>0</v>
          </cell>
          <cell r="I2220">
            <v>0</v>
          </cell>
          <cell r="J2220">
            <v>0</v>
          </cell>
          <cell r="K2220">
            <v>0</v>
          </cell>
          <cell r="L2220">
            <v>0</v>
          </cell>
          <cell r="M2220">
            <v>0</v>
          </cell>
          <cell r="N2220">
            <v>0</v>
          </cell>
          <cell r="O2220">
            <v>0</v>
          </cell>
        </row>
        <row r="2221">
          <cell r="A2221" t="str">
            <v>I Group30+ DELINQUENCY $</v>
          </cell>
          <cell r="B2221">
            <v>0</v>
          </cell>
          <cell r="C2221">
            <v>0</v>
          </cell>
          <cell r="D2221">
            <v>345377958.20999998</v>
          </cell>
          <cell r="E2221">
            <v>530681147.82999998</v>
          </cell>
          <cell r="F2221">
            <v>530681147.82999998</v>
          </cell>
          <cell r="G2221">
            <v>561542322.93902302</v>
          </cell>
          <cell r="H2221">
            <v>610266945.33791101</v>
          </cell>
          <cell r="I2221">
            <v>656833812.63977802</v>
          </cell>
          <cell r="J2221">
            <v>721412099.29790998</v>
          </cell>
          <cell r="K2221">
            <v>721412099.29790998</v>
          </cell>
          <cell r="L2221">
            <v>501849569.52999997</v>
          </cell>
          <cell r="M2221">
            <v>0</v>
          </cell>
          <cell r="N2221">
            <v>0</v>
          </cell>
          <cell r="O2221">
            <v>0</v>
          </cell>
        </row>
        <row r="2222">
          <cell r="A2222" t="str">
            <v>I Group90+ DELINQUENCY $</v>
          </cell>
          <cell r="B2222">
            <v>0</v>
          </cell>
          <cell r="C2222">
            <v>0</v>
          </cell>
          <cell r="D2222">
            <v>216505949.91</v>
          </cell>
          <cell r="E2222">
            <v>232125723.19</v>
          </cell>
          <cell r="F2222">
            <v>232125723.19</v>
          </cell>
          <cell r="G2222">
            <v>237535962.55590701</v>
          </cell>
          <cell r="H2222">
            <v>272009244.58266598</v>
          </cell>
          <cell r="I2222">
            <v>294507852.30422097</v>
          </cell>
          <cell r="J2222">
            <v>318384883.36008698</v>
          </cell>
          <cell r="K2222">
            <v>318384883.36008698</v>
          </cell>
          <cell r="L2222">
            <v>226514362.21000001</v>
          </cell>
          <cell r="M2222">
            <v>0</v>
          </cell>
          <cell r="N2222">
            <v>0</v>
          </cell>
          <cell r="O2222">
            <v>0</v>
          </cell>
        </row>
        <row r="2223">
          <cell r="A2223" t="str">
            <v>I GroupTemporary Staff</v>
          </cell>
          <cell r="B2223">
            <v>0</v>
          </cell>
          <cell r="C2223">
            <v>0</v>
          </cell>
          <cell r="D2223">
            <v>56</v>
          </cell>
          <cell r="E2223">
            <v>12</v>
          </cell>
          <cell r="F2223">
            <v>12</v>
          </cell>
          <cell r="G2223">
            <v>12</v>
          </cell>
          <cell r="H2223">
            <v>12</v>
          </cell>
          <cell r="I2223">
            <v>12</v>
          </cell>
          <cell r="J2223">
            <v>12</v>
          </cell>
          <cell r="K2223">
            <v>12</v>
          </cell>
          <cell r="L2223">
            <v>5</v>
          </cell>
          <cell r="M2223">
            <v>0</v>
          </cell>
          <cell r="N2223">
            <v>0</v>
          </cell>
          <cell r="O2223">
            <v>0</v>
          </cell>
        </row>
        <row r="2224">
          <cell r="A2224" t="str">
            <v>I GroupContractors</v>
          </cell>
          <cell r="B2224">
            <v>0</v>
          </cell>
          <cell r="C2224">
            <v>0</v>
          </cell>
          <cell r="D2224">
            <v>5</v>
          </cell>
          <cell r="E2224">
            <v>7</v>
          </cell>
          <cell r="F2224">
            <v>7</v>
          </cell>
          <cell r="G2224">
            <v>7</v>
          </cell>
          <cell r="H2224">
            <v>7</v>
          </cell>
          <cell r="I2224">
            <v>7</v>
          </cell>
          <cell r="J2224">
            <v>7</v>
          </cell>
          <cell r="K2224">
            <v>7</v>
          </cell>
          <cell r="L2224">
            <v>7</v>
          </cell>
          <cell r="M2224">
            <v>0</v>
          </cell>
          <cell r="N2224">
            <v>0</v>
          </cell>
          <cell r="O2224">
            <v>0</v>
          </cell>
        </row>
        <row r="2225">
          <cell r="A2225" t="str">
            <v>I GroupOutsourced to LCC</v>
          </cell>
          <cell r="B2225">
            <v>0</v>
          </cell>
          <cell r="C2225">
            <v>0</v>
          </cell>
          <cell r="D2225">
            <v>0</v>
          </cell>
          <cell r="E2225">
            <v>0</v>
          </cell>
          <cell r="F2225">
            <v>0</v>
          </cell>
          <cell r="G2225">
            <v>0</v>
          </cell>
          <cell r="H2225">
            <v>0</v>
          </cell>
          <cell r="I2225">
            <v>0</v>
          </cell>
          <cell r="J2225">
            <v>0</v>
          </cell>
          <cell r="K2225">
            <v>0</v>
          </cell>
          <cell r="L2225">
            <v>0</v>
          </cell>
          <cell r="M2225">
            <v>0</v>
          </cell>
          <cell r="N2225">
            <v>0</v>
          </cell>
          <cell r="O2225">
            <v>0</v>
          </cell>
        </row>
        <row r="2226">
          <cell r="A2226" t="str">
            <v>I GroupTotal Headcount</v>
          </cell>
          <cell r="B2226">
            <v>0</v>
          </cell>
          <cell r="C2226">
            <v>0</v>
          </cell>
          <cell r="D2226">
            <v>573</v>
          </cell>
          <cell r="E2226">
            <v>604.5</v>
          </cell>
          <cell r="F2226">
            <v>604.5</v>
          </cell>
          <cell r="G2226">
            <v>616</v>
          </cell>
          <cell r="H2226">
            <v>625</v>
          </cell>
          <cell r="I2226">
            <v>631</v>
          </cell>
          <cell r="J2226">
            <v>630</v>
          </cell>
          <cell r="K2226">
            <v>630</v>
          </cell>
          <cell r="L2226">
            <v>613.5</v>
          </cell>
          <cell r="M2226">
            <v>598</v>
          </cell>
          <cell r="N2226">
            <v>628</v>
          </cell>
          <cell r="O2226">
            <v>659</v>
          </cell>
        </row>
        <row r="2227">
          <cell r="A2227" t="str">
            <v>I GroupTotal Workforce</v>
          </cell>
          <cell r="B2227">
            <v>0</v>
          </cell>
          <cell r="C2227">
            <v>0</v>
          </cell>
          <cell r="D2227">
            <v>634</v>
          </cell>
          <cell r="E2227">
            <v>623.5</v>
          </cell>
          <cell r="F2227">
            <v>623.5</v>
          </cell>
          <cell r="G2227">
            <v>635</v>
          </cell>
          <cell r="H2227">
            <v>644</v>
          </cell>
          <cell r="I2227">
            <v>650</v>
          </cell>
          <cell r="J2227">
            <v>649</v>
          </cell>
          <cell r="K2227">
            <v>649</v>
          </cell>
          <cell r="L2227">
            <v>625.5</v>
          </cell>
          <cell r="M2227">
            <v>598</v>
          </cell>
          <cell r="N2227">
            <v>628</v>
          </cell>
          <cell r="O2227">
            <v>659</v>
          </cell>
        </row>
        <row r="2228">
          <cell r="A2228" t="str">
            <v>I GroupTotal Earned Revenue</v>
          </cell>
          <cell r="B2228">
            <v>0</v>
          </cell>
          <cell r="C2228">
            <v>0</v>
          </cell>
          <cell r="D2228">
            <v>-75174386.5</v>
          </cell>
          <cell r="E2228">
            <v>-73827942.890000001</v>
          </cell>
          <cell r="F2228">
            <v>-149002329.38999999</v>
          </cell>
          <cell r="G2228">
            <v>-76365999.630060002</v>
          </cell>
          <cell r="H2228">
            <v>-83762913.080687001</v>
          </cell>
          <cell r="I2228">
            <v>-92937530.370473996</v>
          </cell>
          <cell r="J2228">
            <v>-102801212.698342</v>
          </cell>
          <cell r="K2228">
            <v>-355867655.77956301</v>
          </cell>
          <cell r="L2228">
            <v>-89176321.260000005</v>
          </cell>
          <cell r="M2228">
            <v>-395500000</v>
          </cell>
          <cell r="N2228">
            <v>-482200000</v>
          </cell>
          <cell r="O2228">
            <v>-545100000</v>
          </cell>
        </row>
        <row r="2229">
          <cell r="A2229" t="str">
            <v>I GroupOrdinary Gains - PreTax</v>
          </cell>
          <cell r="B2229">
            <v>0</v>
          </cell>
          <cell r="C2229">
            <v>0</v>
          </cell>
          <cell r="D2229">
            <v>0</v>
          </cell>
          <cell r="E2229">
            <v>0</v>
          </cell>
          <cell r="F2229">
            <v>0</v>
          </cell>
          <cell r="G2229">
            <v>0</v>
          </cell>
          <cell r="H2229">
            <v>0</v>
          </cell>
          <cell r="I2229">
            <v>0</v>
          </cell>
          <cell r="J2229">
            <v>0</v>
          </cell>
          <cell r="K2229">
            <v>0</v>
          </cell>
          <cell r="L2229">
            <v>0</v>
          </cell>
          <cell r="M2229">
            <v>0</v>
          </cell>
          <cell r="N2229">
            <v>0</v>
          </cell>
          <cell r="O2229">
            <v>0</v>
          </cell>
        </row>
        <row r="2230">
          <cell r="A2230" t="str">
            <v>I GroupOrdinary Gains - AfterTax</v>
          </cell>
          <cell r="B2230">
            <v>0</v>
          </cell>
          <cell r="C2230">
            <v>0</v>
          </cell>
          <cell r="D2230">
            <v>0</v>
          </cell>
          <cell r="E2230">
            <v>0</v>
          </cell>
          <cell r="F2230">
            <v>0</v>
          </cell>
          <cell r="G2230">
            <v>0</v>
          </cell>
          <cell r="H2230">
            <v>0</v>
          </cell>
          <cell r="I2230">
            <v>0</v>
          </cell>
          <cell r="J2230">
            <v>0</v>
          </cell>
          <cell r="K2230">
            <v>0</v>
          </cell>
          <cell r="L2230">
            <v>0</v>
          </cell>
          <cell r="M2230">
            <v>0</v>
          </cell>
          <cell r="N2230">
            <v>0</v>
          </cell>
          <cell r="O2230">
            <v>0</v>
          </cell>
        </row>
        <row r="2231">
          <cell r="A2231" t="str">
            <v>I GroupTotal Volume</v>
          </cell>
          <cell r="B2231">
            <v>0</v>
          </cell>
          <cell r="C2231">
            <v>0</v>
          </cell>
          <cell r="D2231">
            <v>587186200</v>
          </cell>
          <cell r="E2231">
            <v>814643757.08000004</v>
          </cell>
          <cell r="F2231">
            <v>1401829957.0799999</v>
          </cell>
          <cell r="G2231">
            <v>503735984.243478</v>
          </cell>
          <cell r="H2231">
            <v>619502307.30652201</v>
          </cell>
          <cell r="I2231">
            <v>715099842.19130397</v>
          </cell>
          <cell r="J2231">
            <v>775555424.59202898</v>
          </cell>
          <cell r="K2231">
            <v>2613893558.3333302</v>
          </cell>
          <cell r="L2231">
            <v>709550656.37</v>
          </cell>
          <cell r="M2231">
            <v>1859100000</v>
          </cell>
          <cell r="N2231">
            <v>1944700000</v>
          </cell>
          <cell r="O2231">
            <v>2034400000</v>
          </cell>
        </row>
        <row r="2232">
          <cell r="A2232" t="str">
            <v>I GroupTOTAL # ACTIVE ACCOUNTS</v>
          </cell>
          <cell r="B2232">
            <v>0</v>
          </cell>
          <cell r="C2232">
            <v>0</v>
          </cell>
          <cell r="D2232">
            <v>61428.1</v>
          </cell>
          <cell r="E2232">
            <v>64264</v>
          </cell>
          <cell r="F2232">
            <v>64264</v>
          </cell>
          <cell r="G2232">
            <v>65253.614804999997</v>
          </cell>
          <cell r="H2232">
            <v>68016.640518</v>
          </cell>
          <cell r="I2232">
            <v>71950.732369000005</v>
          </cell>
          <cell r="J2232">
            <v>76316.928857000006</v>
          </cell>
          <cell r="K2232">
            <v>76316.928857000006</v>
          </cell>
          <cell r="L2232">
            <v>0</v>
          </cell>
          <cell r="M2232">
            <v>3262.6182480000002</v>
          </cell>
          <cell r="N2232">
            <v>3388.6510320000002</v>
          </cell>
          <cell r="O2232">
            <v>3519.9155580000001</v>
          </cell>
        </row>
        <row r="2233">
          <cell r="A2233" t="str">
            <v>India AutoTOTAL FINANCING RECEIVABLES</v>
          </cell>
          <cell r="B2233">
            <v>0</v>
          </cell>
          <cell r="C2233">
            <v>0</v>
          </cell>
          <cell r="D2233">
            <v>0</v>
          </cell>
          <cell r="E2233">
            <v>0</v>
          </cell>
          <cell r="F2233">
            <v>0</v>
          </cell>
          <cell r="G2233">
            <v>0</v>
          </cell>
          <cell r="H2233">
            <v>0</v>
          </cell>
          <cell r="I2233">
            <v>0</v>
          </cell>
          <cell r="J2233">
            <v>0</v>
          </cell>
          <cell r="K2233">
            <v>0</v>
          </cell>
          <cell r="L2233">
            <v>0</v>
          </cell>
          <cell r="M2233">
            <v>0</v>
          </cell>
          <cell r="N2233">
            <v>0</v>
          </cell>
          <cell r="O2233">
            <v>0</v>
          </cell>
        </row>
        <row r="2234">
          <cell r="A2234" t="str">
            <v>India AutoRECEIVABLE RESERVES</v>
          </cell>
          <cell r="B2234">
            <v>0</v>
          </cell>
          <cell r="C2234">
            <v>0</v>
          </cell>
          <cell r="D2234">
            <v>0</v>
          </cell>
          <cell r="E2234">
            <v>0</v>
          </cell>
          <cell r="F2234">
            <v>0</v>
          </cell>
          <cell r="G2234">
            <v>0</v>
          </cell>
          <cell r="H2234">
            <v>0</v>
          </cell>
          <cell r="I2234">
            <v>0</v>
          </cell>
          <cell r="J2234">
            <v>0</v>
          </cell>
          <cell r="K2234">
            <v>0</v>
          </cell>
          <cell r="L2234">
            <v>0</v>
          </cell>
          <cell r="M2234">
            <v>0</v>
          </cell>
          <cell r="N2234">
            <v>0</v>
          </cell>
          <cell r="O2234">
            <v>0</v>
          </cell>
        </row>
        <row r="2235">
          <cell r="A2235" t="str">
            <v>India AutoCASH</v>
          </cell>
          <cell r="B2235">
            <v>0</v>
          </cell>
          <cell r="C2235">
            <v>0</v>
          </cell>
          <cell r="D2235">
            <v>0</v>
          </cell>
          <cell r="E2235">
            <v>0</v>
          </cell>
          <cell r="F2235">
            <v>0</v>
          </cell>
          <cell r="G2235">
            <v>0</v>
          </cell>
          <cell r="H2235">
            <v>0</v>
          </cell>
          <cell r="I2235">
            <v>0</v>
          </cell>
          <cell r="J2235">
            <v>0</v>
          </cell>
          <cell r="K2235">
            <v>0</v>
          </cell>
          <cell r="L2235">
            <v>0</v>
          </cell>
          <cell r="M2235">
            <v>0</v>
          </cell>
          <cell r="N2235">
            <v>0</v>
          </cell>
          <cell r="O2235">
            <v>0</v>
          </cell>
        </row>
        <row r="2236">
          <cell r="A2236" t="str">
            <v>India AutoINVESTMENT SECURITIES</v>
          </cell>
          <cell r="B2236">
            <v>0</v>
          </cell>
          <cell r="C2236">
            <v>0</v>
          </cell>
          <cell r="D2236">
            <v>0</v>
          </cell>
          <cell r="E2236">
            <v>0</v>
          </cell>
          <cell r="F2236">
            <v>0</v>
          </cell>
          <cell r="G2236">
            <v>0</v>
          </cell>
          <cell r="H2236">
            <v>0</v>
          </cell>
          <cell r="I2236">
            <v>0</v>
          </cell>
          <cell r="J2236">
            <v>0</v>
          </cell>
          <cell r="K2236">
            <v>0</v>
          </cell>
          <cell r="L2236">
            <v>0</v>
          </cell>
          <cell r="M2236">
            <v>0</v>
          </cell>
          <cell r="N2236">
            <v>0</v>
          </cell>
          <cell r="O2236">
            <v>0</v>
          </cell>
        </row>
        <row r="2237">
          <cell r="A2237" t="str">
            <v>India AutoINV IN NON CONSOL AFFILIATES</v>
          </cell>
          <cell r="B2237">
            <v>11739215.27</v>
          </cell>
          <cell r="C2237">
            <v>36374297.880000003</v>
          </cell>
          <cell r="D2237">
            <v>36127168.799999997</v>
          </cell>
          <cell r="E2237">
            <v>28029006.440000001</v>
          </cell>
          <cell r="F2237">
            <v>28029006.440000001</v>
          </cell>
          <cell r="G2237">
            <v>28029006.440000001</v>
          </cell>
          <cell r="H2237">
            <v>28029006.440000001</v>
          </cell>
          <cell r="I2237">
            <v>28029006.440000001</v>
          </cell>
          <cell r="J2237">
            <v>28029006.440000001</v>
          </cell>
          <cell r="K2237">
            <v>28029006.440000001</v>
          </cell>
          <cell r="L2237">
            <v>6159388.4299999997</v>
          </cell>
          <cell r="M2237">
            <v>12119638.324446</v>
          </cell>
          <cell r="N2237">
            <v>12717025.755661</v>
          </cell>
          <cell r="O2237">
            <v>13199331.980077</v>
          </cell>
        </row>
        <row r="2238">
          <cell r="A2238" t="str">
            <v>India AutoINVESTMENT IN JOINT VENTURE</v>
          </cell>
          <cell r="B2238">
            <v>0</v>
          </cell>
          <cell r="C2238">
            <v>0</v>
          </cell>
          <cell r="D2238">
            <v>0</v>
          </cell>
          <cell r="E2238">
            <v>0</v>
          </cell>
          <cell r="F2238">
            <v>0</v>
          </cell>
          <cell r="G2238">
            <v>0</v>
          </cell>
          <cell r="H2238">
            <v>0</v>
          </cell>
          <cell r="I2238">
            <v>0</v>
          </cell>
          <cell r="J2238">
            <v>0</v>
          </cell>
          <cell r="K2238">
            <v>0</v>
          </cell>
          <cell r="L2238">
            <v>0</v>
          </cell>
          <cell r="M2238">
            <v>0</v>
          </cell>
          <cell r="N2238">
            <v>0</v>
          </cell>
          <cell r="O2238">
            <v>0</v>
          </cell>
        </row>
        <row r="2239">
          <cell r="A2239" t="str">
            <v>India AutoALL OTHER RECEIVABLES (NON-FINANCING)</v>
          </cell>
          <cell r="B2239">
            <v>142151.57999999999</v>
          </cell>
          <cell r="C2239">
            <v>459307.81</v>
          </cell>
          <cell r="D2239">
            <v>652914.46</v>
          </cell>
          <cell r="E2239">
            <v>935045</v>
          </cell>
          <cell r="F2239">
            <v>935045</v>
          </cell>
          <cell r="G2239">
            <v>935045</v>
          </cell>
          <cell r="H2239">
            <v>935045</v>
          </cell>
          <cell r="I2239">
            <v>935045</v>
          </cell>
          <cell r="J2239">
            <v>935045</v>
          </cell>
          <cell r="K2239">
            <v>935045</v>
          </cell>
          <cell r="L2239">
            <v>447835.17</v>
          </cell>
          <cell r="M2239">
            <v>0</v>
          </cell>
          <cell r="N2239">
            <v>0</v>
          </cell>
          <cell r="O2239">
            <v>0</v>
          </cell>
        </row>
        <row r="2240">
          <cell r="A2240" t="str">
            <v>India AutoELTO (NET)</v>
          </cell>
          <cell r="B2240">
            <v>0</v>
          </cell>
          <cell r="C2240">
            <v>0</v>
          </cell>
          <cell r="D2240">
            <v>0</v>
          </cell>
          <cell r="E2240">
            <v>0</v>
          </cell>
          <cell r="F2240">
            <v>0</v>
          </cell>
          <cell r="G2240">
            <v>0</v>
          </cell>
          <cell r="H2240">
            <v>0</v>
          </cell>
          <cell r="I2240">
            <v>0</v>
          </cell>
          <cell r="J2240">
            <v>0</v>
          </cell>
          <cell r="K2240">
            <v>0</v>
          </cell>
          <cell r="L2240">
            <v>0</v>
          </cell>
          <cell r="M2240">
            <v>0</v>
          </cell>
          <cell r="N2240">
            <v>0</v>
          </cell>
          <cell r="O2240">
            <v>0</v>
          </cell>
        </row>
        <row r="2241">
          <cell r="A2241" t="str">
            <v>India AutoGOODWILL</v>
          </cell>
          <cell r="B2241">
            <v>0</v>
          </cell>
          <cell r="C2241">
            <v>0</v>
          </cell>
          <cell r="D2241">
            <v>0</v>
          </cell>
          <cell r="E2241">
            <v>0</v>
          </cell>
          <cell r="F2241">
            <v>0</v>
          </cell>
          <cell r="G2241">
            <v>0</v>
          </cell>
          <cell r="H2241">
            <v>0</v>
          </cell>
          <cell r="I2241">
            <v>0</v>
          </cell>
          <cell r="J2241">
            <v>0</v>
          </cell>
          <cell r="K2241">
            <v>0</v>
          </cell>
          <cell r="L2241">
            <v>0</v>
          </cell>
          <cell r="M2241">
            <v>0</v>
          </cell>
          <cell r="N2241">
            <v>0</v>
          </cell>
          <cell r="O2241">
            <v>0</v>
          </cell>
        </row>
        <row r="2242">
          <cell r="A2242" t="str">
            <v>India AutoOTHER ASSETS</v>
          </cell>
          <cell r="B2242">
            <v>-1705.28</v>
          </cell>
          <cell r="C2242">
            <v>-1981.23</v>
          </cell>
          <cell r="D2242">
            <v>-1950.12</v>
          </cell>
          <cell r="E2242">
            <v>-1816.32</v>
          </cell>
          <cell r="F2242">
            <v>-1816.32</v>
          </cell>
          <cell r="G2242">
            <v>-1816.32</v>
          </cell>
          <cell r="H2242">
            <v>-1816.32</v>
          </cell>
          <cell r="I2242">
            <v>-1816.32</v>
          </cell>
          <cell r="J2242">
            <v>-1816.32</v>
          </cell>
          <cell r="K2242">
            <v>-1816.32</v>
          </cell>
          <cell r="L2242">
            <v>-1783.82</v>
          </cell>
          <cell r="M2242">
            <v>0</v>
          </cell>
          <cell r="N2242">
            <v>0</v>
          </cell>
          <cell r="O2242">
            <v>0</v>
          </cell>
        </row>
        <row r="2243">
          <cell r="A2243" t="str">
            <v>India AutoACCOUNTS PAYABLE</v>
          </cell>
          <cell r="B2243">
            <v>-61253.81</v>
          </cell>
          <cell r="C2243">
            <v>-79513.850000000006</v>
          </cell>
          <cell r="D2243">
            <v>-124007.88</v>
          </cell>
          <cell r="E2243">
            <v>-147527.18</v>
          </cell>
          <cell r="F2243">
            <v>-147527.18</v>
          </cell>
          <cell r="G2243">
            <v>-147527.18</v>
          </cell>
          <cell r="H2243">
            <v>-147527.18</v>
          </cell>
          <cell r="I2243">
            <v>-147527.18</v>
          </cell>
          <cell r="J2243">
            <v>-147527.18</v>
          </cell>
          <cell r="K2243">
            <v>-147527.18</v>
          </cell>
          <cell r="L2243">
            <v>-60794.04</v>
          </cell>
          <cell r="M2243">
            <v>0</v>
          </cell>
          <cell r="N2243">
            <v>0</v>
          </cell>
          <cell r="O2243">
            <v>0</v>
          </cell>
        </row>
        <row r="2244">
          <cell r="A2244" t="str">
            <v>India AutoDEFERRED INCOME TAXES</v>
          </cell>
          <cell r="B2244">
            <v>-715177.32</v>
          </cell>
          <cell r="C2244">
            <v>-783731.1</v>
          </cell>
          <cell r="D2244">
            <v>-715724.6</v>
          </cell>
          <cell r="E2244">
            <v>-679978.65</v>
          </cell>
          <cell r="F2244">
            <v>-679978.65</v>
          </cell>
          <cell r="G2244">
            <v>-679978.65</v>
          </cell>
          <cell r="H2244">
            <v>-679978.65</v>
          </cell>
          <cell r="I2244">
            <v>-679978.65</v>
          </cell>
          <cell r="J2244">
            <v>-679978.65</v>
          </cell>
          <cell r="K2244">
            <v>-679978.65</v>
          </cell>
          <cell r="L2244">
            <v>-631316.21</v>
          </cell>
          <cell r="M2244">
            <v>0</v>
          </cell>
          <cell r="N2244">
            <v>0</v>
          </cell>
          <cell r="O2244">
            <v>0</v>
          </cell>
        </row>
        <row r="2245">
          <cell r="A2245" t="str">
            <v>India AutoWRITE-OFF (MEMO)</v>
          </cell>
          <cell r="B2245">
            <v>0</v>
          </cell>
          <cell r="C2245">
            <v>0</v>
          </cell>
          <cell r="D2245">
            <v>0</v>
          </cell>
          <cell r="E2245">
            <v>0</v>
          </cell>
          <cell r="F2245">
            <v>0</v>
          </cell>
          <cell r="G2245">
            <v>0</v>
          </cell>
          <cell r="H2245">
            <v>0</v>
          </cell>
          <cell r="I2245">
            <v>0</v>
          </cell>
          <cell r="J2245">
            <v>0</v>
          </cell>
          <cell r="K2245">
            <v>0</v>
          </cell>
          <cell r="L2245">
            <v>0</v>
          </cell>
          <cell r="M2245">
            <v>0</v>
          </cell>
          <cell r="N2245">
            <v>0</v>
          </cell>
          <cell r="O2245">
            <v>0</v>
          </cell>
        </row>
        <row r="2246">
          <cell r="A2246" t="str">
            <v>India AutoINSURANCE RESERVES AND ANNUITY BENEFITS</v>
          </cell>
          <cell r="B2246">
            <v>0</v>
          </cell>
          <cell r="C2246">
            <v>0</v>
          </cell>
          <cell r="D2246">
            <v>0</v>
          </cell>
          <cell r="E2246">
            <v>0</v>
          </cell>
          <cell r="F2246">
            <v>0</v>
          </cell>
          <cell r="G2246">
            <v>0</v>
          </cell>
          <cell r="H2246">
            <v>0</v>
          </cell>
          <cell r="I2246">
            <v>0</v>
          </cell>
          <cell r="J2246">
            <v>0</v>
          </cell>
          <cell r="K2246">
            <v>0</v>
          </cell>
          <cell r="L2246">
            <v>0</v>
          </cell>
          <cell r="M2246">
            <v>0</v>
          </cell>
          <cell r="N2246">
            <v>0</v>
          </cell>
          <cell r="O2246">
            <v>0</v>
          </cell>
        </row>
        <row r="2247">
          <cell r="A2247" t="str">
            <v>India AutoALL OTHER NON DEBT LIABILITIES</v>
          </cell>
          <cell r="B2247">
            <v>1999.83</v>
          </cell>
          <cell r="C2247">
            <v>1999.83</v>
          </cell>
          <cell r="D2247">
            <v>1999.83</v>
          </cell>
          <cell r="E2247">
            <v>1999.83</v>
          </cell>
          <cell r="F2247">
            <v>1999.83</v>
          </cell>
          <cell r="G2247">
            <v>1999.83</v>
          </cell>
          <cell r="H2247">
            <v>1999.83</v>
          </cell>
          <cell r="I2247">
            <v>1999.83</v>
          </cell>
          <cell r="J2247">
            <v>1999.83</v>
          </cell>
          <cell r="K2247">
            <v>1999.83</v>
          </cell>
          <cell r="L2247">
            <v>1999.83</v>
          </cell>
          <cell r="M2247">
            <v>0</v>
          </cell>
          <cell r="N2247">
            <v>0</v>
          </cell>
          <cell r="O2247">
            <v>0</v>
          </cell>
        </row>
        <row r="2248">
          <cell r="A2248" t="str">
            <v>India AutoMINORITY INTEREST (BS)</v>
          </cell>
          <cell r="B2248">
            <v>0</v>
          </cell>
          <cell r="C2248">
            <v>0</v>
          </cell>
          <cell r="D2248">
            <v>0</v>
          </cell>
          <cell r="E2248">
            <v>0</v>
          </cell>
          <cell r="F2248">
            <v>0</v>
          </cell>
          <cell r="G2248">
            <v>0</v>
          </cell>
          <cell r="H2248">
            <v>0</v>
          </cell>
          <cell r="I2248">
            <v>0</v>
          </cell>
          <cell r="J2248">
            <v>0</v>
          </cell>
          <cell r="K2248">
            <v>0</v>
          </cell>
          <cell r="L2248">
            <v>0</v>
          </cell>
          <cell r="M2248">
            <v>0</v>
          </cell>
          <cell r="N2248">
            <v>0</v>
          </cell>
          <cell r="O2248">
            <v>0</v>
          </cell>
        </row>
        <row r="2249">
          <cell r="A2249" t="str">
            <v>India AutoASIA PACIFIC ENI DIVIDEND</v>
          </cell>
          <cell r="B2249">
            <v>0</v>
          </cell>
          <cell r="C2249">
            <v>0</v>
          </cell>
          <cell r="D2249">
            <v>0</v>
          </cell>
          <cell r="E2249">
            <v>0</v>
          </cell>
          <cell r="F2249">
            <v>0</v>
          </cell>
          <cell r="G2249">
            <v>0</v>
          </cell>
          <cell r="H2249">
            <v>0</v>
          </cell>
          <cell r="I2249">
            <v>0</v>
          </cell>
          <cell r="J2249">
            <v>0</v>
          </cell>
          <cell r="K2249">
            <v>0</v>
          </cell>
          <cell r="L2249">
            <v>0</v>
          </cell>
          <cell r="M2249">
            <v>0</v>
          </cell>
          <cell r="N2249">
            <v>0</v>
          </cell>
          <cell r="O2249">
            <v>0</v>
          </cell>
        </row>
        <row r="2250">
          <cell r="A2250" t="str">
            <v>India AutoFINANCING INCOME</v>
          </cell>
          <cell r="B2250">
            <v>-260934.87</v>
          </cell>
          <cell r="C2250">
            <v>-791633.25</v>
          </cell>
          <cell r="D2250">
            <v>-986550.65</v>
          </cell>
          <cell r="E2250">
            <v>-707159.17</v>
          </cell>
          <cell r="F2250">
            <v>-2746277.94</v>
          </cell>
          <cell r="G2250">
            <v>-137176.01556100001</v>
          </cell>
          <cell r="H2250">
            <v>-51724.659964999999</v>
          </cell>
          <cell r="I2250">
            <v>-27780.420636999999</v>
          </cell>
          <cell r="J2250">
            <v>-434480.06366500002</v>
          </cell>
          <cell r="K2250">
            <v>-651161.15982900001</v>
          </cell>
          <cell r="L2250">
            <v>-322280</v>
          </cell>
          <cell r="M2250">
            <v>-1224918.2045219999</v>
          </cell>
          <cell r="N2250">
            <v>-1705725.9379400001</v>
          </cell>
          <cell r="O2250">
            <v>-1538602.0244469999</v>
          </cell>
        </row>
        <row r="2251">
          <cell r="A2251" t="str">
            <v>India AutoINSURANCE PREMIUM INCOME</v>
          </cell>
          <cell r="B2251">
            <v>0</v>
          </cell>
          <cell r="C2251">
            <v>0</v>
          </cell>
          <cell r="D2251">
            <v>0</v>
          </cell>
          <cell r="E2251">
            <v>0</v>
          </cell>
          <cell r="F2251">
            <v>0</v>
          </cell>
          <cell r="G2251">
            <v>0</v>
          </cell>
          <cell r="H2251">
            <v>0</v>
          </cell>
          <cell r="I2251">
            <v>0</v>
          </cell>
          <cell r="J2251">
            <v>0</v>
          </cell>
          <cell r="K2251">
            <v>0</v>
          </cell>
          <cell r="L2251">
            <v>0</v>
          </cell>
          <cell r="M2251">
            <v>0</v>
          </cell>
          <cell r="N2251">
            <v>0</v>
          </cell>
          <cell r="O2251">
            <v>0</v>
          </cell>
        </row>
        <row r="2252">
          <cell r="A2252" t="str">
            <v>India AutoINSURANCE INCOME (COMMISSIONS)</v>
          </cell>
          <cell r="B2252">
            <v>0</v>
          </cell>
          <cell r="C2252">
            <v>0</v>
          </cell>
          <cell r="D2252">
            <v>0</v>
          </cell>
          <cell r="E2252">
            <v>0</v>
          </cell>
          <cell r="F2252">
            <v>0</v>
          </cell>
          <cell r="G2252">
            <v>0</v>
          </cell>
          <cell r="H2252">
            <v>0</v>
          </cell>
          <cell r="I2252">
            <v>0</v>
          </cell>
          <cell r="J2252">
            <v>0</v>
          </cell>
          <cell r="K2252">
            <v>0</v>
          </cell>
          <cell r="L2252">
            <v>0</v>
          </cell>
          <cell r="M2252">
            <v>0</v>
          </cell>
          <cell r="N2252">
            <v>0</v>
          </cell>
          <cell r="O2252">
            <v>0</v>
          </cell>
        </row>
        <row r="2253">
          <cell r="A2253" t="str">
            <v>India AutoSUNDRY INCOME</v>
          </cell>
          <cell r="B2253">
            <v>-43143.56</v>
          </cell>
          <cell r="C2253">
            <v>-259976.81</v>
          </cell>
          <cell r="D2253">
            <v>157986.22</v>
          </cell>
          <cell r="E2253">
            <v>-54365.88</v>
          </cell>
          <cell r="F2253">
            <v>-199500.03</v>
          </cell>
          <cell r="G2253">
            <v>0</v>
          </cell>
          <cell r="H2253">
            <v>0</v>
          </cell>
          <cell r="I2253">
            <v>0</v>
          </cell>
          <cell r="J2253">
            <v>0</v>
          </cell>
          <cell r="K2253">
            <v>0</v>
          </cell>
          <cell r="L2253">
            <v>8962.52</v>
          </cell>
          <cell r="M2253">
            <v>0</v>
          </cell>
          <cell r="N2253">
            <v>0</v>
          </cell>
          <cell r="O2253">
            <v>0</v>
          </cell>
        </row>
        <row r="2254">
          <cell r="A2254" t="str">
            <v>India AutoINTEREST EXPENSE</v>
          </cell>
          <cell r="B2254">
            <v>306054.55</v>
          </cell>
          <cell r="C2254">
            <v>723559.36</v>
          </cell>
          <cell r="D2254">
            <v>801820.61</v>
          </cell>
          <cell r="E2254">
            <v>595809.78</v>
          </cell>
          <cell r="F2254">
            <v>2427244.2999999998</v>
          </cell>
          <cell r="G2254">
            <v>64313.980855000002</v>
          </cell>
          <cell r="H2254">
            <v>64313.980855000002</v>
          </cell>
          <cell r="I2254">
            <v>64313.980855000002</v>
          </cell>
          <cell r="J2254">
            <v>64313.980855000002</v>
          </cell>
          <cell r="K2254">
            <v>257255.92341799999</v>
          </cell>
          <cell r="L2254">
            <v>298282.12</v>
          </cell>
          <cell r="M2254">
            <v>365292.09622000001</v>
          </cell>
          <cell r="N2254">
            <v>365292.09622000001</v>
          </cell>
          <cell r="O2254">
            <v>365292.09622000001</v>
          </cell>
        </row>
        <row r="2255">
          <cell r="A2255" t="str">
            <v>India AutoINTEREST EXPENSE REDUCTIONS / BUS SHARING</v>
          </cell>
          <cell r="B2255">
            <v>0</v>
          </cell>
          <cell r="C2255">
            <v>0</v>
          </cell>
          <cell r="D2255">
            <v>0</v>
          </cell>
          <cell r="E2255">
            <v>0</v>
          </cell>
          <cell r="F2255">
            <v>0</v>
          </cell>
          <cell r="G2255">
            <v>0</v>
          </cell>
          <cell r="H2255">
            <v>0</v>
          </cell>
          <cell r="I2255">
            <v>0</v>
          </cell>
          <cell r="J2255">
            <v>0</v>
          </cell>
          <cell r="K2255">
            <v>0</v>
          </cell>
          <cell r="L2255">
            <v>0</v>
          </cell>
          <cell r="M2255">
            <v>0</v>
          </cell>
          <cell r="N2255">
            <v>0</v>
          </cell>
          <cell r="O2255">
            <v>0</v>
          </cell>
        </row>
        <row r="2256">
          <cell r="A2256" t="str">
            <v>India AutoALLOCATED COST OF PREFERRED EQUITY</v>
          </cell>
          <cell r="B2256">
            <v>421.57</v>
          </cell>
          <cell r="C2256">
            <v>2117.29</v>
          </cell>
          <cell r="D2256">
            <v>2967.34</v>
          </cell>
          <cell r="E2256">
            <v>1545.87</v>
          </cell>
          <cell r="F2256">
            <v>7052.07</v>
          </cell>
          <cell r="G2256">
            <v>0</v>
          </cell>
          <cell r="H2256">
            <v>0</v>
          </cell>
          <cell r="I2256">
            <v>0</v>
          </cell>
          <cell r="J2256">
            <v>0</v>
          </cell>
          <cell r="K2256">
            <v>0</v>
          </cell>
          <cell r="L2256">
            <v>1342.22</v>
          </cell>
          <cell r="M2256">
            <v>0</v>
          </cell>
          <cell r="N2256">
            <v>0</v>
          </cell>
          <cell r="O2256">
            <v>0</v>
          </cell>
        </row>
        <row r="2257">
          <cell r="A2257" t="str">
            <v>India AutoSALARIES &amp; BENEFITS</v>
          </cell>
          <cell r="B2257">
            <v>0</v>
          </cell>
          <cell r="C2257">
            <v>0</v>
          </cell>
          <cell r="D2257">
            <v>0</v>
          </cell>
          <cell r="E2257">
            <v>0</v>
          </cell>
          <cell r="F2257">
            <v>0</v>
          </cell>
          <cell r="G2257">
            <v>0</v>
          </cell>
          <cell r="H2257">
            <v>0</v>
          </cell>
          <cell r="I2257">
            <v>0</v>
          </cell>
          <cell r="J2257">
            <v>0</v>
          </cell>
          <cell r="K2257">
            <v>0</v>
          </cell>
          <cell r="L2257">
            <v>0</v>
          </cell>
          <cell r="M2257">
            <v>0</v>
          </cell>
          <cell r="N2257">
            <v>0</v>
          </cell>
          <cell r="O2257">
            <v>0</v>
          </cell>
        </row>
        <row r="2258">
          <cell r="A2258" t="str">
            <v>India AutoLOSSES ON OTHER ASSETS</v>
          </cell>
          <cell r="B2258">
            <v>0</v>
          </cell>
          <cell r="C2258">
            <v>0</v>
          </cell>
          <cell r="D2258">
            <v>0</v>
          </cell>
          <cell r="E2258">
            <v>0</v>
          </cell>
          <cell r="F2258">
            <v>0</v>
          </cell>
          <cell r="G2258">
            <v>0</v>
          </cell>
          <cell r="H2258">
            <v>0</v>
          </cell>
          <cell r="I2258">
            <v>0</v>
          </cell>
          <cell r="J2258">
            <v>0</v>
          </cell>
          <cell r="K2258">
            <v>0</v>
          </cell>
          <cell r="L2258">
            <v>0</v>
          </cell>
          <cell r="M2258">
            <v>0</v>
          </cell>
          <cell r="N2258">
            <v>0</v>
          </cell>
          <cell r="O2258">
            <v>0</v>
          </cell>
        </row>
        <row r="2259">
          <cell r="A2259" t="str">
            <v>India AutoCOST OF GOODS SOLD</v>
          </cell>
          <cell r="B2259">
            <v>0</v>
          </cell>
          <cell r="C2259">
            <v>0</v>
          </cell>
          <cell r="D2259">
            <v>0</v>
          </cell>
          <cell r="E2259">
            <v>0</v>
          </cell>
          <cell r="F2259">
            <v>0</v>
          </cell>
          <cell r="G2259">
            <v>0</v>
          </cell>
          <cell r="H2259">
            <v>0</v>
          </cell>
          <cell r="I2259">
            <v>0</v>
          </cell>
          <cell r="J2259">
            <v>0</v>
          </cell>
          <cell r="K2259">
            <v>0</v>
          </cell>
          <cell r="L2259">
            <v>0</v>
          </cell>
          <cell r="M2259">
            <v>0</v>
          </cell>
          <cell r="N2259">
            <v>0</v>
          </cell>
          <cell r="O2259">
            <v>0</v>
          </cell>
        </row>
        <row r="2260">
          <cell r="A2260" t="str">
            <v>India AutoCOST OF GOODS SOLD - DISTRIBUTION</v>
          </cell>
          <cell r="B2260">
            <v>0</v>
          </cell>
          <cell r="C2260">
            <v>0</v>
          </cell>
          <cell r="D2260">
            <v>0</v>
          </cell>
          <cell r="E2260">
            <v>0</v>
          </cell>
          <cell r="F2260">
            <v>0</v>
          </cell>
          <cell r="G2260">
            <v>0</v>
          </cell>
          <cell r="H2260">
            <v>0</v>
          </cell>
          <cell r="I2260">
            <v>0</v>
          </cell>
          <cell r="J2260">
            <v>0</v>
          </cell>
          <cell r="K2260">
            <v>0</v>
          </cell>
          <cell r="L2260">
            <v>0</v>
          </cell>
          <cell r="M2260">
            <v>0</v>
          </cell>
          <cell r="N2260">
            <v>0</v>
          </cell>
          <cell r="O2260">
            <v>0</v>
          </cell>
        </row>
        <row r="2261">
          <cell r="A2261" t="str">
            <v>India AutoPOSTAGE</v>
          </cell>
          <cell r="B2261">
            <v>0</v>
          </cell>
          <cell r="C2261">
            <v>0</v>
          </cell>
          <cell r="D2261">
            <v>0</v>
          </cell>
          <cell r="E2261">
            <v>0</v>
          </cell>
          <cell r="F2261">
            <v>0</v>
          </cell>
          <cell r="G2261">
            <v>0</v>
          </cell>
          <cell r="H2261">
            <v>0</v>
          </cell>
          <cell r="I2261">
            <v>0</v>
          </cell>
          <cell r="J2261">
            <v>0</v>
          </cell>
          <cell r="K2261">
            <v>0</v>
          </cell>
          <cell r="L2261">
            <v>0</v>
          </cell>
          <cell r="M2261">
            <v>0</v>
          </cell>
          <cell r="N2261">
            <v>0</v>
          </cell>
          <cell r="O2261">
            <v>0</v>
          </cell>
        </row>
        <row r="2262">
          <cell r="A2262" t="str">
            <v>India AutoTELEPHONE</v>
          </cell>
          <cell r="B2262">
            <v>0</v>
          </cell>
          <cell r="C2262">
            <v>0</v>
          </cell>
          <cell r="D2262">
            <v>0</v>
          </cell>
          <cell r="E2262">
            <v>0</v>
          </cell>
          <cell r="F2262">
            <v>0</v>
          </cell>
          <cell r="G2262">
            <v>0</v>
          </cell>
          <cell r="H2262">
            <v>0</v>
          </cell>
          <cell r="I2262">
            <v>0</v>
          </cell>
          <cell r="J2262">
            <v>0</v>
          </cell>
          <cell r="K2262">
            <v>0</v>
          </cell>
          <cell r="L2262">
            <v>0</v>
          </cell>
          <cell r="M2262">
            <v>0</v>
          </cell>
          <cell r="N2262">
            <v>0</v>
          </cell>
          <cell r="O2262">
            <v>0</v>
          </cell>
        </row>
        <row r="2263">
          <cell r="A2263" t="str">
            <v>India AutoCUSTOMER SERVICE / COLLECTIONS</v>
          </cell>
          <cell r="B2263">
            <v>0</v>
          </cell>
          <cell r="C2263">
            <v>0</v>
          </cell>
          <cell r="D2263">
            <v>0</v>
          </cell>
          <cell r="E2263">
            <v>0</v>
          </cell>
          <cell r="F2263">
            <v>0</v>
          </cell>
          <cell r="G2263">
            <v>0</v>
          </cell>
          <cell r="H2263">
            <v>0</v>
          </cell>
          <cell r="I2263">
            <v>0</v>
          </cell>
          <cell r="J2263">
            <v>0</v>
          </cell>
          <cell r="K2263">
            <v>0</v>
          </cell>
          <cell r="L2263">
            <v>0</v>
          </cell>
          <cell r="M2263">
            <v>0</v>
          </cell>
          <cell r="N2263">
            <v>0</v>
          </cell>
          <cell r="O2263">
            <v>0</v>
          </cell>
        </row>
        <row r="2264">
          <cell r="A2264" t="str">
            <v>India AutoSTATIONARY - OFFICE SUPPLIES</v>
          </cell>
          <cell r="B2264">
            <v>0</v>
          </cell>
          <cell r="C2264">
            <v>0</v>
          </cell>
          <cell r="D2264">
            <v>0</v>
          </cell>
          <cell r="E2264">
            <v>0</v>
          </cell>
          <cell r="F2264">
            <v>0</v>
          </cell>
          <cell r="G2264">
            <v>0</v>
          </cell>
          <cell r="H2264">
            <v>0</v>
          </cell>
          <cell r="I2264">
            <v>0</v>
          </cell>
          <cell r="J2264">
            <v>0</v>
          </cell>
          <cell r="K2264">
            <v>0</v>
          </cell>
          <cell r="L2264">
            <v>0</v>
          </cell>
          <cell r="M2264">
            <v>0</v>
          </cell>
          <cell r="N2264">
            <v>0</v>
          </cell>
          <cell r="O2264">
            <v>0</v>
          </cell>
        </row>
        <row r="2265">
          <cell r="A2265" t="str">
            <v>India AutoT&amp;L</v>
          </cell>
          <cell r="B2265">
            <v>0</v>
          </cell>
          <cell r="C2265">
            <v>0</v>
          </cell>
          <cell r="D2265">
            <v>0</v>
          </cell>
          <cell r="E2265">
            <v>0</v>
          </cell>
          <cell r="F2265">
            <v>0</v>
          </cell>
          <cell r="G2265">
            <v>0</v>
          </cell>
          <cell r="H2265">
            <v>0</v>
          </cell>
          <cell r="I2265">
            <v>0</v>
          </cell>
          <cell r="J2265">
            <v>0</v>
          </cell>
          <cell r="K2265">
            <v>0</v>
          </cell>
          <cell r="L2265">
            <v>0</v>
          </cell>
          <cell r="M2265">
            <v>0</v>
          </cell>
          <cell r="N2265">
            <v>0</v>
          </cell>
          <cell r="O2265">
            <v>0</v>
          </cell>
        </row>
        <row r="2266">
          <cell r="A2266" t="str">
            <v>India AutoRENTAL - BLDG/FACILITIES</v>
          </cell>
          <cell r="B2266">
            <v>0</v>
          </cell>
          <cell r="C2266">
            <v>0</v>
          </cell>
          <cell r="D2266">
            <v>0</v>
          </cell>
          <cell r="E2266">
            <v>0</v>
          </cell>
          <cell r="F2266">
            <v>0</v>
          </cell>
          <cell r="G2266">
            <v>0</v>
          </cell>
          <cell r="H2266">
            <v>0</v>
          </cell>
          <cell r="I2266">
            <v>0</v>
          </cell>
          <cell r="J2266">
            <v>0</v>
          </cell>
          <cell r="K2266">
            <v>0</v>
          </cell>
          <cell r="L2266">
            <v>0</v>
          </cell>
          <cell r="M2266">
            <v>0</v>
          </cell>
          <cell r="N2266">
            <v>0</v>
          </cell>
          <cell r="O2266">
            <v>0</v>
          </cell>
        </row>
        <row r="2267">
          <cell r="A2267" t="str">
            <v>India AutoRENTAL - FURNITURE/EQUIP</v>
          </cell>
          <cell r="B2267">
            <v>0</v>
          </cell>
          <cell r="C2267">
            <v>0</v>
          </cell>
          <cell r="D2267">
            <v>0</v>
          </cell>
          <cell r="E2267">
            <v>0</v>
          </cell>
          <cell r="F2267">
            <v>0</v>
          </cell>
          <cell r="G2267">
            <v>0</v>
          </cell>
          <cell r="H2267">
            <v>0</v>
          </cell>
          <cell r="I2267">
            <v>0</v>
          </cell>
          <cell r="J2267">
            <v>0</v>
          </cell>
          <cell r="K2267">
            <v>0</v>
          </cell>
          <cell r="L2267">
            <v>0</v>
          </cell>
          <cell r="M2267">
            <v>0</v>
          </cell>
          <cell r="N2267">
            <v>0</v>
          </cell>
          <cell r="O2267">
            <v>0</v>
          </cell>
        </row>
        <row r="2268">
          <cell r="A2268" t="str">
            <v>India AutoRENTAL - COMPUTERS</v>
          </cell>
          <cell r="B2268">
            <v>0</v>
          </cell>
          <cell r="C2268">
            <v>0</v>
          </cell>
          <cell r="D2268">
            <v>0</v>
          </cell>
          <cell r="E2268">
            <v>0</v>
          </cell>
          <cell r="F2268">
            <v>0</v>
          </cell>
          <cell r="G2268">
            <v>0</v>
          </cell>
          <cell r="H2268">
            <v>0</v>
          </cell>
          <cell r="I2268">
            <v>0</v>
          </cell>
          <cell r="J2268">
            <v>0</v>
          </cell>
          <cell r="K2268">
            <v>0</v>
          </cell>
          <cell r="L2268">
            <v>0</v>
          </cell>
          <cell r="M2268">
            <v>0</v>
          </cell>
          <cell r="N2268">
            <v>0</v>
          </cell>
          <cell r="O2268">
            <v>0</v>
          </cell>
        </row>
        <row r="2269">
          <cell r="A2269" t="str">
            <v>India AutoLEASE IN - LEASE OUT</v>
          </cell>
          <cell r="B2269">
            <v>0</v>
          </cell>
          <cell r="C2269">
            <v>0</v>
          </cell>
          <cell r="D2269">
            <v>0</v>
          </cell>
          <cell r="E2269">
            <v>0</v>
          </cell>
          <cell r="F2269">
            <v>0</v>
          </cell>
          <cell r="G2269">
            <v>0</v>
          </cell>
          <cell r="H2269">
            <v>0</v>
          </cell>
          <cell r="I2269">
            <v>0</v>
          </cell>
          <cell r="J2269">
            <v>0</v>
          </cell>
          <cell r="K2269">
            <v>0</v>
          </cell>
          <cell r="L2269">
            <v>0</v>
          </cell>
          <cell r="M2269">
            <v>0</v>
          </cell>
          <cell r="N2269">
            <v>0</v>
          </cell>
          <cell r="O2269">
            <v>0</v>
          </cell>
        </row>
        <row r="2270">
          <cell r="A2270" t="str">
            <v>India AutoFURNITURE / EQUIPMENT / COMPUTER EXP</v>
          </cell>
          <cell r="B2270">
            <v>0</v>
          </cell>
          <cell r="C2270">
            <v>0</v>
          </cell>
          <cell r="D2270">
            <v>0</v>
          </cell>
          <cell r="E2270">
            <v>0</v>
          </cell>
          <cell r="F2270">
            <v>0</v>
          </cell>
          <cell r="G2270">
            <v>0</v>
          </cell>
          <cell r="H2270">
            <v>0</v>
          </cell>
          <cell r="I2270">
            <v>0</v>
          </cell>
          <cell r="J2270">
            <v>0</v>
          </cell>
          <cell r="K2270">
            <v>0</v>
          </cell>
          <cell r="L2270">
            <v>0</v>
          </cell>
          <cell r="M2270">
            <v>0</v>
          </cell>
          <cell r="N2270">
            <v>0</v>
          </cell>
          <cell r="O2270">
            <v>0</v>
          </cell>
        </row>
        <row r="2271">
          <cell r="A2271" t="str">
            <v>India AutoSOFTWARE EXPENSE</v>
          </cell>
          <cell r="B2271">
            <v>0</v>
          </cell>
          <cell r="C2271">
            <v>0</v>
          </cell>
          <cell r="D2271">
            <v>0</v>
          </cell>
          <cell r="E2271">
            <v>0</v>
          </cell>
          <cell r="F2271">
            <v>0</v>
          </cell>
          <cell r="G2271">
            <v>0</v>
          </cell>
          <cell r="H2271">
            <v>0</v>
          </cell>
          <cell r="I2271">
            <v>0</v>
          </cell>
          <cell r="J2271">
            <v>0</v>
          </cell>
          <cell r="K2271">
            <v>0</v>
          </cell>
          <cell r="L2271">
            <v>0</v>
          </cell>
          <cell r="M2271">
            <v>0</v>
          </cell>
          <cell r="N2271">
            <v>0</v>
          </cell>
          <cell r="O2271">
            <v>0</v>
          </cell>
        </row>
        <row r="2272">
          <cell r="A2272" t="str">
            <v>India AutoAMORTIZATION OF INTANGIBLES</v>
          </cell>
          <cell r="B2272">
            <v>0</v>
          </cell>
          <cell r="C2272">
            <v>0</v>
          </cell>
          <cell r="D2272">
            <v>0</v>
          </cell>
          <cell r="E2272">
            <v>0</v>
          </cell>
          <cell r="F2272">
            <v>0</v>
          </cell>
          <cell r="G2272">
            <v>0</v>
          </cell>
          <cell r="H2272">
            <v>0</v>
          </cell>
          <cell r="I2272">
            <v>0</v>
          </cell>
          <cell r="J2272">
            <v>0</v>
          </cell>
          <cell r="K2272">
            <v>0</v>
          </cell>
          <cell r="L2272">
            <v>0</v>
          </cell>
          <cell r="M2272">
            <v>0</v>
          </cell>
          <cell r="N2272">
            <v>0</v>
          </cell>
          <cell r="O2272">
            <v>0</v>
          </cell>
        </row>
        <row r="2273">
          <cell r="A2273" t="str">
            <v>India AutoELTO MAINTENANCE</v>
          </cell>
          <cell r="B2273">
            <v>0</v>
          </cell>
          <cell r="C2273">
            <v>0</v>
          </cell>
          <cell r="D2273">
            <v>0</v>
          </cell>
          <cell r="E2273">
            <v>0</v>
          </cell>
          <cell r="F2273">
            <v>0</v>
          </cell>
          <cell r="G2273">
            <v>0</v>
          </cell>
          <cell r="H2273">
            <v>0</v>
          </cell>
          <cell r="I2273">
            <v>0</v>
          </cell>
          <cell r="J2273">
            <v>0</v>
          </cell>
          <cell r="K2273">
            <v>0</v>
          </cell>
          <cell r="L2273">
            <v>0</v>
          </cell>
          <cell r="M2273">
            <v>0</v>
          </cell>
          <cell r="N2273">
            <v>0</v>
          </cell>
          <cell r="O2273">
            <v>0</v>
          </cell>
        </row>
        <row r="2274">
          <cell r="A2274" t="str">
            <v>India AutoELTO OTHER</v>
          </cell>
          <cell r="B2274">
            <v>0</v>
          </cell>
          <cell r="C2274">
            <v>0</v>
          </cell>
          <cell r="D2274">
            <v>0</v>
          </cell>
          <cell r="E2274">
            <v>0</v>
          </cell>
          <cell r="F2274">
            <v>0</v>
          </cell>
          <cell r="G2274">
            <v>0</v>
          </cell>
          <cell r="H2274">
            <v>0</v>
          </cell>
          <cell r="I2274">
            <v>0</v>
          </cell>
          <cell r="J2274">
            <v>0</v>
          </cell>
          <cell r="K2274">
            <v>0</v>
          </cell>
          <cell r="L2274">
            <v>0</v>
          </cell>
          <cell r="M2274">
            <v>0</v>
          </cell>
          <cell r="N2274">
            <v>0</v>
          </cell>
          <cell r="O2274">
            <v>0</v>
          </cell>
        </row>
        <row r="2275">
          <cell r="A2275" t="str">
            <v>India AutoLEGAL</v>
          </cell>
          <cell r="B2275">
            <v>0</v>
          </cell>
          <cell r="C2275">
            <v>0</v>
          </cell>
          <cell r="D2275">
            <v>0</v>
          </cell>
          <cell r="E2275">
            <v>0</v>
          </cell>
          <cell r="F2275">
            <v>0</v>
          </cell>
          <cell r="G2275">
            <v>0</v>
          </cell>
          <cell r="H2275">
            <v>0</v>
          </cell>
          <cell r="I2275">
            <v>0</v>
          </cell>
          <cell r="J2275">
            <v>0</v>
          </cell>
          <cell r="K2275">
            <v>0</v>
          </cell>
          <cell r="L2275">
            <v>0</v>
          </cell>
          <cell r="M2275">
            <v>0</v>
          </cell>
          <cell r="N2275">
            <v>0</v>
          </cell>
          <cell r="O2275">
            <v>0</v>
          </cell>
        </row>
        <row r="2276">
          <cell r="A2276" t="str">
            <v>India AutoADVERTISING</v>
          </cell>
          <cell r="B2276">
            <v>0</v>
          </cell>
          <cell r="C2276">
            <v>0</v>
          </cell>
          <cell r="D2276">
            <v>0</v>
          </cell>
          <cell r="E2276">
            <v>0</v>
          </cell>
          <cell r="F2276">
            <v>0</v>
          </cell>
          <cell r="G2276">
            <v>0</v>
          </cell>
          <cell r="H2276">
            <v>0</v>
          </cell>
          <cell r="I2276">
            <v>0</v>
          </cell>
          <cell r="J2276">
            <v>0</v>
          </cell>
          <cell r="K2276">
            <v>0</v>
          </cell>
          <cell r="L2276">
            <v>0</v>
          </cell>
          <cell r="M2276">
            <v>0</v>
          </cell>
          <cell r="N2276">
            <v>0</v>
          </cell>
          <cell r="O2276">
            <v>0</v>
          </cell>
        </row>
        <row r="2277">
          <cell r="A2277" t="str">
            <v>India AutoSALES PROMOTIONS</v>
          </cell>
          <cell r="B2277">
            <v>0</v>
          </cell>
          <cell r="C2277">
            <v>0</v>
          </cell>
          <cell r="D2277">
            <v>0</v>
          </cell>
          <cell r="E2277">
            <v>0</v>
          </cell>
          <cell r="F2277">
            <v>0</v>
          </cell>
          <cell r="G2277">
            <v>0</v>
          </cell>
          <cell r="H2277">
            <v>0</v>
          </cell>
          <cell r="I2277">
            <v>0</v>
          </cell>
          <cell r="J2277">
            <v>0</v>
          </cell>
          <cell r="K2277">
            <v>0</v>
          </cell>
          <cell r="L2277">
            <v>0</v>
          </cell>
          <cell r="M2277">
            <v>0</v>
          </cell>
          <cell r="N2277">
            <v>0</v>
          </cell>
          <cell r="O2277">
            <v>0</v>
          </cell>
        </row>
        <row r="2278">
          <cell r="A2278" t="str">
            <v>India AutoDIRECT MAIL</v>
          </cell>
          <cell r="B2278">
            <v>0</v>
          </cell>
          <cell r="C2278">
            <v>0</v>
          </cell>
          <cell r="D2278">
            <v>0</v>
          </cell>
          <cell r="E2278">
            <v>0</v>
          </cell>
          <cell r="F2278">
            <v>0</v>
          </cell>
          <cell r="G2278">
            <v>0</v>
          </cell>
          <cell r="H2278">
            <v>0</v>
          </cell>
          <cell r="I2278">
            <v>0</v>
          </cell>
          <cell r="J2278">
            <v>0</v>
          </cell>
          <cell r="K2278">
            <v>0</v>
          </cell>
          <cell r="L2278">
            <v>0</v>
          </cell>
          <cell r="M2278">
            <v>0</v>
          </cell>
          <cell r="N2278">
            <v>0</v>
          </cell>
          <cell r="O2278">
            <v>0</v>
          </cell>
        </row>
        <row r="2279">
          <cell r="A2279" t="str">
            <v>India AutoDATA PROCESSING</v>
          </cell>
          <cell r="B2279">
            <v>0</v>
          </cell>
          <cell r="C2279">
            <v>0</v>
          </cell>
          <cell r="D2279">
            <v>0</v>
          </cell>
          <cell r="E2279">
            <v>0</v>
          </cell>
          <cell r="F2279">
            <v>0</v>
          </cell>
          <cell r="G2279">
            <v>0</v>
          </cell>
          <cell r="H2279">
            <v>0</v>
          </cell>
          <cell r="I2279">
            <v>0</v>
          </cell>
          <cell r="J2279">
            <v>0</v>
          </cell>
          <cell r="K2279">
            <v>0</v>
          </cell>
          <cell r="L2279">
            <v>0</v>
          </cell>
          <cell r="M2279">
            <v>0</v>
          </cell>
          <cell r="N2279">
            <v>0</v>
          </cell>
          <cell r="O2279">
            <v>0</v>
          </cell>
        </row>
        <row r="2280">
          <cell r="A2280" t="str">
            <v>India AutoCONSULTING</v>
          </cell>
          <cell r="B2280">
            <v>0</v>
          </cell>
          <cell r="C2280">
            <v>0</v>
          </cell>
          <cell r="D2280">
            <v>0</v>
          </cell>
          <cell r="E2280">
            <v>0</v>
          </cell>
          <cell r="F2280">
            <v>0</v>
          </cell>
          <cell r="G2280">
            <v>0</v>
          </cell>
          <cell r="H2280">
            <v>0</v>
          </cell>
          <cell r="I2280">
            <v>0</v>
          </cell>
          <cell r="J2280">
            <v>0</v>
          </cell>
          <cell r="K2280">
            <v>0</v>
          </cell>
          <cell r="L2280">
            <v>0</v>
          </cell>
          <cell r="M2280">
            <v>0</v>
          </cell>
          <cell r="N2280">
            <v>0</v>
          </cell>
          <cell r="O2280">
            <v>0</v>
          </cell>
        </row>
        <row r="2281">
          <cell r="A2281" t="str">
            <v>India AutoTEMP SERVICES</v>
          </cell>
          <cell r="B2281">
            <v>0</v>
          </cell>
          <cell r="C2281">
            <v>0</v>
          </cell>
          <cell r="D2281">
            <v>0</v>
          </cell>
          <cell r="E2281">
            <v>0</v>
          </cell>
          <cell r="F2281">
            <v>0</v>
          </cell>
          <cell r="G2281">
            <v>0</v>
          </cell>
          <cell r="H2281">
            <v>0</v>
          </cell>
          <cell r="I2281">
            <v>0</v>
          </cell>
          <cell r="J2281">
            <v>0</v>
          </cell>
          <cell r="K2281">
            <v>0</v>
          </cell>
          <cell r="L2281">
            <v>0</v>
          </cell>
          <cell r="M2281">
            <v>0</v>
          </cell>
          <cell r="N2281">
            <v>0</v>
          </cell>
          <cell r="O2281">
            <v>0</v>
          </cell>
        </row>
        <row r="2282">
          <cell r="A2282" t="str">
            <v>India AutoGDC CHARGES</v>
          </cell>
          <cell r="B2282">
            <v>0</v>
          </cell>
          <cell r="C2282">
            <v>0</v>
          </cell>
          <cell r="D2282">
            <v>0</v>
          </cell>
          <cell r="E2282">
            <v>0</v>
          </cell>
          <cell r="F2282">
            <v>0</v>
          </cell>
          <cell r="G2282">
            <v>0</v>
          </cell>
          <cell r="H2282">
            <v>0</v>
          </cell>
          <cell r="I2282">
            <v>0</v>
          </cell>
          <cell r="J2282">
            <v>0</v>
          </cell>
          <cell r="K2282">
            <v>0</v>
          </cell>
          <cell r="L2282">
            <v>0</v>
          </cell>
          <cell r="M2282">
            <v>0</v>
          </cell>
          <cell r="N2282">
            <v>0</v>
          </cell>
          <cell r="O2282">
            <v>0</v>
          </cell>
        </row>
        <row r="2283">
          <cell r="A2283" t="str">
            <v>India AutoTRAINING AND EDUCATION</v>
          </cell>
          <cell r="B2283">
            <v>0</v>
          </cell>
          <cell r="C2283">
            <v>0</v>
          </cell>
          <cell r="D2283">
            <v>0</v>
          </cell>
          <cell r="E2283">
            <v>0</v>
          </cell>
          <cell r="F2283">
            <v>0</v>
          </cell>
          <cell r="G2283">
            <v>0</v>
          </cell>
          <cell r="H2283">
            <v>0</v>
          </cell>
          <cell r="I2283">
            <v>0</v>
          </cell>
          <cell r="J2283">
            <v>0</v>
          </cell>
          <cell r="K2283">
            <v>0</v>
          </cell>
          <cell r="L2283">
            <v>0</v>
          </cell>
          <cell r="M2283">
            <v>0</v>
          </cell>
          <cell r="N2283">
            <v>0</v>
          </cell>
          <cell r="O2283">
            <v>0</v>
          </cell>
        </row>
        <row r="2284">
          <cell r="A2284" t="str">
            <v>India AutoOUTSIDE SERVICES  AND FEES</v>
          </cell>
          <cell r="B2284">
            <v>0</v>
          </cell>
          <cell r="C2284">
            <v>0</v>
          </cell>
          <cell r="D2284">
            <v>0</v>
          </cell>
          <cell r="E2284">
            <v>0</v>
          </cell>
          <cell r="F2284">
            <v>0</v>
          </cell>
          <cell r="G2284">
            <v>0</v>
          </cell>
          <cell r="H2284">
            <v>0</v>
          </cell>
          <cell r="I2284">
            <v>0</v>
          </cell>
          <cell r="J2284">
            <v>0</v>
          </cell>
          <cell r="K2284">
            <v>0</v>
          </cell>
          <cell r="L2284">
            <v>0</v>
          </cell>
          <cell r="M2284">
            <v>0</v>
          </cell>
          <cell r="N2284">
            <v>0</v>
          </cell>
          <cell r="O2284">
            <v>0</v>
          </cell>
        </row>
        <row r="2285">
          <cell r="A2285" t="str">
            <v>India AutoSTATE, FOREIGN, LOCAL TAXES</v>
          </cell>
          <cell r="B2285">
            <v>0</v>
          </cell>
          <cell r="C2285">
            <v>0</v>
          </cell>
          <cell r="D2285">
            <v>0</v>
          </cell>
          <cell r="E2285">
            <v>0</v>
          </cell>
          <cell r="F2285">
            <v>0</v>
          </cell>
          <cell r="G2285">
            <v>0</v>
          </cell>
          <cell r="H2285">
            <v>0</v>
          </cell>
          <cell r="I2285">
            <v>0</v>
          </cell>
          <cell r="J2285">
            <v>0</v>
          </cell>
          <cell r="K2285">
            <v>0</v>
          </cell>
          <cell r="L2285">
            <v>0</v>
          </cell>
          <cell r="M2285">
            <v>0</v>
          </cell>
          <cell r="N2285">
            <v>0</v>
          </cell>
          <cell r="O2285">
            <v>0</v>
          </cell>
        </row>
        <row r="2286">
          <cell r="A2286" t="str">
            <v>India AutoS/L TAX - INSURANCE PREMIUMS</v>
          </cell>
          <cell r="B2286">
            <v>0</v>
          </cell>
          <cell r="C2286">
            <v>0</v>
          </cell>
          <cell r="D2286">
            <v>0</v>
          </cell>
          <cell r="E2286">
            <v>0</v>
          </cell>
          <cell r="F2286">
            <v>0</v>
          </cell>
          <cell r="G2286">
            <v>0</v>
          </cell>
          <cell r="H2286">
            <v>0</v>
          </cell>
          <cell r="I2286">
            <v>0</v>
          </cell>
          <cell r="J2286">
            <v>0</v>
          </cell>
          <cell r="K2286">
            <v>0</v>
          </cell>
          <cell r="L2286">
            <v>0</v>
          </cell>
          <cell r="M2286">
            <v>0</v>
          </cell>
          <cell r="N2286">
            <v>0</v>
          </cell>
          <cell r="O2286">
            <v>0</v>
          </cell>
        </row>
        <row r="2287">
          <cell r="A2287" t="str">
            <v>India AutoSATELLITE LEASE EXPENSE</v>
          </cell>
          <cell r="B2287">
            <v>0</v>
          </cell>
          <cell r="C2287">
            <v>0</v>
          </cell>
          <cell r="D2287">
            <v>0</v>
          </cell>
          <cell r="E2287">
            <v>0</v>
          </cell>
          <cell r="F2287">
            <v>0</v>
          </cell>
          <cell r="G2287">
            <v>0</v>
          </cell>
          <cell r="H2287">
            <v>0</v>
          </cell>
          <cell r="I2287">
            <v>0</v>
          </cell>
          <cell r="J2287">
            <v>0</v>
          </cell>
          <cell r="K2287">
            <v>0</v>
          </cell>
          <cell r="L2287">
            <v>0</v>
          </cell>
          <cell r="M2287">
            <v>0</v>
          </cell>
          <cell r="N2287">
            <v>0</v>
          </cell>
          <cell r="O2287">
            <v>0</v>
          </cell>
        </row>
        <row r="2288">
          <cell r="A2288" t="str">
            <v>India AutoBUSINESS SHARE EXPENSE</v>
          </cell>
          <cell r="B2288">
            <v>0</v>
          </cell>
          <cell r="C2288">
            <v>0</v>
          </cell>
          <cell r="D2288">
            <v>0</v>
          </cell>
          <cell r="E2288">
            <v>0</v>
          </cell>
          <cell r="F2288">
            <v>0</v>
          </cell>
          <cell r="G2288">
            <v>0</v>
          </cell>
          <cell r="H2288">
            <v>0</v>
          </cell>
          <cell r="I2288">
            <v>0</v>
          </cell>
          <cell r="J2288">
            <v>0</v>
          </cell>
          <cell r="K2288">
            <v>0</v>
          </cell>
          <cell r="L2288">
            <v>0</v>
          </cell>
          <cell r="M2288">
            <v>0</v>
          </cell>
          <cell r="N2288">
            <v>0</v>
          </cell>
          <cell r="O2288">
            <v>0</v>
          </cell>
        </row>
        <row r="2289">
          <cell r="A2289" t="str">
            <v>India AutoINSURANCE AFFILIATE EXPENSE</v>
          </cell>
          <cell r="B2289">
            <v>0</v>
          </cell>
          <cell r="C2289">
            <v>0</v>
          </cell>
          <cell r="D2289">
            <v>0</v>
          </cell>
          <cell r="E2289">
            <v>0</v>
          </cell>
          <cell r="F2289">
            <v>0</v>
          </cell>
          <cell r="G2289">
            <v>0</v>
          </cell>
          <cell r="H2289">
            <v>0</v>
          </cell>
          <cell r="I2289">
            <v>0</v>
          </cell>
          <cell r="J2289">
            <v>0</v>
          </cell>
          <cell r="K2289">
            <v>0</v>
          </cell>
          <cell r="L2289">
            <v>0</v>
          </cell>
          <cell r="M2289">
            <v>0</v>
          </cell>
          <cell r="N2289">
            <v>0</v>
          </cell>
          <cell r="O2289">
            <v>0</v>
          </cell>
        </row>
        <row r="2290">
          <cell r="A2290" t="str">
            <v>India AutoOTHER FACILITY EXPENSE</v>
          </cell>
          <cell r="B2290">
            <v>0</v>
          </cell>
          <cell r="C2290">
            <v>0</v>
          </cell>
          <cell r="D2290">
            <v>0</v>
          </cell>
          <cell r="E2290">
            <v>0</v>
          </cell>
          <cell r="F2290">
            <v>0</v>
          </cell>
          <cell r="G2290">
            <v>0</v>
          </cell>
          <cell r="H2290">
            <v>0</v>
          </cell>
          <cell r="I2290">
            <v>0</v>
          </cell>
          <cell r="J2290">
            <v>0</v>
          </cell>
          <cell r="K2290">
            <v>0</v>
          </cell>
          <cell r="L2290">
            <v>0</v>
          </cell>
          <cell r="M2290">
            <v>0</v>
          </cell>
          <cell r="N2290">
            <v>0</v>
          </cell>
          <cell r="O2290">
            <v>0</v>
          </cell>
        </row>
        <row r="2291">
          <cell r="A2291" t="str">
            <v>India AutoGROSS OP &amp; ADMIN BUS SHARE</v>
          </cell>
          <cell r="B2291">
            <v>0</v>
          </cell>
          <cell r="C2291">
            <v>0</v>
          </cell>
          <cell r="D2291">
            <v>0</v>
          </cell>
          <cell r="E2291">
            <v>0</v>
          </cell>
          <cell r="F2291">
            <v>0</v>
          </cell>
          <cell r="G2291">
            <v>0</v>
          </cell>
          <cell r="H2291">
            <v>0</v>
          </cell>
          <cell r="I2291">
            <v>0</v>
          </cell>
          <cell r="J2291">
            <v>0</v>
          </cell>
          <cell r="K2291">
            <v>0</v>
          </cell>
          <cell r="L2291">
            <v>0</v>
          </cell>
          <cell r="M2291">
            <v>0</v>
          </cell>
          <cell r="N2291">
            <v>0</v>
          </cell>
          <cell r="O2291">
            <v>0</v>
          </cell>
        </row>
        <row r="2292">
          <cell r="A2292" t="str">
            <v>India AutoOTHER EXPENSE</v>
          </cell>
          <cell r="B2292">
            <v>62679.85</v>
          </cell>
          <cell r="C2292">
            <v>62138.19</v>
          </cell>
          <cell r="D2292">
            <v>61846.39</v>
          </cell>
          <cell r="E2292">
            <v>200659.61</v>
          </cell>
          <cell r="F2292">
            <v>387324.04</v>
          </cell>
          <cell r="G2292">
            <v>115564.184348</v>
          </cell>
          <cell r="H2292">
            <v>115564.184348</v>
          </cell>
          <cell r="I2292">
            <v>115564.184348</v>
          </cell>
          <cell r="J2292">
            <v>115564.184348</v>
          </cell>
          <cell r="K2292">
            <v>462256.73739199998</v>
          </cell>
          <cell r="L2292">
            <v>0</v>
          </cell>
          <cell r="M2292">
            <v>0</v>
          </cell>
          <cell r="N2292">
            <v>0</v>
          </cell>
          <cell r="O2292">
            <v>0</v>
          </cell>
        </row>
        <row r="2293">
          <cell r="A2293" t="str">
            <v>India AutoGECC INTERCO EXPENSES EXCL GECIS</v>
          </cell>
          <cell r="B2293">
            <v>0</v>
          </cell>
          <cell r="C2293">
            <v>0</v>
          </cell>
          <cell r="D2293">
            <v>0</v>
          </cell>
          <cell r="E2293">
            <v>0</v>
          </cell>
          <cell r="F2293">
            <v>0</v>
          </cell>
          <cell r="G2293">
            <v>0</v>
          </cell>
          <cell r="H2293">
            <v>0</v>
          </cell>
          <cell r="I2293">
            <v>0</v>
          </cell>
          <cell r="J2293">
            <v>0</v>
          </cell>
          <cell r="K2293">
            <v>0</v>
          </cell>
          <cell r="L2293">
            <v>0</v>
          </cell>
          <cell r="M2293">
            <v>0</v>
          </cell>
          <cell r="N2293">
            <v>0</v>
          </cell>
          <cell r="O2293">
            <v>0</v>
          </cell>
        </row>
        <row r="2294">
          <cell r="A2294" t="str">
            <v>India AutoGECIS INTERCO CHARGES</v>
          </cell>
          <cell r="B2294">
            <v>0</v>
          </cell>
          <cell r="C2294">
            <v>0</v>
          </cell>
          <cell r="D2294">
            <v>0</v>
          </cell>
          <cell r="E2294">
            <v>0</v>
          </cell>
          <cell r="F2294">
            <v>0</v>
          </cell>
          <cell r="G2294">
            <v>0</v>
          </cell>
          <cell r="H2294">
            <v>0</v>
          </cell>
          <cell r="I2294">
            <v>0</v>
          </cell>
          <cell r="J2294">
            <v>0</v>
          </cell>
          <cell r="K2294">
            <v>0</v>
          </cell>
          <cell r="L2294">
            <v>0</v>
          </cell>
          <cell r="M2294">
            <v>0</v>
          </cell>
          <cell r="N2294">
            <v>0</v>
          </cell>
          <cell r="O2294">
            <v>0</v>
          </cell>
        </row>
        <row r="2295">
          <cell r="A2295" t="str">
            <v>India AutoLOSS ADJUSTED EXPENSE</v>
          </cell>
          <cell r="B2295">
            <v>0</v>
          </cell>
          <cell r="C2295">
            <v>0</v>
          </cell>
          <cell r="D2295">
            <v>0</v>
          </cell>
          <cell r="E2295">
            <v>0</v>
          </cell>
          <cell r="F2295">
            <v>0</v>
          </cell>
          <cell r="G2295">
            <v>0</v>
          </cell>
          <cell r="H2295">
            <v>0</v>
          </cell>
          <cell r="I2295">
            <v>0</v>
          </cell>
          <cell r="J2295">
            <v>0</v>
          </cell>
          <cell r="K2295">
            <v>0</v>
          </cell>
          <cell r="L2295">
            <v>0</v>
          </cell>
          <cell r="M2295">
            <v>0</v>
          </cell>
          <cell r="N2295">
            <v>0</v>
          </cell>
          <cell r="O2295">
            <v>0</v>
          </cell>
        </row>
        <row r="2296">
          <cell r="A2296" t="str">
            <v>India AutoALL OTHER EXPENSES</v>
          </cell>
          <cell r="B2296">
            <v>0</v>
          </cell>
          <cell r="C2296">
            <v>0</v>
          </cell>
          <cell r="D2296">
            <v>0</v>
          </cell>
          <cell r="E2296">
            <v>0</v>
          </cell>
          <cell r="F2296">
            <v>0</v>
          </cell>
          <cell r="G2296">
            <v>0</v>
          </cell>
          <cell r="H2296">
            <v>0</v>
          </cell>
          <cell r="I2296">
            <v>0</v>
          </cell>
          <cell r="J2296">
            <v>0</v>
          </cell>
          <cell r="K2296">
            <v>0</v>
          </cell>
          <cell r="L2296">
            <v>0</v>
          </cell>
          <cell r="M2296">
            <v>0</v>
          </cell>
          <cell r="N2296">
            <v>0</v>
          </cell>
          <cell r="O2296">
            <v>0</v>
          </cell>
        </row>
        <row r="2297">
          <cell r="A2297" t="str">
            <v>India AutoASSESSMENTS</v>
          </cell>
          <cell r="B2297">
            <v>0</v>
          </cell>
          <cell r="C2297">
            <v>0</v>
          </cell>
          <cell r="D2297">
            <v>2430.7800000000002</v>
          </cell>
          <cell r="E2297">
            <v>2043.04</v>
          </cell>
          <cell r="F2297">
            <v>4473.82</v>
          </cell>
          <cell r="G2297">
            <v>0</v>
          </cell>
          <cell r="H2297">
            <v>0</v>
          </cell>
          <cell r="I2297">
            <v>0</v>
          </cell>
          <cell r="J2297">
            <v>0</v>
          </cell>
          <cell r="K2297">
            <v>0</v>
          </cell>
          <cell r="L2297">
            <v>104894.67</v>
          </cell>
          <cell r="M2297">
            <v>349072.16494799999</v>
          </cell>
          <cell r="N2297">
            <v>369072.16494799999</v>
          </cell>
          <cell r="O2297">
            <v>389072.16494799999</v>
          </cell>
        </row>
        <row r="2298">
          <cell r="A2298" t="str">
            <v>India AutoFAS 91</v>
          </cell>
          <cell r="B2298">
            <v>0</v>
          </cell>
          <cell r="C2298">
            <v>0</v>
          </cell>
          <cell r="D2298">
            <v>0</v>
          </cell>
          <cell r="E2298">
            <v>0</v>
          </cell>
          <cell r="F2298">
            <v>0</v>
          </cell>
          <cell r="G2298">
            <v>0</v>
          </cell>
          <cell r="H2298">
            <v>0</v>
          </cell>
          <cell r="I2298">
            <v>0</v>
          </cell>
          <cell r="J2298">
            <v>0</v>
          </cell>
          <cell r="K2298">
            <v>0</v>
          </cell>
          <cell r="L2298">
            <v>0</v>
          </cell>
          <cell r="M2298">
            <v>0</v>
          </cell>
          <cell r="N2298">
            <v>0</v>
          </cell>
          <cell r="O2298">
            <v>0</v>
          </cell>
        </row>
        <row r="2299">
          <cell r="A2299" t="str">
            <v>India AutoGOODWILL AMORTIZATION</v>
          </cell>
          <cell r="B2299">
            <v>0</v>
          </cell>
          <cell r="C2299">
            <v>0</v>
          </cell>
          <cell r="D2299">
            <v>0</v>
          </cell>
          <cell r="E2299">
            <v>0</v>
          </cell>
          <cell r="F2299">
            <v>0</v>
          </cell>
          <cell r="G2299">
            <v>0</v>
          </cell>
          <cell r="H2299">
            <v>0</v>
          </cell>
          <cell r="I2299">
            <v>0</v>
          </cell>
          <cell r="J2299">
            <v>0</v>
          </cell>
          <cell r="K2299">
            <v>0</v>
          </cell>
          <cell r="L2299">
            <v>0</v>
          </cell>
          <cell r="M2299">
            <v>0</v>
          </cell>
          <cell r="N2299">
            <v>0</v>
          </cell>
          <cell r="O2299">
            <v>0</v>
          </cell>
        </row>
        <row r="2300">
          <cell r="A2300" t="str">
            <v>India AutoDEPRECIATION EXPENSE</v>
          </cell>
          <cell r="B2300">
            <v>0</v>
          </cell>
          <cell r="C2300">
            <v>213.04</v>
          </cell>
          <cell r="D2300">
            <v>0</v>
          </cell>
          <cell r="E2300">
            <v>-132.72</v>
          </cell>
          <cell r="F2300">
            <v>80.319999999999993</v>
          </cell>
          <cell r="G2300">
            <v>0</v>
          </cell>
          <cell r="H2300">
            <v>0</v>
          </cell>
          <cell r="I2300">
            <v>0</v>
          </cell>
          <cell r="J2300">
            <v>0</v>
          </cell>
          <cell r="K2300">
            <v>0</v>
          </cell>
          <cell r="L2300">
            <v>0</v>
          </cell>
          <cell r="M2300">
            <v>0</v>
          </cell>
          <cell r="N2300">
            <v>0</v>
          </cell>
          <cell r="O2300">
            <v>0</v>
          </cell>
        </row>
        <row r="2301">
          <cell r="A2301" t="str">
            <v>India AutoELTO AMORTIZATION</v>
          </cell>
          <cell r="B2301">
            <v>0</v>
          </cell>
          <cell r="C2301">
            <v>0</v>
          </cell>
          <cell r="D2301">
            <v>0</v>
          </cell>
          <cell r="E2301">
            <v>0</v>
          </cell>
          <cell r="F2301">
            <v>0</v>
          </cell>
          <cell r="G2301">
            <v>0</v>
          </cell>
          <cell r="H2301">
            <v>0</v>
          </cell>
          <cell r="I2301">
            <v>0</v>
          </cell>
          <cell r="J2301">
            <v>0</v>
          </cell>
          <cell r="K2301">
            <v>0</v>
          </cell>
          <cell r="L2301">
            <v>0</v>
          </cell>
          <cell r="M2301">
            <v>0</v>
          </cell>
          <cell r="N2301">
            <v>0</v>
          </cell>
          <cell r="O2301">
            <v>0</v>
          </cell>
        </row>
        <row r="2302">
          <cell r="A2302" t="str">
            <v>India AutoINSURANCE LOSSES AND BENEFITS</v>
          </cell>
          <cell r="B2302">
            <v>0</v>
          </cell>
          <cell r="C2302">
            <v>0</v>
          </cell>
          <cell r="D2302">
            <v>0</v>
          </cell>
          <cell r="E2302">
            <v>0</v>
          </cell>
          <cell r="F2302">
            <v>0</v>
          </cell>
          <cell r="G2302">
            <v>0</v>
          </cell>
          <cell r="H2302">
            <v>0</v>
          </cell>
          <cell r="I2302">
            <v>0</v>
          </cell>
          <cell r="J2302">
            <v>0</v>
          </cell>
          <cell r="K2302">
            <v>0</v>
          </cell>
          <cell r="L2302">
            <v>0</v>
          </cell>
          <cell r="M2302">
            <v>0</v>
          </cell>
          <cell r="N2302">
            <v>0</v>
          </cell>
          <cell r="O2302">
            <v>0</v>
          </cell>
        </row>
        <row r="2303">
          <cell r="A2303" t="str">
            <v>India AutoWRITE OFFS</v>
          </cell>
          <cell r="B2303">
            <v>0</v>
          </cell>
          <cell r="C2303">
            <v>0</v>
          </cell>
          <cell r="D2303">
            <v>0</v>
          </cell>
          <cell r="E2303">
            <v>0</v>
          </cell>
          <cell r="F2303">
            <v>0</v>
          </cell>
          <cell r="G2303">
            <v>0</v>
          </cell>
          <cell r="H2303">
            <v>0</v>
          </cell>
          <cell r="I2303">
            <v>0</v>
          </cell>
          <cell r="J2303">
            <v>0</v>
          </cell>
          <cell r="K2303">
            <v>0</v>
          </cell>
          <cell r="L2303">
            <v>0</v>
          </cell>
          <cell r="M2303">
            <v>0</v>
          </cell>
          <cell r="N2303">
            <v>0</v>
          </cell>
          <cell r="O2303">
            <v>0</v>
          </cell>
        </row>
        <row r="2304">
          <cell r="A2304" t="str">
            <v>India AutoRESERVE CHANGE</v>
          </cell>
          <cell r="B2304">
            <v>0</v>
          </cell>
          <cell r="C2304">
            <v>0</v>
          </cell>
          <cell r="D2304">
            <v>0</v>
          </cell>
          <cell r="E2304">
            <v>0</v>
          </cell>
          <cell r="F2304">
            <v>0</v>
          </cell>
          <cell r="G2304">
            <v>0</v>
          </cell>
          <cell r="H2304">
            <v>0</v>
          </cell>
          <cell r="I2304">
            <v>0</v>
          </cell>
          <cell r="J2304">
            <v>0</v>
          </cell>
          <cell r="K2304">
            <v>0</v>
          </cell>
          <cell r="L2304">
            <v>0</v>
          </cell>
          <cell r="M2304">
            <v>0</v>
          </cell>
          <cell r="N2304">
            <v>0</v>
          </cell>
          <cell r="O2304">
            <v>0</v>
          </cell>
        </row>
        <row r="2305">
          <cell r="A2305" t="str">
            <v>India AutoMINORITY INTEREST</v>
          </cell>
          <cell r="B2305">
            <v>0</v>
          </cell>
          <cell r="C2305">
            <v>0</v>
          </cell>
          <cell r="D2305">
            <v>0</v>
          </cell>
          <cell r="E2305">
            <v>0</v>
          </cell>
          <cell r="F2305">
            <v>0</v>
          </cell>
          <cell r="G2305">
            <v>0</v>
          </cell>
          <cell r="H2305">
            <v>0</v>
          </cell>
          <cell r="I2305">
            <v>0</v>
          </cell>
          <cell r="J2305">
            <v>0</v>
          </cell>
          <cell r="K2305">
            <v>0</v>
          </cell>
          <cell r="L2305">
            <v>0</v>
          </cell>
          <cell r="M2305">
            <v>0</v>
          </cell>
          <cell r="N2305">
            <v>0</v>
          </cell>
          <cell r="O2305">
            <v>0</v>
          </cell>
        </row>
        <row r="2306">
          <cell r="A2306" t="str">
            <v>India AutoINCOME TAXES</v>
          </cell>
          <cell r="B2306">
            <v>-22512.51</v>
          </cell>
          <cell r="C2306">
            <v>92602.09</v>
          </cell>
          <cell r="D2306">
            <v>-12861.07</v>
          </cell>
          <cell r="E2306">
            <v>-12899.06</v>
          </cell>
          <cell r="F2306">
            <v>44329.45</v>
          </cell>
          <cell r="G2306">
            <v>-14945.752374</v>
          </cell>
          <cell r="H2306">
            <v>-44853.726833000001</v>
          </cell>
          <cell r="I2306">
            <v>-53234.210597999998</v>
          </cell>
          <cell r="J2306">
            <v>89110.664462000001</v>
          </cell>
          <cell r="K2306">
            <v>-23923.025344000001</v>
          </cell>
          <cell r="L2306">
            <v>-31451.1</v>
          </cell>
          <cell r="M2306">
            <v>196563.26819100001</v>
          </cell>
          <cell r="N2306">
            <v>373974.24555699999</v>
          </cell>
          <cell r="O2306">
            <v>301931.53886199999</v>
          </cell>
        </row>
        <row r="2307">
          <cell r="A2307" t="str">
            <v>India AutoCUMULATIVE TRANSITION ADJUSTMENT</v>
          </cell>
          <cell r="B2307">
            <v>0</v>
          </cell>
          <cell r="C2307">
            <v>0</v>
          </cell>
          <cell r="D2307">
            <v>0</v>
          </cell>
          <cell r="E2307">
            <v>0</v>
          </cell>
          <cell r="F2307">
            <v>0</v>
          </cell>
          <cell r="G2307">
            <v>0</v>
          </cell>
          <cell r="H2307">
            <v>0</v>
          </cell>
          <cell r="I2307">
            <v>0</v>
          </cell>
          <cell r="J2307">
            <v>0</v>
          </cell>
          <cell r="K2307">
            <v>0</v>
          </cell>
          <cell r="L2307">
            <v>0</v>
          </cell>
          <cell r="M2307">
            <v>0</v>
          </cell>
          <cell r="N2307">
            <v>0</v>
          </cell>
          <cell r="O2307">
            <v>0</v>
          </cell>
        </row>
        <row r="2308">
          <cell r="A2308" t="str">
            <v>India AutoASIA PACIFIC NI DIVIDEND</v>
          </cell>
          <cell r="B2308">
            <v>0</v>
          </cell>
          <cell r="C2308">
            <v>0</v>
          </cell>
          <cell r="D2308">
            <v>0</v>
          </cell>
          <cell r="E2308">
            <v>0</v>
          </cell>
          <cell r="F2308">
            <v>0</v>
          </cell>
          <cell r="G2308">
            <v>0</v>
          </cell>
          <cell r="H2308">
            <v>0</v>
          </cell>
          <cell r="I2308">
            <v>0</v>
          </cell>
          <cell r="J2308">
            <v>0</v>
          </cell>
          <cell r="K2308">
            <v>0</v>
          </cell>
          <cell r="L2308">
            <v>0</v>
          </cell>
          <cell r="M2308">
            <v>0</v>
          </cell>
          <cell r="N2308">
            <v>0</v>
          </cell>
          <cell r="O2308">
            <v>0</v>
          </cell>
        </row>
        <row r="2309">
          <cell r="A2309" t="str">
            <v>India AutoNet Income</v>
          </cell>
          <cell r="B2309">
            <v>42565.03</v>
          </cell>
          <cell r="C2309">
            <v>-170980.09</v>
          </cell>
          <cell r="D2309">
            <v>27639.62</v>
          </cell>
          <cell r="E2309">
            <v>25501.47</v>
          </cell>
          <cell r="F2309">
            <v>-75273.97</v>
          </cell>
          <cell r="G2309">
            <v>27756.397267</v>
          </cell>
          <cell r="H2309">
            <v>83299.778405000005</v>
          </cell>
          <cell r="I2309">
            <v>98863.533966999996</v>
          </cell>
          <cell r="J2309">
            <v>-165491.234001</v>
          </cell>
          <cell r="K2309">
            <v>44428.475638000004</v>
          </cell>
          <cell r="L2309">
            <v>59750.43</v>
          </cell>
          <cell r="M2309">
            <v>-313990.675162</v>
          </cell>
          <cell r="N2309">
            <v>-597387.43121499999</v>
          </cell>
          <cell r="O2309">
            <v>-482306.22441700002</v>
          </cell>
        </row>
        <row r="2310">
          <cell r="A2310" t="str">
            <v>India AutoSubPart F</v>
          </cell>
          <cell r="B2310">
            <v>0</v>
          </cell>
          <cell r="C2310">
            <v>0</v>
          </cell>
          <cell r="D2310">
            <v>0</v>
          </cell>
          <cell r="E2310">
            <v>0</v>
          </cell>
          <cell r="F2310">
            <v>0</v>
          </cell>
          <cell r="G2310">
            <v>0</v>
          </cell>
          <cell r="H2310">
            <v>0</v>
          </cell>
          <cell r="I2310">
            <v>0</v>
          </cell>
          <cell r="J2310">
            <v>0</v>
          </cell>
          <cell r="K2310">
            <v>0</v>
          </cell>
          <cell r="L2310">
            <v>0</v>
          </cell>
          <cell r="M2310">
            <v>0</v>
          </cell>
          <cell r="N2310">
            <v>0</v>
          </cell>
          <cell r="O2310">
            <v>0</v>
          </cell>
        </row>
        <row r="2311">
          <cell r="A2311" t="str">
            <v>India AutoAssets</v>
          </cell>
          <cell r="B2311">
            <v>11879661.57</v>
          </cell>
          <cell r="C2311">
            <v>36831624.460000001</v>
          </cell>
          <cell r="D2311">
            <v>36778133.140000001</v>
          </cell>
          <cell r="E2311">
            <v>28962235.120000001</v>
          </cell>
          <cell r="F2311">
            <v>28962235.120000001</v>
          </cell>
          <cell r="G2311">
            <v>28962235.120000001</v>
          </cell>
          <cell r="H2311">
            <v>28962235.120000001</v>
          </cell>
          <cell r="I2311">
            <v>28962235.120000001</v>
          </cell>
          <cell r="J2311">
            <v>28962235.120000001</v>
          </cell>
          <cell r="K2311">
            <v>28962235.120000001</v>
          </cell>
          <cell r="L2311">
            <v>6605439.7800000003</v>
          </cell>
          <cell r="M2311">
            <v>12119638.324446</v>
          </cell>
          <cell r="N2311">
            <v>12717025.755661</v>
          </cell>
          <cell r="O2311">
            <v>13199331.980077</v>
          </cell>
        </row>
        <row r="2312">
          <cell r="A2312" t="str">
            <v>India AutoEnding Net Investment (ENI) incl Asia</v>
          </cell>
          <cell r="B2312">
            <v>11105230.27</v>
          </cell>
          <cell r="C2312">
            <v>35970379.340000004</v>
          </cell>
          <cell r="D2312">
            <v>35940400.490000002</v>
          </cell>
          <cell r="E2312">
            <v>28136729.120000001</v>
          </cell>
          <cell r="F2312">
            <v>28136729.120000001</v>
          </cell>
          <cell r="G2312">
            <v>28136729.120000001</v>
          </cell>
          <cell r="H2312">
            <v>28136729.120000001</v>
          </cell>
          <cell r="I2312">
            <v>28136729.120000001</v>
          </cell>
          <cell r="J2312">
            <v>28136729.120000001</v>
          </cell>
          <cell r="K2312">
            <v>28136729.120000001</v>
          </cell>
          <cell r="L2312">
            <v>5915329.3600000003</v>
          </cell>
          <cell r="M2312">
            <v>12119638.324446</v>
          </cell>
          <cell r="N2312">
            <v>12717025.755661</v>
          </cell>
          <cell r="O2312">
            <v>13199331.980077</v>
          </cell>
        </row>
        <row r="2313">
          <cell r="A2313" t="str">
            <v>India AutoANR YTD</v>
          </cell>
          <cell r="B2313">
            <v>0</v>
          </cell>
          <cell r="C2313">
            <v>0</v>
          </cell>
          <cell r="D2313">
            <v>0</v>
          </cell>
          <cell r="E2313">
            <v>0</v>
          </cell>
          <cell r="F2313">
            <v>0</v>
          </cell>
          <cell r="G2313">
            <v>0</v>
          </cell>
          <cell r="H2313">
            <v>0</v>
          </cell>
          <cell r="I2313">
            <v>0</v>
          </cell>
          <cell r="J2313">
            <v>0</v>
          </cell>
          <cell r="K2313">
            <v>0</v>
          </cell>
          <cell r="L2313">
            <v>0</v>
          </cell>
          <cell r="M2313">
            <v>0</v>
          </cell>
          <cell r="N2313">
            <v>0</v>
          </cell>
          <cell r="O2313">
            <v>0</v>
          </cell>
        </row>
        <row r="2314">
          <cell r="A2314" t="str">
            <v>India AutoASA YTD</v>
          </cell>
          <cell r="B2314">
            <v>0</v>
          </cell>
          <cell r="C2314">
            <v>0</v>
          </cell>
          <cell r="D2314">
            <v>0</v>
          </cell>
          <cell r="E2314">
            <v>0</v>
          </cell>
          <cell r="F2314">
            <v>0</v>
          </cell>
          <cell r="G2314">
            <v>0</v>
          </cell>
          <cell r="H2314">
            <v>0</v>
          </cell>
          <cell r="I2314">
            <v>0</v>
          </cell>
          <cell r="J2314">
            <v>0</v>
          </cell>
          <cell r="K2314">
            <v>0</v>
          </cell>
          <cell r="L2314">
            <v>0</v>
          </cell>
          <cell r="M2314">
            <v>0</v>
          </cell>
          <cell r="N2314">
            <v>0</v>
          </cell>
          <cell r="O2314">
            <v>0</v>
          </cell>
        </row>
        <row r="2315">
          <cell r="A2315" t="str">
            <v>India AutoANI YTD incl Asia - 5 pt</v>
          </cell>
          <cell r="B2315">
            <v>7102670.0199999996</v>
          </cell>
          <cell r="C2315">
            <v>16725239.793333</v>
          </cell>
          <cell r="D2315">
            <v>21529029.967500001</v>
          </cell>
          <cell r="E2315">
            <v>22850569.798</v>
          </cell>
          <cell r="F2315">
            <v>22850569.798</v>
          </cell>
          <cell r="G2315">
            <v>28136729.120000001</v>
          </cell>
          <cell r="H2315">
            <v>28136729.120000001</v>
          </cell>
          <cell r="I2315">
            <v>28136729.120000001</v>
          </cell>
          <cell r="J2315">
            <v>28136729.120000001</v>
          </cell>
          <cell r="K2315">
            <v>28136729.120000001</v>
          </cell>
          <cell r="L2315">
            <v>17026029.239999998</v>
          </cell>
          <cell r="M2315">
            <v>4785057.1947459998</v>
          </cell>
          <cell r="N2315">
            <v>4967332.816021</v>
          </cell>
          <cell r="O2315">
            <v>5183271.5471480004</v>
          </cell>
        </row>
        <row r="2316">
          <cell r="A2316" t="str">
            <v>India AutoOff Balance Sheet Assets</v>
          </cell>
          <cell r="B2316">
            <v>0</v>
          </cell>
          <cell r="C2316">
            <v>0</v>
          </cell>
          <cell r="D2316">
            <v>0</v>
          </cell>
          <cell r="E2316">
            <v>0</v>
          </cell>
          <cell r="F2316">
            <v>0</v>
          </cell>
          <cell r="G2316">
            <v>0</v>
          </cell>
          <cell r="H2316">
            <v>0</v>
          </cell>
          <cell r="I2316">
            <v>0</v>
          </cell>
          <cell r="J2316">
            <v>0</v>
          </cell>
          <cell r="K2316">
            <v>0</v>
          </cell>
          <cell r="L2316">
            <v>0</v>
          </cell>
          <cell r="M2316">
            <v>0</v>
          </cell>
          <cell r="N2316">
            <v>0</v>
          </cell>
          <cell r="O2316">
            <v>0</v>
          </cell>
        </row>
        <row r="2317">
          <cell r="A2317" t="str">
            <v>India AutoJV Receivables</v>
          </cell>
          <cell r="B2317">
            <v>0</v>
          </cell>
          <cell r="C2317">
            <v>0</v>
          </cell>
          <cell r="D2317">
            <v>0</v>
          </cell>
          <cell r="E2317">
            <v>0</v>
          </cell>
          <cell r="F2317">
            <v>0</v>
          </cell>
          <cell r="G2317">
            <v>0</v>
          </cell>
          <cell r="H2317">
            <v>0</v>
          </cell>
          <cell r="I2317">
            <v>0</v>
          </cell>
          <cell r="J2317">
            <v>0</v>
          </cell>
          <cell r="K2317">
            <v>0</v>
          </cell>
          <cell r="L2317">
            <v>0</v>
          </cell>
          <cell r="M2317">
            <v>0</v>
          </cell>
          <cell r="N2317">
            <v>0</v>
          </cell>
          <cell r="O2317">
            <v>0</v>
          </cell>
        </row>
        <row r="2318">
          <cell r="A2318" t="str">
            <v>India Auto30+ DELINQUENCY $</v>
          </cell>
          <cell r="B2318">
            <v>0</v>
          </cell>
          <cell r="C2318">
            <v>0</v>
          </cell>
          <cell r="D2318">
            <v>0</v>
          </cell>
          <cell r="E2318">
            <v>0</v>
          </cell>
          <cell r="F2318">
            <v>0</v>
          </cell>
          <cell r="G2318">
            <v>0</v>
          </cell>
          <cell r="H2318">
            <v>0</v>
          </cell>
          <cell r="I2318">
            <v>0</v>
          </cell>
          <cell r="J2318">
            <v>0</v>
          </cell>
          <cell r="K2318">
            <v>0</v>
          </cell>
          <cell r="L2318">
            <v>0</v>
          </cell>
          <cell r="M2318">
            <v>0</v>
          </cell>
          <cell r="N2318">
            <v>0</v>
          </cell>
          <cell r="O2318">
            <v>0</v>
          </cell>
        </row>
        <row r="2319">
          <cell r="A2319" t="str">
            <v>India Auto90+ DELINQUENCY $</v>
          </cell>
          <cell r="B2319">
            <v>0</v>
          </cell>
          <cell r="C2319">
            <v>0</v>
          </cell>
          <cell r="D2319">
            <v>0</v>
          </cell>
          <cell r="E2319">
            <v>0</v>
          </cell>
          <cell r="F2319">
            <v>0</v>
          </cell>
          <cell r="G2319">
            <v>0</v>
          </cell>
          <cell r="H2319">
            <v>0</v>
          </cell>
          <cell r="I2319">
            <v>0</v>
          </cell>
          <cell r="J2319">
            <v>0</v>
          </cell>
          <cell r="K2319">
            <v>0</v>
          </cell>
          <cell r="L2319">
            <v>0</v>
          </cell>
          <cell r="M2319">
            <v>0</v>
          </cell>
          <cell r="N2319">
            <v>0</v>
          </cell>
          <cell r="O2319">
            <v>0</v>
          </cell>
        </row>
        <row r="2320">
          <cell r="A2320" t="str">
            <v>India AutoTemporary Staff</v>
          </cell>
          <cell r="B2320">
            <v>0</v>
          </cell>
          <cell r="C2320">
            <v>0</v>
          </cell>
          <cell r="D2320">
            <v>0</v>
          </cell>
          <cell r="E2320">
            <v>0</v>
          </cell>
          <cell r="F2320">
            <v>0</v>
          </cell>
          <cell r="G2320">
            <v>0</v>
          </cell>
          <cell r="H2320">
            <v>0</v>
          </cell>
          <cell r="I2320">
            <v>0</v>
          </cell>
          <cell r="J2320">
            <v>0</v>
          </cell>
          <cell r="K2320">
            <v>0</v>
          </cell>
          <cell r="L2320">
            <v>0</v>
          </cell>
          <cell r="M2320">
            <v>0</v>
          </cell>
          <cell r="N2320">
            <v>0</v>
          </cell>
          <cell r="O2320">
            <v>0</v>
          </cell>
        </row>
        <row r="2321">
          <cell r="A2321" t="str">
            <v>India AutoContractors</v>
          </cell>
          <cell r="B2321">
            <v>0</v>
          </cell>
          <cell r="C2321">
            <v>0</v>
          </cell>
          <cell r="D2321">
            <v>0</v>
          </cell>
          <cell r="E2321">
            <v>0</v>
          </cell>
          <cell r="F2321">
            <v>0</v>
          </cell>
          <cell r="G2321">
            <v>0</v>
          </cell>
          <cell r="H2321">
            <v>0</v>
          </cell>
          <cell r="I2321">
            <v>0</v>
          </cell>
          <cell r="J2321">
            <v>0</v>
          </cell>
          <cell r="K2321">
            <v>0</v>
          </cell>
          <cell r="L2321">
            <v>0</v>
          </cell>
          <cell r="M2321">
            <v>0</v>
          </cell>
          <cell r="N2321">
            <v>0</v>
          </cell>
          <cell r="O2321">
            <v>0</v>
          </cell>
        </row>
        <row r="2322">
          <cell r="A2322" t="str">
            <v>India AutoOutsourced to LCC</v>
          </cell>
          <cell r="B2322">
            <v>0</v>
          </cell>
          <cell r="C2322">
            <v>0</v>
          </cell>
          <cell r="D2322">
            <v>0</v>
          </cell>
          <cell r="E2322">
            <v>0</v>
          </cell>
          <cell r="F2322">
            <v>0</v>
          </cell>
          <cell r="G2322">
            <v>0</v>
          </cell>
          <cell r="H2322">
            <v>0</v>
          </cell>
          <cell r="I2322">
            <v>0</v>
          </cell>
          <cell r="J2322">
            <v>0</v>
          </cell>
          <cell r="K2322">
            <v>0</v>
          </cell>
          <cell r="L2322">
            <v>0</v>
          </cell>
          <cell r="M2322">
            <v>0</v>
          </cell>
          <cell r="N2322">
            <v>0</v>
          </cell>
          <cell r="O2322">
            <v>0</v>
          </cell>
        </row>
        <row r="2323">
          <cell r="A2323" t="str">
            <v>India AutoTotal Headcount</v>
          </cell>
          <cell r="B2323">
            <v>0</v>
          </cell>
          <cell r="C2323">
            <v>0</v>
          </cell>
          <cell r="D2323">
            <v>0</v>
          </cell>
          <cell r="E2323">
            <v>0</v>
          </cell>
          <cell r="F2323">
            <v>0</v>
          </cell>
          <cell r="G2323">
            <v>0</v>
          </cell>
          <cell r="H2323">
            <v>0</v>
          </cell>
          <cell r="I2323">
            <v>0</v>
          </cell>
          <cell r="J2323">
            <v>0</v>
          </cell>
          <cell r="K2323">
            <v>0</v>
          </cell>
          <cell r="L2323">
            <v>0</v>
          </cell>
          <cell r="M2323">
            <v>0</v>
          </cell>
          <cell r="N2323">
            <v>0</v>
          </cell>
          <cell r="O2323">
            <v>0</v>
          </cell>
        </row>
        <row r="2324">
          <cell r="A2324" t="str">
            <v>India AutoTotal Workforce</v>
          </cell>
          <cell r="B2324">
            <v>0</v>
          </cell>
          <cell r="C2324">
            <v>0</v>
          </cell>
          <cell r="D2324">
            <v>0</v>
          </cell>
          <cell r="E2324">
            <v>0</v>
          </cell>
          <cell r="F2324">
            <v>0</v>
          </cell>
          <cell r="G2324">
            <v>0</v>
          </cell>
          <cell r="H2324">
            <v>0</v>
          </cell>
          <cell r="I2324">
            <v>0</v>
          </cell>
          <cell r="J2324">
            <v>0</v>
          </cell>
          <cell r="K2324">
            <v>0</v>
          </cell>
          <cell r="L2324">
            <v>0</v>
          </cell>
          <cell r="M2324">
            <v>0</v>
          </cell>
          <cell r="N2324">
            <v>0</v>
          </cell>
          <cell r="O2324">
            <v>0</v>
          </cell>
        </row>
        <row r="2325">
          <cell r="A2325" t="str">
            <v>India AutoTotal Earned Revenue</v>
          </cell>
          <cell r="B2325">
            <v>-304078.43</v>
          </cell>
          <cell r="C2325">
            <v>-1051610.06</v>
          </cell>
          <cell r="D2325">
            <v>-828564.43</v>
          </cell>
          <cell r="E2325">
            <v>-761525.05</v>
          </cell>
          <cell r="F2325">
            <v>-2945777.97</v>
          </cell>
          <cell r="G2325">
            <v>-137176.01556100001</v>
          </cell>
          <cell r="H2325">
            <v>-51724.659964999999</v>
          </cell>
          <cell r="I2325">
            <v>-27780.420636999999</v>
          </cell>
          <cell r="J2325">
            <v>-434480.06366500002</v>
          </cell>
          <cell r="K2325">
            <v>-651161.15982900001</v>
          </cell>
          <cell r="L2325">
            <v>-313317.48</v>
          </cell>
          <cell r="M2325">
            <v>-1224918.2045219999</v>
          </cell>
          <cell r="N2325">
            <v>-1705725.9379400001</v>
          </cell>
          <cell r="O2325">
            <v>-1538602.0244469999</v>
          </cell>
        </row>
        <row r="2326">
          <cell r="A2326" t="str">
            <v>India AutoOrdinary Gains - PreTax</v>
          </cell>
          <cell r="B2326">
            <v>0</v>
          </cell>
          <cell r="C2326">
            <v>0</v>
          </cell>
          <cell r="D2326">
            <v>0</v>
          </cell>
          <cell r="E2326">
            <v>0</v>
          </cell>
          <cell r="F2326">
            <v>0</v>
          </cell>
          <cell r="G2326">
            <v>0</v>
          </cell>
          <cell r="H2326">
            <v>0</v>
          </cell>
          <cell r="I2326">
            <v>0</v>
          </cell>
          <cell r="J2326">
            <v>0</v>
          </cell>
          <cell r="K2326">
            <v>0</v>
          </cell>
          <cell r="L2326">
            <v>0</v>
          </cell>
          <cell r="M2326">
            <v>0</v>
          </cell>
          <cell r="N2326">
            <v>0</v>
          </cell>
          <cell r="O2326">
            <v>0</v>
          </cell>
        </row>
        <row r="2327">
          <cell r="A2327" t="str">
            <v>India AutoOrdinary Gains - AfterTax</v>
          </cell>
          <cell r="B2327">
            <v>0</v>
          </cell>
          <cell r="C2327">
            <v>0</v>
          </cell>
          <cell r="D2327">
            <v>0</v>
          </cell>
          <cell r="E2327">
            <v>0</v>
          </cell>
          <cell r="F2327">
            <v>0</v>
          </cell>
          <cell r="G2327">
            <v>0</v>
          </cell>
          <cell r="H2327">
            <v>0</v>
          </cell>
          <cell r="I2327">
            <v>0</v>
          </cell>
          <cell r="J2327">
            <v>0</v>
          </cell>
          <cell r="K2327">
            <v>0</v>
          </cell>
          <cell r="L2327">
            <v>0</v>
          </cell>
          <cell r="M2327">
            <v>0</v>
          </cell>
          <cell r="N2327">
            <v>0</v>
          </cell>
          <cell r="O2327">
            <v>0</v>
          </cell>
        </row>
        <row r="2328">
          <cell r="A2328" t="str">
            <v>India AutoTotal Volume</v>
          </cell>
          <cell r="B2328">
            <v>0</v>
          </cell>
          <cell r="C2328">
            <v>0</v>
          </cell>
          <cell r="D2328">
            <v>0</v>
          </cell>
          <cell r="E2328">
            <v>0</v>
          </cell>
          <cell r="F2328">
            <v>0</v>
          </cell>
          <cell r="G2328">
            <v>0</v>
          </cell>
          <cell r="H2328">
            <v>0</v>
          </cell>
          <cell r="I2328">
            <v>0</v>
          </cell>
          <cell r="J2328">
            <v>0</v>
          </cell>
          <cell r="K2328">
            <v>0</v>
          </cell>
          <cell r="L2328">
            <v>0</v>
          </cell>
          <cell r="M2328">
            <v>0</v>
          </cell>
          <cell r="N2328">
            <v>0</v>
          </cell>
          <cell r="O2328">
            <v>0</v>
          </cell>
        </row>
        <row r="2329">
          <cell r="A2329" t="str">
            <v>India AutoTOTAL # ACTIVE ACCOUNTS</v>
          </cell>
          <cell r="B2329">
            <v>0</v>
          </cell>
          <cell r="C2329">
            <v>0</v>
          </cell>
          <cell r="D2329">
            <v>0</v>
          </cell>
          <cell r="E2329">
            <v>0</v>
          </cell>
          <cell r="F2329">
            <v>0</v>
          </cell>
          <cell r="G2329">
            <v>0</v>
          </cell>
          <cell r="H2329">
            <v>0</v>
          </cell>
          <cell r="I2329">
            <v>0</v>
          </cell>
          <cell r="J2329">
            <v>0</v>
          </cell>
          <cell r="K2329">
            <v>0</v>
          </cell>
          <cell r="L2329">
            <v>0</v>
          </cell>
          <cell r="M2329">
            <v>0</v>
          </cell>
          <cell r="N2329">
            <v>0</v>
          </cell>
          <cell r="O2329">
            <v>0</v>
          </cell>
        </row>
        <row r="2330">
          <cell r="A2330" t="str">
            <v>India CountrywideTOTAL FINANCING RECEIVABLES</v>
          </cell>
          <cell r="B2330">
            <v>287350147.81999999</v>
          </cell>
          <cell r="C2330">
            <v>286946578.04000002</v>
          </cell>
          <cell r="D2330">
            <v>279963938.66000003</v>
          </cell>
          <cell r="E2330">
            <v>274968025.67000002</v>
          </cell>
          <cell r="F2330">
            <v>274968025.67000002</v>
          </cell>
          <cell r="G2330">
            <v>278174810.98354399</v>
          </cell>
          <cell r="H2330">
            <v>288777279.35803097</v>
          </cell>
          <cell r="I2330">
            <v>297766244.95214897</v>
          </cell>
          <cell r="J2330">
            <v>352820304.18891603</v>
          </cell>
          <cell r="K2330">
            <v>352820304.18891603</v>
          </cell>
          <cell r="L2330">
            <v>274736900.85000002</v>
          </cell>
          <cell r="M2330">
            <v>456463120.06441897</v>
          </cell>
          <cell r="N2330">
            <v>558229689.08873701</v>
          </cell>
          <cell r="O2330">
            <v>662682853.94679701</v>
          </cell>
        </row>
        <row r="2331">
          <cell r="A2331" t="str">
            <v>India CountrywideRECEIVABLE RESERVES</v>
          </cell>
          <cell r="B2331">
            <v>-10780322.35</v>
          </cell>
          <cell r="C2331">
            <v>-12024788.689999999</v>
          </cell>
          <cell r="D2331">
            <v>-12709821.83</v>
          </cell>
          <cell r="E2331">
            <v>-11096060.859999999</v>
          </cell>
          <cell r="F2331">
            <v>-11096060.859999999</v>
          </cell>
          <cell r="G2331">
            <v>-10486941.544326</v>
          </cell>
          <cell r="H2331">
            <v>-10640793.220132001</v>
          </cell>
          <cell r="I2331">
            <v>-10881052.544927999</v>
          </cell>
          <cell r="J2331">
            <v>-11280442.649022</v>
          </cell>
          <cell r="K2331">
            <v>-11280442.649022</v>
          </cell>
          <cell r="L2331">
            <v>-10010841.779999999</v>
          </cell>
          <cell r="M2331">
            <v>-18233735.767064001</v>
          </cell>
          <cell r="N2331">
            <v>-20784756.175227001</v>
          </cell>
          <cell r="O2331">
            <v>-23913327.603797998</v>
          </cell>
        </row>
        <row r="2332">
          <cell r="A2332" t="str">
            <v>India CountrywideCASH</v>
          </cell>
          <cell r="B2332">
            <v>13983434.08</v>
          </cell>
          <cell r="C2332">
            <v>22130704.789999999</v>
          </cell>
          <cell r="D2332">
            <v>408896.83</v>
          </cell>
          <cell r="E2332">
            <v>11205530.029999999</v>
          </cell>
          <cell r="F2332">
            <v>11205530.029999999</v>
          </cell>
          <cell r="G2332">
            <v>11147940.444336999</v>
          </cell>
          <cell r="H2332">
            <v>11677911.255889</v>
          </cell>
          <cell r="I2332">
            <v>11770605.770457</v>
          </cell>
          <cell r="J2332">
            <v>11823670.02155</v>
          </cell>
          <cell r="K2332">
            <v>11823670.02155</v>
          </cell>
          <cell r="L2332">
            <v>7696851.4199999999</v>
          </cell>
          <cell r="M2332">
            <v>0</v>
          </cell>
          <cell r="N2332">
            <v>0</v>
          </cell>
          <cell r="O2332">
            <v>0</v>
          </cell>
        </row>
        <row r="2333">
          <cell r="A2333" t="str">
            <v>India CountrywideINVESTMENT SECURITIES</v>
          </cell>
          <cell r="B2333">
            <v>107.21</v>
          </cell>
          <cell r="C2333">
            <v>212.77</v>
          </cell>
          <cell r="D2333">
            <v>209.43</v>
          </cell>
          <cell r="E2333">
            <v>104.69</v>
          </cell>
          <cell r="F2333">
            <v>104.69</v>
          </cell>
          <cell r="G2333">
            <v>104.69</v>
          </cell>
          <cell r="H2333">
            <v>104.69</v>
          </cell>
          <cell r="I2333">
            <v>104.69</v>
          </cell>
          <cell r="J2333">
            <v>104.69</v>
          </cell>
          <cell r="K2333">
            <v>104.69</v>
          </cell>
          <cell r="L2333">
            <v>102.82</v>
          </cell>
          <cell r="M2333">
            <v>0</v>
          </cell>
          <cell r="N2333">
            <v>0</v>
          </cell>
          <cell r="O2333">
            <v>0</v>
          </cell>
        </row>
        <row r="2334">
          <cell r="A2334" t="str">
            <v>India CountrywideINV IN NON CONSOL AFFILIATES</v>
          </cell>
          <cell r="B2334">
            <v>6378585.7199999997</v>
          </cell>
          <cell r="C2334">
            <v>3900273.68</v>
          </cell>
          <cell r="D2334">
            <v>3839011.3</v>
          </cell>
          <cell r="E2334">
            <v>1986155.88</v>
          </cell>
          <cell r="F2334">
            <v>1986155.88</v>
          </cell>
          <cell r="G2334">
            <v>1986155.88</v>
          </cell>
          <cell r="H2334">
            <v>1986155.88</v>
          </cell>
          <cell r="I2334">
            <v>1986155.88</v>
          </cell>
          <cell r="J2334">
            <v>1986155.88</v>
          </cell>
          <cell r="K2334">
            <v>1986155.88</v>
          </cell>
          <cell r="L2334">
            <v>1347587.15</v>
          </cell>
          <cell r="M2334">
            <v>0</v>
          </cell>
          <cell r="N2334">
            <v>0</v>
          </cell>
          <cell r="O2334">
            <v>0</v>
          </cell>
        </row>
        <row r="2335">
          <cell r="A2335" t="str">
            <v>India CountrywideINVESTMENT IN JOINT VENTURE</v>
          </cell>
          <cell r="B2335">
            <v>0</v>
          </cell>
          <cell r="C2335">
            <v>0</v>
          </cell>
          <cell r="D2335">
            <v>0</v>
          </cell>
          <cell r="E2335">
            <v>0</v>
          </cell>
          <cell r="F2335">
            <v>0</v>
          </cell>
          <cell r="G2335">
            <v>0</v>
          </cell>
          <cell r="H2335">
            <v>0</v>
          </cell>
          <cell r="I2335">
            <v>0</v>
          </cell>
          <cell r="J2335">
            <v>0</v>
          </cell>
          <cell r="K2335">
            <v>0</v>
          </cell>
          <cell r="L2335">
            <v>0</v>
          </cell>
          <cell r="M2335">
            <v>0</v>
          </cell>
          <cell r="N2335">
            <v>0</v>
          </cell>
          <cell r="O2335">
            <v>0</v>
          </cell>
        </row>
        <row r="2336">
          <cell r="A2336" t="str">
            <v>India CountrywideALL OTHER RECEIVABLES (NON-FINANCING)</v>
          </cell>
          <cell r="B2336">
            <v>12796535.25</v>
          </cell>
          <cell r="C2336">
            <v>12213606.01</v>
          </cell>
          <cell r="D2336">
            <v>11343199.060000001</v>
          </cell>
          <cell r="E2336">
            <v>12121071.050000001</v>
          </cell>
          <cell r="F2336">
            <v>12121071.050000001</v>
          </cell>
          <cell r="G2336">
            <v>12058776.142245</v>
          </cell>
          <cell r="H2336">
            <v>12632047.896819999</v>
          </cell>
          <cell r="I2336">
            <v>12732315.960357999</v>
          </cell>
          <cell r="J2336">
            <v>12789715.793833001</v>
          </cell>
          <cell r="K2336">
            <v>12789715.793833001</v>
          </cell>
          <cell r="L2336">
            <v>13433043.5</v>
          </cell>
          <cell r="M2336">
            <v>0</v>
          </cell>
          <cell r="N2336">
            <v>0</v>
          </cell>
          <cell r="O2336">
            <v>0</v>
          </cell>
        </row>
        <row r="2337">
          <cell r="A2337" t="str">
            <v>India CountrywideELTO (NET)</v>
          </cell>
          <cell r="B2337">
            <v>0</v>
          </cell>
          <cell r="C2337">
            <v>0</v>
          </cell>
          <cell r="D2337">
            <v>0</v>
          </cell>
          <cell r="E2337">
            <v>0</v>
          </cell>
          <cell r="F2337">
            <v>0</v>
          </cell>
          <cell r="G2337">
            <v>0</v>
          </cell>
          <cell r="H2337">
            <v>0</v>
          </cell>
          <cell r="I2337">
            <v>0</v>
          </cell>
          <cell r="J2337">
            <v>0</v>
          </cell>
          <cell r="K2337">
            <v>0</v>
          </cell>
          <cell r="L2337">
            <v>0</v>
          </cell>
          <cell r="M2337">
            <v>0</v>
          </cell>
          <cell r="N2337">
            <v>0</v>
          </cell>
          <cell r="O2337">
            <v>0</v>
          </cell>
        </row>
        <row r="2338">
          <cell r="A2338" t="str">
            <v>India CountrywideGOODWILL</v>
          </cell>
          <cell r="B2338">
            <v>4515536.5999999996</v>
          </cell>
          <cell r="C2338">
            <v>4391587.8099999996</v>
          </cell>
          <cell r="D2338">
            <v>4234650.18</v>
          </cell>
          <cell r="E2338">
            <v>4145820.88</v>
          </cell>
          <cell r="F2338">
            <v>4145820.88</v>
          </cell>
          <cell r="G2338">
            <v>4145820.88</v>
          </cell>
          <cell r="H2338">
            <v>4145820.88</v>
          </cell>
          <cell r="I2338">
            <v>4145820.88</v>
          </cell>
          <cell r="J2338">
            <v>4145820.88</v>
          </cell>
          <cell r="K2338">
            <v>4145820.88</v>
          </cell>
          <cell r="L2338">
            <v>4071648.35</v>
          </cell>
          <cell r="M2338">
            <v>3698053.612245</v>
          </cell>
          <cell r="N2338">
            <v>3355196.4693880002</v>
          </cell>
          <cell r="O2338">
            <v>3012339.326531</v>
          </cell>
        </row>
        <row r="2339">
          <cell r="A2339" t="str">
            <v>India CountrywideOTHER ASSETS</v>
          </cell>
          <cell r="B2339">
            <v>18946684.010000002</v>
          </cell>
          <cell r="C2339">
            <v>8684886.5199999996</v>
          </cell>
          <cell r="D2339">
            <v>9057512.8800000008</v>
          </cell>
          <cell r="E2339">
            <v>10201802.039999999</v>
          </cell>
          <cell r="F2339">
            <v>10201802.039999999</v>
          </cell>
          <cell r="G2339">
            <v>10149371.003634</v>
          </cell>
          <cell r="H2339">
            <v>10631870.027951</v>
          </cell>
          <cell r="I2339">
            <v>10716261.492280001</v>
          </cell>
          <cell r="J2339">
            <v>10764572.547947001</v>
          </cell>
          <cell r="K2339">
            <v>10764572.547947001</v>
          </cell>
          <cell r="L2339">
            <v>11703000.43</v>
          </cell>
          <cell r="M2339">
            <v>29763265.306122001</v>
          </cell>
          <cell r="N2339">
            <v>35885714.285714</v>
          </cell>
          <cell r="O2339">
            <v>42008163.265306003</v>
          </cell>
        </row>
        <row r="2340">
          <cell r="A2340" t="str">
            <v>India CountrywideACCOUNTS PAYABLE</v>
          </cell>
          <cell r="B2340">
            <v>-7365147.5999999996</v>
          </cell>
          <cell r="C2340">
            <v>-5716961.7400000002</v>
          </cell>
          <cell r="D2340">
            <v>-642011.18000000005</v>
          </cell>
          <cell r="E2340">
            <v>-3371870.28</v>
          </cell>
          <cell r="F2340">
            <v>-3371870.28</v>
          </cell>
          <cell r="G2340">
            <v>-3371870.28</v>
          </cell>
          <cell r="H2340">
            <v>-3371870.28</v>
          </cell>
          <cell r="I2340">
            <v>-3371870.28</v>
          </cell>
          <cell r="J2340">
            <v>-3371870.28</v>
          </cell>
          <cell r="K2340">
            <v>-3371870.28</v>
          </cell>
          <cell r="L2340">
            <v>-23288001.460000001</v>
          </cell>
          <cell r="M2340">
            <v>0</v>
          </cell>
          <cell r="N2340">
            <v>0</v>
          </cell>
          <cell r="O2340">
            <v>0</v>
          </cell>
        </row>
        <row r="2341">
          <cell r="A2341" t="str">
            <v>India CountrywideDEFERRED INCOME TAXES</v>
          </cell>
          <cell r="B2341">
            <v>-471335.67</v>
          </cell>
          <cell r="C2341">
            <v>-467725.43</v>
          </cell>
          <cell r="D2341">
            <v>-460378.78</v>
          </cell>
          <cell r="E2341">
            <v>-460282.06</v>
          </cell>
          <cell r="F2341">
            <v>-460282.06</v>
          </cell>
          <cell r="G2341">
            <v>-460282.06</v>
          </cell>
          <cell r="H2341">
            <v>-460282.06</v>
          </cell>
          <cell r="I2341">
            <v>-460282.06</v>
          </cell>
          <cell r="J2341">
            <v>-460282.06</v>
          </cell>
          <cell r="K2341">
            <v>-460282.06</v>
          </cell>
          <cell r="L2341">
            <v>-499505.49</v>
          </cell>
          <cell r="M2341">
            <v>0</v>
          </cell>
          <cell r="N2341">
            <v>0</v>
          </cell>
          <cell r="O2341">
            <v>0</v>
          </cell>
        </row>
        <row r="2342">
          <cell r="A2342" t="str">
            <v>India CountrywideWRITE-OFF (MEMO)</v>
          </cell>
          <cell r="B2342">
            <v>-893896.49</v>
          </cell>
          <cell r="C2342">
            <v>741768.69</v>
          </cell>
          <cell r="D2342">
            <v>2023547.29</v>
          </cell>
          <cell r="E2342">
            <v>3275604.58</v>
          </cell>
          <cell r="F2342">
            <v>3275604.58</v>
          </cell>
          <cell r="G2342">
            <v>4810320.9519830002</v>
          </cell>
          <cell r="H2342">
            <v>6108316.2057499997</v>
          </cell>
          <cell r="I2342">
            <v>7435035.7412769999</v>
          </cell>
          <cell r="J2342">
            <v>8663910.2884689998</v>
          </cell>
          <cell r="K2342">
            <v>8663910.2884689998</v>
          </cell>
          <cell r="L2342">
            <v>2430119.7599999998</v>
          </cell>
          <cell r="M2342">
            <v>6448979.5918359999</v>
          </cell>
          <cell r="N2342">
            <v>8816326.5306129996</v>
          </cell>
          <cell r="O2342">
            <v>9163265.3061229996</v>
          </cell>
        </row>
        <row r="2343">
          <cell r="A2343" t="str">
            <v>India CountrywideINSURANCE RESERVES AND ANNUITY BENEFITS</v>
          </cell>
          <cell r="B2343">
            <v>0</v>
          </cell>
          <cell r="C2343">
            <v>0</v>
          </cell>
          <cell r="D2343">
            <v>0</v>
          </cell>
          <cell r="E2343">
            <v>0</v>
          </cell>
          <cell r="F2343">
            <v>0</v>
          </cell>
          <cell r="G2343">
            <v>0</v>
          </cell>
          <cell r="H2343">
            <v>0</v>
          </cell>
          <cell r="I2343">
            <v>0</v>
          </cell>
          <cell r="J2343">
            <v>0</v>
          </cell>
          <cell r="K2343">
            <v>0</v>
          </cell>
          <cell r="L2343">
            <v>0</v>
          </cell>
          <cell r="M2343">
            <v>0</v>
          </cell>
          <cell r="N2343">
            <v>0</v>
          </cell>
          <cell r="O2343">
            <v>0</v>
          </cell>
        </row>
        <row r="2344">
          <cell r="A2344" t="str">
            <v>India CountrywideALL OTHER NON DEBT LIABILITIES</v>
          </cell>
          <cell r="B2344">
            <v>-14912337.109999999</v>
          </cell>
          <cell r="C2344">
            <v>-13600858.76</v>
          </cell>
          <cell r="D2344">
            <v>-12782744.6</v>
          </cell>
          <cell r="E2344">
            <v>-7810630.0700000003</v>
          </cell>
          <cell r="F2344">
            <v>-7810630.0700000003</v>
          </cell>
          <cell r="G2344">
            <v>-8013120.0520940004</v>
          </cell>
          <cell r="H2344">
            <v>-8013120.0520940004</v>
          </cell>
          <cell r="I2344">
            <v>-8013120.0520940004</v>
          </cell>
          <cell r="J2344">
            <v>-8013120.0520940004</v>
          </cell>
          <cell r="K2344">
            <v>-8013120.0520940004</v>
          </cell>
          <cell r="L2344">
            <v>-8595660.5999999996</v>
          </cell>
          <cell r="M2344">
            <v>-46601082.705839001</v>
          </cell>
          <cell r="N2344">
            <v>-49152103.114001997</v>
          </cell>
          <cell r="O2344">
            <v>-52280674.542574003</v>
          </cell>
        </row>
        <row r="2345">
          <cell r="A2345" t="str">
            <v>India CountrywideMINORITY INTEREST (BS)</v>
          </cell>
          <cell r="B2345">
            <v>-6041.6</v>
          </cell>
          <cell r="C2345">
            <v>-6041.6</v>
          </cell>
          <cell r="D2345">
            <v>-6041.6</v>
          </cell>
          <cell r="E2345">
            <v>-6041.6</v>
          </cell>
          <cell r="F2345">
            <v>-6041.6</v>
          </cell>
          <cell r="G2345">
            <v>0</v>
          </cell>
          <cell r="H2345">
            <v>0</v>
          </cell>
          <cell r="I2345">
            <v>0</v>
          </cell>
          <cell r="J2345">
            <v>0</v>
          </cell>
          <cell r="K2345">
            <v>0</v>
          </cell>
          <cell r="L2345">
            <v>-6041.6</v>
          </cell>
          <cell r="M2345">
            <v>0</v>
          </cell>
          <cell r="N2345">
            <v>0</v>
          </cell>
          <cell r="O2345">
            <v>0</v>
          </cell>
        </row>
        <row r="2346">
          <cell r="A2346" t="str">
            <v>India CountrywideASIA PACIFIC ENI DIVIDEND</v>
          </cell>
          <cell r="B2346">
            <v>0</v>
          </cell>
          <cell r="C2346">
            <v>0</v>
          </cell>
          <cell r="D2346">
            <v>0</v>
          </cell>
          <cell r="E2346">
            <v>0</v>
          </cell>
          <cell r="F2346">
            <v>0</v>
          </cell>
          <cell r="G2346">
            <v>0</v>
          </cell>
          <cell r="H2346">
            <v>0</v>
          </cell>
          <cell r="I2346">
            <v>0</v>
          </cell>
          <cell r="J2346">
            <v>0</v>
          </cell>
          <cell r="K2346">
            <v>0</v>
          </cell>
          <cell r="L2346">
            <v>0</v>
          </cell>
          <cell r="M2346">
            <v>0</v>
          </cell>
          <cell r="N2346">
            <v>0</v>
          </cell>
          <cell r="O2346">
            <v>0</v>
          </cell>
        </row>
        <row r="2347">
          <cell r="A2347" t="str">
            <v>India CountrywideFINANCING INCOME</v>
          </cell>
          <cell r="B2347">
            <v>-15193495.16</v>
          </cell>
          <cell r="C2347">
            <v>-14278511.460000001</v>
          </cell>
          <cell r="D2347">
            <v>-12947265.77</v>
          </cell>
          <cell r="E2347">
            <v>-13047790.73</v>
          </cell>
          <cell r="F2347">
            <v>-55467063.119999997</v>
          </cell>
          <cell r="G2347">
            <v>-9635394.1806530003</v>
          </cell>
          <cell r="H2347">
            <v>-11228769.035165999</v>
          </cell>
          <cell r="I2347">
            <v>-12829889.421099</v>
          </cell>
          <cell r="J2347">
            <v>-14495751.473172</v>
          </cell>
          <cell r="K2347">
            <v>-48189804.110091001</v>
          </cell>
          <cell r="L2347">
            <v>-12105011.529999999</v>
          </cell>
          <cell r="M2347">
            <v>-67756348.790029004</v>
          </cell>
          <cell r="N2347">
            <v>-91021787.964319006</v>
          </cell>
          <cell r="O2347">
            <v>-109158488.98486599</v>
          </cell>
        </row>
        <row r="2348">
          <cell r="A2348" t="str">
            <v>India CountrywideINSURANCE PREMIUM INCOME</v>
          </cell>
          <cell r="B2348">
            <v>0</v>
          </cell>
          <cell r="C2348">
            <v>0</v>
          </cell>
          <cell r="D2348">
            <v>0</v>
          </cell>
          <cell r="E2348">
            <v>0</v>
          </cell>
          <cell r="F2348">
            <v>0</v>
          </cell>
          <cell r="G2348">
            <v>0</v>
          </cell>
          <cell r="H2348">
            <v>0</v>
          </cell>
          <cell r="I2348">
            <v>0</v>
          </cell>
          <cell r="J2348">
            <v>0</v>
          </cell>
          <cell r="K2348">
            <v>0</v>
          </cell>
          <cell r="L2348">
            <v>0</v>
          </cell>
          <cell r="M2348">
            <v>0</v>
          </cell>
          <cell r="N2348">
            <v>0</v>
          </cell>
          <cell r="O2348">
            <v>0</v>
          </cell>
        </row>
        <row r="2349">
          <cell r="A2349" t="str">
            <v>India CountrywideINSURANCE INCOME (COMMISSIONS)</v>
          </cell>
          <cell r="B2349">
            <v>0</v>
          </cell>
          <cell r="C2349">
            <v>0</v>
          </cell>
          <cell r="D2349">
            <v>0</v>
          </cell>
          <cell r="E2349">
            <v>0</v>
          </cell>
          <cell r="F2349">
            <v>0</v>
          </cell>
          <cell r="G2349">
            <v>0</v>
          </cell>
          <cell r="H2349">
            <v>0</v>
          </cell>
          <cell r="I2349">
            <v>0</v>
          </cell>
          <cell r="J2349">
            <v>0</v>
          </cell>
          <cell r="K2349">
            <v>0</v>
          </cell>
          <cell r="L2349">
            <v>0</v>
          </cell>
          <cell r="M2349">
            <v>0</v>
          </cell>
          <cell r="N2349">
            <v>0</v>
          </cell>
          <cell r="O2349">
            <v>0</v>
          </cell>
        </row>
        <row r="2350">
          <cell r="A2350" t="str">
            <v>India CountrywideSUNDRY INCOME</v>
          </cell>
          <cell r="B2350">
            <v>109580.98</v>
          </cell>
          <cell r="C2350">
            <v>101314.8</v>
          </cell>
          <cell r="D2350">
            <v>581292.65</v>
          </cell>
          <cell r="E2350">
            <v>163666.22</v>
          </cell>
          <cell r="F2350">
            <v>955854.65</v>
          </cell>
          <cell r="G2350">
            <v>0</v>
          </cell>
          <cell r="H2350">
            <v>0</v>
          </cell>
          <cell r="I2350">
            <v>0</v>
          </cell>
          <cell r="J2350">
            <v>0</v>
          </cell>
          <cell r="K2350">
            <v>0</v>
          </cell>
          <cell r="L2350">
            <v>182991.94</v>
          </cell>
          <cell r="M2350">
            <v>0</v>
          </cell>
          <cell r="N2350">
            <v>0</v>
          </cell>
          <cell r="O2350">
            <v>0</v>
          </cell>
        </row>
        <row r="2351">
          <cell r="A2351" t="str">
            <v>India CountrywideINTEREST EXPENSE</v>
          </cell>
          <cell r="B2351">
            <v>8113196.9100000001</v>
          </cell>
          <cell r="C2351">
            <v>8068228.5800000001</v>
          </cell>
          <cell r="D2351">
            <v>6600563.0499999998</v>
          </cell>
          <cell r="E2351">
            <v>7233491.6100000003</v>
          </cell>
          <cell r="F2351">
            <v>30015480.149999999</v>
          </cell>
          <cell r="G2351">
            <v>4479864.5463589998</v>
          </cell>
          <cell r="H2351">
            <v>4982203.5913150003</v>
          </cell>
          <cell r="I2351">
            <v>5285796.6873300001</v>
          </cell>
          <cell r="J2351">
            <v>5794999.5556779997</v>
          </cell>
          <cell r="K2351">
            <v>20542864.380681001</v>
          </cell>
          <cell r="L2351">
            <v>6867744.5</v>
          </cell>
          <cell r="M2351">
            <v>31811847.565063</v>
          </cell>
          <cell r="N2351">
            <v>44215250.732152998</v>
          </cell>
          <cell r="O2351">
            <v>53422029.125821002</v>
          </cell>
        </row>
        <row r="2352">
          <cell r="A2352" t="str">
            <v>India CountrywideINTEREST EXPENSE REDUCTIONS / BUS SHARING</v>
          </cell>
          <cell r="B2352">
            <v>0</v>
          </cell>
          <cell r="C2352">
            <v>0</v>
          </cell>
          <cell r="D2352">
            <v>0</v>
          </cell>
          <cell r="E2352">
            <v>0</v>
          </cell>
          <cell r="F2352">
            <v>0</v>
          </cell>
          <cell r="G2352">
            <v>0</v>
          </cell>
          <cell r="H2352">
            <v>0</v>
          </cell>
          <cell r="I2352">
            <v>0</v>
          </cell>
          <cell r="J2352">
            <v>0</v>
          </cell>
          <cell r="K2352">
            <v>0</v>
          </cell>
          <cell r="L2352">
            <v>0</v>
          </cell>
          <cell r="M2352">
            <v>0</v>
          </cell>
          <cell r="N2352">
            <v>0</v>
          </cell>
          <cell r="O2352">
            <v>0</v>
          </cell>
        </row>
        <row r="2353">
          <cell r="A2353" t="str">
            <v>India CountrywideALLOCATED COST OF PREFERRED EQUITY</v>
          </cell>
          <cell r="B2353">
            <v>38101.550000000003</v>
          </cell>
          <cell r="C2353">
            <v>32985.29</v>
          </cell>
          <cell r="D2353">
            <v>23741.83</v>
          </cell>
          <cell r="E2353">
            <v>14876.74</v>
          </cell>
          <cell r="F2353">
            <v>109705.41</v>
          </cell>
          <cell r="G2353">
            <v>0</v>
          </cell>
          <cell r="H2353">
            <v>0</v>
          </cell>
          <cell r="I2353">
            <v>0</v>
          </cell>
          <cell r="J2353">
            <v>0</v>
          </cell>
          <cell r="K2353">
            <v>0</v>
          </cell>
          <cell r="L2353">
            <v>17145.75</v>
          </cell>
          <cell r="M2353">
            <v>0</v>
          </cell>
          <cell r="N2353">
            <v>0</v>
          </cell>
          <cell r="O2353">
            <v>0</v>
          </cell>
        </row>
        <row r="2354">
          <cell r="A2354" t="str">
            <v>India CountrywideSALARIES &amp; BENEFITS</v>
          </cell>
          <cell r="B2354">
            <v>775436.32</v>
          </cell>
          <cell r="C2354">
            <v>781765.8</v>
          </cell>
          <cell r="D2354">
            <v>1256583.77</v>
          </cell>
          <cell r="E2354">
            <v>631094.28</v>
          </cell>
          <cell r="F2354">
            <v>3444880.17</v>
          </cell>
          <cell r="G2354">
            <v>827037.59755099996</v>
          </cell>
          <cell r="H2354">
            <v>941596.875948</v>
          </cell>
          <cell r="I2354">
            <v>853165.15227299999</v>
          </cell>
          <cell r="J2354">
            <v>933557.62834199995</v>
          </cell>
          <cell r="K2354">
            <v>3555357.2541149999</v>
          </cell>
          <cell r="L2354">
            <v>748325.03</v>
          </cell>
          <cell r="M2354">
            <v>4516326.5306120003</v>
          </cell>
          <cell r="N2354">
            <v>5071224.4897959996</v>
          </cell>
          <cell r="O2354">
            <v>5610581.6326529998</v>
          </cell>
        </row>
        <row r="2355">
          <cell r="A2355" t="str">
            <v>India CountrywideLOSSES ON OTHER ASSETS</v>
          </cell>
          <cell r="B2355">
            <v>10058.969999999999</v>
          </cell>
          <cell r="C2355">
            <v>-9972.0499999999993</v>
          </cell>
          <cell r="D2355">
            <v>0</v>
          </cell>
          <cell r="E2355">
            <v>21732.57</v>
          </cell>
          <cell r="F2355">
            <v>21819.49</v>
          </cell>
          <cell r="G2355">
            <v>0</v>
          </cell>
          <cell r="H2355">
            <v>0</v>
          </cell>
          <cell r="I2355">
            <v>0</v>
          </cell>
          <cell r="J2355">
            <v>0</v>
          </cell>
          <cell r="K2355">
            <v>0</v>
          </cell>
          <cell r="L2355">
            <v>7463.17</v>
          </cell>
          <cell r="M2355">
            <v>0</v>
          </cell>
          <cell r="N2355">
            <v>0</v>
          </cell>
          <cell r="O2355">
            <v>0</v>
          </cell>
        </row>
        <row r="2356">
          <cell r="A2356" t="str">
            <v>India CountrywideCOST OF GOODS SOLD</v>
          </cell>
          <cell r="B2356">
            <v>0</v>
          </cell>
          <cell r="C2356">
            <v>0</v>
          </cell>
          <cell r="D2356">
            <v>0</v>
          </cell>
          <cell r="E2356">
            <v>0</v>
          </cell>
          <cell r="F2356">
            <v>0</v>
          </cell>
          <cell r="G2356">
            <v>0</v>
          </cell>
          <cell r="H2356">
            <v>0</v>
          </cell>
          <cell r="I2356">
            <v>0</v>
          </cell>
          <cell r="J2356">
            <v>0</v>
          </cell>
          <cell r="K2356">
            <v>0</v>
          </cell>
          <cell r="L2356">
            <v>0</v>
          </cell>
          <cell r="M2356">
            <v>5195847.9449349996</v>
          </cell>
          <cell r="N2356">
            <v>6454889.0447899997</v>
          </cell>
          <cell r="O2356">
            <v>7013715.7357029999</v>
          </cell>
        </row>
        <row r="2357">
          <cell r="A2357" t="str">
            <v>India CountrywideCOST OF GOODS SOLD - DISTRIBUTION</v>
          </cell>
          <cell r="B2357">
            <v>0</v>
          </cell>
          <cell r="C2357">
            <v>0</v>
          </cell>
          <cell r="D2357">
            <v>0</v>
          </cell>
          <cell r="E2357">
            <v>0</v>
          </cell>
          <cell r="F2357">
            <v>0</v>
          </cell>
          <cell r="G2357">
            <v>0</v>
          </cell>
          <cell r="H2357">
            <v>0</v>
          </cell>
          <cell r="I2357">
            <v>0</v>
          </cell>
          <cell r="J2357">
            <v>0</v>
          </cell>
          <cell r="K2357">
            <v>0</v>
          </cell>
          <cell r="L2357">
            <v>0</v>
          </cell>
          <cell r="M2357">
            <v>0</v>
          </cell>
          <cell r="N2357">
            <v>0</v>
          </cell>
          <cell r="O2357">
            <v>0</v>
          </cell>
        </row>
        <row r="2358">
          <cell r="A2358" t="str">
            <v>India CountrywidePOSTAGE</v>
          </cell>
          <cell r="B2358">
            <v>99081.56</v>
          </cell>
          <cell r="C2358">
            <v>83278</v>
          </cell>
          <cell r="D2358">
            <v>67908.800000000003</v>
          </cell>
          <cell r="E2358">
            <v>71743.520000000004</v>
          </cell>
          <cell r="F2358">
            <v>322011.88</v>
          </cell>
          <cell r="G2358">
            <v>51752.656469000001</v>
          </cell>
          <cell r="H2358">
            <v>51752.656469000001</v>
          </cell>
          <cell r="I2358">
            <v>51752.656469000001</v>
          </cell>
          <cell r="J2358">
            <v>51752.656469000001</v>
          </cell>
          <cell r="K2358">
            <v>207010.62587600001</v>
          </cell>
          <cell r="L2358">
            <v>51200.2</v>
          </cell>
          <cell r="M2358">
            <v>377423.93942499999</v>
          </cell>
          <cell r="N2358">
            <v>415166.33336799999</v>
          </cell>
          <cell r="O2358">
            <v>456682.96670400002</v>
          </cell>
        </row>
        <row r="2359">
          <cell r="A2359" t="str">
            <v>India CountrywideTELEPHONE</v>
          </cell>
          <cell r="B2359">
            <v>329243.73</v>
          </cell>
          <cell r="C2359">
            <v>185606.94</v>
          </cell>
          <cell r="D2359">
            <v>186331.43</v>
          </cell>
          <cell r="E2359">
            <v>53894.17</v>
          </cell>
          <cell r="F2359">
            <v>755076.27</v>
          </cell>
          <cell r="G2359">
            <v>84412.099872000006</v>
          </cell>
          <cell r="H2359">
            <v>84412.099872000006</v>
          </cell>
          <cell r="I2359">
            <v>84412.099872000006</v>
          </cell>
          <cell r="J2359">
            <v>84412.099872000006</v>
          </cell>
          <cell r="K2359">
            <v>337648.39948600001</v>
          </cell>
          <cell r="L2359">
            <v>86217.73</v>
          </cell>
          <cell r="M2359">
            <v>718367.34693899995</v>
          </cell>
          <cell r="N2359">
            <v>790204.08163300005</v>
          </cell>
          <cell r="O2359">
            <v>869224.48979599995</v>
          </cell>
        </row>
        <row r="2360">
          <cell r="A2360" t="str">
            <v>India CountrywideCUSTOMER SERVICE / COLLECTIONS</v>
          </cell>
          <cell r="B2360">
            <v>-239716.46</v>
          </cell>
          <cell r="C2360">
            <v>-257752.39</v>
          </cell>
          <cell r="D2360">
            <v>-137939.75</v>
          </cell>
          <cell r="E2360">
            <v>296463.74</v>
          </cell>
          <cell r="F2360">
            <v>-338944.86</v>
          </cell>
          <cell r="G2360">
            <v>-368177.12967699999</v>
          </cell>
          <cell r="H2360">
            <v>-372764.94367000001</v>
          </cell>
          <cell r="I2360">
            <v>-376289.929412</v>
          </cell>
          <cell r="J2360">
            <v>-410225.04253699997</v>
          </cell>
          <cell r="K2360">
            <v>-1527457.0452950001</v>
          </cell>
          <cell r="L2360">
            <v>440917.91</v>
          </cell>
          <cell r="M2360">
            <v>0</v>
          </cell>
          <cell r="N2360">
            <v>0</v>
          </cell>
          <cell r="O2360">
            <v>0</v>
          </cell>
        </row>
        <row r="2361">
          <cell r="A2361" t="str">
            <v>India CountrywideSTATIONARY - OFFICE SUPPLIES</v>
          </cell>
          <cell r="B2361">
            <v>101199.67999999999</v>
          </cell>
          <cell r="C2361">
            <v>113483.54</v>
          </cell>
          <cell r="D2361">
            <v>50657.93</v>
          </cell>
          <cell r="E2361">
            <v>79440.52</v>
          </cell>
          <cell r="F2361">
            <v>344781.67</v>
          </cell>
          <cell r="G2361">
            <v>50245.297543000001</v>
          </cell>
          <cell r="H2361">
            <v>50245.297543000001</v>
          </cell>
          <cell r="I2361">
            <v>50245.297543000001</v>
          </cell>
          <cell r="J2361">
            <v>50245.297543000001</v>
          </cell>
          <cell r="K2361">
            <v>200981.19016999999</v>
          </cell>
          <cell r="L2361">
            <v>52338.04</v>
          </cell>
          <cell r="M2361">
            <v>324948.97959200002</v>
          </cell>
          <cell r="N2361">
            <v>357443.87755099998</v>
          </cell>
          <cell r="O2361">
            <v>393188.26530600002</v>
          </cell>
        </row>
        <row r="2362">
          <cell r="A2362" t="str">
            <v>India CountrywideT&amp;L</v>
          </cell>
          <cell r="B2362">
            <v>303346.84000000003</v>
          </cell>
          <cell r="C2362">
            <v>241658.41</v>
          </cell>
          <cell r="D2362">
            <v>29700.95</v>
          </cell>
          <cell r="E2362">
            <v>303000.84999999998</v>
          </cell>
          <cell r="F2362">
            <v>877707.05</v>
          </cell>
          <cell r="G2362">
            <v>135662.303365</v>
          </cell>
          <cell r="H2362">
            <v>96470.971281999999</v>
          </cell>
          <cell r="I2362">
            <v>96470.971281999999</v>
          </cell>
          <cell r="J2362">
            <v>96470.971281999999</v>
          </cell>
          <cell r="K2362">
            <v>425075.21720999997</v>
          </cell>
          <cell r="L2362">
            <v>206088.04</v>
          </cell>
          <cell r="M2362">
            <v>767755.10204100003</v>
          </cell>
          <cell r="N2362">
            <v>844530.61224499997</v>
          </cell>
          <cell r="O2362">
            <v>928983.67346900003</v>
          </cell>
        </row>
        <row r="2363">
          <cell r="A2363" t="str">
            <v>India CountrywideRENTAL - BLDG/FACILITIES</v>
          </cell>
          <cell r="B2363">
            <v>206878.66</v>
          </cell>
          <cell r="C2363">
            <v>260618.02</v>
          </cell>
          <cell r="D2363">
            <v>181439.62</v>
          </cell>
          <cell r="E2363">
            <v>176784.92</v>
          </cell>
          <cell r="F2363">
            <v>825721.22</v>
          </cell>
          <cell r="G2363">
            <v>158862.240273</v>
          </cell>
          <cell r="H2363">
            <v>218392.31723799999</v>
          </cell>
          <cell r="I2363">
            <v>145018.03632799999</v>
          </cell>
          <cell r="J2363">
            <v>145641.07801699999</v>
          </cell>
          <cell r="K2363">
            <v>667913.67185599997</v>
          </cell>
          <cell r="L2363">
            <v>200057.41</v>
          </cell>
          <cell r="M2363">
            <v>898146.25850300002</v>
          </cell>
          <cell r="N2363">
            <v>987960.88435399998</v>
          </cell>
          <cell r="O2363">
            <v>1086756.972789</v>
          </cell>
        </row>
        <row r="2364">
          <cell r="A2364" t="str">
            <v>India CountrywideRENTAL - FURNITURE/EQUIP</v>
          </cell>
          <cell r="B2364">
            <v>8635.0400000000009</v>
          </cell>
          <cell r="C2364">
            <v>7223.94</v>
          </cell>
          <cell r="D2364">
            <v>6575.02</v>
          </cell>
          <cell r="E2364">
            <v>10017.61</v>
          </cell>
          <cell r="F2364">
            <v>32451.61</v>
          </cell>
          <cell r="G2364">
            <v>8299.7227739999998</v>
          </cell>
          <cell r="H2364">
            <v>11409.858541</v>
          </cell>
          <cell r="I2364">
            <v>7576.4353860000001</v>
          </cell>
          <cell r="J2364">
            <v>7576.4353860000001</v>
          </cell>
          <cell r="K2364">
            <v>34862.452087999998</v>
          </cell>
          <cell r="L2364">
            <v>9648.7199999999993</v>
          </cell>
          <cell r="M2364">
            <v>0</v>
          </cell>
          <cell r="N2364">
            <v>0</v>
          </cell>
          <cell r="O2364">
            <v>0</v>
          </cell>
        </row>
        <row r="2365">
          <cell r="A2365" t="str">
            <v>India CountrywideRENTAL - COMPUTERS</v>
          </cell>
          <cell r="B2365">
            <v>81477.13</v>
          </cell>
          <cell r="C2365">
            <v>10718.76</v>
          </cell>
          <cell r="D2365">
            <v>-90926.94</v>
          </cell>
          <cell r="E2365">
            <v>256634.65</v>
          </cell>
          <cell r="F2365">
            <v>257903.6</v>
          </cell>
          <cell r="G2365">
            <v>0</v>
          </cell>
          <cell r="H2365">
            <v>0</v>
          </cell>
          <cell r="I2365">
            <v>0</v>
          </cell>
          <cell r="J2365">
            <v>0</v>
          </cell>
          <cell r="K2365">
            <v>0</v>
          </cell>
          <cell r="L2365">
            <v>0</v>
          </cell>
          <cell r="M2365">
            <v>0</v>
          </cell>
          <cell r="N2365">
            <v>0</v>
          </cell>
          <cell r="O2365">
            <v>0</v>
          </cell>
        </row>
        <row r="2366">
          <cell r="A2366" t="str">
            <v>India CountrywideLEASE IN - LEASE OUT</v>
          </cell>
          <cell r="B2366">
            <v>219.38</v>
          </cell>
          <cell r="C2366">
            <v>-217.48</v>
          </cell>
          <cell r="D2366">
            <v>0</v>
          </cell>
          <cell r="E2366">
            <v>212.18</v>
          </cell>
          <cell r="F2366">
            <v>214.08</v>
          </cell>
          <cell r="G2366">
            <v>0</v>
          </cell>
          <cell r="H2366">
            <v>0</v>
          </cell>
          <cell r="I2366">
            <v>0</v>
          </cell>
          <cell r="J2366">
            <v>0</v>
          </cell>
          <cell r="K2366">
            <v>0</v>
          </cell>
          <cell r="L2366">
            <v>0</v>
          </cell>
          <cell r="M2366">
            <v>0</v>
          </cell>
          <cell r="N2366">
            <v>0</v>
          </cell>
          <cell r="O2366">
            <v>0</v>
          </cell>
        </row>
        <row r="2367">
          <cell r="A2367" t="str">
            <v>India CountrywideFURNITURE / EQUIPMENT / COMPUTER EXP</v>
          </cell>
          <cell r="B2367">
            <v>25184.28</v>
          </cell>
          <cell r="C2367">
            <v>31941.7</v>
          </cell>
          <cell r="D2367">
            <v>-56557</v>
          </cell>
          <cell r="E2367">
            <v>153874.03</v>
          </cell>
          <cell r="F2367">
            <v>154443.01</v>
          </cell>
          <cell r="G2367">
            <v>40070.175902000003</v>
          </cell>
          <cell r="H2367">
            <v>55085.579508000003</v>
          </cell>
          <cell r="I2367">
            <v>36578.221575000003</v>
          </cell>
          <cell r="J2367">
            <v>36578.221575000003</v>
          </cell>
          <cell r="K2367">
            <v>168312.19855900001</v>
          </cell>
          <cell r="L2367">
            <v>48780.29</v>
          </cell>
          <cell r="M2367">
            <v>0</v>
          </cell>
          <cell r="N2367">
            <v>0</v>
          </cell>
          <cell r="O2367">
            <v>0</v>
          </cell>
        </row>
        <row r="2368">
          <cell r="A2368" t="str">
            <v>India CountrywideSOFTWARE EXPENSE</v>
          </cell>
          <cell r="B2368">
            <v>0</v>
          </cell>
          <cell r="C2368">
            <v>0</v>
          </cell>
          <cell r="D2368">
            <v>0</v>
          </cell>
          <cell r="E2368">
            <v>0</v>
          </cell>
          <cell r="F2368">
            <v>0</v>
          </cell>
          <cell r="G2368">
            <v>167819.29379200001</v>
          </cell>
          <cell r="H2368">
            <v>167819.29379200001</v>
          </cell>
          <cell r="I2368">
            <v>167819.29379200001</v>
          </cell>
          <cell r="J2368">
            <v>167819.29379200001</v>
          </cell>
          <cell r="K2368">
            <v>671277.17516900005</v>
          </cell>
          <cell r="L2368">
            <v>0</v>
          </cell>
          <cell r="M2368">
            <v>2040816.326531</v>
          </cell>
          <cell r="N2368">
            <v>2142857.1428570002</v>
          </cell>
          <cell r="O2368">
            <v>2551020.4081629999</v>
          </cell>
        </row>
        <row r="2369">
          <cell r="A2369" t="str">
            <v>India CountrywideAMORTIZATION OF INTANGIBLES</v>
          </cell>
          <cell r="B2369">
            <v>98316</v>
          </cell>
          <cell r="C2369">
            <v>98316</v>
          </cell>
          <cell r="D2369">
            <v>98316</v>
          </cell>
          <cell r="E2369">
            <v>140508.10999999999</v>
          </cell>
          <cell r="F2369">
            <v>435456.11</v>
          </cell>
          <cell r="G2369">
            <v>84412.099872000006</v>
          </cell>
          <cell r="H2369">
            <v>0</v>
          </cell>
          <cell r="I2369">
            <v>0</v>
          </cell>
          <cell r="J2369">
            <v>0</v>
          </cell>
          <cell r="K2369">
            <v>84412.099872000006</v>
          </cell>
          <cell r="L2369">
            <v>104379</v>
          </cell>
          <cell r="M2369">
            <v>0</v>
          </cell>
          <cell r="N2369">
            <v>0</v>
          </cell>
          <cell r="O2369">
            <v>0</v>
          </cell>
        </row>
        <row r="2370">
          <cell r="A2370" t="str">
            <v>India CountrywideELTO MAINTENANCE</v>
          </cell>
          <cell r="B2370">
            <v>0</v>
          </cell>
          <cell r="C2370">
            <v>0</v>
          </cell>
          <cell r="D2370">
            <v>0</v>
          </cell>
          <cell r="E2370">
            <v>0</v>
          </cell>
          <cell r="F2370">
            <v>0</v>
          </cell>
          <cell r="G2370">
            <v>0</v>
          </cell>
          <cell r="H2370">
            <v>0</v>
          </cell>
          <cell r="I2370">
            <v>0</v>
          </cell>
          <cell r="J2370">
            <v>0</v>
          </cell>
          <cell r="K2370">
            <v>0</v>
          </cell>
          <cell r="L2370">
            <v>0</v>
          </cell>
          <cell r="M2370">
            <v>0</v>
          </cell>
          <cell r="N2370">
            <v>0</v>
          </cell>
          <cell r="O2370">
            <v>0</v>
          </cell>
        </row>
        <row r="2371">
          <cell r="A2371" t="str">
            <v>India CountrywideELTO OTHER</v>
          </cell>
          <cell r="B2371">
            <v>0</v>
          </cell>
          <cell r="C2371">
            <v>0</v>
          </cell>
          <cell r="D2371">
            <v>0</v>
          </cell>
          <cell r="E2371">
            <v>0</v>
          </cell>
          <cell r="F2371">
            <v>0</v>
          </cell>
          <cell r="G2371">
            <v>0</v>
          </cell>
          <cell r="H2371">
            <v>0</v>
          </cell>
          <cell r="I2371">
            <v>0</v>
          </cell>
          <cell r="J2371">
            <v>0</v>
          </cell>
          <cell r="K2371">
            <v>0</v>
          </cell>
          <cell r="L2371">
            <v>0</v>
          </cell>
          <cell r="M2371">
            <v>0</v>
          </cell>
          <cell r="N2371">
            <v>0</v>
          </cell>
          <cell r="O2371">
            <v>0</v>
          </cell>
        </row>
        <row r="2372">
          <cell r="A2372" t="str">
            <v>India CountrywideLEGAL</v>
          </cell>
          <cell r="B2372">
            <v>36598.29</v>
          </cell>
          <cell r="C2372">
            <v>36314.21</v>
          </cell>
          <cell r="D2372">
            <v>-72148.039999999994</v>
          </cell>
          <cell r="E2372">
            <v>339927.31</v>
          </cell>
          <cell r="F2372">
            <v>340691.77</v>
          </cell>
          <cell r="G2372">
            <v>59842.382976000001</v>
          </cell>
          <cell r="H2372">
            <v>59842.382976000001</v>
          </cell>
          <cell r="I2372">
            <v>59842.382976000001</v>
          </cell>
          <cell r="J2372">
            <v>59842.382976000001</v>
          </cell>
          <cell r="K2372">
            <v>239369.53190199999</v>
          </cell>
          <cell r="L2372">
            <v>15601.36</v>
          </cell>
          <cell r="M2372">
            <v>0</v>
          </cell>
          <cell r="N2372">
            <v>0</v>
          </cell>
          <cell r="O2372">
            <v>0</v>
          </cell>
        </row>
        <row r="2373">
          <cell r="A2373" t="str">
            <v>India CountrywideADVERTISING</v>
          </cell>
          <cell r="B2373">
            <v>204624.96</v>
          </cell>
          <cell r="C2373">
            <v>132390.65</v>
          </cell>
          <cell r="D2373">
            <v>150837.07</v>
          </cell>
          <cell r="E2373">
            <v>98794.87</v>
          </cell>
          <cell r="F2373">
            <v>586647.55000000005</v>
          </cell>
          <cell r="G2373">
            <v>180883.071153</v>
          </cell>
          <cell r="H2373">
            <v>152745.70452999999</v>
          </cell>
          <cell r="I2373">
            <v>154755.516431</v>
          </cell>
          <cell r="J2373">
            <v>183093.864245</v>
          </cell>
          <cell r="K2373">
            <v>671478.15635900002</v>
          </cell>
          <cell r="L2373">
            <v>134089.79999999999</v>
          </cell>
          <cell r="M2373">
            <v>1224489.7959179999</v>
          </cell>
          <cell r="N2373">
            <v>1428571.428571</v>
          </cell>
          <cell r="O2373">
            <v>1795918.3673469999</v>
          </cell>
        </row>
        <row r="2374">
          <cell r="A2374" t="str">
            <v>India CountrywideSALES PROMOTIONS</v>
          </cell>
          <cell r="B2374">
            <v>97609.78</v>
          </cell>
          <cell r="C2374">
            <v>177524.9</v>
          </cell>
          <cell r="D2374">
            <v>472112.49</v>
          </cell>
          <cell r="E2374">
            <v>210378.73</v>
          </cell>
          <cell r="F2374">
            <v>957625.9</v>
          </cell>
          <cell r="G2374">
            <v>246106.491893</v>
          </cell>
          <cell r="H2374">
            <v>79177.334910999998</v>
          </cell>
          <cell r="I2374">
            <v>202176.27618399999</v>
          </cell>
          <cell r="J2374">
            <v>17058.235540000001</v>
          </cell>
          <cell r="K2374">
            <v>544518.33852899994</v>
          </cell>
          <cell r="L2374">
            <v>220165.27</v>
          </cell>
          <cell r="M2374">
            <v>0</v>
          </cell>
          <cell r="N2374">
            <v>0</v>
          </cell>
          <cell r="O2374">
            <v>0</v>
          </cell>
        </row>
        <row r="2375">
          <cell r="A2375" t="str">
            <v>India CountrywideDIRECT MAIL</v>
          </cell>
          <cell r="B2375">
            <v>0</v>
          </cell>
          <cell r="C2375">
            <v>0</v>
          </cell>
          <cell r="D2375">
            <v>0</v>
          </cell>
          <cell r="E2375">
            <v>0</v>
          </cell>
          <cell r="F2375">
            <v>0</v>
          </cell>
          <cell r="G2375">
            <v>0</v>
          </cell>
          <cell r="H2375">
            <v>0</v>
          </cell>
          <cell r="I2375">
            <v>0</v>
          </cell>
          <cell r="J2375">
            <v>0</v>
          </cell>
          <cell r="K2375">
            <v>0</v>
          </cell>
          <cell r="L2375">
            <v>0</v>
          </cell>
          <cell r="M2375">
            <v>0</v>
          </cell>
          <cell r="N2375">
            <v>0</v>
          </cell>
          <cell r="O2375">
            <v>0</v>
          </cell>
        </row>
        <row r="2376">
          <cell r="A2376" t="str">
            <v>India CountrywideDATA PROCESSING</v>
          </cell>
          <cell r="B2376">
            <v>2513.5300000000002</v>
          </cell>
          <cell r="C2376">
            <v>441.09</v>
          </cell>
          <cell r="D2376">
            <v>-2914.79</v>
          </cell>
          <cell r="E2376">
            <v>11432.02</v>
          </cell>
          <cell r="F2376">
            <v>11471.85</v>
          </cell>
          <cell r="G2376">
            <v>280368.76028799999</v>
          </cell>
          <cell r="H2376">
            <v>280368.76028799999</v>
          </cell>
          <cell r="I2376">
            <v>280368.76028799999</v>
          </cell>
          <cell r="J2376">
            <v>280368.76028799999</v>
          </cell>
          <cell r="K2376">
            <v>1121475.041151</v>
          </cell>
          <cell r="L2376">
            <v>26914.71</v>
          </cell>
          <cell r="M2376">
            <v>0</v>
          </cell>
          <cell r="N2376">
            <v>0</v>
          </cell>
          <cell r="O2376">
            <v>0</v>
          </cell>
        </row>
        <row r="2377">
          <cell r="A2377" t="str">
            <v>India CountrywideCONSULTING</v>
          </cell>
          <cell r="B2377">
            <v>0</v>
          </cell>
          <cell r="C2377">
            <v>0</v>
          </cell>
          <cell r="D2377">
            <v>0</v>
          </cell>
          <cell r="E2377">
            <v>0</v>
          </cell>
          <cell r="F2377">
            <v>0</v>
          </cell>
          <cell r="G2377">
            <v>0</v>
          </cell>
          <cell r="H2377">
            <v>0</v>
          </cell>
          <cell r="I2377">
            <v>0</v>
          </cell>
          <cell r="J2377">
            <v>0</v>
          </cell>
          <cell r="K2377">
            <v>0</v>
          </cell>
          <cell r="L2377">
            <v>0</v>
          </cell>
          <cell r="M2377">
            <v>0</v>
          </cell>
          <cell r="N2377">
            <v>0</v>
          </cell>
          <cell r="O2377">
            <v>0</v>
          </cell>
        </row>
        <row r="2378">
          <cell r="A2378" t="str">
            <v>India CountrywideTEMP SERVICES</v>
          </cell>
          <cell r="B2378">
            <v>60900.66</v>
          </cell>
          <cell r="C2378">
            <v>19507.82</v>
          </cell>
          <cell r="D2378">
            <v>32903.019999999997</v>
          </cell>
          <cell r="E2378">
            <v>306388.90999999997</v>
          </cell>
          <cell r="F2378">
            <v>419700.41</v>
          </cell>
          <cell r="G2378">
            <v>0</v>
          </cell>
          <cell r="H2378">
            <v>0</v>
          </cell>
          <cell r="I2378">
            <v>0</v>
          </cell>
          <cell r="J2378">
            <v>0</v>
          </cell>
          <cell r="K2378">
            <v>0</v>
          </cell>
          <cell r="L2378">
            <v>87982.49</v>
          </cell>
          <cell r="M2378">
            <v>-1851020.4081629999</v>
          </cell>
          <cell r="N2378">
            <v>-1930102.040816</v>
          </cell>
          <cell r="O2378">
            <v>-3292346.9387759999</v>
          </cell>
        </row>
        <row r="2379">
          <cell r="A2379" t="str">
            <v>India CountrywideGDC CHARGES</v>
          </cell>
          <cell r="B2379">
            <v>0</v>
          </cell>
          <cell r="C2379">
            <v>0</v>
          </cell>
          <cell r="D2379">
            <v>0</v>
          </cell>
          <cell r="E2379">
            <v>0</v>
          </cell>
          <cell r="F2379">
            <v>0</v>
          </cell>
          <cell r="G2379">
            <v>0</v>
          </cell>
          <cell r="H2379">
            <v>0</v>
          </cell>
          <cell r="I2379">
            <v>0</v>
          </cell>
          <cell r="J2379">
            <v>0</v>
          </cell>
          <cell r="K2379">
            <v>0</v>
          </cell>
          <cell r="L2379">
            <v>0</v>
          </cell>
          <cell r="M2379">
            <v>0</v>
          </cell>
          <cell r="N2379">
            <v>0</v>
          </cell>
          <cell r="O2379">
            <v>0</v>
          </cell>
        </row>
        <row r="2380">
          <cell r="A2380" t="str">
            <v>India CountrywideTRAINING AND EDUCATION</v>
          </cell>
          <cell r="B2380">
            <v>34463.15</v>
          </cell>
          <cell r="C2380">
            <v>36300.660000000003</v>
          </cell>
          <cell r="D2380">
            <v>50931.6</v>
          </cell>
          <cell r="E2380">
            <v>49028.09</v>
          </cell>
          <cell r="F2380">
            <v>170723.5</v>
          </cell>
          <cell r="G2380">
            <v>45220.767787999997</v>
          </cell>
          <cell r="H2380">
            <v>45220.767787999997</v>
          </cell>
          <cell r="I2380">
            <v>45220.767787999997</v>
          </cell>
          <cell r="J2380">
            <v>45220.767787999997</v>
          </cell>
          <cell r="K2380">
            <v>180883.071153</v>
          </cell>
          <cell r="L2380">
            <v>36163.199999999997</v>
          </cell>
          <cell r="M2380">
            <v>0</v>
          </cell>
          <cell r="N2380">
            <v>0</v>
          </cell>
          <cell r="O2380">
            <v>0</v>
          </cell>
        </row>
        <row r="2381">
          <cell r="A2381" t="str">
            <v>India CountrywideOUTSIDE SERVICES  AND FEES</v>
          </cell>
          <cell r="B2381">
            <v>98260.79</v>
          </cell>
          <cell r="C2381">
            <v>567746.5</v>
          </cell>
          <cell r="D2381">
            <v>-96559.7</v>
          </cell>
          <cell r="E2381">
            <v>-382094.63</v>
          </cell>
          <cell r="F2381">
            <v>187352.95999999999</v>
          </cell>
          <cell r="G2381">
            <v>775190.592726</v>
          </cell>
          <cell r="H2381">
            <v>604075.74783100002</v>
          </cell>
          <cell r="I2381">
            <v>498761.82973</v>
          </cell>
          <cell r="J2381">
            <v>559654.76064200001</v>
          </cell>
          <cell r="K2381">
            <v>2437682.930929</v>
          </cell>
          <cell r="L2381">
            <v>574198.62</v>
          </cell>
          <cell r="M2381">
            <v>0</v>
          </cell>
          <cell r="N2381">
            <v>0</v>
          </cell>
          <cell r="O2381">
            <v>0</v>
          </cell>
        </row>
        <row r="2382">
          <cell r="A2382" t="str">
            <v>India CountrywideSTATE, FOREIGN, LOCAL TAXES</v>
          </cell>
          <cell r="B2382">
            <v>0</v>
          </cell>
          <cell r="C2382">
            <v>0</v>
          </cell>
          <cell r="D2382">
            <v>0</v>
          </cell>
          <cell r="E2382">
            <v>0</v>
          </cell>
          <cell r="F2382">
            <v>0</v>
          </cell>
          <cell r="G2382">
            <v>30147.178526</v>
          </cell>
          <cell r="H2382">
            <v>30147.178526</v>
          </cell>
          <cell r="I2382">
            <v>30147.178526</v>
          </cell>
          <cell r="J2382">
            <v>30147.178526</v>
          </cell>
          <cell r="K2382">
            <v>120588.714102</v>
          </cell>
          <cell r="L2382">
            <v>30943.8</v>
          </cell>
          <cell r="M2382">
            <v>869897.95918400004</v>
          </cell>
          <cell r="N2382">
            <v>1071428.571429</v>
          </cell>
          <cell r="O2382">
            <v>1269841.269841</v>
          </cell>
        </row>
        <row r="2383">
          <cell r="A2383" t="str">
            <v>India CountrywideS/L TAX - INSURANCE PREMIUMS</v>
          </cell>
          <cell r="B2383">
            <v>0</v>
          </cell>
          <cell r="C2383">
            <v>0</v>
          </cell>
          <cell r="D2383">
            <v>0</v>
          </cell>
          <cell r="E2383">
            <v>0</v>
          </cell>
          <cell r="F2383">
            <v>0</v>
          </cell>
          <cell r="G2383">
            <v>0</v>
          </cell>
          <cell r="H2383">
            <v>0</v>
          </cell>
          <cell r="I2383">
            <v>0</v>
          </cell>
          <cell r="J2383">
            <v>0</v>
          </cell>
          <cell r="K2383">
            <v>0</v>
          </cell>
          <cell r="L2383">
            <v>0</v>
          </cell>
          <cell r="M2383">
            <v>0</v>
          </cell>
          <cell r="N2383">
            <v>0</v>
          </cell>
          <cell r="O2383">
            <v>0</v>
          </cell>
        </row>
        <row r="2384">
          <cell r="A2384" t="str">
            <v>India CountrywideSATELLITE LEASE EXPENSE</v>
          </cell>
          <cell r="B2384">
            <v>0</v>
          </cell>
          <cell r="C2384">
            <v>0</v>
          </cell>
          <cell r="D2384">
            <v>0</v>
          </cell>
          <cell r="E2384">
            <v>0</v>
          </cell>
          <cell r="F2384">
            <v>0</v>
          </cell>
          <cell r="G2384">
            <v>0</v>
          </cell>
          <cell r="H2384">
            <v>0</v>
          </cell>
          <cell r="I2384">
            <v>0</v>
          </cell>
          <cell r="J2384">
            <v>0</v>
          </cell>
          <cell r="K2384">
            <v>0</v>
          </cell>
          <cell r="L2384">
            <v>0</v>
          </cell>
          <cell r="M2384">
            <v>0</v>
          </cell>
          <cell r="N2384">
            <v>0</v>
          </cell>
          <cell r="O2384">
            <v>0</v>
          </cell>
        </row>
        <row r="2385">
          <cell r="A2385" t="str">
            <v>India CountrywideBUSINESS SHARE EXPENSE</v>
          </cell>
          <cell r="B2385">
            <v>0</v>
          </cell>
          <cell r="C2385">
            <v>0</v>
          </cell>
          <cell r="D2385">
            <v>0</v>
          </cell>
          <cell r="E2385">
            <v>0</v>
          </cell>
          <cell r="F2385">
            <v>0</v>
          </cell>
          <cell r="G2385">
            <v>0</v>
          </cell>
          <cell r="H2385">
            <v>0</v>
          </cell>
          <cell r="I2385">
            <v>0</v>
          </cell>
          <cell r="J2385">
            <v>0</v>
          </cell>
          <cell r="K2385">
            <v>0</v>
          </cell>
          <cell r="L2385">
            <v>0</v>
          </cell>
          <cell r="M2385">
            <v>0</v>
          </cell>
          <cell r="N2385">
            <v>0</v>
          </cell>
          <cell r="O2385">
            <v>0</v>
          </cell>
        </row>
        <row r="2386">
          <cell r="A2386" t="str">
            <v>India CountrywideINSURANCE AFFILIATE EXPENSE</v>
          </cell>
          <cell r="B2386">
            <v>0</v>
          </cell>
          <cell r="C2386">
            <v>0</v>
          </cell>
          <cell r="D2386">
            <v>0</v>
          </cell>
          <cell r="E2386">
            <v>0</v>
          </cell>
          <cell r="F2386">
            <v>0</v>
          </cell>
          <cell r="G2386">
            <v>0</v>
          </cell>
          <cell r="H2386">
            <v>0</v>
          </cell>
          <cell r="I2386">
            <v>0</v>
          </cell>
          <cell r="J2386">
            <v>0</v>
          </cell>
          <cell r="K2386">
            <v>0</v>
          </cell>
          <cell r="L2386">
            <v>0</v>
          </cell>
          <cell r="M2386">
            <v>10740.173847</v>
          </cell>
          <cell r="N2386">
            <v>11814.191231999999</v>
          </cell>
          <cell r="O2386">
            <v>12995.610355000001</v>
          </cell>
        </row>
        <row r="2387">
          <cell r="A2387" t="str">
            <v>India CountrywideOTHER FACILITY EXPENSE</v>
          </cell>
          <cell r="B2387">
            <v>123094.39999999999</v>
          </cell>
          <cell r="C2387">
            <v>134829.70000000001</v>
          </cell>
          <cell r="D2387">
            <v>-32806.33</v>
          </cell>
          <cell r="E2387">
            <v>294789.52</v>
          </cell>
          <cell r="F2387">
            <v>519907.29</v>
          </cell>
          <cell r="G2387">
            <v>110318.14152</v>
          </cell>
          <cell r="H2387">
            <v>123104.060759</v>
          </cell>
          <cell r="I2387">
            <v>112299.091967</v>
          </cell>
          <cell r="J2387">
            <v>112299.091967</v>
          </cell>
          <cell r="K2387">
            <v>458020.38621299999</v>
          </cell>
          <cell r="L2387">
            <v>127476.53</v>
          </cell>
          <cell r="M2387">
            <v>271632.65306099999</v>
          </cell>
          <cell r="N2387">
            <v>298795.91836700001</v>
          </cell>
          <cell r="O2387">
            <v>328675.51020399999</v>
          </cell>
        </row>
        <row r="2388">
          <cell r="A2388" t="str">
            <v>India CountrywideGROSS OP &amp; ADMIN BUS SHARE</v>
          </cell>
          <cell r="B2388">
            <v>0</v>
          </cell>
          <cell r="C2388">
            <v>0</v>
          </cell>
          <cell r="D2388">
            <v>0</v>
          </cell>
          <cell r="E2388">
            <v>0</v>
          </cell>
          <cell r="F2388">
            <v>0</v>
          </cell>
          <cell r="G2388">
            <v>0</v>
          </cell>
          <cell r="H2388">
            <v>0</v>
          </cell>
          <cell r="I2388">
            <v>0</v>
          </cell>
          <cell r="J2388">
            <v>0</v>
          </cell>
          <cell r="K2388">
            <v>0</v>
          </cell>
          <cell r="L2388">
            <v>0</v>
          </cell>
          <cell r="M2388">
            <v>0</v>
          </cell>
          <cell r="N2388">
            <v>0</v>
          </cell>
          <cell r="O2388">
            <v>0</v>
          </cell>
        </row>
        <row r="2389">
          <cell r="A2389" t="str">
            <v>India CountrywideOTHER EXPENSE</v>
          </cell>
          <cell r="B2389">
            <v>342567.15</v>
          </cell>
          <cell r="C2389">
            <v>337431.19</v>
          </cell>
          <cell r="D2389">
            <v>-379230.71999999997</v>
          </cell>
          <cell r="E2389">
            <v>-12056.98</v>
          </cell>
          <cell r="F2389">
            <v>288710.64</v>
          </cell>
          <cell r="G2389">
            <v>0</v>
          </cell>
          <cell r="H2389">
            <v>0</v>
          </cell>
          <cell r="I2389">
            <v>0</v>
          </cell>
          <cell r="J2389">
            <v>0</v>
          </cell>
          <cell r="K2389">
            <v>0</v>
          </cell>
          <cell r="L2389">
            <v>6505.17</v>
          </cell>
          <cell r="M2389">
            <v>405204.08163299999</v>
          </cell>
          <cell r="N2389">
            <v>445724.48979600001</v>
          </cell>
          <cell r="O2389">
            <v>490296.938776</v>
          </cell>
        </row>
        <row r="2390">
          <cell r="A2390" t="str">
            <v>India CountrywideGECC INTERCO EXPENSES EXCL GECIS</v>
          </cell>
          <cell r="B2390">
            <v>0</v>
          </cell>
          <cell r="C2390">
            <v>0</v>
          </cell>
          <cell r="D2390">
            <v>0</v>
          </cell>
          <cell r="E2390">
            <v>0</v>
          </cell>
          <cell r="F2390">
            <v>0</v>
          </cell>
          <cell r="G2390">
            <v>0</v>
          </cell>
          <cell r="H2390">
            <v>0</v>
          </cell>
          <cell r="I2390">
            <v>0</v>
          </cell>
          <cell r="J2390">
            <v>0</v>
          </cell>
          <cell r="K2390">
            <v>0</v>
          </cell>
          <cell r="L2390">
            <v>0</v>
          </cell>
          <cell r="M2390">
            <v>0</v>
          </cell>
          <cell r="N2390">
            <v>0</v>
          </cell>
          <cell r="O2390">
            <v>0</v>
          </cell>
        </row>
        <row r="2391">
          <cell r="A2391" t="str">
            <v>India CountrywideGECIS INTERCO CHARGES</v>
          </cell>
          <cell r="B2391">
            <v>0</v>
          </cell>
          <cell r="C2391">
            <v>0</v>
          </cell>
          <cell r="D2391">
            <v>0</v>
          </cell>
          <cell r="E2391">
            <v>0</v>
          </cell>
          <cell r="F2391">
            <v>0</v>
          </cell>
          <cell r="G2391">
            <v>0</v>
          </cell>
          <cell r="H2391">
            <v>0</v>
          </cell>
          <cell r="I2391">
            <v>0</v>
          </cell>
          <cell r="J2391">
            <v>0</v>
          </cell>
          <cell r="K2391">
            <v>0</v>
          </cell>
          <cell r="L2391">
            <v>0</v>
          </cell>
          <cell r="M2391">
            <v>0</v>
          </cell>
          <cell r="N2391">
            <v>0</v>
          </cell>
          <cell r="O2391">
            <v>0</v>
          </cell>
        </row>
        <row r="2392">
          <cell r="A2392" t="str">
            <v>India CountrywideLOSS ADJUSTED EXPENSE</v>
          </cell>
          <cell r="B2392">
            <v>0</v>
          </cell>
          <cell r="C2392">
            <v>0</v>
          </cell>
          <cell r="D2392">
            <v>0</v>
          </cell>
          <cell r="E2392">
            <v>0</v>
          </cell>
          <cell r="F2392">
            <v>0</v>
          </cell>
          <cell r="G2392">
            <v>0</v>
          </cell>
          <cell r="H2392">
            <v>0</v>
          </cell>
          <cell r="I2392">
            <v>0</v>
          </cell>
          <cell r="J2392">
            <v>0</v>
          </cell>
          <cell r="K2392">
            <v>0</v>
          </cell>
          <cell r="L2392">
            <v>0</v>
          </cell>
          <cell r="M2392">
            <v>0</v>
          </cell>
          <cell r="N2392">
            <v>0</v>
          </cell>
          <cell r="O2392">
            <v>0</v>
          </cell>
        </row>
        <row r="2393">
          <cell r="A2393" t="str">
            <v>India CountrywideALL OTHER EXPENSES</v>
          </cell>
          <cell r="B2393">
            <v>0</v>
          </cell>
          <cell r="C2393">
            <v>0</v>
          </cell>
          <cell r="D2393">
            <v>0</v>
          </cell>
          <cell r="E2393">
            <v>0</v>
          </cell>
          <cell r="F2393">
            <v>0</v>
          </cell>
          <cell r="G2393">
            <v>0</v>
          </cell>
          <cell r="H2393">
            <v>0</v>
          </cell>
          <cell r="I2393">
            <v>0</v>
          </cell>
          <cell r="J2393">
            <v>0</v>
          </cell>
          <cell r="K2393">
            <v>0</v>
          </cell>
          <cell r="L2393">
            <v>0</v>
          </cell>
          <cell r="M2393">
            <v>-2435975.0978359999</v>
          </cell>
          <cell r="N2393">
            <v>-2996506.7710799999</v>
          </cell>
          <cell r="O2393">
            <v>-3429686.0771770002</v>
          </cell>
        </row>
        <row r="2394">
          <cell r="A2394" t="str">
            <v>India CountrywideASSESSMENTS</v>
          </cell>
          <cell r="B2394">
            <v>236348.1</v>
          </cell>
          <cell r="C2394">
            <v>233648.1</v>
          </cell>
          <cell r="D2394">
            <v>387732.5</v>
          </cell>
          <cell r="E2394">
            <v>206442.44</v>
          </cell>
          <cell r="F2394">
            <v>1064171.1399999999</v>
          </cell>
          <cell r="G2394">
            <v>367795.57801200001</v>
          </cell>
          <cell r="H2394">
            <v>428089.93506300001</v>
          </cell>
          <cell r="I2394">
            <v>428089.93506300001</v>
          </cell>
          <cell r="J2394">
            <v>484344.57019200001</v>
          </cell>
          <cell r="K2394">
            <v>1708320.0183290001</v>
          </cell>
          <cell r="L2394">
            <v>289392.88</v>
          </cell>
          <cell r="M2394">
            <v>1795386.219672</v>
          </cell>
          <cell r="N2394">
            <v>1964731.796963</v>
          </cell>
          <cell r="O2394">
            <v>2170245.0417579999</v>
          </cell>
        </row>
        <row r="2395">
          <cell r="A2395" t="str">
            <v>India CountrywideFAS 91</v>
          </cell>
          <cell r="B2395">
            <v>763791.95</v>
          </cell>
          <cell r="C2395">
            <v>244430.04</v>
          </cell>
          <cell r="D2395">
            <v>906008.69</v>
          </cell>
          <cell r="E2395">
            <v>629588.9</v>
          </cell>
          <cell r="F2395">
            <v>2543819.58</v>
          </cell>
          <cell r="G2395">
            <v>151600.39411699999</v>
          </cell>
          <cell r="H2395">
            <v>303140.97447299998</v>
          </cell>
          <cell r="I2395">
            <v>276983.97109800001</v>
          </cell>
          <cell r="J2395">
            <v>359668.839217</v>
          </cell>
          <cell r="K2395">
            <v>1091394.178905</v>
          </cell>
          <cell r="L2395">
            <v>-23021.85</v>
          </cell>
          <cell r="M2395">
            <v>21504.920073000001</v>
          </cell>
          <cell r="N2395">
            <v>-329789.49803199997</v>
          </cell>
          <cell r="O2395">
            <v>-795491.95042300003</v>
          </cell>
        </row>
        <row r="2396">
          <cell r="A2396" t="str">
            <v>India CountrywideGOODWILL AMORTIZATION</v>
          </cell>
          <cell r="B2396">
            <v>90465.77</v>
          </cell>
          <cell r="C2396">
            <v>89683.99</v>
          </cell>
          <cell r="D2396">
            <v>89130.3</v>
          </cell>
          <cell r="E2396">
            <v>87498.18</v>
          </cell>
          <cell r="F2396">
            <v>356778.23999999999</v>
          </cell>
          <cell r="G2396">
            <v>0</v>
          </cell>
          <cell r="H2396">
            <v>0</v>
          </cell>
          <cell r="I2396">
            <v>0</v>
          </cell>
          <cell r="J2396">
            <v>0</v>
          </cell>
          <cell r="K2396">
            <v>0</v>
          </cell>
          <cell r="L2396">
            <v>0</v>
          </cell>
          <cell r="M2396">
            <v>453061.22448999999</v>
          </cell>
          <cell r="N2396">
            <v>367346.938776</v>
          </cell>
          <cell r="O2396">
            <v>367346.938776</v>
          </cell>
        </row>
        <row r="2397">
          <cell r="A2397" t="str">
            <v>India CountrywideDEPRECIATION EXPENSE</v>
          </cell>
          <cell r="B2397">
            <v>248151.57</v>
          </cell>
          <cell r="C2397">
            <v>352773.79</v>
          </cell>
          <cell r="D2397">
            <v>586110.25</v>
          </cell>
          <cell r="E2397">
            <v>431630.83</v>
          </cell>
          <cell r="F2397">
            <v>1618666.44</v>
          </cell>
          <cell r="G2397">
            <v>672282.08111999999</v>
          </cell>
          <cell r="H2397">
            <v>853165.15227299999</v>
          </cell>
          <cell r="I2397">
            <v>790860.98332100001</v>
          </cell>
          <cell r="J2397">
            <v>818304.96483800001</v>
          </cell>
          <cell r="K2397">
            <v>3134613.1815519999</v>
          </cell>
          <cell r="L2397">
            <v>764141.8</v>
          </cell>
          <cell r="M2397">
            <v>2755102.0408160002</v>
          </cell>
          <cell r="N2397">
            <v>3673469.387755</v>
          </cell>
          <cell r="O2397">
            <v>4795918.3673470002</v>
          </cell>
        </row>
        <row r="2398">
          <cell r="A2398" t="str">
            <v>India CountrywideELTO AMORTIZATION</v>
          </cell>
          <cell r="B2398">
            <v>0</v>
          </cell>
          <cell r="C2398">
            <v>0</v>
          </cell>
          <cell r="D2398">
            <v>0</v>
          </cell>
          <cell r="E2398">
            <v>0</v>
          </cell>
          <cell r="F2398">
            <v>0</v>
          </cell>
          <cell r="G2398">
            <v>0</v>
          </cell>
          <cell r="H2398">
            <v>0</v>
          </cell>
          <cell r="I2398">
            <v>0</v>
          </cell>
          <cell r="J2398">
            <v>0</v>
          </cell>
          <cell r="K2398">
            <v>0</v>
          </cell>
          <cell r="L2398">
            <v>0</v>
          </cell>
          <cell r="M2398">
            <v>0</v>
          </cell>
          <cell r="N2398">
            <v>0</v>
          </cell>
          <cell r="O2398">
            <v>0</v>
          </cell>
        </row>
        <row r="2399">
          <cell r="A2399" t="str">
            <v>India CountrywideINSURANCE LOSSES AND BENEFITS</v>
          </cell>
          <cell r="B2399">
            <v>0</v>
          </cell>
          <cell r="C2399">
            <v>0</v>
          </cell>
          <cell r="D2399">
            <v>0</v>
          </cell>
          <cell r="E2399">
            <v>0</v>
          </cell>
          <cell r="F2399">
            <v>0</v>
          </cell>
          <cell r="G2399">
            <v>0</v>
          </cell>
          <cell r="H2399">
            <v>0</v>
          </cell>
          <cell r="I2399">
            <v>0</v>
          </cell>
          <cell r="J2399">
            <v>0</v>
          </cell>
          <cell r="K2399">
            <v>0</v>
          </cell>
          <cell r="L2399">
            <v>0</v>
          </cell>
          <cell r="M2399">
            <v>0</v>
          </cell>
          <cell r="N2399">
            <v>0</v>
          </cell>
          <cell r="O2399">
            <v>0</v>
          </cell>
        </row>
        <row r="2400">
          <cell r="A2400" t="str">
            <v>India CountrywideWRITE OFFS</v>
          </cell>
          <cell r="B2400">
            <v>1333293.1299999999</v>
          </cell>
          <cell r="C2400">
            <v>2967490.28</v>
          </cell>
          <cell r="D2400">
            <v>2167334.1</v>
          </cell>
          <cell r="E2400">
            <v>-214578.87</v>
          </cell>
          <cell r="F2400">
            <v>6253538.6399999997</v>
          </cell>
          <cell r="G2400">
            <v>1116536.029138</v>
          </cell>
          <cell r="H2400">
            <v>1388035.401694</v>
          </cell>
          <cell r="I2400">
            <v>1503167.3324440001</v>
          </cell>
          <cell r="J2400">
            <v>1564453.123407</v>
          </cell>
          <cell r="K2400">
            <v>5572191.8866830003</v>
          </cell>
          <cell r="L2400">
            <v>1540582.06</v>
          </cell>
          <cell r="M2400">
            <v>9612244.8979589995</v>
          </cell>
          <cell r="N2400">
            <v>11367346.938775999</v>
          </cell>
          <cell r="O2400">
            <v>12291836.734694</v>
          </cell>
        </row>
        <row r="2401">
          <cell r="A2401" t="str">
            <v>India CountrywideRESERVE CHANGE</v>
          </cell>
          <cell r="B2401">
            <v>0</v>
          </cell>
          <cell r="C2401">
            <v>0</v>
          </cell>
          <cell r="D2401">
            <v>0</v>
          </cell>
          <cell r="E2401">
            <v>0</v>
          </cell>
          <cell r="F2401">
            <v>0</v>
          </cell>
          <cell r="G2401">
            <v>0</v>
          </cell>
          <cell r="H2401">
            <v>0</v>
          </cell>
          <cell r="I2401">
            <v>0</v>
          </cell>
          <cell r="J2401">
            <v>0</v>
          </cell>
          <cell r="K2401">
            <v>0</v>
          </cell>
          <cell r="L2401">
            <v>0</v>
          </cell>
          <cell r="M2401">
            <v>0</v>
          </cell>
          <cell r="N2401">
            <v>0</v>
          </cell>
          <cell r="O2401">
            <v>0</v>
          </cell>
        </row>
        <row r="2402">
          <cell r="A2402" t="str">
            <v>India CountrywideMINORITY INTEREST</v>
          </cell>
          <cell r="B2402">
            <v>0</v>
          </cell>
          <cell r="C2402">
            <v>0</v>
          </cell>
          <cell r="D2402">
            <v>0</v>
          </cell>
          <cell r="E2402">
            <v>0</v>
          </cell>
          <cell r="F2402">
            <v>0</v>
          </cell>
          <cell r="G2402">
            <v>0</v>
          </cell>
          <cell r="H2402">
            <v>0</v>
          </cell>
          <cell r="I2402">
            <v>0</v>
          </cell>
          <cell r="J2402">
            <v>0</v>
          </cell>
          <cell r="K2402">
            <v>0</v>
          </cell>
          <cell r="L2402">
            <v>0</v>
          </cell>
          <cell r="M2402">
            <v>0</v>
          </cell>
          <cell r="N2402">
            <v>0</v>
          </cell>
          <cell r="O2402">
            <v>0</v>
          </cell>
        </row>
        <row r="2403">
          <cell r="A2403" t="str">
            <v>India CountrywideINCOME TAXES</v>
          </cell>
          <cell r="B2403">
            <v>524753.82999999996</v>
          </cell>
          <cell r="C2403">
            <v>-270028.02</v>
          </cell>
          <cell r="D2403">
            <v>-29206.84</v>
          </cell>
          <cell r="E2403">
            <v>614193.39</v>
          </cell>
          <cell r="F2403">
            <v>839712.36</v>
          </cell>
          <cell r="G2403">
            <v>-25522.947469999999</v>
          </cell>
          <cell r="H2403">
            <v>225143.63265099999</v>
          </cell>
          <cell r="I2403">
            <v>732517.08547100006</v>
          </cell>
          <cell r="J2403">
            <v>1074770.398515</v>
          </cell>
          <cell r="K2403">
            <v>2006908.1691660001</v>
          </cell>
          <cell r="L2403">
            <v>-256296.93</v>
          </cell>
          <cell r="M2403">
            <v>2996124.403221</v>
          </cell>
          <cell r="N2403">
            <v>5252157.4376999997</v>
          </cell>
          <cell r="O2403">
            <v>7527264.5656089997</v>
          </cell>
        </row>
        <row r="2404">
          <cell r="A2404" t="str">
            <v>India CountrywideCUMULATIVE TRANSITION ADJUSTMENT</v>
          </cell>
          <cell r="B2404">
            <v>0</v>
          </cell>
          <cell r="C2404">
            <v>0</v>
          </cell>
          <cell r="D2404">
            <v>0</v>
          </cell>
          <cell r="E2404">
            <v>0</v>
          </cell>
          <cell r="F2404">
            <v>0</v>
          </cell>
          <cell r="G2404">
            <v>0</v>
          </cell>
          <cell r="H2404">
            <v>0</v>
          </cell>
          <cell r="I2404">
            <v>0</v>
          </cell>
          <cell r="J2404">
            <v>0</v>
          </cell>
          <cell r="K2404">
            <v>0</v>
          </cell>
          <cell r="L2404">
            <v>0</v>
          </cell>
          <cell r="M2404">
            <v>0</v>
          </cell>
          <cell r="N2404">
            <v>0</v>
          </cell>
          <cell r="O2404">
            <v>0</v>
          </cell>
        </row>
        <row r="2405">
          <cell r="A2405" t="str">
            <v>India CountrywideASIA PACIFIC NI DIVIDEND</v>
          </cell>
          <cell r="B2405">
            <v>0</v>
          </cell>
          <cell r="C2405">
            <v>0</v>
          </cell>
          <cell r="D2405">
            <v>0</v>
          </cell>
          <cell r="E2405">
            <v>0</v>
          </cell>
          <cell r="F2405">
            <v>0</v>
          </cell>
          <cell r="G2405">
            <v>0</v>
          </cell>
          <cell r="H2405">
            <v>0</v>
          </cell>
          <cell r="I2405">
            <v>0</v>
          </cell>
          <cell r="J2405">
            <v>0</v>
          </cell>
          <cell r="K2405">
            <v>0</v>
          </cell>
          <cell r="L2405">
            <v>0</v>
          </cell>
          <cell r="M2405">
            <v>0</v>
          </cell>
          <cell r="N2405">
            <v>0</v>
          </cell>
          <cell r="O2405">
            <v>0</v>
          </cell>
        </row>
        <row r="2406">
          <cell r="A2406" t="str">
            <v>India CountrywideNet Income</v>
          </cell>
          <cell r="B2406">
            <v>-935817.53</v>
          </cell>
          <cell r="C2406">
            <v>531171.30000000005</v>
          </cell>
          <cell r="D2406">
            <v>80655.19</v>
          </cell>
          <cell r="E2406">
            <v>-768992.3</v>
          </cell>
          <cell r="F2406">
            <v>-1092983.3400000001</v>
          </cell>
          <cell r="G2406">
            <v>95635.245228</v>
          </cell>
          <cell r="H2406">
            <v>-369888.403567</v>
          </cell>
          <cell r="I2406">
            <v>-1312153.3873759999</v>
          </cell>
          <cell r="J2406">
            <v>-1947696.3396129999</v>
          </cell>
          <cell r="K2406">
            <v>-3534102.8853290002</v>
          </cell>
          <cell r="L2406">
            <v>493125.11</v>
          </cell>
          <cell r="M2406">
            <v>-4976475.9325120002</v>
          </cell>
          <cell r="N2406">
            <v>-9117271.9761369992</v>
          </cell>
          <cell r="O2406">
            <v>-13293491.336131001</v>
          </cell>
        </row>
        <row r="2407">
          <cell r="A2407" t="str">
            <v>India CountrywideSubPart F</v>
          </cell>
          <cell r="B2407">
            <v>0</v>
          </cell>
          <cell r="C2407">
            <v>0</v>
          </cell>
          <cell r="D2407">
            <v>0</v>
          </cell>
          <cell r="E2407">
            <v>0</v>
          </cell>
          <cell r="F2407">
            <v>0</v>
          </cell>
          <cell r="G2407">
            <v>0</v>
          </cell>
          <cell r="H2407">
            <v>0</v>
          </cell>
          <cell r="I2407">
            <v>0</v>
          </cell>
          <cell r="J2407">
            <v>0</v>
          </cell>
          <cell r="K2407">
            <v>0</v>
          </cell>
          <cell r="L2407">
            <v>0</v>
          </cell>
          <cell r="M2407">
            <v>0</v>
          </cell>
          <cell r="N2407">
            <v>0</v>
          </cell>
          <cell r="O2407">
            <v>0</v>
          </cell>
        </row>
        <row r="2408">
          <cell r="A2408" t="str">
            <v>India CountrywideAssets</v>
          </cell>
          <cell r="B2408">
            <v>333190708.33999997</v>
          </cell>
          <cell r="C2408">
            <v>326243060.93000001</v>
          </cell>
          <cell r="D2408">
            <v>296137596.50999999</v>
          </cell>
          <cell r="E2408">
            <v>303532449.38</v>
          </cell>
          <cell r="F2408">
            <v>303532449.38</v>
          </cell>
          <cell r="G2408">
            <v>307176038.47943401</v>
          </cell>
          <cell r="H2408">
            <v>319210396.76855898</v>
          </cell>
          <cell r="I2408">
            <v>328236457.08031601</v>
          </cell>
          <cell r="J2408">
            <v>383049901.35322398</v>
          </cell>
          <cell r="K2408">
            <v>383049901.35322398</v>
          </cell>
          <cell r="L2408">
            <v>302978292.74000001</v>
          </cell>
          <cell r="M2408">
            <v>471690703.21572298</v>
          </cell>
          <cell r="N2408">
            <v>576685843.668612</v>
          </cell>
          <cell r="O2408">
            <v>683790028.93483496</v>
          </cell>
        </row>
        <row r="2409">
          <cell r="A2409" t="str">
            <v>India CountrywideEnding Net Investment (ENI) incl Asia</v>
          </cell>
          <cell r="B2409">
            <v>310435846.36000001</v>
          </cell>
          <cell r="C2409">
            <v>306451473.39999998</v>
          </cell>
          <cell r="D2409">
            <v>282246420.35000002</v>
          </cell>
          <cell r="E2409">
            <v>291883625.37</v>
          </cell>
          <cell r="F2409">
            <v>291883625.37</v>
          </cell>
          <cell r="G2409">
            <v>295330766.08733898</v>
          </cell>
          <cell r="H2409">
            <v>307365124.37646502</v>
          </cell>
          <cell r="I2409">
            <v>316391184.68822199</v>
          </cell>
          <cell r="J2409">
            <v>371204628.96112901</v>
          </cell>
          <cell r="K2409">
            <v>371204628.96112901</v>
          </cell>
          <cell r="L2409">
            <v>270589083.58999997</v>
          </cell>
          <cell r="M2409">
            <v>425089620.509884</v>
          </cell>
          <cell r="N2409">
            <v>527533740.55461001</v>
          </cell>
          <cell r="O2409">
            <v>631509354.39226198</v>
          </cell>
        </row>
        <row r="2410">
          <cell r="A2410" t="str">
            <v>India CountrywideANR YTD</v>
          </cell>
          <cell r="B2410">
            <v>294016853.08499998</v>
          </cell>
          <cell r="C2410">
            <v>291660094.73666698</v>
          </cell>
          <cell r="D2410">
            <v>288736055.71749997</v>
          </cell>
          <cell r="E2410">
            <v>285982449.708</v>
          </cell>
          <cell r="F2410">
            <v>285982449.708</v>
          </cell>
          <cell r="G2410">
            <v>276571418.32677197</v>
          </cell>
          <cell r="H2410">
            <v>280640038.67052501</v>
          </cell>
          <cell r="I2410">
            <v>284921590.24093097</v>
          </cell>
          <cell r="J2410">
            <v>298501333.03052801</v>
          </cell>
          <cell r="K2410">
            <v>298501333.03052801</v>
          </cell>
          <cell r="L2410">
            <v>274852463.25999999</v>
          </cell>
          <cell r="M2410">
            <v>162549462.90871701</v>
          </cell>
          <cell r="N2410">
            <v>202938561.83063099</v>
          </cell>
          <cell r="O2410">
            <v>244182508.60710701</v>
          </cell>
        </row>
        <row r="2411">
          <cell r="A2411" t="str">
            <v>India CountrywideASA YTD</v>
          </cell>
          <cell r="B2411">
            <v>294016853.08499998</v>
          </cell>
          <cell r="C2411">
            <v>291660094.73666698</v>
          </cell>
          <cell r="D2411">
            <v>288736055.71749997</v>
          </cell>
          <cell r="E2411">
            <v>285982449.708</v>
          </cell>
          <cell r="F2411">
            <v>285982449.708</v>
          </cell>
          <cell r="G2411">
            <v>276571418.32677197</v>
          </cell>
          <cell r="H2411">
            <v>280640038.67052501</v>
          </cell>
          <cell r="I2411">
            <v>284921590.24093097</v>
          </cell>
          <cell r="J2411">
            <v>298501333.03052801</v>
          </cell>
          <cell r="K2411">
            <v>298501333.03052801</v>
          </cell>
          <cell r="L2411">
            <v>274852463.25999999</v>
          </cell>
          <cell r="M2411">
            <v>162549462.90871701</v>
          </cell>
          <cell r="N2411">
            <v>202938561.83063099</v>
          </cell>
          <cell r="O2411">
            <v>244182508.60710701</v>
          </cell>
        </row>
        <row r="2412">
          <cell r="A2412" t="str">
            <v>India CountrywideANI YTD incl Asia - 5 pt</v>
          </cell>
          <cell r="B2412">
            <v>289461668.92500001</v>
          </cell>
          <cell r="C2412">
            <v>295124937.08333302</v>
          </cell>
          <cell r="D2412">
            <v>291905307.89999998</v>
          </cell>
          <cell r="E2412">
            <v>291900971.39399999</v>
          </cell>
          <cell r="F2412">
            <v>291900971.39399999</v>
          </cell>
          <cell r="G2412">
            <v>293607195.72867</v>
          </cell>
          <cell r="H2412">
            <v>298193171.944601</v>
          </cell>
          <cell r="I2412">
            <v>302742675.13050699</v>
          </cell>
          <cell r="J2412">
            <v>316435065.896631</v>
          </cell>
          <cell r="K2412">
            <v>316435065.896631</v>
          </cell>
          <cell r="L2412">
            <v>281236354.48000002</v>
          </cell>
          <cell r="M2412">
            <v>150108037.19281501</v>
          </cell>
          <cell r="N2412">
            <v>190524672.212899</v>
          </cell>
          <cell r="O2412">
            <v>231808618.98937401</v>
          </cell>
        </row>
        <row r="2413">
          <cell r="A2413" t="str">
            <v>India CountrywideOff Balance Sheet Assets</v>
          </cell>
          <cell r="B2413">
            <v>0</v>
          </cell>
          <cell r="C2413">
            <v>0</v>
          </cell>
          <cell r="D2413">
            <v>0</v>
          </cell>
          <cell r="E2413">
            <v>0</v>
          </cell>
          <cell r="F2413">
            <v>0</v>
          </cell>
          <cell r="G2413">
            <v>0</v>
          </cell>
          <cell r="H2413">
            <v>0</v>
          </cell>
          <cell r="I2413">
            <v>0</v>
          </cell>
          <cell r="J2413">
            <v>0</v>
          </cell>
          <cell r="K2413">
            <v>0</v>
          </cell>
          <cell r="L2413">
            <v>0</v>
          </cell>
          <cell r="M2413">
            <v>0</v>
          </cell>
          <cell r="N2413">
            <v>0</v>
          </cell>
          <cell r="O2413">
            <v>0</v>
          </cell>
        </row>
        <row r="2414">
          <cell r="A2414" t="str">
            <v>India CountrywideJV Receivables</v>
          </cell>
          <cell r="B2414">
            <v>0</v>
          </cell>
          <cell r="C2414">
            <v>0</v>
          </cell>
          <cell r="D2414">
            <v>0</v>
          </cell>
          <cell r="E2414">
            <v>0</v>
          </cell>
          <cell r="F2414">
            <v>0</v>
          </cell>
          <cell r="G2414">
            <v>0</v>
          </cell>
          <cell r="H2414">
            <v>0</v>
          </cell>
          <cell r="I2414">
            <v>0</v>
          </cell>
          <cell r="J2414">
            <v>0</v>
          </cell>
          <cell r="K2414">
            <v>0</v>
          </cell>
          <cell r="L2414">
            <v>0</v>
          </cell>
          <cell r="M2414">
            <v>0</v>
          </cell>
          <cell r="N2414">
            <v>0</v>
          </cell>
          <cell r="O2414">
            <v>0</v>
          </cell>
        </row>
        <row r="2415">
          <cell r="A2415" t="str">
            <v>India Countrywide30+ DELINQUENCY $</v>
          </cell>
          <cell r="B2415">
            <v>20488066</v>
          </cell>
          <cell r="C2415">
            <v>20631459</v>
          </cell>
          <cell r="D2415">
            <v>18053172</v>
          </cell>
          <cell r="E2415">
            <v>22547378</v>
          </cell>
          <cell r="F2415">
            <v>22547378</v>
          </cell>
          <cell r="G2415">
            <v>22810334.500650998</v>
          </cell>
          <cell r="H2415">
            <v>23679736.907359</v>
          </cell>
          <cell r="I2415">
            <v>24416832.086075999</v>
          </cell>
          <cell r="J2415">
            <v>28931264.943491001</v>
          </cell>
          <cell r="K2415">
            <v>28931264.943491001</v>
          </cell>
          <cell r="L2415">
            <v>18396894.09</v>
          </cell>
          <cell r="M2415">
            <v>27387787.203864999</v>
          </cell>
          <cell r="N2415">
            <v>34666063.692410998</v>
          </cell>
          <cell r="O2415">
            <v>41218873.515491001</v>
          </cell>
        </row>
        <row r="2416">
          <cell r="A2416" t="str">
            <v>India Countrywide90+ DELINQUENCY $</v>
          </cell>
          <cell r="B2416">
            <v>9425085</v>
          </cell>
          <cell r="C2416">
            <v>10645718</v>
          </cell>
          <cell r="D2416">
            <v>9512556</v>
          </cell>
          <cell r="E2416">
            <v>14298337</v>
          </cell>
          <cell r="F2416">
            <v>14298337</v>
          </cell>
          <cell r="G2416">
            <v>14465090.171143999</v>
          </cell>
          <cell r="H2416">
            <v>15016418.526618</v>
          </cell>
          <cell r="I2416">
            <v>15483844.737512</v>
          </cell>
          <cell r="J2416">
            <v>18346655.817823999</v>
          </cell>
          <cell r="K2416">
            <v>18346655.817823999</v>
          </cell>
          <cell r="L2416">
            <v>10463428.720000001</v>
          </cell>
          <cell r="M2416">
            <v>12598382.113778001</v>
          </cell>
          <cell r="N2416">
            <v>16691067.703753</v>
          </cell>
          <cell r="O2416">
            <v>19549144.191431001</v>
          </cell>
        </row>
        <row r="2417">
          <cell r="A2417" t="str">
            <v>India CountrywideTemporary Staff</v>
          </cell>
          <cell r="B2417">
            <v>0</v>
          </cell>
          <cell r="C2417">
            <v>0</v>
          </cell>
          <cell r="D2417">
            <v>0</v>
          </cell>
          <cell r="E2417">
            <v>0</v>
          </cell>
          <cell r="F2417">
            <v>0</v>
          </cell>
          <cell r="G2417">
            <v>0</v>
          </cell>
          <cell r="H2417">
            <v>0</v>
          </cell>
          <cell r="I2417">
            <v>0</v>
          </cell>
          <cell r="J2417">
            <v>0</v>
          </cell>
          <cell r="K2417">
            <v>0</v>
          </cell>
          <cell r="L2417">
            <v>0</v>
          </cell>
          <cell r="M2417">
            <v>0</v>
          </cell>
          <cell r="N2417">
            <v>0</v>
          </cell>
          <cell r="O2417">
            <v>0</v>
          </cell>
        </row>
        <row r="2418">
          <cell r="A2418" t="str">
            <v>India CountrywideContractors</v>
          </cell>
          <cell r="B2418">
            <v>0</v>
          </cell>
          <cell r="C2418">
            <v>0</v>
          </cell>
          <cell r="D2418">
            <v>0</v>
          </cell>
          <cell r="E2418">
            <v>0</v>
          </cell>
          <cell r="F2418">
            <v>0</v>
          </cell>
          <cell r="G2418">
            <v>0</v>
          </cell>
          <cell r="H2418">
            <v>0</v>
          </cell>
          <cell r="I2418">
            <v>0</v>
          </cell>
          <cell r="J2418">
            <v>0</v>
          </cell>
          <cell r="K2418">
            <v>0</v>
          </cell>
          <cell r="L2418">
            <v>510</v>
          </cell>
          <cell r="M2418">
            <v>0</v>
          </cell>
          <cell r="N2418">
            <v>0</v>
          </cell>
          <cell r="O2418">
            <v>0</v>
          </cell>
        </row>
        <row r="2419">
          <cell r="A2419" t="str">
            <v>India CountrywideOutsourced to LCC</v>
          </cell>
          <cell r="B2419">
            <v>0</v>
          </cell>
          <cell r="C2419">
            <v>0</v>
          </cell>
          <cell r="D2419">
            <v>0</v>
          </cell>
          <cell r="E2419">
            <v>0</v>
          </cell>
          <cell r="F2419">
            <v>0</v>
          </cell>
          <cell r="G2419">
            <v>0</v>
          </cell>
          <cell r="H2419">
            <v>0</v>
          </cell>
          <cell r="I2419">
            <v>0</v>
          </cell>
          <cell r="J2419">
            <v>0</v>
          </cell>
          <cell r="K2419">
            <v>0</v>
          </cell>
          <cell r="L2419">
            <v>0</v>
          </cell>
          <cell r="M2419">
            <v>0</v>
          </cell>
          <cell r="N2419">
            <v>0</v>
          </cell>
          <cell r="O2419">
            <v>0</v>
          </cell>
        </row>
        <row r="2420">
          <cell r="A2420" t="str">
            <v>India CountrywideTotal Headcount</v>
          </cell>
          <cell r="B2420">
            <v>288</v>
          </cell>
          <cell r="C2420">
            <v>327</v>
          </cell>
          <cell r="D2420">
            <v>329</v>
          </cell>
          <cell r="E2420">
            <v>340</v>
          </cell>
          <cell r="F2420">
            <v>340</v>
          </cell>
          <cell r="G2420">
            <v>402</v>
          </cell>
          <cell r="H2420">
            <v>422</v>
          </cell>
          <cell r="I2420">
            <v>415</v>
          </cell>
          <cell r="J2420">
            <v>415</v>
          </cell>
          <cell r="K2420">
            <v>415</v>
          </cell>
          <cell r="L2420">
            <v>337</v>
          </cell>
          <cell r="M2420">
            <v>536</v>
          </cell>
          <cell r="N2420">
            <v>616</v>
          </cell>
          <cell r="O2420">
            <v>666</v>
          </cell>
        </row>
        <row r="2421">
          <cell r="A2421" t="str">
            <v>India CountrywideTotal Workforce</v>
          </cell>
          <cell r="B2421">
            <v>288</v>
          </cell>
          <cell r="C2421">
            <v>327</v>
          </cell>
          <cell r="D2421">
            <v>329</v>
          </cell>
          <cell r="E2421">
            <v>340</v>
          </cell>
          <cell r="F2421">
            <v>340</v>
          </cell>
          <cell r="G2421">
            <v>402</v>
          </cell>
          <cell r="H2421">
            <v>422</v>
          </cell>
          <cell r="I2421">
            <v>415</v>
          </cell>
          <cell r="J2421">
            <v>415</v>
          </cell>
          <cell r="K2421">
            <v>415</v>
          </cell>
          <cell r="L2421">
            <v>847</v>
          </cell>
          <cell r="M2421">
            <v>536</v>
          </cell>
          <cell r="N2421">
            <v>616</v>
          </cell>
          <cell r="O2421">
            <v>666</v>
          </cell>
        </row>
        <row r="2422">
          <cell r="A2422" t="str">
            <v>India CountrywideTotal Earned Revenue</v>
          </cell>
          <cell r="B2422">
            <v>-15083914.18</v>
          </cell>
          <cell r="C2422">
            <v>-14177196.66</v>
          </cell>
          <cell r="D2422">
            <v>-12365973.119999999</v>
          </cell>
          <cell r="E2422">
            <v>-12884124.51</v>
          </cell>
          <cell r="F2422">
            <v>-54511208.469999999</v>
          </cell>
          <cell r="G2422">
            <v>-9635394.1806530003</v>
          </cell>
          <cell r="H2422">
            <v>-11228769.035165999</v>
          </cell>
          <cell r="I2422">
            <v>-12829889.421099</v>
          </cell>
          <cell r="J2422">
            <v>-14495751.473172</v>
          </cell>
          <cell r="K2422">
            <v>-48189804.110091001</v>
          </cell>
          <cell r="L2422">
            <v>-11922019.59</v>
          </cell>
          <cell r="M2422">
            <v>-67756348.790029004</v>
          </cell>
          <cell r="N2422">
            <v>-91021787.964319006</v>
          </cell>
          <cell r="O2422">
            <v>-109158488.98486599</v>
          </cell>
        </row>
        <row r="2423">
          <cell r="A2423" t="str">
            <v>India CountrywideOrdinary Gains - PreTax</v>
          </cell>
          <cell r="B2423">
            <v>0</v>
          </cell>
          <cell r="C2423">
            <v>0</v>
          </cell>
          <cell r="D2423">
            <v>0</v>
          </cell>
          <cell r="E2423">
            <v>0</v>
          </cell>
          <cell r="F2423">
            <v>0</v>
          </cell>
          <cell r="G2423">
            <v>0</v>
          </cell>
          <cell r="H2423">
            <v>0</v>
          </cell>
          <cell r="I2423">
            <v>0</v>
          </cell>
          <cell r="J2423">
            <v>0</v>
          </cell>
          <cell r="K2423">
            <v>0</v>
          </cell>
          <cell r="L2423">
            <v>0</v>
          </cell>
          <cell r="M2423">
            <v>0</v>
          </cell>
          <cell r="N2423">
            <v>0</v>
          </cell>
          <cell r="O2423">
            <v>0</v>
          </cell>
        </row>
        <row r="2424">
          <cell r="A2424" t="str">
            <v>India CountrywideOrdinary Gains - AfterTax</v>
          </cell>
          <cell r="B2424">
            <v>0</v>
          </cell>
          <cell r="C2424">
            <v>0</v>
          </cell>
          <cell r="D2424">
            <v>0</v>
          </cell>
          <cell r="E2424">
            <v>0</v>
          </cell>
          <cell r="F2424">
            <v>0</v>
          </cell>
          <cell r="G2424">
            <v>0</v>
          </cell>
          <cell r="H2424">
            <v>0</v>
          </cell>
          <cell r="I2424">
            <v>0</v>
          </cell>
          <cell r="J2424">
            <v>0</v>
          </cell>
          <cell r="K2424">
            <v>0</v>
          </cell>
          <cell r="L2424">
            <v>0</v>
          </cell>
          <cell r="M2424">
            <v>0</v>
          </cell>
          <cell r="N2424">
            <v>0</v>
          </cell>
          <cell r="O2424">
            <v>0</v>
          </cell>
        </row>
        <row r="2425">
          <cell r="A2425" t="str">
            <v>India CountrywideTotal Volume</v>
          </cell>
          <cell r="B2425">
            <v>45594361</v>
          </cell>
          <cell r="C2425">
            <v>42457799</v>
          </cell>
          <cell r="D2425">
            <v>54881000</v>
          </cell>
          <cell r="E2425">
            <v>48814950</v>
          </cell>
          <cell r="F2425">
            <v>191748110</v>
          </cell>
          <cell r="G2425">
            <v>57289688.258075997</v>
          </cell>
          <cell r="H2425">
            <v>60244720.570444003</v>
          </cell>
          <cell r="I2425">
            <v>65115971.726356</v>
          </cell>
          <cell r="J2425">
            <v>68777088.348309994</v>
          </cell>
          <cell r="K2425">
            <v>251427468.90318501</v>
          </cell>
          <cell r="L2425">
            <v>49260000</v>
          </cell>
          <cell r="M2425">
            <v>366879591.83673501</v>
          </cell>
          <cell r="N2425">
            <v>447491836.734694</v>
          </cell>
          <cell r="O2425">
            <v>526991609.97732401</v>
          </cell>
        </row>
        <row r="2426">
          <cell r="A2426" t="str">
            <v>India CountrywideTOTAL # ACTIVE ACCOUNTS</v>
          </cell>
          <cell r="B2426">
            <v>466280</v>
          </cell>
          <cell r="C2426">
            <v>468929</v>
          </cell>
          <cell r="D2426">
            <v>479006</v>
          </cell>
          <cell r="E2426">
            <v>526000</v>
          </cell>
          <cell r="F2426">
            <v>526000</v>
          </cell>
          <cell r="G2426">
            <v>526371.19024499995</v>
          </cell>
          <cell r="H2426">
            <v>552437.47375400004</v>
          </cell>
          <cell r="I2426">
            <v>577594.15930099995</v>
          </cell>
          <cell r="J2426">
            <v>621865.08640100004</v>
          </cell>
          <cell r="K2426">
            <v>621865.08640100004</v>
          </cell>
          <cell r="L2426">
            <v>0</v>
          </cell>
          <cell r="M2426">
            <v>985452.27477500006</v>
          </cell>
          <cell r="N2426">
            <v>1238962.0520959999</v>
          </cell>
          <cell r="O2426">
            <v>1542141.514499</v>
          </cell>
        </row>
        <row r="2427">
          <cell r="A2427" t="str">
            <v>IndonesiaTOTAL FINANCING RECEIVABLES</v>
          </cell>
          <cell r="B2427">
            <v>43615203.68</v>
          </cell>
          <cell r="C2427">
            <v>54342407.770000003</v>
          </cell>
          <cell r="D2427">
            <v>114024071.91</v>
          </cell>
          <cell r="E2427">
            <v>118487209.31</v>
          </cell>
          <cell r="F2427">
            <v>118487209.31</v>
          </cell>
          <cell r="G2427">
            <v>122669888.952888</v>
          </cell>
          <cell r="H2427">
            <v>132902024.921638</v>
          </cell>
          <cell r="I2427">
            <v>144679591.266624</v>
          </cell>
          <cell r="J2427">
            <v>157426075.49009499</v>
          </cell>
          <cell r="K2427">
            <v>157426075.49009499</v>
          </cell>
          <cell r="L2427">
            <v>122613112.56999999</v>
          </cell>
          <cell r="M2427">
            <v>130276526.61</v>
          </cell>
          <cell r="N2427">
            <v>209044563.16999999</v>
          </cell>
          <cell r="O2427">
            <v>314648920.14999998</v>
          </cell>
        </row>
        <row r="2428">
          <cell r="A2428" t="str">
            <v>IndonesiaRECEIVABLE RESERVES</v>
          </cell>
          <cell r="B2428">
            <v>-1791288.39</v>
          </cell>
          <cell r="C2428">
            <v>-2563346.38</v>
          </cell>
          <cell r="D2428">
            <v>-6137718.5</v>
          </cell>
          <cell r="E2428">
            <v>-7281099.9900000002</v>
          </cell>
          <cell r="F2428">
            <v>-7281099.9900000002</v>
          </cell>
          <cell r="G2428">
            <v>-7664953.4226719998</v>
          </cell>
          <cell r="H2428">
            <v>-7697754.579527</v>
          </cell>
          <cell r="I2428">
            <v>-7356462.0249730004</v>
          </cell>
          <cell r="J2428">
            <v>-8054389.1253070002</v>
          </cell>
          <cell r="K2428">
            <v>-8054389.1253070002</v>
          </cell>
          <cell r="L2428">
            <v>-10592945.140000001</v>
          </cell>
          <cell r="M2428">
            <v>-5865108.6799999997</v>
          </cell>
          <cell r="N2428">
            <v>-8716058.0800000001</v>
          </cell>
          <cell r="O2428">
            <v>-12660428.810000001</v>
          </cell>
        </row>
        <row r="2429">
          <cell r="A2429" t="str">
            <v>IndonesiaCASH</v>
          </cell>
          <cell r="B2429">
            <v>2676256.36</v>
          </cell>
          <cell r="C2429">
            <v>3226089.19</v>
          </cell>
          <cell r="D2429">
            <v>2633453.73</v>
          </cell>
          <cell r="E2429">
            <v>3202150.57</v>
          </cell>
          <cell r="F2429">
            <v>3202150.57</v>
          </cell>
          <cell r="G2429">
            <v>1978876.37</v>
          </cell>
          <cell r="H2429">
            <v>1978876.37</v>
          </cell>
          <cell r="I2429">
            <v>1978876.37</v>
          </cell>
          <cell r="J2429">
            <v>1978876.37</v>
          </cell>
          <cell r="K2429">
            <v>1978876.37</v>
          </cell>
          <cell r="L2429">
            <v>3139318.92</v>
          </cell>
          <cell r="M2429">
            <v>0</v>
          </cell>
          <cell r="N2429">
            <v>0</v>
          </cell>
          <cell r="O2429">
            <v>0</v>
          </cell>
        </row>
        <row r="2430">
          <cell r="A2430" t="str">
            <v>IndonesiaINVESTMENT SECURITIES</v>
          </cell>
          <cell r="B2430">
            <v>0</v>
          </cell>
          <cell r="C2430">
            <v>0</v>
          </cell>
          <cell r="D2430">
            <v>0</v>
          </cell>
          <cell r="E2430">
            <v>0</v>
          </cell>
          <cell r="F2430">
            <v>0</v>
          </cell>
          <cell r="G2430">
            <v>0</v>
          </cell>
          <cell r="H2430">
            <v>0</v>
          </cell>
          <cell r="I2430">
            <v>0</v>
          </cell>
          <cell r="J2430">
            <v>0</v>
          </cell>
          <cell r="K2430">
            <v>0</v>
          </cell>
          <cell r="L2430">
            <v>0</v>
          </cell>
          <cell r="M2430">
            <v>0</v>
          </cell>
          <cell r="N2430">
            <v>0</v>
          </cell>
          <cell r="O2430">
            <v>0</v>
          </cell>
        </row>
        <row r="2431">
          <cell r="A2431" t="str">
            <v>IndonesiaINV IN NON CONSOL AFFILIATES</v>
          </cell>
          <cell r="B2431">
            <v>23248387.18</v>
          </cell>
          <cell r="C2431">
            <v>22952125.559999999</v>
          </cell>
          <cell r="D2431">
            <v>30685822.109999999</v>
          </cell>
          <cell r="E2431">
            <v>30650161.539999999</v>
          </cell>
          <cell r="F2431">
            <v>30650161.539999999</v>
          </cell>
          <cell r="G2431">
            <v>31805635.522149</v>
          </cell>
          <cell r="H2431">
            <v>33293104.550140999</v>
          </cell>
          <cell r="I2431">
            <v>35057731.164958</v>
          </cell>
          <cell r="J2431">
            <v>37104790.876183003</v>
          </cell>
          <cell r="K2431">
            <v>37104790.876183003</v>
          </cell>
          <cell r="L2431">
            <v>34388596.710000001</v>
          </cell>
          <cell r="M2431">
            <v>31095563</v>
          </cell>
          <cell r="N2431">
            <v>38066891</v>
          </cell>
          <cell r="O2431">
            <v>46781347</v>
          </cell>
        </row>
        <row r="2432">
          <cell r="A2432" t="str">
            <v>IndonesiaINVESTMENT IN JOINT VENTURE</v>
          </cell>
          <cell r="B2432">
            <v>0</v>
          </cell>
          <cell r="C2432">
            <v>0</v>
          </cell>
          <cell r="D2432">
            <v>0</v>
          </cell>
          <cell r="E2432">
            <v>0</v>
          </cell>
          <cell r="F2432">
            <v>0</v>
          </cell>
          <cell r="G2432">
            <v>0</v>
          </cell>
          <cell r="H2432">
            <v>0</v>
          </cell>
          <cell r="I2432">
            <v>0</v>
          </cell>
          <cell r="J2432">
            <v>0</v>
          </cell>
          <cell r="K2432">
            <v>0</v>
          </cell>
          <cell r="L2432">
            <v>0</v>
          </cell>
          <cell r="M2432">
            <v>0</v>
          </cell>
          <cell r="N2432">
            <v>0</v>
          </cell>
          <cell r="O2432">
            <v>0</v>
          </cell>
        </row>
        <row r="2433">
          <cell r="A2433" t="str">
            <v>IndonesiaALL OTHER RECEIVABLES (NON-FINANCING)</v>
          </cell>
          <cell r="B2433">
            <v>241463.19</v>
          </cell>
          <cell r="C2433">
            <v>300236.86</v>
          </cell>
          <cell r="D2433">
            <v>370252.85</v>
          </cell>
          <cell r="E2433">
            <v>503243.78</v>
          </cell>
          <cell r="F2433">
            <v>503243.78</v>
          </cell>
          <cell r="G2433">
            <v>424668.72</v>
          </cell>
          <cell r="H2433">
            <v>424668.72</v>
          </cell>
          <cell r="I2433">
            <v>424668.72</v>
          </cell>
          <cell r="J2433">
            <v>424668.72</v>
          </cell>
          <cell r="K2433">
            <v>424668.72</v>
          </cell>
          <cell r="L2433">
            <v>768855.48</v>
          </cell>
          <cell r="M2433">
            <v>0</v>
          </cell>
          <cell r="N2433">
            <v>0</v>
          </cell>
          <cell r="O2433">
            <v>0</v>
          </cell>
        </row>
        <row r="2434">
          <cell r="A2434" t="str">
            <v>IndonesiaELTO (NET)</v>
          </cell>
          <cell r="B2434">
            <v>0</v>
          </cell>
          <cell r="C2434">
            <v>0</v>
          </cell>
          <cell r="D2434">
            <v>0</v>
          </cell>
          <cell r="E2434">
            <v>0</v>
          </cell>
          <cell r="F2434">
            <v>0</v>
          </cell>
          <cell r="G2434">
            <v>0</v>
          </cell>
          <cell r="H2434">
            <v>0</v>
          </cell>
          <cell r="I2434">
            <v>0</v>
          </cell>
          <cell r="J2434">
            <v>0</v>
          </cell>
          <cell r="K2434">
            <v>0</v>
          </cell>
          <cell r="L2434">
            <v>0</v>
          </cell>
          <cell r="M2434">
            <v>0</v>
          </cell>
          <cell r="N2434">
            <v>0</v>
          </cell>
          <cell r="O2434">
            <v>0</v>
          </cell>
        </row>
        <row r="2435">
          <cell r="A2435" t="str">
            <v>IndonesiaGOODWILL</v>
          </cell>
          <cell r="B2435">
            <v>191464.06</v>
          </cell>
          <cell r="C2435">
            <v>191464.06</v>
          </cell>
          <cell r="D2435">
            <v>191464.06</v>
          </cell>
          <cell r="E2435">
            <v>191464.06</v>
          </cell>
          <cell r="F2435">
            <v>191464.06</v>
          </cell>
          <cell r="G2435">
            <v>191464.06</v>
          </cell>
          <cell r="H2435">
            <v>191464.06</v>
          </cell>
          <cell r="I2435">
            <v>191464.06</v>
          </cell>
          <cell r="J2435">
            <v>191464.06</v>
          </cell>
          <cell r="K2435">
            <v>191464.06</v>
          </cell>
          <cell r="L2435">
            <v>191464.06</v>
          </cell>
          <cell r="M2435">
            <v>0</v>
          </cell>
          <cell r="N2435">
            <v>0</v>
          </cell>
          <cell r="O2435">
            <v>0</v>
          </cell>
        </row>
        <row r="2436">
          <cell r="A2436" t="str">
            <v>IndonesiaOTHER ASSETS</v>
          </cell>
          <cell r="B2436">
            <v>565872.71</v>
          </cell>
          <cell r="C2436">
            <v>981084.67</v>
          </cell>
          <cell r="D2436">
            <v>1624680.45</v>
          </cell>
          <cell r="E2436">
            <v>1776321.49</v>
          </cell>
          <cell r="F2436">
            <v>1776321.49</v>
          </cell>
          <cell r="G2436">
            <v>1655513.93</v>
          </cell>
          <cell r="H2436">
            <v>1625513.93</v>
          </cell>
          <cell r="I2436">
            <v>1617513.93</v>
          </cell>
          <cell r="J2436">
            <v>1617513.93</v>
          </cell>
          <cell r="K2436">
            <v>1617513.93</v>
          </cell>
          <cell r="L2436">
            <v>1658150.29</v>
          </cell>
          <cell r="M2436">
            <v>60000</v>
          </cell>
          <cell r="N2436">
            <v>54000</v>
          </cell>
          <cell r="O2436">
            <v>48000</v>
          </cell>
        </row>
        <row r="2437">
          <cell r="A2437" t="str">
            <v>IndonesiaACCOUNTS PAYABLE</v>
          </cell>
          <cell r="B2437">
            <v>388696.3</v>
          </cell>
          <cell r="C2437">
            <v>349902.33</v>
          </cell>
          <cell r="D2437">
            <v>-4417968.7699999996</v>
          </cell>
          <cell r="E2437">
            <v>2851082.78</v>
          </cell>
          <cell r="F2437">
            <v>2851082.78</v>
          </cell>
          <cell r="G2437">
            <v>-562175.18550200004</v>
          </cell>
          <cell r="H2437">
            <v>-654340.59748200001</v>
          </cell>
          <cell r="I2437">
            <v>-670058.57344599999</v>
          </cell>
          <cell r="J2437">
            <v>-597278.98573900003</v>
          </cell>
          <cell r="K2437">
            <v>-597278.98573900003</v>
          </cell>
          <cell r="L2437">
            <v>-4199174.29</v>
          </cell>
          <cell r="M2437">
            <v>-260000</v>
          </cell>
          <cell r="N2437">
            <v>-260000</v>
          </cell>
          <cell r="O2437">
            <v>-260000</v>
          </cell>
        </row>
        <row r="2438">
          <cell r="A2438" t="str">
            <v>IndonesiaDEFERRED INCOME TAXES</v>
          </cell>
          <cell r="B2438">
            <v>702171.58</v>
          </cell>
          <cell r="C2438">
            <v>1075154.94</v>
          </cell>
          <cell r="D2438">
            <v>443232.96</v>
          </cell>
          <cell r="E2438">
            <v>101308.81</v>
          </cell>
          <cell r="F2438">
            <v>101308.81</v>
          </cell>
          <cell r="G2438">
            <v>-596105.87937500002</v>
          </cell>
          <cell r="H2438">
            <v>-608443.48875000002</v>
          </cell>
          <cell r="I2438">
            <v>-1060833.34026</v>
          </cell>
          <cell r="J2438">
            <v>-1688183.907843</v>
          </cell>
          <cell r="K2438">
            <v>-1688183.907843</v>
          </cell>
          <cell r="L2438">
            <v>-98300.91</v>
          </cell>
          <cell r="M2438">
            <v>0</v>
          </cell>
          <cell r="N2438">
            <v>0</v>
          </cell>
          <cell r="O2438">
            <v>0</v>
          </cell>
        </row>
        <row r="2439">
          <cell r="A2439" t="str">
            <v>IndonesiaWRITE-OFF (MEMO)</v>
          </cell>
          <cell r="B2439">
            <v>292405.42</v>
          </cell>
          <cell r="C2439">
            <v>601584.11</v>
          </cell>
          <cell r="D2439">
            <v>1092957.25</v>
          </cell>
          <cell r="E2439">
            <v>2223638.0299999998</v>
          </cell>
          <cell r="F2439">
            <v>2223638.0299999998</v>
          </cell>
          <cell r="G2439">
            <v>1440848.9117089999</v>
          </cell>
          <cell r="H2439">
            <v>3218029.7907819999</v>
          </cell>
          <cell r="I2439">
            <v>5203616.2247559996</v>
          </cell>
          <cell r="J2439">
            <v>7116672.7041109996</v>
          </cell>
          <cell r="K2439">
            <v>7116672.7041109996</v>
          </cell>
          <cell r="L2439">
            <v>1427967.77</v>
          </cell>
          <cell r="M2439">
            <v>0</v>
          </cell>
          <cell r="N2439">
            <v>0</v>
          </cell>
          <cell r="O2439">
            <v>0</v>
          </cell>
        </row>
        <row r="2440">
          <cell r="A2440" t="str">
            <v>IndonesiaINSURANCE RESERVES AND ANNUITY BENEFITS</v>
          </cell>
          <cell r="B2440">
            <v>0</v>
          </cell>
          <cell r="C2440">
            <v>0</v>
          </cell>
          <cell r="D2440">
            <v>0</v>
          </cell>
          <cell r="E2440">
            <v>0</v>
          </cell>
          <cell r="F2440">
            <v>0</v>
          </cell>
          <cell r="G2440">
            <v>0</v>
          </cell>
          <cell r="H2440">
            <v>0</v>
          </cell>
          <cell r="I2440">
            <v>0</v>
          </cell>
          <cell r="J2440">
            <v>0</v>
          </cell>
          <cell r="K2440">
            <v>0</v>
          </cell>
          <cell r="L2440">
            <v>0</v>
          </cell>
          <cell r="M2440">
            <v>0</v>
          </cell>
          <cell r="N2440">
            <v>0</v>
          </cell>
          <cell r="O2440">
            <v>0</v>
          </cell>
        </row>
        <row r="2441">
          <cell r="A2441" t="str">
            <v>IndonesiaALL OTHER NON DEBT LIABILITIES</v>
          </cell>
          <cell r="B2441">
            <v>-2182795.02</v>
          </cell>
          <cell r="C2441">
            <v>-2749028.49</v>
          </cell>
          <cell r="D2441">
            <v>-4222629.0199999996</v>
          </cell>
          <cell r="E2441">
            <v>-4916920.5599999996</v>
          </cell>
          <cell r="F2441">
            <v>-4916920.5599999996</v>
          </cell>
          <cell r="G2441">
            <v>-4737156.6399999997</v>
          </cell>
          <cell r="H2441">
            <v>-4737156.6399999997</v>
          </cell>
          <cell r="I2441">
            <v>-4737156.6399999997</v>
          </cell>
          <cell r="J2441">
            <v>-4737156.6399999997</v>
          </cell>
          <cell r="K2441">
            <v>-4737156.6399999997</v>
          </cell>
          <cell r="L2441">
            <v>-5141866.0999999996</v>
          </cell>
          <cell r="M2441">
            <v>0</v>
          </cell>
          <cell r="N2441">
            <v>0</v>
          </cell>
          <cell r="O2441">
            <v>0</v>
          </cell>
        </row>
        <row r="2442">
          <cell r="A2442" t="str">
            <v>IndonesiaMINORITY INTEREST (BS)</v>
          </cell>
          <cell r="B2442">
            <v>0</v>
          </cell>
          <cell r="C2442">
            <v>0</v>
          </cell>
          <cell r="D2442">
            <v>0</v>
          </cell>
          <cell r="E2442">
            <v>0</v>
          </cell>
          <cell r="F2442">
            <v>0</v>
          </cell>
          <cell r="G2442">
            <v>0</v>
          </cell>
          <cell r="H2442">
            <v>0</v>
          </cell>
          <cell r="I2442">
            <v>0</v>
          </cell>
          <cell r="J2442">
            <v>0</v>
          </cell>
          <cell r="K2442">
            <v>0</v>
          </cell>
          <cell r="L2442">
            <v>0</v>
          </cell>
          <cell r="M2442">
            <v>0</v>
          </cell>
          <cell r="N2442">
            <v>0</v>
          </cell>
          <cell r="O2442">
            <v>0</v>
          </cell>
        </row>
        <row r="2443">
          <cell r="A2443" t="str">
            <v>IndonesiaASIA PACIFIC ENI DIVIDEND</v>
          </cell>
          <cell r="B2443">
            <v>0</v>
          </cell>
          <cell r="C2443">
            <v>0</v>
          </cell>
          <cell r="D2443">
            <v>0</v>
          </cell>
          <cell r="E2443">
            <v>0</v>
          </cell>
          <cell r="F2443">
            <v>0</v>
          </cell>
          <cell r="G2443">
            <v>0</v>
          </cell>
          <cell r="H2443">
            <v>0</v>
          </cell>
          <cell r="I2443">
            <v>0</v>
          </cell>
          <cell r="J2443">
            <v>0</v>
          </cell>
          <cell r="K2443">
            <v>0</v>
          </cell>
          <cell r="L2443">
            <v>0</v>
          </cell>
          <cell r="M2443">
            <v>0</v>
          </cell>
          <cell r="N2443">
            <v>0</v>
          </cell>
          <cell r="O2443">
            <v>0</v>
          </cell>
        </row>
        <row r="2444">
          <cell r="A2444" t="str">
            <v>IndonesiaFINANCING INCOME</v>
          </cell>
          <cell r="B2444">
            <v>-5214787.91</v>
          </cell>
          <cell r="C2444">
            <v>-4338540.84</v>
          </cell>
          <cell r="D2444">
            <v>8612189.8399999999</v>
          </cell>
          <cell r="E2444">
            <v>-23170984.16</v>
          </cell>
          <cell r="F2444">
            <v>-24112123.07</v>
          </cell>
          <cell r="G2444">
            <v>-9735399.8621970005</v>
          </cell>
          <cell r="H2444">
            <v>-11116162.790054001</v>
          </cell>
          <cell r="I2444">
            <v>-12299404.464628</v>
          </cell>
          <cell r="J2444">
            <v>-13723409.71823</v>
          </cell>
          <cell r="K2444">
            <v>-46874376.835109003</v>
          </cell>
          <cell r="L2444">
            <v>-11060382.689999999</v>
          </cell>
          <cell r="M2444">
            <v>-38348130</v>
          </cell>
          <cell r="N2444">
            <v>-63274351</v>
          </cell>
          <cell r="O2444">
            <v>-98602397</v>
          </cell>
        </row>
        <row r="2445">
          <cell r="A2445" t="str">
            <v>IndonesiaINSURANCE PREMIUM INCOME</v>
          </cell>
          <cell r="B2445">
            <v>0</v>
          </cell>
          <cell r="C2445">
            <v>0</v>
          </cell>
          <cell r="D2445">
            <v>0</v>
          </cell>
          <cell r="E2445">
            <v>0</v>
          </cell>
          <cell r="F2445">
            <v>0</v>
          </cell>
          <cell r="G2445">
            <v>0</v>
          </cell>
          <cell r="H2445">
            <v>0</v>
          </cell>
          <cell r="I2445">
            <v>0</v>
          </cell>
          <cell r="J2445">
            <v>0</v>
          </cell>
          <cell r="K2445">
            <v>0</v>
          </cell>
          <cell r="L2445">
            <v>0</v>
          </cell>
          <cell r="M2445">
            <v>0</v>
          </cell>
          <cell r="N2445">
            <v>0</v>
          </cell>
          <cell r="O2445">
            <v>0</v>
          </cell>
        </row>
        <row r="2446">
          <cell r="A2446" t="str">
            <v>IndonesiaINSURANCE INCOME (COMMISSIONS)</v>
          </cell>
          <cell r="B2446">
            <v>0</v>
          </cell>
          <cell r="C2446">
            <v>0</v>
          </cell>
          <cell r="D2446">
            <v>0</v>
          </cell>
          <cell r="E2446">
            <v>0</v>
          </cell>
          <cell r="F2446">
            <v>0</v>
          </cell>
          <cell r="G2446">
            <v>0</v>
          </cell>
          <cell r="H2446">
            <v>0</v>
          </cell>
          <cell r="I2446">
            <v>0</v>
          </cell>
          <cell r="J2446">
            <v>0</v>
          </cell>
          <cell r="K2446">
            <v>0</v>
          </cell>
          <cell r="L2446">
            <v>0</v>
          </cell>
          <cell r="M2446">
            <v>0</v>
          </cell>
          <cell r="N2446">
            <v>0</v>
          </cell>
          <cell r="O2446">
            <v>0</v>
          </cell>
        </row>
        <row r="2447">
          <cell r="A2447" t="str">
            <v>IndonesiaSUNDRY INCOME</v>
          </cell>
          <cell r="B2447">
            <v>-777318.31</v>
          </cell>
          <cell r="C2447">
            <v>-3360116.84</v>
          </cell>
          <cell r="D2447">
            <v>-18210201.699999999</v>
          </cell>
          <cell r="E2447">
            <v>8621461.8200000003</v>
          </cell>
          <cell r="F2447">
            <v>-13726175.029999999</v>
          </cell>
          <cell r="G2447">
            <v>-2284163.7765870001</v>
          </cell>
          <cell r="H2447">
            <v>-1863804.424814</v>
          </cell>
          <cell r="I2447">
            <v>-2167654.5434039999</v>
          </cell>
          <cell r="J2447">
            <v>-3975832.215204</v>
          </cell>
          <cell r="K2447">
            <v>-10291454.960008999</v>
          </cell>
          <cell r="L2447">
            <v>-3763135.75</v>
          </cell>
          <cell r="M2447">
            <v>-9158375</v>
          </cell>
          <cell r="N2447">
            <v>-11907092</v>
          </cell>
          <cell r="O2447">
            <v>-14397275</v>
          </cell>
        </row>
        <row r="2448">
          <cell r="A2448" t="str">
            <v>IndonesiaINTEREST EXPENSE</v>
          </cell>
          <cell r="B2448">
            <v>2823336.71</v>
          </cell>
          <cell r="C2448">
            <v>2216473.52</v>
          </cell>
          <cell r="D2448">
            <v>3604841.94</v>
          </cell>
          <cell r="E2448">
            <v>5400544.1600000001</v>
          </cell>
          <cell r="F2448">
            <v>14045196.33</v>
          </cell>
          <cell r="G2448">
            <v>5703455.9214509996</v>
          </cell>
          <cell r="H2448">
            <v>6182889.9055080004</v>
          </cell>
          <cell r="I2448">
            <v>6740161.7515580002</v>
          </cell>
          <cell r="J2448">
            <v>7317074.9020560002</v>
          </cell>
          <cell r="K2448">
            <v>25943582.480572999</v>
          </cell>
          <cell r="L2448">
            <v>5489775.6600000001</v>
          </cell>
          <cell r="M2448">
            <v>20975470</v>
          </cell>
          <cell r="N2448">
            <v>32411443</v>
          </cell>
          <cell r="O2448">
            <v>48485070</v>
          </cell>
        </row>
        <row r="2449">
          <cell r="A2449" t="str">
            <v>IndonesiaINTEREST EXPENSE REDUCTIONS / BUS SHARING</v>
          </cell>
          <cell r="B2449">
            <v>0</v>
          </cell>
          <cell r="C2449">
            <v>0</v>
          </cell>
          <cell r="D2449">
            <v>0</v>
          </cell>
          <cell r="E2449">
            <v>0</v>
          </cell>
          <cell r="F2449">
            <v>0</v>
          </cell>
          <cell r="G2449">
            <v>0</v>
          </cell>
          <cell r="H2449">
            <v>0</v>
          </cell>
          <cell r="I2449">
            <v>0</v>
          </cell>
          <cell r="J2449">
            <v>0</v>
          </cell>
          <cell r="K2449">
            <v>0</v>
          </cell>
          <cell r="L2449">
            <v>0</v>
          </cell>
          <cell r="M2449">
            <v>0</v>
          </cell>
          <cell r="N2449">
            <v>0</v>
          </cell>
          <cell r="O2449">
            <v>0</v>
          </cell>
        </row>
        <row r="2450">
          <cell r="A2450" t="str">
            <v>IndonesiaALLOCATED COST OF PREFERRED EQUITY</v>
          </cell>
          <cell r="B2450">
            <v>7064.33</v>
          </cell>
          <cell r="C2450">
            <v>6654.5</v>
          </cell>
          <cell r="D2450">
            <v>9627.89</v>
          </cell>
          <cell r="E2450">
            <v>6354.71</v>
          </cell>
          <cell r="F2450">
            <v>29701.43</v>
          </cell>
          <cell r="G2450">
            <v>0</v>
          </cell>
          <cell r="H2450">
            <v>0</v>
          </cell>
          <cell r="I2450">
            <v>0</v>
          </cell>
          <cell r="J2450">
            <v>0</v>
          </cell>
          <cell r="K2450">
            <v>0</v>
          </cell>
          <cell r="L2450">
            <v>0</v>
          </cell>
          <cell r="M2450">
            <v>0</v>
          </cell>
          <cell r="N2450">
            <v>0</v>
          </cell>
          <cell r="O2450">
            <v>0</v>
          </cell>
        </row>
        <row r="2451">
          <cell r="A2451" t="str">
            <v>IndonesiaSALARIES &amp; BENEFITS</v>
          </cell>
          <cell r="B2451">
            <v>814300.23</v>
          </cell>
          <cell r="C2451">
            <v>790277.03</v>
          </cell>
          <cell r="D2451">
            <v>859323.6</v>
          </cell>
          <cell r="E2451">
            <v>1226735.6200000001</v>
          </cell>
          <cell r="F2451">
            <v>3690636.48</v>
          </cell>
          <cell r="G2451">
            <v>1283148.5695150001</v>
          </cell>
          <cell r="H2451">
            <v>1347418.8008020001</v>
          </cell>
          <cell r="I2451">
            <v>1418650.943705</v>
          </cell>
          <cell r="J2451">
            <v>1442868.759232</v>
          </cell>
          <cell r="K2451">
            <v>5492087.0732540004</v>
          </cell>
          <cell r="L2451">
            <v>1029427.1</v>
          </cell>
          <cell r="M2451">
            <v>2267480</v>
          </cell>
          <cell r="N2451">
            <v>2558512</v>
          </cell>
          <cell r="O2451">
            <v>2877254</v>
          </cell>
        </row>
        <row r="2452">
          <cell r="A2452" t="str">
            <v>IndonesiaLOSSES ON OTHER ASSETS</v>
          </cell>
          <cell r="B2452">
            <v>0</v>
          </cell>
          <cell r="C2452">
            <v>0</v>
          </cell>
          <cell r="D2452">
            <v>0</v>
          </cell>
          <cell r="E2452">
            <v>0</v>
          </cell>
          <cell r="F2452">
            <v>0</v>
          </cell>
          <cell r="G2452">
            <v>0</v>
          </cell>
          <cell r="H2452">
            <v>0</v>
          </cell>
          <cell r="I2452">
            <v>0</v>
          </cell>
          <cell r="J2452">
            <v>0</v>
          </cell>
          <cell r="K2452">
            <v>0</v>
          </cell>
          <cell r="L2452">
            <v>0</v>
          </cell>
          <cell r="M2452">
            <v>0</v>
          </cell>
          <cell r="N2452">
            <v>0</v>
          </cell>
          <cell r="O2452">
            <v>0</v>
          </cell>
        </row>
        <row r="2453">
          <cell r="A2453" t="str">
            <v>IndonesiaCOST OF GOODS SOLD</v>
          </cell>
          <cell r="B2453">
            <v>0</v>
          </cell>
          <cell r="C2453">
            <v>0</v>
          </cell>
          <cell r="D2453">
            <v>0</v>
          </cell>
          <cell r="E2453">
            <v>0</v>
          </cell>
          <cell r="F2453">
            <v>0</v>
          </cell>
          <cell r="G2453">
            <v>0</v>
          </cell>
          <cell r="H2453">
            <v>0</v>
          </cell>
          <cell r="I2453">
            <v>0</v>
          </cell>
          <cell r="J2453">
            <v>0</v>
          </cell>
          <cell r="K2453">
            <v>0</v>
          </cell>
          <cell r="L2453">
            <v>0</v>
          </cell>
          <cell r="M2453">
            <v>0</v>
          </cell>
          <cell r="N2453">
            <v>0</v>
          </cell>
          <cell r="O2453">
            <v>0</v>
          </cell>
        </row>
        <row r="2454">
          <cell r="A2454" t="str">
            <v>IndonesiaCOST OF GOODS SOLD - DISTRIBUTION</v>
          </cell>
          <cell r="B2454">
            <v>0</v>
          </cell>
          <cell r="C2454">
            <v>0</v>
          </cell>
          <cell r="D2454">
            <v>0</v>
          </cell>
          <cell r="E2454">
            <v>0</v>
          </cell>
          <cell r="F2454">
            <v>0</v>
          </cell>
          <cell r="G2454">
            <v>0</v>
          </cell>
          <cell r="H2454">
            <v>0</v>
          </cell>
          <cell r="I2454">
            <v>0</v>
          </cell>
          <cell r="J2454">
            <v>0</v>
          </cell>
          <cell r="K2454">
            <v>0</v>
          </cell>
          <cell r="L2454">
            <v>0</v>
          </cell>
          <cell r="M2454">
            <v>0</v>
          </cell>
          <cell r="N2454">
            <v>0</v>
          </cell>
          <cell r="O2454">
            <v>0</v>
          </cell>
        </row>
        <row r="2455">
          <cell r="A2455" t="str">
            <v>IndonesiaPOSTAGE</v>
          </cell>
          <cell r="B2455">
            <v>35260.019999999997</v>
          </cell>
          <cell r="C2455">
            <v>47979.57</v>
          </cell>
          <cell r="D2455">
            <v>53978.080000000002</v>
          </cell>
          <cell r="E2455">
            <v>54939.22</v>
          </cell>
          <cell r="F2455">
            <v>192156.89</v>
          </cell>
          <cell r="G2455">
            <v>75775.057704000006</v>
          </cell>
          <cell r="H2455">
            <v>91281.378345000005</v>
          </cell>
          <cell r="I2455">
            <v>95904.054554999995</v>
          </cell>
          <cell r="J2455">
            <v>79697.404909000004</v>
          </cell>
          <cell r="K2455">
            <v>342657.89551300002</v>
          </cell>
          <cell r="L2455">
            <v>44177.87</v>
          </cell>
          <cell r="M2455">
            <v>1030074</v>
          </cell>
          <cell r="N2455">
            <v>1416350</v>
          </cell>
          <cell r="O2455">
            <v>1947482</v>
          </cell>
        </row>
        <row r="2456">
          <cell r="A2456" t="str">
            <v>IndonesiaTELEPHONE</v>
          </cell>
          <cell r="B2456">
            <v>118753.87</v>
          </cell>
          <cell r="C2456">
            <v>150505.72</v>
          </cell>
          <cell r="D2456">
            <v>185206.63</v>
          </cell>
          <cell r="E2456">
            <v>241681.22</v>
          </cell>
          <cell r="F2456">
            <v>696147.44</v>
          </cell>
          <cell r="G2456">
            <v>177437.14311999999</v>
          </cell>
          <cell r="H2456">
            <v>195930.21413899999</v>
          </cell>
          <cell r="I2456">
            <v>200802.392701</v>
          </cell>
          <cell r="J2456">
            <v>193619.45137200001</v>
          </cell>
          <cell r="K2456">
            <v>767789.20133199997</v>
          </cell>
          <cell r="L2456">
            <v>189387.53</v>
          </cell>
          <cell r="M2456">
            <v>1074839</v>
          </cell>
          <cell r="N2456">
            <v>1280408</v>
          </cell>
          <cell r="O2456">
            <v>1538403</v>
          </cell>
        </row>
        <row r="2457">
          <cell r="A2457" t="str">
            <v>IndonesiaCUSTOMER SERVICE / COLLECTIONS</v>
          </cell>
          <cell r="B2457">
            <v>166583.16</v>
          </cell>
          <cell r="C2457">
            <v>138924.67000000001</v>
          </cell>
          <cell r="D2457">
            <v>212400.54</v>
          </cell>
          <cell r="E2457">
            <v>339141.93</v>
          </cell>
          <cell r="F2457">
            <v>857050.3</v>
          </cell>
          <cell r="G2457">
            <v>217754.67406200001</v>
          </cell>
          <cell r="H2457">
            <v>246590.23321999999</v>
          </cell>
          <cell r="I2457">
            <v>270105.54941400001</v>
          </cell>
          <cell r="J2457">
            <v>293123.24502799998</v>
          </cell>
          <cell r="K2457">
            <v>1027573.701724</v>
          </cell>
          <cell r="L2457">
            <v>204117.38</v>
          </cell>
          <cell r="M2457">
            <v>1443786</v>
          </cell>
          <cell r="N2457">
            <v>1830999</v>
          </cell>
          <cell r="O2457">
            <v>2348339</v>
          </cell>
        </row>
        <row r="2458">
          <cell r="A2458" t="str">
            <v>IndonesiaSTATIONARY - OFFICE SUPPLIES</v>
          </cell>
          <cell r="B2458">
            <v>48440.6</v>
          </cell>
          <cell r="C2458">
            <v>63718.25</v>
          </cell>
          <cell r="D2458">
            <v>73698.52</v>
          </cell>
          <cell r="E2458">
            <v>96925.75</v>
          </cell>
          <cell r="F2458">
            <v>282783.12</v>
          </cell>
          <cell r="G2458">
            <v>66618.033517000003</v>
          </cell>
          <cell r="H2458">
            <v>65731.612739000004</v>
          </cell>
          <cell r="I2458">
            <v>66547.927679</v>
          </cell>
          <cell r="J2458">
            <v>65640.453580000001</v>
          </cell>
          <cell r="K2458">
            <v>264538.02751500002</v>
          </cell>
          <cell r="L2458">
            <v>49566.93</v>
          </cell>
          <cell r="M2458">
            <v>244973</v>
          </cell>
          <cell r="N2458">
            <v>309405</v>
          </cell>
          <cell r="O2458">
            <v>391139</v>
          </cell>
        </row>
        <row r="2459">
          <cell r="A2459" t="str">
            <v>IndonesiaT&amp;L</v>
          </cell>
          <cell r="B2459">
            <v>86367.55</v>
          </cell>
          <cell r="C2459">
            <v>76382.7</v>
          </cell>
          <cell r="D2459">
            <v>132233.94</v>
          </cell>
          <cell r="E2459">
            <v>286084.93</v>
          </cell>
          <cell r="F2459">
            <v>581069.12</v>
          </cell>
          <cell r="G2459">
            <v>100453.791218</v>
          </cell>
          <cell r="H2459">
            <v>97142.178365999993</v>
          </cell>
          <cell r="I2459">
            <v>104219.233427</v>
          </cell>
          <cell r="J2459">
            <v>106280.690298</v>
          </cell>
          <cell r="K2459">
            <v>408095.89330900001</v>
          </cell>
          <cell r="L2459">
            <v>87060.1</v>
          </cell>
          <cell r="M2459">
            <v>83046</v>
          </cell>
          <cell r="N2459">
            <v>95967</v>
          </cell>
          <cell r="O2459">
            <v>110743</v>
          </cell>
        </row>
        <row r="2460">
          <cell r="A2460" t="str">
            <v>IndonesiaRENTAL - BLDG/FACILITIES</v>
          </cell>
          <cell r="B2460">
            <v>143416.6</v>
          </cell>
          <cell r="C2460">
            <v>110137.44</v>
          </cell>
          <cell r="D2460">
            <v>115964.47</v>
          </cell>
          <cell r="E2460">
            <v>347954.75</v>
          </cell>
          <cell r="F2460">
            <v>717473.26</v>
          </cell>
          <cell r="G2460">
            <v>158082.804867</v>
          </cell>
          <cell r="H2460">
            <v>182949.46092700001</v>
          </cell>
          <cell r="I2460">
            <v>222296.62985500001</v>
          </cell>
          <cell r="J2460">
            <v>129485.063173</v>
          </cell>
          <cell r="K2460">
            <v>692813.95882199996</v>
          </cell>
          <cell r="L2460">
            <v>186210.86</v>
          </cell>
          <cell r="M2460">
            <v>27694</v>
          </cell>
          <cell r="N2460">
            <v>30463</v>
          </cell>
          <cell r="O2460">
            <v>33509</v>
          </cell>
        </row>
        <row r="2461">
          <cell r="A2461" t="str">
            <v>IndonesiaRENTAL - FURNITURE/EQUIP</v>
          </cell>
          <cell r="B2461">
            <v>4473.88</v>
          </cell>
          <cell r="C2461">
            <v>3593.52</v>
          </cell>
          <cell r="D2461">
            <v>6963.19</v>
          </cell>
          <cell r="E2461">
            <v>14233.41</v>
          </cell>
          <cell r="F2461">
            <v>29264</v>
          </cell>
          <cell r="G2461">
            <v>21026.251755000001</v>
          </cell>
          <cell r="H2461">
            <v>21026.251755000001</v>
          </cell>
          <cell r="I2461">
            <v>24265.60599</v>
          </cell>
          <cell r="J2461">
            <v>24265.60599</v>
          </cell>
          <cell r="K2461">
            <v>90583.715490000002</v>
          </cell>
          <cell r="L2461">
            <v>9283.23</v>
          </cell>
          <cell r="M2461">
            <v>2800</v>
          </cell>
          <cell r="N2461">
            <v>3080</v>
          </cell>
          <cell r="O2461">
            <v>3387</v>
          </cell>
        </row>
        <row r="2462">
          <cell r="A2462" t="str">
            <v>IndonesiaRENTAL - COMPUTERS</v>
          </cell>
          <cell r="B2462">
            <v>313.27</v>
          </cell>
          <cell r="C2462">
            <v>39.39</v>
          </cell>
          <cell r="D2462">
            <v>2964.04</v>
          </cell>
          <cell r="E2462">
            <v>830.57</v>
          </cell>
          <cell r="F2462">
            <v>4147.2700000000004</v>
          </cell>
          <cell r="G2462">
            <v>140.383715</v>
          </cell>
          <cell r="H2462">
            <v>140.383715</v>
          </cell>
          <cell r="I2462">
            <v>140.383715</v>
          </cell>
          <cell r="J2462">
            <v>140.383715</v>
          </cell>
          <cell r="K2462">
            <v>561.53485999999998</v>
          </cell>
          <cell r="L2462">
            <v>1.25</v>
          </cell>
          <cell r="M2462">
            <v>0</v>
          </cell>
          <cell r="N2462">
            <v>0</v>
          </cell>
          <cell r="O2462">
            <v>0</v>
          </cell>
        </row>
        <row r="2463">
          <cell r="A2463" t="str">
            <v>IndonesiaLEASE IN - LEASE OUT</v>
          </cell>
          <cell r="B2463">
            <v>0</v>
          </cell>
          <cell r="C2463">
            <v>0</v>
          </cell>
          <cell r="D2463">
            <v>0</v>
          </cell>
          <cell r="E2463">
            <v>0</v>
          </cell>
          <cell r="F2463">
            <v>0</v>
          </cell>
          <cell r="G2463">
            <v>0</v>
          </cell>
          <cell r="H2463">
            <v>0</v>
          </cell>
          <cell r="I2463">
            <v>0</v>
          </cell>
          <cell r="J2463">
            <v>0</v>
          </cell>
          <cell r="K2463">
            <v>0</v>
          </cell>
          <cell r="L2463">
            <v>0</v>
          </cell>
          <cell r="M2463">
            <v>0</v>
          </cell>
          <cell r="N2463">
            <v>0</v>
          </cell>
          <cell r="O2463">
            <v>0</v>
          </cell>
        </row>
        <row r="2464">
          <cell r="A2464" t="str">
            <v>IndonesiaFURNITURE / EQUIPMENT / COMPUTER EXP</v>
          </cell>
          <cell r="B2464">
            <v>33545.58</v>
          </cell>
          <cell r="C2464">
            <v>66969.36</v>
          </cell>
          <cell r="D2464">
            <v>321500.12</v>
          </cell>
          <cell r="E2464">
            <v>136589.84</v>
          </cell>
          <cell r="F2464">
            <v>558604.9</v>
          </cell>
          <cell r="G2464">
            <v>215387.30307299999</v>
          </cell>
          <cell r="H2464">
            <v>352766.44829199999</v>
          </cell>
          <cell r="I2464">
            <v>169997.20792399999</v>
          </cell>
          <cell r="J2464">
            <v>143260.871939</v>
          </cell>
          <cell r="K2464">
            <v>881411.831228</v>
          </cell>
          <cell r="L2464">
            <v>89480.43</v>
          </cell>
          <cell r="M2464">
            <v>7440</v>
          </cell>
          <cell r="N2464">
            <v>8184</v>
          </cell>
          <cell r="O2464">
            <v>9003</v>
          </cell>
        </row>
        <row r="2465">
          <cell r="A2465" t="str">
            <v>IndonesiaSOFTWARE EXPENSE</v>
          </cell>
          <cell r="B2465">
            <v>94875.32</v>
          </cell>
          <cell r="C2465">
            <v>30296.14</v>
          </cell>
          <cell r="D2465">
            <v>33005.480000000003</v>
          </cell>
          <cell r="E2465">
            <v>151219.5</v>
          </cell>
          <cell r="F2465">
            <v>309396.44</v>
          </cell>
          <cell r="G2465">
            <v>87585</v>
          </cell>
          <cell r="H2465">
            <v>81001.666666999998</v>
          </cell>
          <cell r="I2465">
            <v>86501.666666999998</v>
          </cell>
          <cell r="J2465">
            <v>86501.666666999998</v>
          </cell>
          <cell r="K2465">
            <v>341590.00000100001</v>
          </cell>
          <cell r="L2465">
            <v>68718.009999999995</v>
          </cell>
          <cell r="M2465">
            <v>0</v>
          </cell>
          <cell r="N2465">
            <v>0</v>
          </cell>
          <cell r="O2465">
            <v>0</v>
          </cell>
        </row>
        <row r="2466">
          <cell r="A2466" t="str">
            <v>IndonesiaAMORTIZATION OF INTANGIBLES</v>
          </cell>
          <cell r="B2466">
            <v>0</v>
          </cell>
          <cell r="C2466">
            <v>0</v>
          </cell>
          <cell r="D2466">
            <v>0</v>
          </cell>
          <cell r="E2466">
            <v>0</v>
          </cell>
          <cell r="F2466">
            <v>0</v>
          </cell>
          <cell r="G2466">
            <v>0</v>
          </cell>
          <cell r="H2466">
            <v>0</v>
          </cell>
          <cell r="I2466">
            <v>0</v>
          </cell>
          <cell r="J2466">
            <v>0</v>
          </cell>
          <cell r="K2466">
            <v>0</v>
          </cell>
          <cell r="L2466">
            <v>0</v>
          </cell>
          <cell r="M2466">
            <v>0</v>
          </cell>
          <cell r="N2466">
            <v>0</v>
          </cell>
          <cell r="O2466">
            <v>0</v>
          </cell>
        </row>
        <row r="2467">
          <cell r="A2467" t="str">
            <v>IndonesiaELTO MAINTENANCE</v>
          </cell>
          <cell r="B2467">
            <v>0</v>
          </cell>
          <cell r="C2467">
            <v>0</v>
          </cell>
          <cell r="D2467">
            <v>0</v>
          </cell>
          <cell r="E2467">
            <v>0</v>
          </cell>
          <cell r="F2467">
            <v>0</v>
          </cell>
          <cell r="G2467">
            <v>0</v>
          </cell>
          <cell r="H2467">
            <v>0</v>
          </cell>
          <cell r="I2467">
            <v>0</v>
          </cell>
          <cell r="J2467">
            <v>0</v>
          </cell>
          <cell r="K2467">
            <v>0</v>
          </cell>
          <cell r="L2467">
            <v>0</v>
          </cell>
          <cell r="M2467">
            <v>0</v>
          </cell>
          <cell r="N2467">
            <v>0</v>
          </cell>
          <cell r="O2467">
            <v>0</v>
          </cell>
        </row>
        <row r="2468">
          <cell r="A2468" t="str">
            <v>IndonesiaELTO OTHER</v>
          </cell>
          <cell r="B2468">
            <v>0</v>
          </cell>
          <cell r="C2468">
            <v>0</v>
          </cell>
          <cell r="D2468">
            <v>0</v>
          </cell>
          <cell r="E2468">
            <v>0</v>
          </cell>
          <cell r="F2468">
            <v>0</v>
          </cell>
          <cell r="G2468">
            <v>0</v>
          </cell>
          <cell r="H2468">
            <v>0</v>
          </cell>
          <cell r="I2468">
            <v>0</v>
          </cell>
          <cell r="J2468">
            <v>0</v>
          </cell>
          <cell r="K2468">
            <v>0</v>
          </cell>
          <cell r="L2468">
            <v>0</v>
          </cell>
          <cell r="M2468">
            <v>0</v>
          </cell>
          <cell r="N2468">
            <v>0</v>
          </cell>
          <cell r="O2468">
            <v>0</v>
          </cell>
        </row>
        <row r="2469">
          <cell r="A2469" t="str">
            <v>IndonesiaLEGAL</v>
          </cell>
          <cell r="B2469">
            <v>111637.58</v>
          </cell>
          <cell r="C2469">
            <v>-36061.03</v>
          </cell>
          <cell r="D2469">
            <v>13863.08</v>
          </cell>
          <cell r="E2469">
            <v>-126298.33</v>
          </cell>
          <cell r="F2469">
            <v>-36858.699999999997</v>
          </cell>
          <cell r="G2469">
            <v>25000</v>
          </cell>
          <cell r="H2469">
            <v>15000</v>
          </cell>
          <cell r="I2469">
            <v>15000</v>
          </cell>
          <cell r="J2469">
            <v>15000</v>
          </cell>
          <cell r="K2469">
            <v>70000</v>
          </cell>
          <cell r="L2469">
            <v>5590.4</v>
          </cell>
          <cell r="M2469">
            <v>0</v>
          </cell>
          <cell r="N2469">
            <v>0</v>
          </cell>
          <cell r="O2469">
            <v>0</v>
          </cell>
        </row>
        <row r="2470">
          <cell r="A2470" t="str">
            <v>IndonesiaADVERTISING</v>
          </cell>
          <cell r="B2470">
            <v>16980.22</v>
          </cell>
          <cell r="C2470">
            <v>2805.88</v>
          </cell>
          <cell r="D2470">
            <v>23483.69</v>
          </cell>
          <cell r="E2470">
            <v>21268.35</v>
          </cell>
          <cell r="F2470">
            <v>64538.14</v>
          </cell>
          <cell r="G2470">
            <v>21503.27562</v>
          </cell>
          <cell r="H2470">
            <v>18527.140852</v>
          </cell>
          <cell r="I2470">
            <v>14306.270473</v>
          </cell>
          <cell r="J2470">
            <v>16805.100608000001</v>
          </cell>
          <cell r="K2470">
            <v>71141.787553000002</v>
          </cell>
          <cell r="L2470">
            <v>19107.28</v>
          </cell>
          <cell r="M2470">
            <v>297728</v>
          </cell>
          <cell r="N2470">
            <v>481250</v>
          </cell>
          <cell r="O2470">
            <v>706105</v>
          </cell>
        </row>
        <row r="2471">
          <cell r="A2471" t="str">
            <v>IndonesiaSALES PROMOTIONS</v>
          </cell>
          <cell r="B2471">
            <v>204873.73</v>
          </cell>
          <cell r="C2471">
            <v>334027.77</v>
          </cell>
          <cell r="D2471">
            <v>479482.37</v>
          </cell>
          <cell r="E2471">
            <v>809670.91</v>
          </cell>
          <cell r="F2471">
            <v>1828054.78</v>
          </cell>
          <cell r="G2471">
            <v>642477.61588099995</v>
          </cell>
          <cell r="H2471">
            <v>786698.94932100002</v>
          </cell>
          <cell r="I2471">
            <v>786884.75844600005</v>
          </cell>
          <cell r="J2471">
            <v>736122.99975299998</v>
          </cell>
          <cell r="K2471">
            <v>2952184.3234009999</v>
          </cell>
          <cell r="L2471">
            <v>541933.23</v>
          </cell>
          <cell r="M2471">
            <v>3974494</v>
          </cell>
          <cell r="N2471">
            <v>5730770</v>
          </cell>
          <cell r="O2471">
            <v>7147408</v>
          </cell>
        </row>
        <row r="2472">
          <cell r="A2472" t="str">
            <v>IndonesiaDIRECT MAIL</v>
          </cell>
          <cell r="B2472">
            <v>10357.49</v>
          </cell>
          <cell r="C2472">
            <v>8022.97</v>
          </cell>
          <cell r="D2472">
            <v>9706.51</v>
          </cell>
          <cell r="E2472">
            <v>31370.36</v>
          </cell>
          <cell r="F2472">
            <v>59457.33</v>
          </cell>
          <cell r="G2472">
            <v>4370.987365</v>
          </cell>
          <cell r="H2472">
            <v>4370.987365</v>
          </cell>
          <cell r="I2472">
            <v>4805.989705</v>
          </cell>
          <cell r="J2472">
            <v>7081.8905009999999</v>
          </cell>
          <cell r="K2472">
            <v>20629.854936</v>
          </cell>
          <cell r="L2472">
            <v>0</v>
          </cell>
          <cell r="M2472">
            <v>0</v>
          </cell>
          <cell r="N2472">
            <v>0</v>
          </cell>
          <cell r="O2472">
            <v>0</v>
          </cell>
        </row>
        <row r="2473">
          <cell r="A2473" t="str">
            <v>IndonesiaDATA PROCESSING</v>
          </cell>
          <cell r="B2473">
            <v>89320.19</v>
          </cell>
          <cell r="C2473">
            <v>118822.36</v>
          </cell>
          <cell r="D2473">
            <v>115789.29</v>
          </cell>
          <cell r="E2473">
            <v>114010.72</v>
          </cell>
          <cell r="F2473">
            <v>437942.56</v>
          </cell>
          <cell r="G2473">
            <v>171745.22695400001</v>
          </cell>
          <cell r="H2473">
            <v>201745.22695400001</v>
          </cell>
          <cell r="I2473">
            <v>201745.22695400001</v>
          </cell>
          <cell r="J2473">
            <v>201745.22695400001</v>
          </cell>
          <cell r="K2473">
            <v>776980.90781600005</v>
          </cell>
          <cell r="L2473">
            <v>141593.32</v>
          </cell>
          <cell r="M2473">
            <v>11221</v>
          </cell>
          <cell r="N2473">
            <v>12344</v>
          </cell>
          <cell r="O2473">
            <v>13578</v>
          </cell>
        </row>
        <row r="2474">
          <cell r="A2474" t="str">
            <v>IndonesiaCONSULTING</v>
          </cell>
          <cell r="B2474">
            <v>0</v>
          </cell>
          <cell r="C2474">
            <v>2170.3000000000002</v>
          </cell>
          <cell r="D2474">
            <v>9771.34</v>
          </cell>
          <cell r="E2474">
            <v>76758.59</v>
          </cell>
          <cell r="F2474">
            <v>88700.23</v>
          </cell>
          <cell r="G2474">
            <v>20038.371549</v>
          </cell>
          <cell r="H2474">
            <v>20038.371549</v>
          </cell>
          <cell r="I2474">
            <v>20038.371549</v>
          </cell>
          <cell r="J2474">
            <v>20038.371549</v>
          </cell>
          <cell r="K2474">
            <v>80153.486195999998</v>
          </cell>
          <cell r="L2474">
            <v>727.43</v>
          </cell>
          <cell r="M2474">
            <v>37727</v>
          </cell>
          <cell r="N2474">
            <v>49295</v>
          </cell>
          <cell r="O2474">
            <v>62432</v>
          </cell>
        </row>
        <row r="2475">
          <cell r="A2475" t="str">
            <v>IndonesiaTEMP SERVICES</v>
          </cell>
          <cell r="B2475">
            <v>250152.79</v>
          </cell>
          <cell r="C2475">
            <v>182747.87</v>
          </cell>
          <cell r="D2475">
            <v>327900.44</v>
          </cell>
          <cell r="E2475">
            <v>362064.46</v>
          </cell>
          <cell r="F2475">
            <v>1122865.56</v>
          </cell>
          <cell r="G2475">
            <v>465385.530738</v>
          </cell>
          <cell r="H2475">
            <v>476415.768384</v>
          </cell>
          <cell r="I2475">
            <v>523012.42868900002</v>
          </cell>
          <cell r="J2475">
            <v>364543.59329300001</v>
          </cell>
          <cell r="K2475">
            <v>1829357.3211040001</v>
          </cell>
          <cell r="L2475">
            <v>285774.09999999998</v>
          </cell>
          <cell r="M2475">
            <v>96690</v>
          </cell>
          <cell r="N2475">
            <v>122909</v>
          </cell>
          <cell r="O2475">
            <v>202660</v>
          </cell>
        </row>
        <row r="2476">
          <cell r="A2476" t="str">
            <v>IndonesiaGDC CHARGES</v>
          </cell>
          <cell r="B2476">
            <v>0</v>
          </cell>
          <cell r="C2476">
            <v>0</v>
          </cell>
          <cell r="D2476">
            <v>0</v>
          </cell>
          <cell r="E2476">
            <v>0</v>
          </cell>
          <cell r="F2476">
            <v>0</v>
          </cell>
          <cell r="G2476">
            <v>0</v>
          </cell>
          <cell r="H2476">
            <v>0</v>
          </cell>
          <cell r="I2476">
            <v>0</v>
          </cell>
          <cell r="J2476">
            <v>0</v>
          </cell>
          <cell r="K2476">
            <v>0</v>
          </cell>
          <cell r="L2476">
            <v>0</v>
          </cell>
          <cell r="M2476">
            <v>0</v>
          </cell>
          <cell r="N2476">
            <v>0</v>
          </cell>
          <cell r="O2476">
            <v>0</v>
          </cell>
        </row>
        <row r="2477">
          <cell r="A2477" t="str">
            <v>IndonesiaTRAINING AND EDUCATION</v>
          </cell>
          <cell r="B2477">
            <v>26179.66</v>
          </cell>
          <cell r="C2477">
            <v>3147.74</v>
          </cell>
          <cell r="D2477">
            <v>5828.06</v>
          </cell>
          <cell r="E2477">
            <v>18644.580000000002</v>
          </cell>
          <cell r="F2477">
            <v>53800.04</v>
          </cell>
          <cell r="G2477">
            <v>71853.615263</v>
          </cell>
          <cell r="H2477">
            <v>7803.3890890000002</v>
          </cell>
          <cell r="I2477">
            <v>3353.6152630000001</v>
          </cell>
          <cell r="J2477">
            <v>5303.3890890000002</v>
          </cell>
          <cell r="K2477">
            <v>88314.008704000007</v>
          </cell>
          <cell r="L2477">
            <v>5220.99</v>
          </cell>
          <cell r="M2477">
            <v>0</v>
          </cell>
          <cell r="N2477">
            <v>0</v>
          </cell>
          <cell r="O2477">
            <v>0</v>
          </cell>
        </row>
        <row r="2478">
          <cell r="A2478" t="str">
            <v>IndonesiaOUTSIDE SERVICES  AND FEES</v>
          </cell>
          <cell r="B2478">
            <v>110660.05</v>
          </cell>
          <cell r="C2478">
            <v>108162.83</v>
          </cell>
          <cell r="D2478">
            <v>153545.09</v>
          </cell>
          <cell r="E2478">
            <v>211475.51</v>
          </cell>
          <cell r="F2478">
            <v>583843.48</v>
          </cell>
          <cell r="G2478">
            <v>176716.556343</v>
          </cell>
          <cell r="H2478">
            <v>212182.15080900001</v>
          </cell>
          <cell r="I2478">
            <v>219001.288772</v>
          </cell>
          <cell r="J2478">
            <v>240625.747107</v>
          </cell>
          <cell r="K2478">
            <v>848525.74303100002</v>
          </cell>
          <cell r="L2478">
            <v>44834.42</v>
          </cell>
          <cell r="M2478">
            <v>0</v>
          </cell>
          <cell r="N2478">
            <v>0</v>
          </cell>
          <cell r="O2478">
            <v>0</v>
          </cell>
        </row>
        <row r="2479">
          <cell r="A2479" t="str">
            <v>IndonesiaSTATE, FOREIGN, LOCAL TAXES</v>
          </cell>
          <cell r="B2479">
            <v>0</v>
          </cell>
          <cell r="C2479">
            <v>6278</v>
          </cell>
          <cell r="D2479">
            <v>3139</v>
          </cell>
          <cell r="E2479">
            <v>3000</v>
          </cell>
          <cell r="F2479">
            <v>12417</v>
          </cell>
          <cell r="G2479">
            <v>0</v>
          </cell>
          <cell r="H2479">
            <v>0</v>
          </cell>
          <cell r="I2479">
            <v>0</v>
          </cell>
          <cell r="J2479">
            <v>0</v>
          </cell>
          <cell r="K2479">
            <v>0</v>
          </cell>
          <cell r="L2479">
            <v>3278</v>
          </cell>
          <cell r="M2479">
            <v>0</v>
          </cell>
          <cell r="N2479">
            <v>0</v>
          </cell>
          <cell r="O2479">
            <v>0</v>
          </cell>
        </row>
        <row r="2480">
          <cell r="A2480" t="str">
            <v>IndonesiaS/L TAX - INSURANCE PREMIUMS</v>
          </cell>
          <cell r="B2480">
            <v>0</v>
          </cell>
          <cell r="C2480">
            <v>0</v>
          </cell>
          <cell r="D2480">
            <v>0</v>
          </cell>
          <cell r="E2480">
            <v>0</v>
          </cell>
          <cell r="F2480">
            <v>0</v>
          </cell>
          <cell r="G2480">
            <v>0</v>
          </cell>
          <cell r="H2480">
            <v>0</v>
          </cell>
          <cell r="I2480">
            <v>0</v>
          </cell>
          <cell r="J2480">
            <v>0</v>
          </cell>
          <cell r="K2480">
            <v>0</v>
          </cell>
          <cell r="L2480">
            <v>0</v>
          </cell>
          <cell r="M2480">
            <v>0</v>
          </cell>
          <cell r="N2480">
            <v>0</v>
          </cell>
          <cell r="O2480">
            <v>0</v>
          </cell>
        </row>
        <row r="2481">
          <cell r="A2481" t="str">
            <v>IndonesiaSATELLITE LEASE EXPENSE</v>
          </cell>
          <cell r="B2481">
            <v>0</v>
          </cell>
          <cell r="C2481">
            <v>0</v>
          </cell>
          <cell r="D2481">
            <v>0</v>
          </cell>
          <cell r="E2481">
            <v>0</v>
          </cell>
          <cell r="F2481">
            <v>0</v>
          </cell>
          <cell r="G2481">
            <v>0</v>
          </cell>
          <cell r="H2481">
            <v>0</v>
          </cell>
          <cell r="I2481">
            <v>0</v>
          </cell>
          <cell r="J2481">
            <v>0</v>
          </cell>
          <cell r="K2481">
            <v>0</v>
          </cell>
          <cell r="L2481">
            <v>0</v>
          </cell>
          <cell r="M2481">
            <v>0</v>
          </cell>
          <cell r="N2481">
            <v>0</v>
          </cell>
          <cell r="O2481">
            <v>0</v>
          </cell>
        </row>
        <row r="2482">
          <cell r="A2482" t="str">
            <v>IndonesiaBUSINESS SHARE EXPENSE</v>
          </cell>
          <cell r="B2482">
            <v>0</v>
          </cell>
          <cell r="C2482">
            <v>0</v>
          </cell>
          <cell r="D2482">
            <v>0</v>
          </cell>
          <cell r="E2482">
            <v>0</v>
          </cell>
          <cell r="F2482">
            <v>0</v>
          </cell>
          <cell r="G2482">
            <v>0</v>
          </cell>
          <cell r="H2482">
            <v>0</v>
          </cell>
          <cell r="I2482">
            <v>0</v>
          </cell>
          <cell r="J2482">
            <v>0</v>
          </cell>
          <cell r="K2482">
            <v>0</v>
          </cell>
          <cell r="L2482">
            <v>0</v>
          </cell>
          <cell r="M2482">
            <v>0</v>
          </cell>
          <cell r="N2482">
            <v>0</v>
          </cell>
          <cell r="O2482">
            <v>0</v>
          </cell>
        </row>
        <row r="2483">
          <cell r="A2483" t="str">
            <v>IndonesiaINSURANCE AFFILIATE EXPENSE</v>
          </cell>
          <cell r="B2483">
            <v>0</v>
          </cell>
          <cell r="C2483">
            <v>0</v>
          </cell>
          <cell r="D2483">
            <v>0</v>
          </cell>
          <cell r="E2483">
            <v>0</v>
          </cell>
          <cell r="F2483">
            <v>0</v>
          </cell>
          <cell r="G2483">
            <v>0</v>
          </cell>
          <cell r="H2483">
            <v>0</v>
          </cell>
          <cell r="I2483">
            <v>0</v>
          </cell>
          <cell r="J2483">
            <v>0</v>
          </cell>
          <cell r="K2483">
            <v>0</v>
          </cell>
          <cell r="L2483">
            <v>0</v>
          </cell>
          <cell r="M2483">
            <v>0</v>
          </cell>
          <cell r="N2483">
            <v>0</v>
          </cell>
          <cell r="O2483">
            <v>0</v>
          </cell>
        </row>
        <row r="2484">
          <cell r="A2484" t="str">
            <v>IndonesiaOTHER FACILITY EXPENSE</v>
          </cell>
          <cell r="B2484">
            <v>22436.400000000001</v>
          </cell>
          <cell r="C2484">
            <v>95536.35</v>
          </cell>
          <cell r="D2484">
            <v>117429.17</v>
          </cell>
          <cell r="E2484">
            <v>62293.58</v>
          </cell>
          <cell r="F2484">
            <v>297695.5</v>
          </cell>
          <cell r="G2484">
            <v>42232.101075999999</v>
          </cell>
          <cell r="H2484">
            <v>50093.589143999998</v>
          </cell>
          <cell r="I2484">
            <v>48923.724847999998</v>
          </cell>
          <cell r="J2484">
            <v>42372.484792000003</v>
          </cell>
          <cell r="K2484">
            <v>183621.89986</v>
          </cell>
          <cell r="L2484">
            <v>47823.98</v>
          </cell>
          <cell r="M2484">
            <v>7350</v>
          </cell>
          <cell r="N2484">
            <v>8085</v>
          </cell>
          <cell r="O2484">
            <v>8893</v>
          </cell>
        </row>
        <row r="2485">
          <cell r="A2485" t="str">
            <v>IndonesiaGROSS OP &amp; ADMIN BUS SHARE</v>
          </cell>
          <cell r="B2485">
            <v>0</v>
          </cell>
          <cell r="C2485">
            <v>0</v>
          </cell>
          <cell r="D2485">
            <v>0</v>
          </cell>
          <cell r="E2485">
            <v>0</v>
          </cell>
          <cell r="F2485">
            <v>0</v>
          </cell>
          <cell r="G2485">
            <v>0</v>
          </cell>
          <cell r="H2485">
            <v>0</v>
          </cell>
          <cell r="I2485">
            <v>0</v>
          </cell>
          <cell r="J2485">
            <v>0</v>
          </cell>
          <cell r="K2485">
            <v>0</v>
          </cell>
          <cell r="L2485">
            <v>0</v>
          </cell>
          <cell r="M2485">
            <v>0</v>
          </cell>
          <cell r="N2485">
            <v>0</v>
          </cell>
          <cell r="O2485">
            <v>0</v>
          </cell>
        </row>
        <row r="2486">
          <cell r="A2486" t="str">
            <v>IndonesiaOTHER EXPENSE</v>
          </cell>
          <cell r="B2486">
            <v>-149496.41</v>
          </cell>
          <cell r="C2486">
            <v>-90060.7</v>
          </cell>
          <cell r="D2486">
            <v>233764.76</v>
          </cell>
          <cell r="E2486">
            <v>-397979.14</v>
          </cell>
          <cell r="F2486">
            <v>-403771.49</v>
          </cell>
          <cell r="G2486">
            <v>-98988.449521999995</v>
          </cell>
          <cell r="H2486">
            <v>-128371.926958</v>
          </cell>
          <cell r="I2486">
            <v>-112846.612746</v>
          </cell>
          <cell r="J2486">
            <v>-111753.550053</v>
          </cell>
          <cell r="K2486">
            <v>-451960.53927900002</v>
          </cell>
          <cell r="L2486">
            <v>-74326.240000000005</v>
          </cell>
          <cell r="M2486">
            <v>5874518</v>
          </cell>
          <cell r="N2486">
            <v>6905233</v>
          </cell>
          <cell r="O2486">
            <v>10788591</v>
          </cell>
        </row>
        <row r="2487">
          <cell r="A2487" t="str">
            <v>IndonesiaGECC INTERCO EXPENSES EXCL GECIS</v>
          </cell>
          <cell r="B2487">
            <v>12267.18</v>
          </cell>
          <cell r="C2487">
            <v>12321.94</v>
          </cell>
          <cell r="D2487">
            <v>12321.93</v>
          </cell>
          <cell r="E2487">
            <v>12321.94</v>
          </cell>
          <cell r="F2487">
            <v>49232.99</v>
          </cell>
          <cell r="G2487">
            <v>0</v>
          </cell>
          <cell r="H2487">
            <v>0</v>
          </cell>
          <cell r="I2487">
            <v>0</v>
          </cell>
          <cell r="J2487">
            <v>0</v>
          </cell>
          <cell r="K2487">
            <v>0</v>
          </cell>
          <cell r="L2487">
            <v>12321.94</v>
          </cell>
          <cell r="M2487">
            <v>0</v>
          </cell>
          <cell r="N2487">
            <v>0</v>
          </cell>
          <cell r="O2487">
            <v>0</v>
          </cell>
        </row>
        <row r="2488">
          <cell r="A2488" t="str">
            <v>IndonesiaGECIS INTERCO CHARGES</v>
          </cell>
          <cell r="B2488">
            <v>0</v>
          </cell>
          <cell r="C2488">
            <v>0</v>
          </cell>
          <cell r="D2488">
            <v>0</v>
          </cell>
          <cell r="E2488">
            <v>0</v>
          </cell>
          <cell r="F2488">
            <v>0</v>
          </cell>
          <cell r="G2488">
            <v>0</v>
          </cell>
          <cell r="H2488">
            <v>0</v>
          </cell>
          <cell r="I2488">
            <v>0</v>
          </cell>
          <cell r="J2488">
            <v>0</v>
          </cell>
          <cell r="K2488">
            <v>0</v>
          </cell>
          <cell r="L2488">
            <v>0</v>
          </cell>
          <cell r="M2488">
            <v>0</v>
          </cell>
          <cell r="N2488">
            <v>0</v>
          </cell>
          <cell r="O2488">
            <v>0</v>
          </cell>
        </row>
        <row r="2489">
          <cell r="A2489" t="str">
            <v>IndonesiaLOSS ADJUSTED EXPENSE</v>
          </cell>
          <cell r="B2489">
            <v>0</v>
          </cell>
          <cell r="C2489">
            <v>0</v>
          </cell>
          <cell r="D2489">
            <v>0</v>
          </cell>
          <cell r="E2489">
            <v>0</v>
          </cell>
          <cell r="F2489">
            <v>0</v>
          </cell>
          <cell r="G2489">
            <v>0</v>
          </cell>
          <cell r="H2489">
            <v>0</v>
          </cell>
          <cell r="I2489">
            <v>0</v>
          </cell>
          <cell r="J2489">
            <v>0</v>
          </cell>
          <cell r="K2489">
            <v>0</v>
          </cell>
          <cell r="L2489">
            <v>0</v>
          </cell>
          <cell r="M2489">
            <v>0</v>
          </cell>
          <cell r="N2489">
            <v>0</v>
          </cell>
          <cell r="O2489">
            <v>0</v>
          </cell>
        </row>
        <row r="2490">
          <cell r="A2490" t="str">
            <v>IndonesiaALL OTHER EXPENSES</v>
          </cell>
          <cell r="B2490">
            <v>0</v>
          </cell>
          <cell r="C2490">
            <v>0</v>
          </cell>
          <cell r="D2490">
            <v>0</v>
          </cell>
          <cell r="E2490">
            <v>0</v>
          </cell>
          <cell r="F2490">
            <v>0</v>
          </cell>
          <cell r="G2490">
            <v>0</v>
          </cell>
          <cell r="H2490">
            <v>0</v>
          </cell>
          <cell r="I2490">
            <v>0</v>
          </cell>
          <cell r="J2490">
            <v>0</v>
          </cell>
          <cell r="K2490">
            <v>0</v>
          </cell>
          <cell r="L2490">
            <v>0</v>
          </cell>
          <cell r="M2490">
            <v>0</v>
          </cell>
          <cell r="N2490">
            <v>0</v>
          </cell>
          <cell r="O2490">
            <v>0</v>
          </cell>
        </row>
        <row r="2491">
          <cell r="A2491" t="str">
            <v>IndonesiaASSESSMENTS</v>
          </cell>
          <cell r="B2491">
            <v>-3717.98</v>
          </cell>
          <cell r="C2491">
            <v>4760.55</v>
          </cell>
          <cell r="D2491">
            <v>23143.63</v>
          </cell>
          <cell r="E2491">
            <v>76658.350000000006</v>
          </cell>
          <cell r="F2491">
            <v>100844.55</v>
          </cell>
          <cell r="G2491">
            <v>108840.168577</v>
          </cell>
          <cell r="H2491">
            <v>108840.168577</v>
          </cell>
          <cell r="I2491">
            <v>108840.168577</v>
          </cell>
          <cell r="J2491">
            <v>108840.168577</v>
          </cell>
          <cell r="K2491">
            <v>435360.67430800002</v>
          </cell>
          <cell r="L2491">
            <v>73738.97</v>
          </cell>
          <cell r="M2491">
            <v>278328</v>
          </cell>
          <cell r="N2491">
            <v>441847</v>
          </cell>
          <cell r="O2491">
            <v>669843</v>
          </cell>
        </row>
        <row r="2492">
          <cell r="A2492" t="str">
            <v>IndonesiaFAS 91</v>
          </cell>
          <cell r="B2492">
            <v>-400874.1</v>
          </cell>
          <cell r="C2492">
            <v>-360978.03</v>
          </cell>
          <cell r="D2492">
            <v>-694146.01</v>
          </cell>
          <cell r="E2492">
            <v>-1033049.39</v>
          </cell>
          <cell r="F2492">
            <v>-2489047.5299999998</v>
          </cell>
          <cell r="G2492">
            <v>-994871.733825</v>
          </cell>
          <cell r="H2492">
            <v>-1053744.54819</v>
          </cell>
          <cell r="I2492">
            <v>-903078.27982499998</v>
          </cell>
          <cell r="J2492">
            <v>-915940.49660399999</v>
          </cell>
          <cell r="K2492">
            <v>-3867635.0584439998</v>
          </cell>
          <cell r="L2492">
            <v>-760345.8</v>
          </cell>
          <cell r="M2492">
            <v>-4084322</v>
          </cell>
          <cell r="N2492">
            <v>-5692527</v>
          </cell>
          <cell r="O2492">
            <v>-6864515</v>
          </cell>
        </row>
        <row r="2493">
          <cell r="A2493" t="str">
            <v>IndonesiaGOODWILL AMORTIZATION</v>
          </cell>
          <cell r="B2493">
            <v>26138.639999999999</v>
          </cell>
          <cell r="C2493">
            <v>23589.13</v>
          </cell>
          <cell r="D2493">
            <v>22876.74</v>
          </cell>
          <cell r="E2493">
            <v>25739.67</v>
          </cell>
          <cell r="F2493">
            <v>98344.18</v>
          </cell>
          <cell r="G2493">
            <v>0</v>
          </cell>
          <cell r="H2493">
            <v>0</v>
          </cell>
          <cell r="I2493">
            <v>0</v>
          </cell>
          <cell r="J2493">
            <v>0</v>
          </cell>
          <cell r="K2493">
            <v>0</v>
          </cell>
          <cell r="L2493">
            <v>-78.569999999999993</v>
          </cell>
          <cell r="M2493">
            <v>60000</v>
          </cell>
          <cell r="N2493">
            <v>0</v>
          </cell>
          <cell r="O2493">
            <v>0</v>
          </cell>
        </row>
        <row r="2494">
          <cell r="A2494" t="str">
            <v>IndonesiaDEPRECIATION EXPENSE</v>
          </cell>
          <cell r="B2494">
            <v>29101.86</v>
          </cell>
          <cell r="C2494">
            <v>29064.34</v>
          </cell>
          <cell r="D2494">
            <v>34118.550000000003</v>
          </cell>
          <cell r="E2494">
            <v>44592.02</v>
          </cell>
          <cell r="F2494">
            <v>136876.76999999999</v>
          </cell>
          <cell r="G2494">
            <v>67602.247111999997</v>
          </cell>
          <cell r="H2494">
            <v>89748.646269999997</v>
          </cell>
          <cell r="I2494">
            <v>98113.297651000001</v>
          </cell>
          <cell r="J2494">
            <v>98113.297651000001</v>
          </cell>
          <cell r="K2494">
            <v>353577.48868399998</v>
          </cell>
          <cell r="L2494">
            <v>51058.8</v>
          </cell>
          <cell r="M2494">
            <v>1260</v>
          </cell>
          <cell r="N2494">
            <v>1386</v>
          </cell>
          <cell r="O2494">
            <v>1525</v>
          </cell>
        </row>
        <row r="2495">
          <cell r="A2495" t="str">
            <v>IndonesiaELTO AMORTIZATION</v>
          </cell>
          <cell r="B2495">
            <v>0</v>
          </cell>
          <cell r="C2495">
            <v>0</v>
          </cell>
          <cell r="D2495">
            <v>0</v>
          </cell>
          <cell r="E2495">
            <v>0</v>
          </cell>
          <cell r="F2495">
            <v>0</v>
          </cell>
          <cell r="G2495">
            <v>0</v>
          </cell>
          <cell r="H2495">
            <v>0</v>
          </cell>
          <cell r="I2495">
            <v>0</v>
          </cell>
          <cell r="J2495">
            <v>0</v>
          </cell>
          <cell r="K2495">
            <v>0</v>
          </cell>
          <cell r="L2495">
            <v>0</v>
          </cell>
          <cell r="M2495">
            <v>0</v>
          </cell>
          <cell r="N2495">
            <v>0</v>
          </cell>
          <cell r="O2495">
            <v>0</v>
          </cell>
        </row>
        <row r="2496">
          <cell r="A2496" t="str">
            <v>IndonesiaINSURANCE LOSSES AND BENEFITS</v>
          </cell>
          <cell r="B2496">
            <v>0</v>
          </cell>
          <cell r="C2496">
            <v>0</v>
          </cell>
          <cell r="D2496">
            <v>0</v>
          </cell>
          <cell r="E2496">
            <v>0</v>
          </cell>
          <cell r="F2496">
            <v>0</v>
          </cell>
          <cell r="G2496">
            <v>0</v>
          </cell>
          <cell r="H2496">
            <v>0</v>
          </cell>
          <cell r="I2496">
            <v>0</v>
          </cell>
          <cell r="J2496">
            <v>0</v>
          </cell>
          <cell r="K2496">
            <v>0</v>
          </cell>
          <cell r="L2496">
            <v>0</v>
          </cell>
          <cell r="M2496">
            <v>0</v>
          </cell>
          <cell r="N2496">
            <v>0</v>
          </cell>
          <cell r="O2496">
            <v>0</v>
          </cell>
        </row>
        <row r="2497">
          <cell r="A2497" t="str">
            <v>IndonesiaWRITE OFFS</v>
          </cell>
          <cell r="B2497">
            <v>420137.5</v>
          </cell>
          <cell r="C2497">
            <v>1362273.05</v>
          </cell>
          <cell r="D2497">
            <v>3056279.21</v>
          </cell>
          <cell r="E2497">
            <v>3042379.99</v>
          </cell>
          <cell r="F2497">
            <v>7881069.75</v>
          </cell>
          <cell r="G2497">
            <v>2209557.3111479999</v>
          </cell>
          <cell r="H2497">
            <v>1809982.035929</v>
          </cell>
          <cell r="I2497">
            <v>1644293.8794189999</v>
          </cell>
          <cell r="J2497">
            <v>2610983.5796889998</v>
          </cell>
          <cell r="K2497">
            <v>8274816.8061849996</v>
          </cell>
          <cell r="L2497">
            <v>4470483.84</v>
          </cell>
          <cell r="M2497">
            <v>6817470</v>
          </cell>
          <cell r="N2497">
            <v>11209548</v>
          </cell>
          <cell r="O2497">
            <v>16414273</v>
          </cell>
        </row>
        <row r="2498">
          <cell r="A2498" t="str">
            <v>IndonesiaRESERVE CHANGE</v>
          </cell>
          <cell r="B2498">
            <v>0</v>
          </cell>
          <cell r="C2498">
            <v>0</v>
          </cell>
          <cell r="D2498">
            <v>0</v>
          </cell>
          <cell r="E2498">
            <v>0</v>
          </cell>
          <cell r="F2498">
            <v>0</v>
          </cell>
          <cell r="G2498">
            <v>0</v>
          </cell>
          <cell r="H2498">
            <v>0</v>
          </cell>
          <cell r="I2498">
            <v>0</v>
          </cell>
          <cell r="J2498">
            <v>0</v>
          </cell>
          <cell r="K2498">
            <v>0</v>
          </cell>
          <cell r="L2498">
            <v>0</v>
          </cell>
          <cell r="M2498">
            <v>0</v>
          </cell>
          <cell r="N2498">
            <v>0</v>
          </cell>
          <cell r="O2498">
            <v>0</v>
          </cell>
        </row>
        <row r="2499">
          <cell r="A2499" t="str">
            <v>IndonesiaMINORITY INTEREST</v>
          </cell>
          <cell r="B2499">
            <v>0</v>
          </cell>
          <cell r="C2499">
            <v>0</v>
          </cell>
          <cell r="D2499">
            <v>0</v>
          </cell>
          <cell r="E2499">
            <v>0</v>
          </cell>
          <cell r="F2499">
            <v>0</v>
          </cell>
          <cell r="G2499">
            <v>0</v>
          </cell>
          <cell r="H2499">
            <v>0</v>
          </cell>
          <cell r="I2499">
            <v>0</v>
          </cell>
          <cell r="J2499">
            <v>0</v>
          </cell>
          <cell r="K2499">
            <v>0</v>
          </cell>
          <cell r="L2499">
            <v>0</v>
          </cell>
          <cell r="M2499">
            <v>0</v>
          </cell>
          <cell r="N2499">
            <v>0</v>
          </cell>
          <cell r="O2499">
            <v>0</v>
          </cell>
        </row>
        <row r="2500">
          <cell r="A2500" t="str">
            <v>IndonesiaINCOME TAXES</v>
          </cell>
          <cell r="B2500">
            <v>457705.81</v>
          </cell>
          <cell r="C2500">
            <v>706775.6</v>
          </cell>
          <cell r="D2500">
            <v>344518.97</v>
          </cell>
          <cell r="E2500">
            <v>1680356.23</v>
          </cell>
          <cell r="F2500">
            <v>3189356.61</v>
          </cell>
          <cell r="G2500">
            <v>554712.08891499997</v>
          </cell>
          <cell r="H2500">
            <v>339715.53824000002</v>
          </cell>
          <cell r="I2500">
            <v>810099.02352599998</v>
          </cell>
          <cell r="J2500">
            <v>1532090.571399</v>
          </cell>
          <cell r="K2500">
            <v>3236617.2220800002</v>
          </cell>
          <cell r="L2500">
            <v>1067125.43</v>
          </cell>
          <cell r="M2500">
            <v>2407607.0750000002</v>
          </cell>
          <cell r="N2500">
            <v>5586568.7149999999</v>
          </cell>
          <cell r="O2500">
            <v>9134883.4849999994</v>
          </cell>
        </row>
        <row r="2501">
          <cell r="A2501" t="str">
            <v>IndonesiaCUMULATIVE TRANSITION ADJUSTMENT</v>
          </cell>
          <cell r="B2501">
            <v>0</v>
          </cell>
          <cell r="C2501">
            <v>0</v>
          </cell>
          <cell r="D2501">
            <v>0</v>
          </cell>
          <cell r="E2501">
            <v>0</v>
          </cell>
          <cell r="F2501">
            <v>0</v>
          </cell>
          <cell r="G2501">
            <v>0</v>
          </cell>
          <cell r="H2501">
            <v>0</v>
          </cell>
          <cell r="I2501">
            <v>0</v>
          </cell>
          <cell r="J2501">
            <v>0</v>
          </cell>
          <cell r="K2501">
            <v>0</v>
          </cell>
          <cell r="L2501">
            <v>0</v>
          </cell>
          <cell r="M2501">
            <v>0</v>
          </cell>
          <cell r="N2501">
            <v>0</v>
          </cell>
          <cell r="O2501">
            <v>0</v>
          </cell>
        </row>
        <row r="2502">
          <cell r="A2502" t="str">
            <v>IndonesiaASIA PACIFIC NI DIVIDEND</v>
          </cell>
          <cell r="B2502">
            <v>0</v>
          </cell>
          <cell r="C2502">
            <v>0</v>
          </cell>
          <cell r="D2502">
            <v>0</v>
          </cell>
          <cell r="E2502">
            <v>0</v>
          </cell>
          <cell r="F2502">
            <v>0</v>
          </cell>
          <cell r="G2502">
            <v>0</v>
          </cell>
          <cell r="H2502">
            <v>0</v>
          </cell>
          <cell r="I2502">
            <v>0</v>
          </cell>
          <cell r="J2502">
            <v>0</v>
          </cell>
          <cell r="K2502">
            <v>0</v>
          </cell>
          <cell r="L2502">
            <v>0</v>
          </cell>
          <cell r="M2502">
            <v>0</v>
          </cell>
          <cell r="N2502">
            <v>0</v>
          </cell>
          <cell r="O2502">
            <v>0</v>
          </cell>
        </row>
        <row r="2503">
          <cell r="A2503" t="str">
            <v>IndonesiaNet Income</v>
          </cell>
          <cell r="B2503">
            <v>-381514.49</v>
          </cell>
          <cell r="C2503">
            <v>-1483298.95</v>
          </cell>
          <cell r="D2503">
            <v>306512.40000000002</v>
          </cell>
          <cell r="E2503">
            <v>-1211008.33</v>
          </cell>
          <cell r="F2503">
            <v>-2769309.37</v>
          </cell>
          <cell r="G2503">
            <v>-424523.791593</v>
          </cell>
          <cell r="H2503">
            <v>-1156053.1930579999</v>
          </cell>
          <cell r="I2503">
            <v>-1584972.509541</v>
          </cell>
          <cell r="J2503">
            <v>-2845311.0611700001</v>
          </cell>
          <cell r="K2503">
            <v>-6010860.5553620001</v>
          </cell>
          <cell r="L2503">
            <v>-1440450.57</v>
          </cell>
          <cell r="M2503">
            <v>-4568831.9249999998</v>
          </cell>
          <cell r="N2503">
            <v>-10379923.285</v>
          </cell>
          <cell r="O2503">
            <v>-16969666.515000001</v>
          </cell>
        </row>
        <row r="2504">
          <cell r="A2504" t="str">
            <v>IndonesiaSubPart F</v>
          </cell>
          <cell r="B2504">
            <v>0</v>
          </cell>
          <cell r="C2504">
            <v>0</v>
          </cell>
          <cell r="D2504">
            <v>0</v>
          </cell>
          <cell r="E2504">
            <v>0</v>
          </cell>
          <cell r="F2504">
            <v>0</v>
          </cell>
          <cell r="G2504">
            <v>0</v>
          </cell>
          <cell r="H2504">
            <v>0</v>
          </cell>
          <cell r="I2504">
            <v>0</v>
          </cell>
          <cell r="J2504">
            <v>0</v>
          </cell>
          <cell r="K2504">
            <v>0</v>
          </cell>
          <cell r="L2504">
            <v>0</v>
          </cell>
          <cell r="M2504">
            <v>0</v>
          </cell>
          <cell r="N2504">
            <v>0</v>
          </cell>
          <cell r="O2504">
            <v>0</v>
          </cell>
        </row>
        <row r="2505">
          <cell r="A2505" t="str">
            <v>IndonesiaAssets</v>
          </cell>
          <cell r="B2505">
            <v>68747358.790000007</v>
          </cell>
          <cell r="C2505">
            <v>79430061.730000004</v>
          </cell>
          <cell r="D2505">
            <v>143392026.61000001</v>
          </cell>
          <cell r="E2505">
            <v>147529450.75999999</v>
          </cell>
          <cell r="F2505">
            <v>147529450.75999999</v>
          </cell>
          <cell r="G2505">
            <v>151061094.13236499</v>
          </cell>
          <cell r="H2505">
            <v>162717897.97225201</v>
          </cell>
          <cell r="I2505">
            <v>176593383.48660901</v>
          </cell>
          <cell r="J2505">
            <v>190689000.32097101</v>
          </cell>
          <cell r="K2505">
            <v>190689000.32097101</v>
          </cell>
          <cell r="L2505">
            <v>152166552.88999999</v>
          </cell>
          <cell r="M2505">
            <v>155566980.93000001</v>
          </cell>
          <cell r="N2505">
            <v>238449396.09</v>
          </cell>
          <cell r="O2505">
            <v>348817838.33999997</v>
          </cell>
        </row>
        <row r="2506">
          <cell r="A2506" t="str">
            <v>IndonesiaEnding Net Investment (ENI) incl Asia</v>
          </cell>
          <cell r="B2506">
            <v>67655431.650000006</v>
          </cell>
          <cell r="C2506">
            <v>78106090.510000005</v>
          </cell>
          <cell r="D2506">
            <v>135194661.78</v>
          </cell>
          <cell r="E2506">
            <v>145564921.78999999</v>
          </cell>
          <cell r="F2506">
            <v>145564921.78999999</v>
          </cell>
          <cell r="G2506">
            <v>145165656.427488</v>
          </cell>
          <cell r="H2506">
            <v>156717957.24601999</v>
          </cell>
          <cell r="I2506">
            <v>170125334.93290299</v>
          </cell>
          <cell r="J2506">
            <v>183666380.78738901</v>
          </cell>
          <cell r="K2506">
            <v>183666380.78738901</v>
          </cell>
          <cell r="L2506">
            <v>142727211.59</v>
          </cell>
          <cell r="M2506">
            <v>155306980.93000001</v>
          </cell>
          <cell r="N2506">
            <v>238189396.09</v>
          </cell>
          <cell r="O2506">
            <v>348557838.33999997</v>
          </cell>
        </row>
        <row r="2507">
          <cell r="A2507" t="str">
            <v>IndonesiaANR YTD</v>
          </cell>
          <cell r="B2507">
            <v>39948043.704999998</v>
          </cell>
          <cell r="C2507">
            <v>44746165.060000002</v>
          </cell>
          <cell r="D2507">
            <v>62065641.772500001</v>
          </cell>
          <cell r="E2507">
            <v>73349955.280000001</v>
          </cell>
          <cell r="F2507">
            <v>73349955.280000001</v>
          </cell>
          <cell r="G2507">
            <v>61334944.476443999</v>
          </cell>
          <cell r="H2507">
            <v>85190637.958175004</v>
          </cell>
          <cell r="I2507">
            <v>100062876.28528801</v>
          </cell>
          <cell r="J2507">
            <v>111535516.126249</v>
          </cell>
          <cell r="K2507">
            <v>111535516.126249</v>
          </cell>
          <cell r="L2507">
            <v>120550160.94</v>
          </cell>
          <cell r="M2507">
            <v>41994534.593999997</v>
          </cell>
          <cell r="N2507">
            <v>67864217.956</v>
          </cell>
          <cell r="O2507">
            <v>104738696.664</v>
          </cell>
        </row>
        <row r="2508">
          <cell r="A2508" t="str">
            <v>IndonesiaASA YTD</v>
          </cell>
          <cell r="B2508">
            <v>105018249.34</v>
          </cell>
          <cell r="C2508">
            <v>135133236.76333299</v>
          </cell>
          <cell r="D2508">
            <v>166975598.91249999</v>
          </cell>
          <cell r="E2508">
            <v>185697073.10800001</v>
          </cell>
          <cell r="F2508">
            <v>185697073.10800001</v>
          </cell>
          <cell r="G2508">
            <v>126445863.47644401</v>
          </cell>
          <cell r="H2508">
            <v>172252078.62484199</v>
          </cell>
          <cell r="I2508">
            <v>198209759.03528801</v>
          </cell>
          <cell r="J2508">
            <v>216333664.12624899</v>
          </cell>
          <cell r="K2508">
            <v>216333664.12624899</v>
          </cell>
          <cell r="L2508">
            <v>191598041.22999999</v>
          </cell>
          <cell r="M2508">
            <v>41994534.593999997</v>
          </cell>
          <cell r="N2508">
            <v>67864217.956</v>
          </cell>
          <cell r="O2508">
            <v>104738696.664</v>
          </cell>
        </row>
        <row r="2509">
          <cell r="A2509" t="str">
            <v>IndonesiaANI YTD incl Asia - 5 pt</v>
          </cell>
          <cell r="B2509">
            <v>64947787.289999999</v>
          </cell>
          <cell r="C2509">
            <v>69333888.363333002</v>
          </cell>
          <cell r="D2509">
            <v>85799081.717500001</v>
          </cell>
          <cell r="E2509">
            <v>97752249.731999993</v>
          </cell>
          <cell r="F2509">
            <v>97752249.731999993</v>
          </cell>
          <cell r="G2509">
            <v>72582828.213744</v>
          </cell>
          <cell r="H2509">
            <v>100627871.224503</v>
          </cell>
          <cell r="I2509">
            <v>118002237.151603</v>
          </cell>
          <cell r="J2509">
            <v>131135065.87876</v>
          </cell>
          <cell r="K2509">
            <v>131135065.87876</v>
          </cell>
          <cell r="L2509">
            <v>144146066.69</v>
          </cell>
          <cell r="M2509">
            <v>51456702.130000003</v>
          </cell>
          <cell r="N2509">
            <v>78699275.403999999</v>
          </cell>
          <cell r="O2509">
            <v>117349446.88600001</v>
          </cell>
        </row>
        <row r="2510">
          <cell r="A2510" t="str">
            <v>IndonesiaOff Balance Sheet Assets</v>
          </cell>
          <cell r="B2510">
            <v>130140411.27</v>
          </cell>
          <cell r="C2510">
            <v>141020803.84</v>
          </cell>
          <cell r="D2510">
            <v>148478613.44999999</v>
          </cell>
          <cell r="E2510">
            <v>142095760.58000001</v>
          </cell>
          <cell r="F2510">
            <v>142095760.58000001</v>
          </cell>
          <cell r="G2510">
            <v>130221838</v>
          </cell>
          <cell r="H2510">
            <v>130962484</v>
          </cell>
          <cell r="I2510">
            <v>131403209</v>
          </cell>
          <cell r="J2510">
            <v>131403209</v>
          </cell>
          <cell r="K2510">
            <v>131403209</v>
          </cell>
          <cell r="L2510">
            <v>0</v>
          </cell>
          <cell r="M2510">
            <v>0</v>
          </cell>
          <cell r="N2510">
            <v>0</v>
          </cell>
          <cell r="O2510">
            <v>0</v>
          </cell>
        </row>
        <row r="2511">
          <cell r="A2511" t="str">
            <v>IndonesiaJV Receivables</v>
          </cell>
          <cell r="B2511">
            <v>0</v>
          </cell>
          <cell r="C2511">
            <v>0</v>
          </cell>
          <cell r="D2511">
            <v>0</v>
          </cell>
          <cell r="E2511">
            <v>0</v>
          </cell>
          <cell r="F2511">
            <v>0</v>
          </cell>
          <cell r="G2511">
            <v>0</v>
          </cell>
          <cell r="H2511">
            <v>0</v>
          </cell>
          <cell r="I2511">
            <v>0</v>
          </cell>
          <cell r="J2511">
            <v>0</v>
          </cell>
          <cell r="K2511">
            <v>0</v>
          </cell>
          <cell r="L2511">
            <v>519649188.33999997</v>
          </cell>
          <cell r="M2511">
            <v>0</v>
          </cell>
          <cell r="N2511">
            <v>0</v>
          </cell>
          <cell r="O2511">
            <v>0</v>
          </cell>
        </row>
        <row r="2512">
          <cell r="A2512" t="str">
            <v>Indonesia30+ DELINQUENCY $</v>
          </cell>
          <cell r="B2512">
            <v>1539672.04</v>
          </cell>
          <cell r="C2512">
            <v>2134877.5</v>
          </cell>
          <cell r="D2512">
            <v>3912881</v>
          </cell>
          <cell r="E2512">
            <v>4642941.5</v>
          </cell>
          <cell r="F2512">
            <v>4642941.5</v>
          </cell>
          <cell r="G2512">
            <v>5850184.9500000002</v>
          </cell>
          <cell r="H2512">
            <v>5947896.2300000004</v>
          </cell>
          <cell r="I2512">
            <v>6174570.2999999998</v>
          </cell>
          <cell r="J2512">
            <v>7196705.5599999996</v>
          </cell>
          <cell r="K2512">
            <v>7196705.5599999996</v>
          </cell>
          <cell r="L2512">
            <v>7255000</v>
          </cell>
          <cell r="M2512">
            <v>0</v>
          </cell>
          <cell r="N2512">
            <v>0</v>
          </cell>
          <cell r="O2512">
            <v>0</v>
          </cell>
        </row>
        <row r="2513">
          <cell r="A2513" t="str">
            <v>Indonesia90+ DELINQUENCY $</v>
          </cell>
          <cell r="B2513">
            <v>602832.01</v>
          </cell>
          <cell r="C2513">
            <v>854071.34</v>
          </cell>
          <cell r="D2513">
            <v>1619593</v>
          </cell>
          <cell r="E2513">
            <v>1726754.09</v>
          </cell>
          <cell r="F2513">
            <v>1726754.09</v>
          </cell>
          <cell r="G2513">
            <v>2066490.62</v>
          </cell>
          <cell r="H2513">
            <v>2271420.11</v>
          </cell>
          <cell r="I2513">
            <v>2215757.48</v>
          </cell>
          <cell r="J2513">
            <v>2496919.09</v>
          </cell>
          <cell r="K2513">
            <v>2496919.09</v>
          </cell>
          <cell r="L2513">
            <v>2909000</v>
          </cell>
          <cell r="M2513">
            <v>0</v>
          </cell>
          <cell r="N2513">
            <v>0</v>
          </cell>
          <cell r="O2513">
            <v>0</v>
          </cell>
        </row>
        <row r="2514">
          <cell r="A2514" t="str">
            <v>IndonesiaTemporary Staff</v>
          </cell>
          <cell r="B2514">
            <v>380</v>
          </cell>
          <cell r="C2514">
            <v>317</v>
          </cell>
          <cell r="D2514">
            <v>389</v>
          </cell>
          <cell r="E2514">
            <v>484</v>
          </cell>
          <cell r="F2514">
            <v>484</v>
          </cell>
          <cell r="G2514">
            <v>566</v>
          </cell>
          <cell r="H2514">
            <v>507</v>
          </cell>
          <cell r="I2514">
            <v>479</v>
          </cell>
          <cell r="J2514">
            <v>425</v>
          </cell>
          <cell r="K2514">
            <v>425</v>
          </cell>
          <cell r="L2514">
            <v>3</v>
          </cell>
          <cell r="M2514">
            <v>0</v>
          </cell>
          <cell r="N2514">
            <v>0</v>
          </cell>
          <cell r="O2514">
            <v>0</v>
          </cell>
        </row>
        <row r="2515">
          <cell r="A2515" t="str">
            <v>IndonesiaContractors</v>
          </cell>
          <cell r="B2515">
            <v>0</v>
          </cell>
          <cell r="C2515">
            <v>0</v>
          </cell>
          <cell r="D2515">
            <v>0</v>
          </cell>
          <cell r="E2515">
            <v>0</v>
          </cell>
          <cell r="F2515">
            <v>0</v>
          </cell>
          <cell r="G2515">
            <v>0</v>
          </cell>
          <cell r="H2515">
            <v>0</v>
          </cell>
          <cell r="I2515">
            <v>0</v>
          </cell>
          <cell r="J2515">
            <v>0</v>
          </cell>
          <cell r="K2515">
            <v>0</v>
          </cell>
          <cell r="L2515">
            <v>4</v>
          </cell>
          <cell r="M2515">
            <v>0</v>
          </cell>
          <cell r="N2515">
            <v>0</v>
          </cell>
          <cell r="O2515">
            <v>0</v>
          </cell>
        </row>
        <row r="2516">
          <cell r="A2516" t="str">
            <v>IndonesiaOutsourced to LCC</v>
          </cell>
          <cell r="B2516">
            <v>0</v>
          </cell>
          <cell r="C2516">
            <v>0</v>
          </cell>
          <cell r="D2516">
            <v>0</v>
          </cell>
          <cell r="E2516">
            <v>0</v>
          </cell>
          <cell r="F2516">
            <v>0</v>
          </cell>
          <cell r="G2516">
            <v>0</v>
          </cell>
          <cell r="H2516">
            <v>0</v>
          </cell>
          <cell r="I2516">
            <v>0</v>
          </cell>
          <cell r="J2516">
            <v>0</v>
          </cell>
          <cell r="K2516">
            <v>0</v>
          </cell>
          <cell r="L2516">
            <v>509</v>
          </cell>
          <cell r="M2516">
            <v>0</v>
          </cell>
          <cell r="N2516">
            <v>0</v>
          </cell>
          <cell r="O2516">
            <v>0</v>
          </cell>
        </row>
        <row r="2517">
          <cell r="A2517" t="str">
            <v>IndonesiaTotal Headcount</v>
          </cell>
          <cell r="B2517">
            <v>191</v>
          </cell>
          <cell r="C2517">
            <v>246</v>
          </cell>
          <cell r="D2517">
            <v>282</v>
          </cell>
          <cell r="E2517">
            <v>296</v>
          </cell>
          <cell r="F2517">
            <v>296</v>
          </cell>
          <cell r="G2517">
            <v>338</v>
          </cell>
          <cell r="H2517">
            <v>435</v>
          </cell>
          <cell r="I2517">
            <v>523</v>
          </cell>
          <cell r="J2517">
            <v>545</v>
          </cell>
          <cell r="K2517">
            <v>545</v>
          </cell>
          <cell r="L2517">
            <v>337</v>
          </cell>
          <cell r="M2517">
            <v>406</v>
          </cell>
          <cell r="N2517">
            <v>459</v>
          </cell>
          <cell r="O2517">
            <v>537</v>
          </cell>
        </row>
        <row r="2518">
          <cell r="A2518" t="str">
            <v>IndonesiaTotal Workforce</v>
          </cell>
          <cell r="B2518">
            <v>571</v>
          </cell>
          <cell r="C2518">
            <v>563</v>
          </cell>
          <cell r="D2518">
            <v>671</v>
          </cell>
          <cell r="E2518">
            <v>780</v>
          </cell>
          <cell r="F2518">
            <v>780</v>
          </cell>
          <cell r="G2518">
            <v>904</v>
          </cell>
          <cell r="H2518">
            <v>942</v>
          </cell>
          <cell r="I2518">
            <v>1002</v>
          </cell>
          <cell r="J2518">
            <v>970</v>
          </cell>
          <cell r="K2518">
            <v>970</v>
          </cell>
          <cell r="L2518">
            <v>853</v>
          </cell>
          <cell r="M2518">
            <v>406</v>
          </cell>
          <cell r="N2518">
            <v>459</v>
          </cell>
          <cell r="O2518">
            <v>537</v>
          </cell>
        </row>
        <row r="2519">
          <cell r="A2519" t="str">
            <v>IndonesiaTotal Earned Revenue</v>
          </cell>
          <cell r="B2519">
            <v>-5992106.2199999997</v>
          </cell>
          <cell r="C2519">
            <v>-7698657.6799999997</v>
          </cell>
          <cell r="D2519">
            <v>-9598011.8599999994</v>
          </cell>
          <cell r="E2519">
            <v>-14549522.34</v>
          </cell>
          <cell r="F2519">
            <v>-37838298.100000001</v>
          </cell>
          <cell r="G2519">
            <v>-12019563.638784001</v>
          </cell>
          <cell r="H2519">
            <v>-12979967.214868</v>
          </cell>
          <cell r="I2519">
            <v>-14467059.008032</v>
          </cell>
          <cell r="J2519">
            <v>-17699241.933433998</v>
          </cell>
          <cell r="K2519">
            <v>-57165831.795117997</v>
          </cell>
          <cell r="L2519">
            <v>-14823518.439999999</v>
          </cell>
          <cell r="M2519">
            <v>-47506505</v>
          </cell>
          <cell r="N2519">
            <v>-75181443</v>
          </cell>
          <cell r="O2519">
            <v>-112999672</v>
          </cell>
        </row>
        <row r="2520">
          <cell r="A2520" t="str">
            <v>IndonesiaOrdinary Gains - PreTax</v>
          </cell>
          <cell r="B2520">
            <v>0</v>
          </cell>
          <cell r="C2520">
            <v>0</v>
          </cell>
          <cell r="D2520">
            <v>0</v>
          </cell>
          <cell r="E2520">
            <v>0</v>
          </cell>
          <cell r="F2520">
            <v>0</v>
          </cell>
          <cell r="G2520">
            <v>0</v>
          </cell>
          <cell r="H2520">
            <v>0</v>
          </cell>
          <cell r="I2520">
            <v>0</v>
          </cell>
          <cell r="J2520">
            <v>0</v>
          </cell>
          <cell r="K2520">
            <v>0</v>
          </cell>
          <cell r="L2520">
            <v>0</v>
          </cell>
          <cell r="M2520">
            <v>0</v>
          </cell>
          <cell r="N2520">
            <v>0</v>
          </cell>
          <cell r="O2520">
            <v>0</v>
          </cell>
        </row>
        <row r="2521">
          <cell r="A2521" t="str">
            <v>IndonesiaOrdinary Gains - AfterTax</v>
          </cell>
          <cell r="B2521">
            <v>0</v>
          </cell>
          <cell r="C2521">
            <v>0</v>
          </cell>
          <cell r="D2521">
            <v>0</v>
          </cell>
          <cell r="E2521">
            <v>0</v>
          </cell>
          <cell r="F2521">
            <v>0</v>
          </cell>
          <cell r="G2521">
            <v>0</v>
          </cell>
          <cell r="H2521">
            <v>0</v>
          </cell>
          <cell r="I2521">
            <v>0</v>
          </cell>
          <cell r="J2521">
            <v>0</v>
          </cell>
          <cell r="K2521">
            <v>0</v>
          </cell>
          <cell r="L2521">
            <v>0</v>
          </cell>
          <cell r="M2521">
            <v>0</v>
          </cell>
          <cell r="N2521">
            <v>0</v>
          </cell>
          <cell r="O2521">
            <v>0</v>
          </cell>
        </row>
        <row r="2522">
          <cell r="A2522" t="str">
            <v>IndonesiaTotal Volume</v>
          </cell>
          <cell r="B2522">
            <v>25882656</v>
          </cell>
          <cell r="C2522">
            <v>35297881</v>
          </cell>
          <cell r="D2522">
            <v>66883281</v>
          </cell>
          <cell r="E2522">
            <v>59083005</v>
          </cell>
          <cell r="F2522">
            <v>187146823</v>
          </cell>
          <cell r="G2522">
            <v>49146875.476908997</v>
          </cell>
          <cell r="H2522">
            <v>54878904.051521003</v>
          </cell>
          <cell r="I2522">
            <v>62550176.533115</v>
          </cell>
          <cell r="J2522">
            <v>70616938.068388</v>
          </cell>
          <cell r="K2522">
            <v>237192894.12993199</v>
          </cell>
          <cell r="L2522">
            <v>38511300</v>
          </cell>
          <cell r="M2522">
            <v>0</v>
          </cell>
          <cell r="N2522">
            <v>0</v>
          </cell>
          <cell r="O2522">
            <v>0</v>
          </cell>
        </row>
        <row r="2523">
          <cell r="A2523" t="str">
            <v>IndonesiaTOTAL # ACTIVE ACCOUNTS</v>
          </cell>
          <cell r="B2523">
            <v>153558</v>
          </cell>
          <cell r="C2523">
            <v>205782</v>
          </cell>
          <cell r="D2523">
            <v>268718</v>
          </cell>
          <cell r="E2523">
            <v>320771</v>
          </cell>
          <cell r="F2523">
            <v>320771</v>
          </cell>
          <cell r="G2523">
            <v>329577</v>
          </cell>
          <cell r="H2523">
            <v>359259</v>
          </cell>
          <cell r="I2523">
            <v>390359</v>
          </cell>
          <cell r="J2523">
            <v>418949</v>
          </cell>
          <cell r="K2523">
            <v>418949</v>
          </cell>
          <cell r="L2523">
            <v>0</v>
          </cell>
          <cell r="M2523">
            <v>1624412</v>
          </cell>
          <cell r="N2523">
            <v>6299984</v>
          </cell>
          <cell r="O2523">
            <v>12084281</v>
          </cell>
        </row>
        <row r="2524">
          <cell r="A2524" t="str">
            <v>Ireland HQTOTAL FINANCING RECEIVABLES</v>
          </cell>
          <cell r="B2524">
            <v>250034546.88999999</v>
          </cell>
          <cell r="C2524">
            <v>245387670.36000001</v>
          </cell>
          <cell r="D2524">
            <v>251860460.72</v>
          </cell>
          <cell r="E2524">
            <v>249302534.88</v>
          </cell>
          <cell r="F2524">
            <v>249302534.88</v>
          </cell>
          <cell r="G2524">
            <v>236858081</v>
          </cell>
          <cell r="H2524">
            <v>201073044</v>
          </cell>
          <cell r="I2524">
            <v>201073044</v>
          </cell>
          <cell r="J2524">
            <v>201073044</v>
          </cell>
          <cell r="K2524">
            <v>201073044</v>
          </cell>
          <cell r="L2524">
            <v>215114339.11000001</v>
          </cell>
          <cell r="M2524">
            <v>225000000</v>
          </cell>
          <cell r="N2524">
            <v>200000000</v>
          </cell>
          <cell r="O2524">
            <v>175000000</v>
          </cell>
        </row>
        <row r="2525">
          <cell r="A2525" t="str">
            <v>Ireland HQRECEIVABLE RESERVES</v>
          </cell>
          <cell r="B2525">
            <v>-5165458.3</v>
          </cell>
          <cell r="C2525">
            <v>-1630787.45</v>
          </cell>
          <cell r="D2525">
            <v>-2343427.79</v>
          </cell>
          <cell r="E2525">
            <v>-709434.28</v>
          </cell>
          <cell r="F2525">
            <v>-709434.28</v>
          </cell>
          <cell r="G2525">
            <v>-709434</v>
          </cell>
          <cell r="H2525">
            <v>-709434</v>
          </cell>
          <cell r="I2525">
            <v>-709434</v>
          </cell>
          <cell r="J2525">
            <v>-709434</v>
          </cell>
          <cell r="K2525">
            <v>-709434</v>
          </cell>
          <cell r="L2525">
            <v>-5171521.75</v>
          </cell>
          <cell r="M2525">
            <v>-5165458</v>
          </cell>
          <cell r="N2525">
            <v>-5165458</v>
          </cell>
          <cell r="O2525">
            <v>-5165458</v>
          </cell>
        </row>
        <row r="2526">
          <cell r="A2526" t="str">
            <v>Ireland HQCASH</v>
          </cell>
          <cell r="B2526">
            <v>-14144160.970000001</v>
          </cell>
          <cell r="C2526">
            <v>-14534048.99</v>
          </cell>
          <cell r="D2526">
            <v>-3629665.52</v>
          </cell>
          <cell r="E2526">
            <v>1158093.8999999999</v>
          </cell>
          <cell r="F2526">
            <v>1158093.8999999999</v>
          </cell>
          <cell r="G2526">
            <v>0</v>
          </cell>
          <cell r="H2526">
            <v>0</v>
          </cell>
          <cell r="I2526">
            <v>0</v>
          </cell>
          <cell r="J2526">
            <v>0</v>
          </cell>
          <cell r="K2526">
            <v>0</v>
          </cell>
          <cell r="L2526">
            <v>7333248.6299999999</v>
          </cell>
          <cell r="M2526">
            <v>-46906391.728</v>
          </cell>
          <cell r="N2526">
            <v>-58335160.728</v>
          </cell>
          <cell r="O2526">
            <v>-70353183.728</v>
          </cell>
        </row>
        <row r="2527">
          <cell r="A2527" t="str">
            <v>Ireland HQINVESTMENT SECURITIES</v>
          </cell>
          <cell r="B2527">
            <v>0</v>
          </cell>
          <cell r="C2527">
            <v>0</v>
          </cell>
          <cell r="D2527">
            <v>0</v>
          </cell>
          <cell r="E2527">
            <v>0</v>
          </cell>
          <cell r="F2527">
            <v>0</v>
          </cell>
          <cell r="G2527">
            <v>0</v>
          </cell>
          <cell r="H2527">
            <v>0</v>
          </cell>
          <cell r="I2527">
            <v>0</v>
          </cell>
          <cell r="J2527">
            <v>0</v>
          </cell>
          <cell r="K2527">
            <v>0</v>
          </cell>
          <cell r="L2527">
            <v>0</v>
          </cell>
          <cell r="M2527">
            <v>0</v>
          </cell>
          <cell r="N2527">
            <v>0</v>
          </cell>
          <cell r="O2527">
            <v>0</v>
          </cell>
        </row>
        <row r="2528">
          <cell r="A2528" t="str">
            <v>Ireland HQINV IN NON CONSOL AFFILIATES</v>
          </cell>
          <cell r="B2528">
            <v>0</v>
          </cell>
          <cell r="C2528">
            <v>0</v>
          </cell>
          <cell r="D2528">
            <v>0</v>
          </cell>
          <cell r="E2528">
            <v>67194770.689999998</v>
          </cell>
          <cell r="F2528">
            <v>67194770.689999998</v>
          </cell>
          <cell r="G2528">
            <v>71305761</v>
          </cell>
          <cell r="H2528">
            <v>71305761</v>
          </cell>
          <cell r="I2528">
            <v>71305761</v>
          </cell>
          <cell r="J2528">
            <v>71305761</v>
          </cell>
          <cell r="K2528">
            <v>71305761</v>
          </cell>
          <cell r="L2528">
            <v>67300845.230000004</v>
          </cell>
          <cell r="M2528">
            <v>0</v>
          </cell>
          <cell r="N2528">
            <v>0</v>
          </cell>
          <cell r="O2528">
            <v>0</v>
          </cell>
        </row>
        <row r="2529">
          <cell r="A2529" t="str">
            <v>Ireland HQINVESTMENT IN JOINT VENTURE</v>
          </cell>
          <cell r="B2529">
            <v>0</v>
          </cell>
          <cell r="C2529">
            <v>0</v>
          </cell>
          <cell r="D2529">
            <v>0</v>
          </cell>
          <cell r="E2529">
            <v>-17216000</v>
          </cell>
          <cell r="F2529">
            <v>-17216000</v>
          </cell>
          <cell r="G2529">
            <v>-17216000</v>
          </cell>
          <cell r="H2529">
            <v>-17216000</v>
          </cell>
          <cell r="I2529">
            <v>-17216000</v>
          </cell>
          <cell r="J2529">
            <v>-17216000</v>
          </cell>
          <cell r="K2529">
            <v>-17216000</v>
          </cell>
          <cell r="L2529">
            <v>-19037712</v>
          </cell>
          <cell r="M2529">
            <v>0</v>
          </cell>
          <cell r="N2529">
            <v>0</v>
          </cell>
          <cell r="O2529">
            <v>0</v>
          </cell>
        </row>
        <row r="2530">
          <cell r="A2530" t="str">
            <v>Ireland HQALL OTHER RECEIVABLES (NON-FINANCING)</v>
          </cell>
          <cell r="B2530">
            <v>0</v>
          </cell>
          <cell r="C2530">
            <v>0</v>
          </cell>
          <cell r="D2530">
            <v>0</v>
          </cell>
          <cell r="E2530">
            <v>11631333.210000001</v>
          </cell>
          <cell r="F2530">
            <v>11631333.210000001</v>
          </cell>
          <cell r="G2530">
            <v>11295103</v>
          </cell>
          <cell r="H2530">
            <v>11338492</v>
          </cell>
          <cell r="I2530">
            <v>11446808</v>
          </cell>
          <cell r="J2530">
            <v>11555125</v>
          </cell>
          <cell r="K2530">
            <v>11555125</v>
          </cell>
          <cell r="L2530">
            <v>-10101607.210000001</v>
          </cell>
          <cell r="M2530">
            <v>0</v>
          </cell>
          <cell r="N2530">
            <v>0</v>
          </cell>
          <cell r="O2530">
            <v>0</v>
          </cell>
        </row>
        <row r="2531">
          <cell r="A2531" t="str">
            <v>Ireland HQELTO (NET)</v>
          </cell>
          <cell r="B2531">
            <v>8068974.4299999997</v>
          </cell>
          <cell r="C2531">
            <v>8068974.4299999997</v>
          </cell>
          <cell r="D2531">
            <v>8068974.4299999997</v>
          </cell>
          <cell r="E2531">
            <v>0</v>
          </cell>
          <cell r="F2531">
            <v>0</v>
          </cell>
          <cell r="G2531">
            <v>0</v>
          </cell>
          <cell r="H2531">
            <v>0</v>
          </cell>
          <cell r="I2531">
            <v>0</v>
          </cell>
          <cell r="J2531">
            <v>0</v>
          </cell>
          <cell r="K2531">
            <v>0</v>
          </cell>
          <cell r="L2531">
            <v>0</v>
          </cell>
          <cell r="M2531">
            <v>0</v>
          </cell>
          <cell r="N2531">
            <v>0</v>
          </cell>
          <cell r="O2531">
            <v>0</v>
          </cell>
        </row>
        <row r="2532">
          <cell r="A2532" t="str">
            <v>Ireland HQGOODWILL</v>
          </cell>
          <cell r="B2532">
            <v>38329631.079999998</v>
          </cell>
          <cell r="C2532">
            <v>35060025.520000003</v>
          </cell>
          <cell r="D2532">
            <v>36971775.979999997</v>
          </cell>
          <cell r="E2532">
            <v>35855450.32</v>
          </cell>
          <cell r="F2532">
            <v>35855450.32</v>
          </cell>
          <cell r="G2532">
            <v>35855450</v>
          </cell>
          <cell r="H2532">
            <v>35855450</v>
          </cell>
          <cell r="I2532">
            <v>35855450</v>
          </cell>
          <cell r="J2532">
            <v>35855450</v>
          </cell>
          <cell r="K2532">
            <v>35855450</v>
          </cell>
          <cell r="L2532">
            <v>35061989.170000002</v>
          </cell>
          <cell r="M2532">
            <v>35047960.079999998</v>
          </cell>
          <cell r="N2532">
            <v>33037724.079999998</v>
          </cell>
          <cell r="O2532">
            <v>31027488.079999998</v>
          </cell>
        </row>
        <row r="2533">
          <cell r="A2533" t="str">
            <v>Ireland HQOTHER ASSETS</v>
          </cell>
          <cell r="B2533">
            <v>54790388.450000003</v>
          </cell>
          <cell r="C2533">
            <v>54890852.420000002</v>
          </cell>
          <cell r="D2533">
            <v>56943335.859999999</v>
          </cell>
          <cell r="E2533">
            <v>10363323.02</v>
          </cell>
          <cell r="F2533">
            <v>10363323.02</v>
          </cell>
          <cell r="G2533">
            <v>10975774</v>
          </cell>
          <cell r="H2533">
            <v>10975774</v>
          </cell>
          <cell r="I2533">
            <v>10975774</v>
          </cell>
          <cell r="J2533">
            <v>10975774</v>
          </cell>
          <cell r="K2533">
            <v>10975774</v>
          </cell>
          <cell r="L2533">
            <v>8207592.1600000001</v>
          </cell>
          <cell r="M2533">
            <v>54268552.450000003</v>
          </cell>
          <cell r="N2533">
            <v>53990505.450000003</v>
          </cell>
          <cell r="O2533">
            <v>53712458.450000003</v>
          </cell>
        </row>
        <row r="2534">
          <cell r="A2534" t="str">
            <v>Ireland HQACCOUNTS PAYABLE</v>
          </cell>
          <cell r="B2534">
            <v>-36278628.969999999</v>
          </cell>
          <cell r="C2534">
            <v>-14002921.27</v>
          </cell>
          <cell r="D2534">
            <v>-20108267.390000001</v>
          </cell>
          <cell r="E2534">
            <v>19572481.25</v>
          </cell>
          <cell r="F2534">
            <v>19572481.25</v>
          </cell>
          <cell r="G2534">
            <v>20000000</v>
          </cell>
          <cell r="H2534">
            <v>20000000</v>
          </cell>
          <cell r="I2534">
            <v>20000000</v>
          </cell>
          <cell r="J2534">
            <v>20000000</v>
          </cell>
          <cell r="K2534">
            <v>20000000</v>
          </cell>
          <cell r="L2534">
            <v>24641605.010000002</v>
          </cell>
          <cell r="M2534">
            <v>-35000000</v>
          </cell>
          <cell r="N2534">
            <v>-35000000</v>
          </cell>
          <cell r="O2534">
            <v>-35000000</v>
          </cell>
        </row>
        <row r="2535">
          <cell r="A2535" t="str">
            <v>Ireland HQDEFERRED INCOME TAXES</v>
          </cell>
          <cell r="B2535">
            <v>-9821194.1300000008</v>
          </cell>
          <cell r="C2535">
            <v>-12999508</v>
          </cell>
          <cell r="D2535">
            <v>-19486243.710000001</v>
          </cell>
          <cell r="E2535">
            <v>34239865.009999998</v>
          </cell>
          <cell r="F2535">
            <v>34239865.009999998</v>
          </cell>
          <cell r="G2535">
            <v>31883374</v>
          </cell>
          <cell r="H2535">
            <v>31877489</v>
          </cell>
          <cell r="I2535">
            <v>31859238</v>
          </cell>
          <cell r="J2535">
            <v>31840987</v>
          </cell>
          <cell r="K2535">
            <v>31840987</v>
          </cell>
          <cell r="L2535">
            <v>34788210.039999999</v>
          </cell>
          <cell r="M2535">
            <v>-30240585.482000001</v>
          </cell>
          <cell r="N2535">
            <v>-37626691.482000001</v>
          </cell>
          <cell r="O2535">
            <v>-45330088.482000001</v>
          </cell>
        </row>
        <row r="2536">
          <cell r="A2536" t="str">
            <v>Ireland HQWRITE-OFF (MEMO)</v>
          </cell>
          <cell r="B2536">
            <v>0</v>
          </cell>
          <cell r="C2536">
            <v>0</v>
          </cell>
          <cell r="D2536">
            <v>0</v>
          </cell>
          <cell r="E2536">
            <v>183.2</v>
          </cell>
          <cell r="F2536">
            <v>183.2</v>
          </cell>
          <cell r="G2536">
            <v>0</v>
          </cell>
          <cell r="H2536">
            <v>0</v>
          </cell>
          <cell r="I2536">
            <v>0</v>
          </cell>
          <cell r="J2536">
            <v>0</v>
          </cell>
          <cell r="K2536">
            <v>0</v>
          </cell>
          <cell r="L2536">
            <v>-159.53</v>
          </cell>
          <cell r="M2536">
            <v>0</v>
          </cell>
          <cell r="N2536">
            <v>0</v>
          </cell>
          <cell r="O2536">
            <v>0</v>
          </cell>
        </row>
        <row r="2537">
          <cell r="A2537" t="str">
            <v>Ireland HQINSURANCE RESERVES AND ANNUITY BENEFITS</v>
          </cell>
          <cell r="B2537">
            <v>0</v>
          </cell>
          <cell r="C2537">
            <v>0</v>
          </cell>
          <cell r="D2537">
            <v>0</v>
          </cell>
          <cell r="E2537">
            <v>0</v>
          </cell>
          <cell r="F2537">
            <v>0</v>
          </cell>
          <cell r="G2537">
            <v>0</v>
          </cell>
          <cell r="H2537">
            <v>0</v>
          </cell>
          <cell r="I2537">
            <v>0</v>
          </cell>
          <cell r="J2537">
            <v>0</v>
          </cell>
          <cell r="K2537">
            <v>0</v>
          </cell>
          <cell r="L2537">
            <v>0</v>
          </cell>
          <cell r="M2537">
            <v>0</v>
          </cell>
          <cell r="N2537">
            <v>0</v>
          </cell>
          <cell r="O2537">
            <v>0</v>
          </cell>
        </row>
        <row r="2538">
          <cell r="A2538" t="str">
            <v>Ireland HQALL OTHER NON DEBT LIABILITIES</v>
          </cell>
          <cell r="B2538">
            <v>48685712.149999999</v>
          </cell>
          <cell r="C2538">
            <v>40171006.600000001</v>
          </cell>
          <cell r="D2538">
            <v>63464272.82</v>
          </cell>
          <cell r="E2538">
            <v>-89519896.780000001</v>
          </cell>
          <cell r="F2538">
            <v>-89519896.780000001</v>
          </cell>
          <cell r="G2538">
            <v>-80692550</v>
          </cell>
          <cell r="H2538">
            <v>-80692550</v>
          </cell>
          <cell r="I2538">
            <v>-80692550</v>
          </cell>
          <cell r="J2538">
            <v>-80692550</v>
          </cell>
          <cell r="K2538">
            <v>-80692550</v>
          </cell>
          <cell r="L2538">
            <v>-95022880.609999999</v>
          </cell>
          <cell r="M2538">
            <v>-50000000</v>
          </cell>
          <cell r="N2538">
            <v>-50000000</v>
          </cell>
          <cell r="O2538">
            <v>-50000000</v>
          </cell>
        </row>
        <row r="2539">
          <cell r="A2539" t="str">
            <v>Ireland HQMINORITY INTEREST (BS)</v>
          </cell>
          <cell r="B2539">
            <v>0.16</v>
          </cell>
          <cell r="C2539">
            <v>0.02</v>
          </cell>
          <cell r="D2539">
            <v>-0.31</v>
          </cell>
          <cell r="E2539">
            <v>0</v>
          </cell>
          <cell r="F2539">
            <v>0</v>
          </cell>
          <cell r="G2539">
            <v>0</v>
          </cell>
          <cell r="H2539">
            <v>0</v>
          </cell>
          <cell r="I2539">
            <v>0</v>
          </cell>
          <cell r="J2539">
            <v>0</v>
          </cell>
          <cell r="K2539">
            <v>0</v>
          </cell>
          <cell r="L2539">
            <v>0</v>
          </cell>
          <cell r="M2539">
            <v>0</v>
          </cell>
          <cell r="N2539">
            <v>0</v>
          </cell>
          <cell r="O2539">
            <v>0</v>
          </cell>
        </row>
        <row r="2540">
          <cell r="A2540" t="str">
            <v>Ireland HQASIA PACIFIC ENI DIVIDEND</v>
          </cell>
          <cell r="B2540">
            <v>0</v>
          </cell>
          <cell r="C2540">
            <v>0</v>
          </cell>
          <cell r="D2540">
            <v>0</v>
          </cell>
          <cell r="E2540">
            <v>0</v>
          </cell>
          <cell r="F2540">
            <v>0</v>
          </cell>
          <cell r="G2540">
            <v>0</v>
          </cell>
          <cell r="H2540">
            <v>0</v>
          </cell>
          <cell r="I2540">
            <v>0</v>
          </cell>
          <cell r="J2540">
            <v>0</v>
          </cell>
          <cell r="K2540">
            <v>0</v>
          </cell>
          <cell r="L2540">
            <v>0</v>
          </cell>
          <cell r="M2540">
            <v>0</v>
          </cell>
          <cell r="N2540">
            <v>0</v>
          </cell>
          <cell r="O2540">
            <v>0</v>
          </cell>
        </row>
        <row r="2541">
          <cell r="A2541" t="str">
            <v>Ireland HQFINANCING INCOME</v>
          </cell>
          <cell r="B2541">
            <v>166491.22</v>
          </cell>
          <cell r="C2541">
            <v>779581.68</v>
          </cell>
          <cell r="D2541">
            <v>464263.2</v>
          </cell>
          <cell r="E2541">
            <v>-1824568.78</v>
          </cell>
          <cell r="F2541">
            <v>-414232.68</v>
          </cell>
          <cell r="G2541">
            <v>0</v>
          </cell>
          <cell r="H2541">
            <v>0</v>
          </cell>
          <cell r="I2541">
            <v>0</v>
          </cell>
          <cell r="J2541">
            <v>0</v>
          </cell>
          <cell r="K2541">
            <v>0</v>
          </cell>
          <cell r="L2541">
            <v>-109931.49</v>
          </cell>
          <cell r="M2541">
            <v>0</v>
          </cell>
          <cell r="N2541">
            <v>0</v>
          </cell>
          <cell r="O2541">
            <v>0</v>
          </cell>
        </row>
        <row r="2542">
          <cell r="A2542" t="str">
            <v>Ireland HQINSURANCE PREMIUM INCOME</v>
          </cell>
          <cell r="B2542">
            <v>112825.4</v>
          </cell>
          <cell r="C2542">
            <v>-367747.18</v>
          </cell>
          <cell r="D2542">
            <v>-570476.4</v>
          </cell>
          <cell r="E2542">
            <v>825398.18</v>
          </cell>
          <cell r="F2542">
            <v>0</v>
          </cell>
          <cell r="G2542">
            <v>0</v>
          </cell>
          <cell r="H2542">
            <v>0</v>
          </cell>
          <cell r="I2542">
            <v>0</v>
          </cell>
          <cell r="J2542">
            <v>0</v>
          </cell>
          <cell r="K2542">
            <v>0</v>
          </cell>
          <cell r="L2542">
            <v>0</v>
          </cell>
          <cell r="M2542">
            <v>0</v>
          </cell>
          <cell r="N2542">
            <v>0</v>
          </cell>
          <cell r="O2542">
            <v>0</v>
          </cell>
        </row>
        <row r="2543">
          <cell r="A2543" t="str">
            <v>Ireland HQINSURANCE INCOME (COMMISSIONS)</v>
          </cell>
          <cell r="B2543">
            <v>2123472.9900000002</v>
          </cell>
          <cell r="C2543">
            <v>1813158.65</v>
          </cell>
          <cell r="D2543">
            <v>1900448.09</v>
          </cell>
          <cell r="E2543">
            <v>-2990079.73</v>
          </cell>
          <cell r="F2543">
            <v>2847000</v>
          </cell>
          <cell r="G2543">
            <v>0</v>
          </cell>
          <cell r="H2543">
            <v>0</v>
          </cell>
          <cell r="I2543">
            <v>0</v>
          </cell>
          <cell r="J2543">
            <v>0</v>
          </cell>
          <cell r="K2543">
            <v>0</v>
          </cell>
          <cell r="L2543">
            <v>1821712</v>
          </cell>
          <cell r="M2543">
            <v>0</v>
          </cell>
          <cell r="N2543">
            <v>0</v>
          </cell>
          <cell r="O2543">
            <v>0</v>
          </cell>
        </row>
        <row r="2544">
          <cell r="A2544" t="str">
            <v>Ireland HQSUNDRY INCOME</v>
          </cell>
          <cell r="B2544">
            <v>-6789874.8700000001</v>
          </cell>
          <cell r="C2544">
            <v>-6488894.2199999997</v>
          </cell>
          <cell r="D2544">
            <v>-3181819.35</v>
          </cell>
          <cell r="E2544">
            <v>-11193074.310000001</v>
          </cell>
          <cell r="F2544">
            <v>-27653662.75</v>
          </cell>
          <cell r="G2544">
            <v>-3249268</v>
          </cell>
          <cell r="H2544">
            <v>-3249268</v>
          </cell>
          <cell r="I2544">
            <v>-2487910</v>
          </cell>
          <cell r="J2544">
            <v>-7187910</v>
          </cell>
          <cell r="K2544">
            <v>-16174356</v>
          </cell>
          <cell r="L2544">
            <v>237810.14</v>
          </cell>
          <cell r="M2544">
            <v>-15495205</v>
          </cell>
          <cell r="N2544">
            <v>-13459426</v>
          </cell>
          <cell r="O2544">
            <v>-13459426</v>
          </cell>
        </row>
        <row r="2545">
          <cell r="A2545" t="str">
            <v>Ireland HQINTEREST EXPENSE</v>
          </cell>
          <cell r="B2545">
            <v>4062931.01</v>
          </cell>
          <cell r="C2545">
            <v>3419295.92</v>
          </cell>
          <cell r="D2545">
            <v>3431728.8</v>
          </cell>
          <cell r="E2545">
            <v>10614267.699999999</v>
          </cell>
          <cell r="F2545">
            <v>21528223.43</v>
          </cell>
          <cell r="G2545">
            <v>3038457</v>
          </cell>
          <cell r="H2545">
            <v>3038457</v>
          </cell>
          <cell r="I2545">
            <v>2199804</v>
          </cell>
          <cell r="J2545">
            <v>2199804</v>
          </cell>
          <cell r="K2545">
            <v>10476522</v>
          </cell>
          <cell r="L2545">
            <v>4060403.67</v>
          </cell>
          <cell r="M2545">
            <v>14325178</v>
          </cell>
          <cell r="N2545">
            <v>12082720</v>
          </cell>
          <cell r="O2545">
            <v>12082720</v>
          </cell>
        </row>
        <row r="2546">
          <cell r="A2546" t="str">
            <v>Ireland HQINTEREST EXPENSE REDUCTIONS / BUS SHARING</v>
          </cell>
          <cell r="B2546">
            <v>0</v>
          </cell>
          <cell r="C2546">
            <v>0</v>
          </cell>
          <cell r="D2546">
            <v>0</v>
          </cell>
          <cell r="E2546">
            <v>0</v>
          </cell>
          <cell r="F2546">
            <v>0</v>
          </cell>
          <cell r="G2546">
            <v>0</v>
          </cell>
          <cell r="H2546">
            <v>0</v>
          </cell>
          <cell r="I2546">
            <v>0</v>
          </cell>
          <cell r="J2546">
            <v>0</v>
          </cell>
          <cell r="K2546">
            <v>0</v>
          </cell>
          <cell r="L2546">
            <v>0</v>
          </cell>
          <cell r="M2546">
            <v>0</v>
          </cell>
          <cell r="N2546">
            <v>0</v>
          </cell>
          <cell r="O2546">
            <v>0</v>
          </cell>
        </row>
        <row r="2547">
          <cell r="A2547" t="str">
            <v>Ireland HQALLOCATED COST OF PREFERRED EQUITY</v>
          </cell>
          <cell r="B2547">
            <v>0</v>
          </cell>
          <cell r="C2547">
            <v>0</v>
          </cell>
          <cell r="D2547">
            <v>0</v>
          </cell>
          <cell r="E2547">
            <v>150303</v>
          </cell>
          <cell r="F2547">
            <v>150303</v>
          </cell>
          <cell r="G2547">
            <v>0</v>
          </cell>
          <cell r="H2547">
            <v>0</v>
          </cell>
          <cell r="I2547">
            <v>0</v>
          </cell>
          <cell r="J2547">
            <v>0</v>
          </cell>
          <cell r="K2547">
            <v>0</v>
          </cell>
          <cell r="L2547">
            <v>44904</v>
          </cell>
          <cell r="M2547">
            <v>0</v>
          </cell>
          <cell r="N2547">
            <v>0</v>
          </cell>
          <cell r="O2547">
            <v>0</v>
          </cell>
        </row>
        <row r="2548">
          <cell r="A2548" t="str">
            <v>Ireland HQSALARIES &amp; BENEFITS</v>
          </cell>
          <cell r="B2548">
            <v>2891304.08</v>
          </cell>
          <cell r="C2548">
            <v>1969641.78</v>
          </cell>
          <cell r="D2548">
            <v>3027878.67</v>
          </cell>
          <cell r="E2548">
            <v>6433683.9500000002</v>
          </cell>
          <cell r="F2548">
            <v>14322508.48</v>
          </cell>
          <cell r="G2548">
            <v>4130784</v>
          </cell>
          <cell r="H2548">
            <v>4019406</v>
          </cell>
          <cell r="I2548">
            <v>4049542</v>
          </cell>
          <cell r="J2548">
            <v>4052134</v>
          </cell>
          <cell r="K2548">
            <v>16251866</v>
          </cell>
          <cell r="L2548">
            <v>3929744.6</v>
          </cell>
          <cell r="M2548">
            <v>13607889</v>
          </cell>
          <cell r="N2548">
            <v>14288283</v>
          </cell>
          <cell r="O2548">
            <v>15002697</v>
          </cell>
        </row>
        <row r="2549">
          <cell r="A2549" t="str">
            <v>Ireland HQLOSSES ON OTHER ASSETS</v>
          </cell>
          <cell r="B2549">
            <v>0</v>
          </cell>
          <cell r="C2549">
            <v>0</v>
          </cell>
          <cell r="D2549">
            <v>0</v>
          </cell>
          <cell r="E2549">
            <v>2026088.04</v>
          </cell>
          <cell r="F2549">
            <v>2026088.04</v>
          </cell>
          <cell r="G2549">
            <v>0</v>
          </cell>
          <cell r="H2549">
            <v>0</v>
          </cell>
          <cell r="I2549">
            <v>0</v>
          </cell>
          <cell r="J2549">
            <v>0</v>
          </cell>
          <cell r="K2549">
            <v>0</v>
          </cell>
          <cell r="L2549">
            <v>0</v>
          </cell>
          <cell r="M2549">
            <v>0</v>
          </cell>
          <cell r="N2549">
            <v>0</v>
          </cell>
          <cell r="O2549">
            <v>0</v>
          </cell>
        </row>
        <row r="2550">
          <cell r="A2550" t="str">
            <v>Ireland HQCOST OF GOODS SOLD</v>
          </cell>
          <cell r="B2550">
            <v>0</v>
          </cell>
          <cell r="C2550">
            <v>0</v>
          </cell>
          <cell r="D2550">
            <v>0</v>
          </cell>
          <cell r="E2550">
            <v>0</v>
          </cell>
          <cell r="F2550">
            <v>0</v>
          </cell>
          <cell r="G2550">
            <v>0</v>
          </cell>
          <cell r="H2550">
            <v>0</v>
          </cell>
          <cell r="I2550">
            <v>0</v>
          </cell>
          <cell r="J2550">
            <v>0</v>
          </cell>
          <cell r="K2550">
            <v>0</v>
          </cell>
          <cell r="L2550">
            <v>0</v>
          </cell>
          <cell r="M2550">
            <v>0</v>
          </cell>
          <cell r="N2550">
            <v>0</v>
          </cell>
          <cell r="O2550">
            <v>0</v>
          </cell>
        </row>
        <row r="2551">
          <cell r="A2551" t="str">
            <v>Ireland HQCOST OF GOODS SOLD - DISTRIBUTION</v>
          </cell>
          <cell r="B2551">
            <v>0</v>
          </cell>
          <cell r="C2551">
            <v>0</v>
          </cell>
          <cell r="D2551">
            <v>0</v>
          </cell>
          <cell r="E2551">
            <v>0</v>
          </cell>
          <cell r="F2551">
            <v>0</v>
          </cell>
          <cell r="G2551">
            <v>0</v>
          </cell>
          <cell r="H2551">
            <v>0</v>
          </cell>
          <cell r="I2551">
            <v>0</v>
          </cell>
          <cell r="J2551">
            <v>0</v>
          </cell>
          <cell r="K2551">
            <v>0</v>
          </cell>
          <cell r="L2551">
            <v>0</v>
          </cell>
          <cell r="M2551">
            <v>0</v>
          </cell>
          <cell r="N2551">
            <v>0</v>
          </cell>
          <cell r="O2551">
            <v>0</v>
          </cell>
        </row>
        <row r="2552">
          <cell r="A2552" t="str">
            <v>Ireland HQPOSTAGE</v>
          </cell>
          <cell r="B2552">
            <v>15100.94</v>
          </cell>
          <cell r="C2552">
            <v>22288.21</v>
          </cell>
          <cell r="D2552">
            <v>9462.42</v>
          </cell>
          <cell r="E2552">
            <v>9236.02</v>
          </cell>
          <cell r="F2552">
            <v>56087.59</v>
          </cell>
          <cell r="G2552">
            <v>13225</v>
          </cell>
          <cell r="H2552">
            <v>13225</v>
          </cell>
          <cell r="I2552">
            <v>13225</v>
          </cell>
          <cell r="J2552">
            <v>13225</v>
          </cell>
          <cell r="K2552">
            <v>52900</v>
          </cell>
          <cell r="L2552">
            <v>17056.2</v>
          </cell>
          <cell r="M2552">
            <v>117761</v>
          </cell>
          <cell r="N2552">
            <v>122472</v>
          </cell>
          <cell r="O2552">
            <v>127370</v>
          </cell>
        </row>
        <row r="2553">
          <cell r="A2553" t="str">
            <v>Ireland HQTELEPHONE</v>
          </cell>
          <cell r="B2553">
            <v>177090.43</v>
          </cell>
          <cell r="C2553">
            <v>33255.97</v>
          </cell>
          <cell r="D2553">
            <v>86349.73</v>
          </cell>
          <cell r="E2553">
            <v>288150.87</v>
          </cell>
          <cell r="F2553">
            <v>584847</v>
          </cell>
          <cell r="G2553">
            <v>93425</v>
          </cell>
          <cell r="H2553">
            <v>93425</v>
          </cell>
          <cell r="I2553">
            <v>93425</v>
          </cell>
          <cell r="J2553">
            <v>93425</v>
          </cell>
          <cell r="K2553">
            <v>373700</v>
          </cell>
          <cell r="L2553">
            <v>104362.42</v>
          </cell>
          <cell r="M2553">
            <v>415950</v>
          </cell>
          <cell r="N2553">
            <v>432588</v>
          </cell>
          <cell r="O2553">
            <v>449891</v>
          </cell>
        </row>
        <row r="2554">
          <cell r="A2554" t="str">
            <v>Ireland HQCUSTOMER SERVICE / COLLECTIONS</v>
          </cell>
          <cell r="B2554">
            <v>3624.05</v>
          </cell>
          <cell r="C2554">
            <v>30669.42</v>
          </cell>
          <cell r="D2554">
            <v>0</v>
          </cell>
          <cell r="E2554">
            <v>30546.12</v>
          </cell>
          <cell r="F2554">
            <v>64839.59</v>
          </cell>
          <cell r="G2554">
            <v>0</v>
          </cell>
          <cell r="H2554">
            <v>0</v>
          </cell>
          <cell r="I2554">
            <v>0</v>
          </cell>
          <cell r="J2554">
            <v>0</v>
          </cell>
          <cell r="K2554">
            <v>0</v>
          </cell>
          <cell r="L2554">
            <v>0</v>
          </cell>
          <cell r="M2554">
            <v>0</v>
          </cell>
          <cell r="N2554">
            <v>0</v>
          </cell>
          <cell r="O2554">
            <v>0</v>
          </cell>
        </row>
        <row r="2555">
          <cell r="A2555" t="str">
            <v>Ireland HQSTATIONARY - OFFICE SUPPLIES</v>
          </cell>
          <cell r="B2555">
            <v>40150.300000000003</v>
          </cell>
          <cell r="C2555">
            <v>18146.12</v>
          </cell>
          <cell r="D2555">
            <v>13808.26</v>
          </cell>
          <cell r="E2555">
            <v>-2285.92</v>
          </cell>
          <cell r="F2555">
            <v>69818.759999999995</v>
          </cell>
          <cell r="G2555">
            <v>24648</v>
          </cell>
          <cell r="H2555">
            <v>24648</v>
          </cell>
          <cell r="I2555">
            <v>24648</v>
          </cell>
          <cell r="J2555">
            <v>24648</v>
          </cell>
          <cell r="K2555">
            <v>98592</v>
          </cell>
          <cell r="L2555">
            <v>7197.24</v>
          </cell>
          <cell r="M2555">
            <v>87020</v>
          </cell>
          <cell r="N2555">
            <v>90501</v>
          </cell>
          <cell r="O2555">
            <v>94121</v>
          </cell>
        </row>
        <row r="2556">
          <cell r="A2556" t="str">
            <v>Ireland HQT&amp;L</v>
          </cell>
          <cell r="B2556">
            <v>361434.27</v>
          </cell>
          <cell r="C2556">
            <v>227927.62</v>
          </cell>
          <cell r="D2556">
            <v>361103.16</v>
          </cell>
          <cell r="E2556">
            <v>1294365.29</v>
          </cell>
          <cell r="F2556">
            <v>2244830.34</v>
          </cell>
          <cell r="G2556">
            <v>500670</v>
          </cell>
          <cell r="H2556">
            <v>467679</v>
          </cell>
          <cell r="I2556">
            <v>467688</v>
          </cell>
          <cell r="J2556">
            <v>465947</v>
          </cell>
          <cell r="K2556">
            <v>1901984</v>
          </cell>
          <cell r="L2556">
            <v>675944.6</v>
          </cell>
          <cell r="M2556">
            <v>2106351</v>
          </cell>
          <cell r="N2556">
            <v>2190605</v>
          </cell>
          <cell r="O2556">
            <v>2278229</v>
          </cell>
        </row>
        <row r="2557">
          <cell r="A2557" t="str">
            <v>Ireland HQRENTAL - BLDG/FACILITIES</v>
          </cell>
          <cell r="B2557">
            <v>13929.3</v>
          </cell>
          <cell r="C2557">
            <v>-1137.04</v>
          </cell>
          <cell r="D2557">
            <v>3662.43</v>
          </cell>
          <cell r="E2557">
            <v>-2938610.98</v>
          </cell>
          <cell r="F2557">
            <v>-2922156.29</v>
          </cell>
          <cell r="G2557">
            <v>26626</v>
          </cell>
          <cell r="H2557">
            <v>26626</v>
          </cell>
          <cell r="I2557">
            <v>26626</v>
          </cell>
          <cell r="J2557">
            <v>26626</v>
          </cell>
          <cell r="K2557">
            <v>106504</v>
          </cell>
          <cell r="L2557">
            <v>11968.09</v>
          </cell>
          <cell r="M2557">
            <v>464326</v>
          </cell>
          <cell r="N2557">
            <v>482899</v>
          </cell>
          <cell r="O2557">
            <v>502215</v>
          </cell>
        </row>
        <row r="2558">
          <cell r="A2558" t="str">
            <v>Ireland HQRENTAL - FURNITURE/EQUIP</v>
          </cell>
          <cell r="B2558">
            <v>0</v>
          </cell>
          <cell r="C2558">
            <v>0</v>
          </cell>
          <cell r="D2558">
            <v>0</v>
          </cell>
          <cell r="E2558">
            <v>0</v>
          </cell>
          <cell r="F2558">
            <v>0</v>
          </cell>
          <cell r="G2558">
            <v>0</v>
          </cell>
          <cell r="H2558">
            <v>0</v>
          </cell>
          <cell r="I2558">
            <v>0</v>
          </cell>
          <cell r="J2558">
            <v>0</v>
          </cell>
          <cell r="K2558">
            <v>0</v>
          </cell>
          <cell r="L2558">
            <v>0</v>
          </cell>
          <cell r="M2558">
            <v>12555</v>
          </cell>
          <cell r="N2558">
            <v>13057</v>
          </cell>
          <cell r="O2558">
            <v>13580</v>
          </cell>
        </row>
        <row r="2559">
          <cell r="A2559" t="str">
            <v>Ireland HQRENTAL - COMPUTERS</v>
          </cell>
          <cell r="B2559">
            <v>0</v>
          </cell>
          <cell r="C2559">
            <v>1666.95</v>
          </cell>
          <cell r="D2559">
            <v>0</v>
          </cell>
          <cell r="E2559">
            <v>-615107.94999999995</v>
          </cell>
          <cell r="F2559">
            <v>-613441</v>
          </cell>
          <cell r="G2559">
            <v>0</v>
          </cell>
          <cell r="H2559">
            <v>0</v>
          </cell>
          <cell r="I2559">
            <v>0</v>
          </cell>
          <cell r="J2559">
            <v>0</v>
          </cell>
          <cell r="K2559">
            <v>0</v>
          </cell>
          <cell r="L2559">
            <v>0</v>
          </cell>
          <cell r="M2559">
            <v>0</v>
          </cell>
          <cell r="N2559">
            <v>0</v>
          </cell>
          <cell r="O2559">
            <v>0</v>
          </cell>
        </row>
        <row r="2560">
          <cell r="A2560" t="str">
            <v>Ireland HQLEASE IN - LEASE OUT</v>
          </cell>
          <cell r="B2560">
            <v>0</v>
          </cell>
          <cell r="C2560">
            <v>0</v>
          </cell>
          <cell r="D2560">
            <v>0</v>
          </cell>
          <cell r="E2560">
            <v>0</v>
          </cell>
          <cell r="F2560">
            <v>0</v>
          </cell>
          <cell r="G2560">
            <v>0</v>
          </cell>
          <cell r="H2560">
            <v>0</v>
          </cell>
          <cell r="I2560">
            <v>0</v>
          </cell>
          <cell r="J2560">
            <v>0</v>
          </cell>
          <cell r="K2560">
            <v>0</v>
          </cell>
          <cell r="L2560">
            <v>0</v>
          </cell>
          <cell r="M2560">
            <v>0</v>
          </cell>
          <cell r="N2560">
            <v>0</v>
          </cell>
          <cell r="O2560">
            <v>0</v>
          </cell>
        </row>
        <row r="2561">
          <cell r="A2561" t="str">
            <v>Ireland HQFURNITURE / EQUIPMENT / COMPUTER EXP</v>
          </cell>
          <cell r="B2561">
            <v>-265175.96999999997</v>
          </cell>
          <cell r="C2561">
            <v>-123018.67</v>
          </cell>
          <cell r="D2561">
            <v>388194.72</v>
          </cell>
          <cell r="E2561">
            <v>-0.05</v>
          </cell>
          <cell r="F2561">
            <v>0.03</v>
          </cell>
          <cell r="G2561">
            <v>0</v>
          </cell>
          <cell r="H2561">
            <v>0</v>
          </cell>
          <cell r="I2561">
            <v>0</v>
          </cell>
          <cell r="J2561">
            <v>0</v>
          </cell>
          <cell r="K2561">
            <v>0</v>
          </cell>
          <cell r="L2561">
            <v>0</v>
          </cell>
          <cell r="M2561">
            <v>0</v>
          </cell>
          <cell r="N2561">
            <v>0</v>
          </cell>
          <cell r="O2561">
            <v>0</v>
          </cell>
        </row>
        <row r="2562">
          <cell r="A2562" t="str">
            <v>Ireland HQSOFTWARE EXPENSE</v>
          </cell>
          <cell r="B2562">
            <v>0</v>
          </cell>
          <cell r="C2562">
            <v>0</v>
          </cell>
          <cell r="D2562">
            <v>0</v>
          </cell>
          <cell r="E2562">
            <v>0</v>
          </cell>
          <cell r="F2562">
            <v>0</v>
          </cell>
          <cell r="G2562">
            <v>0</v>
          </cell>
          <cell r="H2562">
            <v>0</v>
          </cell>
          <cell r="I2562">
            <v>0</v>
          </cell>
          <cell r="J2562">
            <v>0</v>
          </cell>
          <cell r="K2562">
            <v>0</v>
          </cell>
          <cell r="L2562">
            <v>0</v>
          </cell>
          <cell r="M2562">
            <v>0</v>
          </cell>
          <cell r="N2562">
            <v>0</v>
          </cell>
          <cell r="O2562">
            <v>0</v>
          </cell>
        </row>
        <row r="2563">
          <cell r="A2563" t="str">
            <v>Ireland HQAMORTIZATION OF INTANGIBLES</v>
          </cell>
          <cell r="B2563">
            <v>0</v>
          </cell>
          <cell r="C2563">
            <v>0</v>
          </cell>
          <cell r="D2563">
            <v>0</v>
          </cell>
          <cell r="E2563">
            <v>0</v>
          </cell>
          <cell r="F2563">
            <v>0</v>
          </cell>
          <cell r="G2563">
            <v>0</v>
          </cell>
          <cell r="H2563">
            <v>0</v>
          </cell>
          <cell r="I2563">
            <v>0</v>
          </cell>
          <cell r="J2563">
            <v>0</v>
          </cell>
          <cell r="K2563">
            <v>0</v>
          </cell>
          <cell r="L2563">
            <v>0</v>
          </cell>
          <cell r="M2563">
            <v>0</v>
          </cell>
          <cell r="N2563">
            <v>0</v>
          </cell>
          <cell r="O2563">
            <v>0</v>
          </cell>
        </row>
        <row r="2564">
          <cell r="A2564" t="str">
            <v>Ireland HQELTO MAINTENANCE</v>
          </cell>
          <cell r="B2564">
            <v>0</v>
          </cell>
          <cell r="C2564">
            <v>0</v>
          </cell>
          <cell r="D2564">
            <v>0</v>
          </cell>
          <cell r="E2564">
            <v>0</v>
          </cell>
          <cell r="F2564">
            <v>0</v>
          </cell>
          <cell r="G2564">
            <v>0</v>
          </cell>
          <cell r="H2564">
            <v>0</v>
          </cell>
          <cell r="I2564">
            <v>0</v>
          </cell>
          <cell r="J2564">
            <v>0</v>
          </cell>
          <cell r="K2564">
            <v>0</v>
          </cell>
          <cell r="L2564">
            <v>0</v>
          </cell>
          <cell r="M2564">
            <v>0</v>
          </cell>
          <cell r="N2564">
            <v>0</v>
          </cell>
          <cell r="O2564">
            <v>0</v>
          </cell>
        </row>
        <row r="2565">
          <cell r="A2565" t="str">
            <v>Ireland HQELTO OTHER</v>
          </cell>
          <cell r="B2565">
            <v>0</v>
          </cell>
          <cell r="C2565">
            <v>0</v>
          </cell>
          <cell r="D2565">
            <v>0</v>
          </cell>
          <cell r="E2565">
            <v>0</v>
          </cell>
          <cell r="F2565">
            <v>0</v>
          </cell>
          <cell r="G2565">
            <v>0</v>
          </cell>
          <cell r="H2565">
            <v>0</v>
          </cell>
          <cell r="I2565">
            <v>0</v>
          </cell>
          <cell r="J2565">
            <v>0</v>
          </cell>
          <cell r="K2565">
            <v>0</v>
          </cell>
          <cell r="L2565">
            <v>0</v>
          </cell>
          <cell r="M2565">
            <v>0</v>
          </cell>
          <cell r="N2565">
            <v>0</v>
          </cell>
          <cell r="O2565">
            <v>0</v>
          </cell>
        </row>
        <row r="2566">
          <cell r="A2566" t="str">
            <v>Ireland HQLEGAL</v>
          </cell>
          <cell r="B2566">
            <v>0</v>
          </cell>
          <cell r="C2566">
            <v>0</v>
          </cell>
          <cell r="D2566">
            <v>0</v>
          </cell>
          <cell r="E2566">
            <v>0</v>
          </cell>
          <cell r="F2566">
            <v>0</v>
          </cell>
          <cell r="G2566">
            <v>1430</v>
          </cell>
          <cell r="H2566">
            <v>1430</v>
          </cell>
          <cell r="I2566">
            <v>1430</v>
          </cell>
          <cell r="J2566">
            <v>1430</v>
          </cell>
          <cell r="K2566">
            <v>5720</v>
          </cell>
          <cell r="L2566">
            <v>0</v>
          </cell>
          <cell r="M2566">
            <v>9406</v>
          </cell>
          <cell r="N2566">
            <v>9782</v>
          </cell>
          <cell r="O2566">
            <v>10173</v>
          </cell>
        </row>
        <row r="2567">
          <cell r="A2567" t="str">
            <v>Ireland HQADVERTISING</v>
          </cell>
          <cell r="B2567">
            <v>0</v>
          </cell>
          <cell r="C2567">
            <v>454.67</v>
          </cell>
          <cell r="D2567">
            <v>5696.3</v>
          </cell>
          <cell r="E2567">
            <v>17314.79</v>
          </cell>
          <cell r="F2567">
            <v>23465.759999999998</v>
          </cell>
          <cell r="G2567">
            <v>242</v>
          </cell>
          <cell r="H2567">
            <v>242</v>
          </cell>
          <cell r="I2567">
            <v>242</v>
          </cell>
          <cell r="J2567">
            <v>242</v>
          </cell>
          <cell r="K2567">
            <v>968</v>
          </cell>
          <cell r="L2567">
            <v>0</v>
          </cell>
          <cell r="M2567">
            <v>0</v>
          </cell>
          <cell r="N2567">
            <v>0</v>
          </cell>
          <cell r="O2567">
            <v>0</v>
          </cell>
        </row>
        <row r="2568">
          <cell r="A2568" t="str">
            <v>Ireland HQSALES PROMOTIONS</v>
          </cell>
          <cell r="B2568">
            <v>499.89</v>
          </cell>
          <cell r="C2568">
            <v>0</v>
          </cell>
          <cell r="D2568">
            <v>0</v>
          </cell>
          <cell r="E2568">
            <v>0</v>
          </cell>
          <cell r="F2568">
            <v>499.89</v>
          </cell>
          <cell r="G2568">
            <v>0</v>
          </cell>
          <cell r="H2568">
            <v>0</v>
          </cell>
          <cell r="I2568">
            <v>0</v>
          </cell>
          <cell r="J2568">
            <v>0</v>
          </cell>
          <cell r="K2568">
            <v>0</v>
          </cell>
          <cell r="L2568">
            <v>0</v>
          </cell>
          <cell r="M2568">
            <v>1223</v>
          </cell>
          <cell r="N2568">
            <v>1272</v>
          </cell>
          <cell r="O2568">
            <v>1323</v>
          </cell>
        </row>
        <row r="2569">
          <cell r="A2569" t="str">
            <v>Ireland HQDIRECT MAIL</v>
          </cell>
          <cell r="B2569">
            <v>0</v>
          </cell>
          <cell r="C2569">
            <v>0</v>
          </cell>
          <cell r="D2569">
            <v>0</v>
          </cell>
          <cell r="E2569">
            <v>0</v>
          </cell>
          <cell r="F2569">
            <v>0</v>
          </cell>
          <cell r="G2569">
            <v>0</v>
          </cell>
          <cell r="H2569">
            <v>0</v>
          </cell>
          <cell r="I2569">
            <v>0</v>
          </cell>
          <cell r="J2569">
            <v>0</v>
          </cell>
          <cell r="K2569">
            <v>0</v>
          </cell>
          <cell r="L2569">
            <v>0</v>
          </cell>
          <cell r="M2569">
            <v>0</v>
          </cell>
          <cell r="N2569">
            <v>0</v>
          </cell>
          <cell r="O2569">
            <v>0</v>
          </cell>
        </row>
        <row r="2570">
          <cell r="A2570" t="str">
            <v>Ireland HQDATA PROCESSING</v>
          </cell>
          <cell r="B2570">
            <v>455628.33</v>
          </cell>
          <cell r="C2570">
            <v>68034.490000000005</v>
          </cell>
          <cell r="D2570">
            <v>33138.25</v>
          </cell>
          <cell r="E2570">
            <v>89627.93</v>
          </cell>
          <cell r="F2570">
            <v>646429</v>
          </cell>
          <cell r="G2570">
            <v>27113</v>
          </cell>
          <cell r="H2570">
            <v>27113</v>
          </cell>
          <cell r="I2570">
            <v>27113</v>
          </cell>
          <cell r="J2570">
            <v>27113</v>
          </cell>
          <cell r="K2570">
            <v>108452</v>
          </cell>
          <cell r="L2570">
            <v>24417.84</v>
          </cell>
          <cell r="M2570">
            <v>35861</v>
          </cell>
          <cell r="N2570">
            <v>37295</v>
          </cell>
          <cell r="O2570">
            <v>38787</v>
          </cell>
        </row>
        <row r="2571">
          <cell r="A2571" t="str">
            <v>Ireland HQCONSULTING</v>
          </cell>
          <cell r="B2571">
            <v>694501.93</v>
          </cell>
          <cell r="C2571">
            <v>521334.76</v>
          </cell>
          <cell r="D2571">
            <v>773545.68</v>
          </cell>
          <cell r="E2571">
            <v>-769118.93</v>
          </cell>
          <cell r="F2571">
            <v>1220263.44</v>
          </cell>
          <cell r="G2571">
            <v>177199</v>
          </cell>
          <cell r="H2571">
            <v>180684</v>
          </cell>
          <cell r="I2571">
            <v>180868</v>
          </cell>
          <cell r="J2571">
            <v>180868</v>
          </cell>
          <cell r="K2571">
            <v>719619</v>
          </cell>
          <cell r="L2571">
            <v>223258.53</v>
          </cell>
          <cell r="M2571">
            <v>179217</v>
          </cell>
          <cell r="N2571">
            <v>186386</v>
          </cell>
          <cell r="O2571">
            <v>193841</v>
          </cell>
        </row>
        <row r="2572">
          <cell r="A2572" t="str">
            <v>Ireland HQTEMP SERVICES</v>
          </cell>
          <cell r="B2572">
            <v>84076.62</v>
          </cell>
          <cell r="C2572">
            <v>158716.4</v>
          </cell>
          <cell r="D2572">
            <v>27724.31</v>
          </cell>
          <cell r="E2572">
            <v>-259470.2</v>
          </cell>
          <cell r="F2572">
            <v>11047.13</v>
          </cell>
          <cell r="G2572">
            <v>0</v>
          </cell>
          <cell r="H2572">
            <v>0</v>
          </cell>
          <cell r="I2572">
            <v>0</v>
          </cell>
          <cell r="J2572">
            <v>0</v>
          </cell>
          <cell r="K2572">
            <v>0</v>
          </cell>
          <cell r="L2572">
            <v>0</v>
          </cell>
          <cell r="M2572">
            <v>0</v>
          </cell>
          <cell r="N2572">
            <v>0</v>
          </cell>
          <cell r="O2572">
            <v>0</v>
          </cell>
        </row>
        <row r="2573">
          <cell r="A2573" t="str">
            <v>Ireland HQGDC CHARGES</v>
          </cell>
          <cell r="B2573">
            <v>-41859.49</v>
          </cell>
          <cell r="C2573">
            <v>-165102.17000000001</v>
          </cell>
          <cell r="D2573">
            <v>-110449.06</v>
          </cell>
          <cell r="E2573">
            <v>557729.73</v>
          </cell>
          <cell r="F2573">
            <v>240319.01</v>
          </cell>
          <cell r="G2573">
            <v>57500</v>
          </cell>
          <cell r="H2573">
            <v>57500</v>
          </cell>
          <cell r="I2573">
            <v>57500</v>
          </cell>
          <cell r="J2573">
            <v>57500</v>
          </cell>
          <cell r="K2573">
            <v>230000</v>
          </cell>
          <cell r="L2573">
            <v>8000</v>
          </cell>
          <cell r="M2573">
            <v>0</v>
          </cell>
          <cell r="N2573">
            <v>0</v>
          </cell>
          <cell r="O2573">
            <v>0</v>
          </cell>
        </row>
        <row r="2574">
          <cell r="A2574" t="str">
            <v>Ireland HQTRAINING AND EDUCATION</v>
          </cell>
          <cell r="B2574">
            <v>-60946.06</v>
          </cell>
          <cell r="C2574">
            <v>-77038.81</v>
          </cell>
          <cell r="D2574">
            <v>-97543.76</v>
          </cell>
          <cell r="E2574">
            <v>458123.1</v>
          </cell>
          <cell r="F2574">
            <v>222594.47</v>
          </cell>
          <cell r="G2574">
            <v>87813</v>
          </cell>
          <cell r="H2574">
            <v>91313</v>
          </cell>
          <cell r="I2574">
            <v>91480</v>
          </cell>
          <cell r="J2574">
            <v>90980</v>
          </cell>
          <cell r="K2574">
            <v>361586</v>
          </cell>
          <cell r="L2574">
            <v>91074.45</v>
          </cell>
          <cell r="M2574">
            <v>0</v>
          </cell>
          <cell r="N2574">
            <v>0</v>
          </cell>
          <cell r="O2574">
            <v>0</v>
          </cell>
        </row>
        <row r="2575">
          <cell r="A2575" t="str">
            <v>Ireland HQOUTSIDE SERVICES  AND FEES</v>
          </cell>
          <cell r="B2575">
            <v>0</v>
          </cell>
          <cell r="C2575">
            <v>0</v>
          </cell>
          <cell r="D2575">
            <v>0</v>
          </cell>
          <cell r="E2575">
            <v>0</v>
          </cell>
          <cell r="F2575">
            <v>0</v>
          </cell>
          <cell r="G2575">
            <v>41768</v>
          </cell>
          <cell r="H2575">
            <v>41768</v>
          </cell>
          <cell r="I2575">
            <v>41768</v>
          </cell>
          <cell r="J2575">
            <v>41768</v>
          </cell>
          <cell r="K2575">
            <v>167072</v>
          </cell>
          <cell r="L2575">
            <v>0</v>
          </cell>
          <cell r="M2575">
            <v>689357</v>
          </cell>
          <cell r="N2575">
            <v>716931</v>
          </cell>
          <cell r="O2575">
            <v>745608</v>
          </cell>
        </row>
        <row r="2576">
          <cell r="A2576" t="str">
            <v>Ireland HQSTATE, FOREIGN, LOCAL TAXES</v>
          </cell>
          <cell r="B2576">
            <v>1199.73</v>
          </cell>
          <cell r="C2576">
            <v>719.92</v>
          </cell>
          <cell r="D2576">
            <v>1550.08</v>
          </cell>
          <cell r="E2576">
            <v>-701.42</v>
          </cell>
          <cell r="F2576">
            <v>2768.31</v>
          </cell>
          <cell r="G2576">
            <v>0</v>
          </cell>
          <cell r="H2576">
            <v>0</v>
          </cell>
          <cell r="I2576">
            <v>0</v>
          </cell>
          <cell r="J2576">
            <v>0</v>
          </cell>
          <cell r="K2576">
            <v>0</v>
          </cell>
          <cell r="L2576">
            <v>58207.08</v>
          </cell>
          <cell r="M2576">
            <v>146920</v>
          </cell>
          <cell r="N2576">
            <v>152797</v>
          </cell>
          <cell r="O2576">
            <v>158909</v>
          </cell>
        </row>
        <row r="2577">
          <cell r="A2577" t="str">
            <v>Ireland HQS/L TAX - INSURANCE PREMIUMS</v>
          </cell>
          <cell r="B2577">
            <v>0</v>
          </cell>
          <cell r="C2577">
            <v>0</v>
          </cell>
          <cell r="D2577">
            <v>0</v>
          </cell>
          <cell r="E2577">
            <v>0</v>
          </cell>
          <cell r="F2577">
            <v>0</v>
          </cell>
          <cell r="G2577">
            <v>0</v>
          </cell>
          <cell r="H2577">
            <v>0</v>
          </cell>
          <cell r="I2577">
            <v>0</v>
          </cell>
          <cell r="J2577">
            <v>0</v>
          </cell>
          <cell r="K2577">
            <v>0</v>
          </cell>
          <cell r="L2577">
            <v>0</v>
          </cell>
          <cell r="M2577">
            <v>0</v>
          </cell>
          <cell r="N2577">
            <v>0</v>
          </cell>
          <cell r="O2577">
            <v>0</v>
          </cell>
        </row>
        <row r="2578">
          <cell r="A2578" t="str">
            <v>Ireland HQSATELLITE LEASE EXPENSE</v>
          </cell>
          <cell r="B2578">
            <v>0</v>
          </cell>
          <cell r="C2578">
            <v>0</v>
          </cell>
          <cell r="D2578">
            <v>0</v>
          </cell>
          <cell r="E2578">
            <v>0</v>
          </cell>
          <cell r="F2578">
            <v>0</v>
          </cell>
          <cell r="G2578">
            <v>0</v>
          </cell>
          <cell r="H2578">
            <v>0</v>
          </cell>
          <cell r="I2578">
            <v>0</v>
          </cell>
          <cell r="J2578">
            <v>0</v>
          </cell>
          <cell r="K2578">
            <v>0</v>
          </cell>
          <cell r="L2578">
            <v>0</v>
          </cell>
          <cell r="M2578">
            <v>0</v>
          </cell>
          <cell r="N2578">
            <v>0</v>
          </cell>
          <cell r="O2578">
            <v>0</v>
          </cell>
        </row>
        <row r="2579">
          <cell r="A2579" t="str">
            <v>Ireland HQBUSINESS SHARE EXPENSE</v>
          </cell>
          <cell r="B2579">
            <v>-0.344858</v>
          </cell>
          <cell r="C2579">
            <v>-0.17929300000000001</v>
          </cell>
          <cell r="D2579">
            <v>-0.26131100000000002</v>
          </cell>
          <cell r="E2579">
            <v>0.78546199999999999</v>
          </cell>
          <cell r="F2579">
            <v>0</v>
          </cell>
          <cell r="G2579">
            <v>0</v>
          </cell>
          <cell r="H2579">
            <v>0</v>
          </cell>
          <cell r="I2579">
            <v>0</v>
          </cell>
          <cell r="J2579">
            <v>0</v>
          </cell>
          <cell r="K2579">
            <v>0</v>
          </cell>
          <cell r="L2579">
            <v>0</v>
          </cell>
          <cell r="M2579">
            <v>0</v>
          </cell>
          <cell r="N2579">
            <v>0</v>
          </cell>
          <cell r="O2579">
            <v>0</v>
          </cell>
        </row>
        <row r="2580">
          <cell r="A2580" t="str">
            <v>Ireland HQINSURANCE AFFILIATE EXPENSE</v>
          </cell>
          <cell r="B2580">
            <v>0</v>
          </cell>
          <cell r="C2580">
            <v>0</v>
          </cell>
          <cell r="D2580">
            <v>0</v>
          </cell>
          <cell r="E2580">
            <v>0</v>
          </cell>
          <cell r="F2580">
            <v>0</v>
          </cell>
          <cell r="G2580">
            <v>0</v>
          </cell>
          <cell r="H2580">
            <v>0</v>
          </cell>
          <cell r="I2580">
            <v>0</v>
          </cell>
          <cell r="J2580">
            <v>0</v>
          </cell>
          <cell r="K2580">
            <v>0</v>
          </cell>
          <cell r="L2580">
            <v>0</v>
          </cell>
          <cell r="M2580">
            <v>0</v>
          </cell>
          <cell r="N2580">
            <v>0</v>
          </cell>
          <cell r="O2580">
            <v>0</v>
          </cell>
        </row>
        <row r="2581">
          <cell r="A2581" t="str">
            <v>Ireland HQOTHER FACILITY EXPENSE</v>
          </cell>
          <cell r="B2581">
            <v>342413.96</v>
          </cell>
          <cell r="C2581">
            <v>202134.49</v>
          </cell>
          <cell r="D2581">
            <v>-246335.33</v>
          </cell>
          <cell r="E2581">
            <v>110972.89</v>
          </cell>
          <cell r="F2581">
            <v>409186.01</v>
          </cell>
          <cell r="G2581">
            <v>64305</v>
          </cell>
          <cell r="H2581">
            <v>64305</v>
          </cell>
          <cell r="I2581">
            <v>64305</v>
          </cell>
          <cell r="J2581">
            <v>64305</v>
          </cell>
          <cell r="K2581">
            <v>257220</v>
          </cell>
          <cell r="L2581">
            <v>124849.27</v>
          </cell>
          <cell r="M2581">
            <v>1100000</v>
          </cell>
          <cell r="N2581">
            <v>1100000</v>
          </cell>
          <cell r="O2581">
            <v>1100000</v>
          </cell>
        </row>
        <row r="2582">
          <cell r="A2582" t="str">
            <v>Ireland HQGROSS OP &amp; ADMIN BUS SHARE</v>
          </cell>
          <cell r="B2582">
            <v>0.32103500000000001</v>
          </cell>
          <cell r="C2582">
            <v>0.26529900000000001</v>
          </cell>
          <cell r="D2582">
            <v>0.68756200000000001</v>
          </cell>
          <cell r="E2582">
            <v>-1.2738959999999999</v>
          </cell>
          <cell r="F2582">
            <v>0</v>
          </cell>
          <cell r="G2582">
            <v>0</v>
          </cell>
          <cell r="H2582">
            <v>0</v>
          </cell>
          <cell r="I2582">
            <v>0</v>
          </cell>
          <cell r="J2582">
            <v>0</v>
          </cell>
          <cell r="K2582">
            <v>0</v>
          </cell>
          <cell r="L2582">
            <v>0</v>
          </cell>
          <cell r="M2582">
            <v>0</v>
          </cell>
          <cell r="N2582">
            <v>0</v>
          </cell>
          <cell r="O2582">
            <v>0</v>
          </cell>
        </row>
        <row r="2583">
          <cell r="A2583" t="str">
            <v>Ireland HQOTHER EXPENSE</v>
          </cell>
          <cell r="B2583">
            <v>-352416.9</v>
          </cell>
          <cell r="C2583">
            <v>1031367.11</v>
          </cell>
          <cell r="D2583">
            <v>3914479.45</v>
          </cell>
          <cell r="E2583">
            <v>3025308.51</v>
          </cell>
          <cell r="F2583">
            <v>7618738.1699999999</v>
          </cell>
          <cell r="G2583">
            <v>371114</v>
          </cell>
          <cell r="H2583">
            <v>366114</v>
          </cell>
          <cell r="I2583">
            <v>-5338886</v>
          </cell>
          <cell r="J2583">
            <v>-8693886</v>
          </cell>
          <cell r="K2583">
            <v>-13295544</v>
          </cell>
          <cell r="L2583">
            <v>3232378.94</v>
          </cell>
          <cell r="M2583">
            <v>0</v>
          </cell>
          <cell r="N2583">
            <v>0</v>
          </cell>
          <cell r="O2583">
            <v>0</v>
          </cell>
        </row>
        <row r="2584">
          <cell r="A2584" t="str">
            <v>Ireland HQGECC INTERCO EXPENSES EXCL GECIS</v>
          </cell>
          <cell r="B2584">
            <v>0</v>
          </cell>
          <cell r="C2584">
            <v>0</v>
          </cell>
          <cell r="D2584">
            <v>0</v>
          </cell>
          <cell r="E2584">
            <v>0</v>
          </cell>
          <cell r="F2584">
            <v>0</v>
          </cell>
          <cell r="G2584">
            <v>0</v>
          </cell>
          <cell r="H2584">
            <v>0</v>
          </cell>
          <cell r="I2584">
            <v>0</v>
          </cell>
          <cell r="J2584">
            <v>0</v>
          </cell>
          <cell r="K2584">
            <v>0</v>
          </cell>
          <cell r="L2584">
            <v>0</v>
          </cell>
          <cell r="M2584">
            <v>0</v>
          </cell>
          <cell r="N2584">
            <v>0</v>
          </cell>
          <cell r="O2584">
            <v>0</v>
          </cell>
        </row>
        <row r="2585">
          <cell r="A2585" t="str">
            <v>Ireland HQGECIS INTERCO CHARGES</v>
          </cell>
          <cell r="B2585">
            <v>-0.95</v>
          </cell>
          <cell r="C2585">
            <v>10350.299999999999</v>
          </cell>
          <cell r="D2585">
            <v>0.88</v>
          </cell>
          <cell r="E2585">
            <v>7.0000000000000007E-2</v>
          </cell>
          <cell r="F2585">
            <v>10350.299999999999</v>
          </cell>
          <cell r="G2585">
            <v>0</v>
          </cell>
          <cell r="H2585">
            <v>0</v>
          </cell>
          <cell r="I2585">
            <v>0</v>
          </cell>
          <cell r="J2585">
            <v>0</v>
          </cell>
          <cell r="K2585">
            <v>0</v>
          </cell>
          <cell r="L2585">
            <v>0</v>
          </cell>
          <cell r="M2585">
            <v>0</v>
          </cell>
          <cell r="N2585">
            <v>0</v>
          </cell>
          <cell r="O2585">
            <v>0</v>
          </cell>
        </row>
        <row r="2586">
          <cell r="A2586" t="str">
            <v>Ireland HQLOSS ADJUSTED EXPENSE</v>
          </cell>
          <cell r="B2586">
            <v>0</v>
          </cell>
          <cell r="C2586">
            <v>0</v>
          </cell>
          <cell r="D2586">
            <v>0</v>
          </cell>
          <cell r="E2586">
            <v>0</v>
          </cell>
          <cell r="F2586">
            <v>0</v>
          </cell>
          <cell r="G2586">
            <v>0</v>
          </cell>
          <cell r="H2586">
            <v>0</v>
          </cell>
          <cell r="I2586">
            <v>0</v>
          </cell>
          <cell r="J2586">
            <v>0</v>
          </cell>
          <cell r="K2586">
            <v>0</v>
          </cell>
          <cell r="L2586">
            <v>0</v>
          </cell>
          <cell r="M2586">
            <v>0</v>
          </cell>
          <cell r="N2586">
            <v>0</v>
          </cell>
          <cell r="O2586">
            <v>0</v>
          </cell>
        </row>
        <row r="2587">
          <cell r="A2587" t="str">
            <v>Ireland HQALL OTHER EXPENSES</v>
          </cell>
          <cell r="B2587">
            <v>0</v>
          </cell>
          <cell r="C2587">
            <v>0</v>
          </cell>
          <cell r="D2587">
            <v>0</v>
          </cell>
          <cell r="E2587">
            <v>0</v>
          </cell>
          <cell r="F2587">
            <v>0</v>
          </cell>
          <cell r="G2587">
            <v>0</v>
          </cell>
          <cell r="H2587">
            <v>0</v>
          </cell>
          <cell r="I2587">
            <v>0</v>
          </cell>
          <cell r="J2587">
            <v>0</v>
          </cell>
          <cell r="K2587">
            <v>0</v>
          </cell>
          <cell r="L2587">
            <v>0</v>
          </cell>
          <cell r="M2587">
            <v>0</v>
          </cell>
          <cell r="N2587">
            <v>0</v>
          </cell>
          <cell r="O2587">
            <v>0</v>
          </cell>
        </row>
        <row r="2588">
          <cell r="A2588" t="str">
            <v>Ireland HQASSESSMENTS</v>
          </cell>
          <cell r="B2588">
            <v>-2345443.0099999998</v>
          </cell>
          <cell r="C2588">
            <v>9736038.9900000002</v>
          </cell>
          <cell r="D2588">
            <v>2906924.99</v>
          </cell>
          <cell r="E2588">
            <v>15606400.99</v>
          </cell>
          <cell r="F2588">
            <v>25903921.960000001</v>
          </cell>
          <cell r="G2588">
            <v>168845.610625</v>
          </cell>
          <cell r="H2588">
            <v>168845.610625</v>
          </cell>
          <cell r="I2588">
            <v>168845.610625</v>
          </cell>
          <cell r="J2588">
            <v>168845.610625</v>
          </cell>
          <cell r="K2588">
            <v>675382.4425</v>
          </cell>
          <cell r="L2588">
            <v>-150476.54</v>
          </cell>
          <cell r="M2588">
            <v>-7647391</v>
          </cell>
          <cell r="N2588">
            <v>366713</v>
          </cell>
          <cell r="O2588">
            <v>381382</v>
          </cell>
        </row>
        <row r="2589">
          <cell r="A2589" t="str">
            <v>Ireland HQFAS 91</v>
          </cell>
          <cell r="B2589">
            <v>1339374.83</v>
          </cell>
          <cell r="C2589">
            <v>1288567.3799999999</v>
          </cell>
          <cell r="D2589">
            <v>995319.31</v>
          </cell>
          <cell r="E2589">
            <v>-3623261.52</v>
          </cell>
          <cell r="F2589">
            <v>0</v>
          </cell>
          <cell r="G2589">
            <v>0</v>
          </cell>
          <cell r="H2589">
            <v>0</v>
          </cell>
          <cell r="I2589">
            <v>0</v>
          </cell>
          <cell r="J2589">
            <v>0</v>
          </cell>
          <cell r="K2589">
            <v>0</v>
          </cell>
          <cell r="L2589">
            <v>0</v>
          </cell>
          <cell r="M2589">
            <v>0</v>
          </cell>
          <cell r="N2589">
            <v>0</v>
          </cell>
          <cell r="O2589">
            <v>0</v>
          </cell>
        </row>
        <row r="2590">
          <cell r="A2590" t="str">
            <v>Ireland HQGOODWILL AMORTIZATION</v>
          </cell>
          <cell r="B2590">
            <v>738801.26</v>
          </cell>
          <cell r="C2590">
            <v>435198.67</v>
          </cell>
          <cell r="D2590">
            <v>409651.46</v>
          </cell>
          <cell r="E2590">
            <v>429890.29</v>
          </cell>
          <cell r="F2590">
            <v>2013541.68</v>
          </cell>
          <cell r="G2590">
            <v>0</v>
          </cell>
          <cell r="H2590">
            <v>0</v>
          </cell>
          <cell r="I2590">
            <v>0</v>
          </cell>
          <cell r="J2590">
            <v>0</v>
          </cell>
          <cell r="K2590">
            <v>0</v>
          </cell>
          <cell r="L2590">
            <v>0</v>
          </cell>
          <cell r="M2590">
            <v>2010236</v>
          </cell>
          <cell r="N2590">
            <v>2010236</v>
          </cell>
          <cell r="O2590">
            <v>2010236</v>
          </cell>
        </row>
        <row r="2591">
          <cell r="A2591" t="str">
            <v>Ireland HQDEPRECIATION EXPENSE</v>
          </cell>
          <cell r="B2591">
            <v>34258.26</v>
          </cell>
          <cell r="C2591">
            <v>-24368.49</v>
          </cell>
          <cell r="D2591">
            <v>26446.32</v>
          </cell>
          <cell r="E2591">
            <v>23713.75</v>
          </cell>
          <cell r="F2591">
            <v>60049.84</v>
          </cell>
          <cell r="G2591">
            <v>30703</v>
          </cell>
          <cell r="H2591">
            <v>30703</v>
          </cell>
          <cell r="I2591">
            <v>30703</v>
          </cell>
          <cell r="J2591">
            <v>30703</v>
          </cell>
          <cell r="K2591">
            <v>122812</v>
          </cell>
          <cell r="L2591">
            <v>22517.1</v>
          </cell>
          <cell r="M2591">
            <v>278047</v>
          </cell>
          <cell r="N2591">
            <v>278047</v>
          </cell>
          <cell r="O2591">
            <v>278047</v>
          </cell>
        </row>
        <row r="2592">
          <cell r="A2592" t="str">
            <v>Ireland HQELTO AMORTIZATION</v>
          </cell>
          <cell r="B2592">
            <v>0</v>
          </cell>
          <cell r="C2592">
            <v>0</v>
          </cell>
          <cell r="D2592">
            <v>0</v>
          </cell>
          <cell r="E2592">
            <v>0</v>
          </cell>
          <cell r="F2592">
            <v>0</v>
          </cell>
          <cell r="G2592">
            <v>0</v>
          </cell>
          <cell r="H2592">
            <v>0</v>
          </cell>
          <cell r="I2592">
            <v>0</v>
          </cell>
          <cell r="J2592">
            <v>0</v>
          </cell>
          <cell r="K2592">
            <v>0</v>
          </cell>
          <cell r="L2592">
            <v>0</v>
          </cell>
          <cell r="M2592">
            <v>0</v>
          </cell>
          <cell r="N2592">
            <v>0</v>
          </cell>
          <cell r="O2592">
            <v>0</v>
          </cell>
        </row>
        <row r="2593">
          <cell r="A2593" t="str">
            <v>Ireland HQINSURANCE LOSSES AND BENEFITS</v>
          </cell>
          <cell r="B2593">
            <v>0</v>
          </cell>
          <cell r="C2593">
            <v>0</v>
          </cell>
          <cell r="D2593">
            <v>0</v>
          </cell>
          <cell r="E2593">
            <v>0</v>
          </cell>
          <cell r="F2593">
            <v>0</v>
          </cell>
          <cell r="G2593">
            <v>0</v>
          </cell>
          <cell r="H2593">
            <v>0</v>
          </cell>
          <cell r="I2593">
            <v>0</v>
          </cell>
          <cell r="J2593">
            <v>0</v>
          </cell>
          <cell r="K2593">
            <v>0</v>
          </cell>
          <cell r="L2593">
            <v>0</v>
          </cell>
          <cell r="M2593">
            <v>0</v>
          </cell>
          <cell r="N2593">
            <v>0</v>
          </cell>
          <cell r="O2593">
            <v>0</v>
          </cell>
        </row>
        <row r="2594">
          <cell r="A2594" t="str">
            <v>Ireland HQWRITE OFFS</v>
          </cell>
          <cell r="B2594">
            <v>0</v>
          </cell>
          <cell r="C2594">
            <v>0</v>
          </cell>
          <cell r="D2594">
            <v>565155.73</v>
          </cell>
          <cell r="E2594">
            <v>-1565155.73</v>
          </cell>
          <cell r="F2594">
            <v>-1000000</v>
          </cell>
          <cell r="G2594">
            <v>0</v>
          </cell>
          <cell r="H2594">
            <v>0</v>
          </cell>
          <cell r="I2594">
            <v>0</v>
          </cell>
          <cell r="J2594">
            <v>0</v>
          </cell>
          <cell r="K2594">
            <v>0</v>
          </cell>
          <cell r="L2594">
            <v>4500000</v>
          </cell>
          <cell r="M2594">
            <v>0</v>
          </cell>
          <cell r="N2594">
            <v>0</v>
          </cell>
          <cell r="O2594">
            <v>0</v>
          </cell>
        </row>
        <row r="2595">
          <cell r="A2595" t="str">
            <v>Ireland HQRESERVE CHANGE</v>
          </cell>
          <cell r="B2595">
            <v>0</v>
          </cell>
          <cell r="C2595">
            <v>0</v>
          </cell>
          <cell r="D2595">
            <v>0</v>
          </cell>
          <cell r="E2595">
            <v>0</v>
          </cell>
          <cell r="F2595">
            <v>0</v>
          </cell>
          <cell r="G2595">
            <v>0</v>
          </cell>
          <cell r="H2595">
            <v>0</v>
          </cell>
          <cell r="I2595">
            <v>0</v>
          </cell>
          <cell r="J2595">
            <v>0</v>
          </cell>
          <cell r="K2595">
            <v>0</v>
          </cell>
          <cell r="L2595">
            <v>0</v>
          </cell>
          <cell r="M2595">
            <v>0</v>
          </cell>
          <cell r="N2595">
            <v>0</v>
          </cell>
          <cell r="O2595">
            <v>0</v>
          </cell>
        </row>
        <row r="2596">
          <cell r="A2596" t="str">
            <v>Ireland HQMINORITY INTEREST</v>
          </cell>
          <cell r="B2596">
            <v>0</v>
          </cell>
          <cell r="C2596">
            <v>0</v>
          </cell>
          <cell r="D2596">
            <v>0</v>
          </cell>
          <cell r="E2596">
            <v>0</v>
          </cell>
          <cell r="F2596">
            <v>0</v>
          </cell>
          <cell r="G2596">
            <v>0</v>
          </cell>
          <cell r="H2596">
            <v>0</v>
          </cell>
          <cell r="I2596">
            <v>0</v>
          </cell>
          <cell r="J2596">
            <v>0</v>
          </cell>
          <cell r="K2596">
            <v>0</v>
          </cell>
          <cell r="L2596">
            <v>0</v>
          </cell>
          <cell r="M2596">
            <v>0</v>
          </cell>
          <cell r="N2596">
            <v>0</v>
          </cell>
          <cell r="O2596">
            <v>0</v>
          </cell>
        </row>
        <row r="2597">
          <cell r="A2597" t="str">
            <v>Ireland HQINCOME TAXES</v>
          </cell>
          <cell r="B2597">
            <v>-964596.80700000003</v>
          </cell>
          <cell r="C2597">
            <v>-5314931.5685000001</v>
          </cell>
          <cell r="D2597">
            <v>-4566588.6344999997</v>
          </cell>
          <cell r="E2597">
            <v>-5077857.5199999996</v>
          </cell>
          <cell r="F2597">
            <v>-15923974.529999999</v>
          </cell>
          <cell r="G2597">
            <v>-1794112</v>
          </cell>
          <cell r="H2597">
            <v>-1748549</v>
          </cell>
          <cell r="I2597">
            <v>263027</v>
          </cell>
          <cell r="J2597">
            <v>3080515</v>
          </cell>
          <cell r="K2597">
            <v>-199119</v>
          </cell>
          <cell r="L2597">
            <v>-7119156.7199999997</v>
          </cell>
          <cell r="M2597">
            <v>-4355645</v>
          </cell>
          <cell r="N2597">
            <v>-7386106</v>
          </cell>
          <cell r="O2597">
            <v>-7703397</v>
          </cell>
        </row>
        <row r="2598">
          <cell r="A2598" t="str">
            <v>Ireland HQCUMULATIVE TRANSITION ADJUSTMENT</v>
          </cell>
          <cell r="B2598">
            <v>0</v>
          </cell>
          <cell r="C2598">
            <v>0</v>
          </cell>
          <cell r="D2598">
            <v>0</v>
          </cell>
          <cell r="E2598">
            <v>0</v>
          </cell>
          <cell r="F2598">
            <v>0</v>
          </cell>
          <cell r="G2598">
            <v>0</v>
          </cell>
          <cell r="H2598">
            <v>0</v>
          </cell>
          <cell r="I2598">
            <v>0</v>
          </cell>
          <cell r="J2598">
            <v>0</v>
          </cell>
          <cell r="K2598">
            <v>0</v>
          </cell>
          <cell r="L2598">
            <v>0</v>
          </cell>
          <cell r="M2598">
            <v>0</v>
          </cell>
          <cell r="N2598">
            <v>0</v>
          </cell>
          <cell r="O2598">
            <v>0</v>
          </cell>
        </row>
        <row r="2599">
          <cell r="A2599" t="str">
            <v>Ireland HQASIA PACIFIC NI DIVIDEND</v>
          </cell>
          <cell r="B2599">
            <v>0</v>
          </cell>
          <cell r="C2599">
            <v>0</v>
          </cell>
          <cell r="D2599">
            <v>0</v>
          </cell>
          <cell r="E2599">
            <v>0</v>
          </cell>
          <cell r="F2599">
            <v>0</v>
          </cell>
          <cell r="G2599">
            <v>0</v>
          </cell>
          <cell r="H2599">
            <v>0</v>
          </cell>
          <cell r="I2599">
            <v>0</v>
          </cell>
          <cell r="J2599">
            <v>0</v>
          </cell>
          <cell r="K2599">
            <v>0</v>
          </cell>
          <cell r="L2599">
            <v>0</v>
          </cell>
          <cell r="M2599">
            <v>0</v>
          </cell>
          <cell r="N2599">
            <v>0</v>
          </cell>
          <cell r="O2599">
            <v>0</v>
          </cell>
        </row>
        <row r="2600">
          <cell r="A2600" t="str">
            <v>Ireland HQNet Income</v>
          </cell>
          <cell r="B2600">
            <v>2838794.719176</v>
          </cell>
          <cell r="C2600">
            <v>9206311.4375059996</v>
          </cell>
          <cell r="D2600">
            <v>10573320.131751999</v>
          </cell>
          <cell r="E2600">
            <v>11131827.691566</v>
          </cell>
          <cell r="F2600">
            <v>33750253.979999997</v>
          </cell>
          <cell r="G2600">
            <v>3812487.6106250002</v>
          </cell>
          <cell r="H2600">
            <v>3715666.6106250002</v>
          </cell>
          <cell r="I2600">
            <v>-24556.389374999999</v>
          </cell>
          <cell r="J2600">
            <v>-5261717.3893750003</v>
          </cell>
          <cell r="K2600">
            <v>2241880.4424999999</v>
          </cell>
          <cell r="L2600">
            <v>11816241.42</v>
          </cell>
          <cell r="M2600">
            <v>8089056</v>
          </cell>
          <cell r="N2600">
            <v>13717052</v>
          </cell>
          <cell r="O2600">
            <v>14306306</v>
          </cell>
        </row>
        <row r="2601">
          <cell r="A2601" t="str">
            <v>Ireland HQSubPart F</v>
          </cell>
          <cell r="B2601">
            <v>0</v>
          </cell>
          <cell r="C2601">
            <v>0</v>
          </cell>
          <cell r="D2601">
            <v>0</v>
          </cell>
          <cell r="E2601">
            <v>0</v>
          </cell>
          <cell r="F2601">
            <v>0</v>
          </cell>
          <cell r="G2601">
            <v>0</v>
          </cell>
          <cell r="H2601">
            <v>0</v>
          </cell>
          <cell r="I2601">
            <v>0</v>
          </cell>
          <cell r="J2601">
            <v>0</v>
          </cell>
          <cell r="K2601">
            <v>0</v>
          </cell>
          <cell r="L2601">
            <v>0</v>
          </cell>
          <cell r="M2601">
            <v>0</v>
          </cell>
          <cell r="N2601">
            <v>0</v>
          </cell>
          <cell r="O2601">
            <v>0</v>
          </cell>
        </row>
        <row r="2602">
          <cell r="A2602" t="str">
            <v>Ireland HQAssets</v>
          </cell>
          <cell r="B2602">
            <v>331913921.57999998</v>
          </cell>
          <cell r="C2602">
            <v>327242686.29000002</v>
          </cell>
          <cell r="D2602">
            <v>347871453.68000001</v>
          </cell>
          <cell r="E2602">
            <v>357580071.74000001</v>
          </cell>
          <cell r="F2602">
            <v>357580071.74000001</v>
          </cell>
          <cell r="G2602">
            <v>348364735</v>
          </cell>
          <cell r="H2602">
            <v>312623087</v>
          </cell>
          <cell r="I2602">
            <v>312731403</v>
          </cell>
          <cell r="J2602">
            <v>312839720</v>
          </cell>
          <cell r="K2602">
            <v>312839720</v>
          </cell>
          <cell r="L2602">
            <v>298707173.33999997</v>
          </cell>
          <cell r="M2602">
            <v>262244662.80199999</v>
          </cell>
          <cell r="N2602">
            <v>223527610.80199999</v>
          </cell>
          <cell r="O2602">
            <v>184221304.80199999</v>
          </cell>
        </row>
        <row r="2603">
          <cell r="A2603" t="str">
            <v>Ireland HQEnding Net Investment (ENI) incl Asia</v>
          </cell>
          <cell r="B2603">
            <v>334499810.79000002</v>
          </cell>
          <cell r="C2603">
            <v>340411263.63999999</v>
          </cell>
          <cell r="D2603">
            <v>371741215.08999997</v>
          </cell>
          <cell r="E2603">
            <v>321872521.22000003</v>
          </cell>
          <cell r="F2603">
            <v>321872521.22000003</v>
          </cell>
          <cell r="G2603">
            <v>319555559</v>
          </cell>
          <cell r="H2603">
            <v>283808026</v>
          </cell>
          <cell r="I2603">
            <v>283898091</v>
          </cell>
          <cell r="J2603">
            <v>283988157</v>
          </cell>
          <cell r="K2603">
            <v>283988157</v>
          </cell>
          <cell r="L2603">
            <v>263114107.78</v>
          </cell>
          <cell r="M2603">
            <v>147004077.31999999</v>
          </cell>
          <cell r="N2603">
            <v>100900919.31999999</v>
          </cell>
          <cell r="O2603">
            <v>53891216.32</v>
          </cell>
        </row>
        <row r="2604">
          <cell r="A2604" t="str">
            <v>Ireland HQANR YTD</v>
          </cell>
          <cell r="B2604">
            <v>251711845.44499999</v>
          </cell>
          <cell r="C2604">
            <v>249603787.08333299</v>
          </cell>
          <cell r="D2604">
            <v>250167955.49250001</v>
          </cell>
          <cell r="E2604">
            <v>249994871.37</v>
          </cell>
          <cell r="F2604">
            <v>249994871.37</v>
          </cell>
          <cell r="G2604">
            <v>243080307.94</v>
          </cell>
          <cell r="H2604">
            <v>229077886.62666699</v>
          </cell>
          <cell r="I2604">
            <v>222076675.97</v>
          </cell>
          <cell r="J2604">
            <v>217875949.57600001</v>
          </cell>
          <cell r="K2604">
            <v>217875949.57600001</v>
          </cell>
          <cell r="L2604">
            <v>232208436.995</v>
          </cell>
          <cell r="M2604">
            <v>95384888.599999994</v>
          </cell>
          <cell r="N2604">
            <v>85000000</v>
          </cell>
          <cell r="O2604">
            <v>75000000</v>
          </cell>
        </row>
        <row r="2605">
          <cell r="A2605" t="str">
            <v>Ireland HQASA YTD</v>
          </cell>
          <cell r="B2605">
            <v>255746332.66</v>
          </cell>
          <cell r="C2605">
            <v>254983103.37</v>
          </cell>
          <cell r="D2605">
            <v>256219686.315</v>
          </cell>
          <cell r="E2605">
            <v>254836256.028</v>
          </cell>
          <cell r="F2605">
            <v>254836256.028</v>
          </cell>
          <cell r="G2605">
            <v>243080307.94</v>
          </cell>
          <cell r="H2605">
            <v>229077886.62666699</v>
          </cell>
          <cell r="I2605">
            <v>222076675.97</v>
          </cell>
          <cell r="J2605">
            <v>217875949.57600001</v>
          </cell>
          <cell r="K2605">
            <v>217875949.57600001</v>
          </cell>
          <cell r="L2605">
            <v>232208436.995</v>
          </cell>
          <cell r="M2605">
            <v>95384888.599999994</v>
          </cell>
          <cell r="N2605">
            <v>85000000</v>
          </cell>
          <cell r="O2605">
            <v>75000000</v>
          </cell>
        </row>
        <row r="2606">
          <cell r="A2606" t="str">
            <v>Ireland HQANI YTD incl Asia - 5 pt</v>
          </cell>
          <cell r="B2606">
            <v>164077210.89500001</v>
          </cell>
          <cell r="C2606">
            <v>222855228.47666699</v>
          </cell>
          <cell r="D2606">
            <v>260076725.13</v>
          </cell>
          <cell r="E2606">
            <v>272435884.34799999</v>
          </cell>
          <cell r="F2606">
            <v>272435884.34799999</v>
          </cell>
          <cell r="G2606">
            <v>320714040.11000001</v>
          </cell>
          <cell r="H2606">
            <v>308412035.40666699</v>
          </cell>
          <cell r="I2606">
            <v>302283549.30500001</v>
          </cell>
          <cell r="J2606">
            <v>298624470.84399998</v>
          </cell>
          <cell r="K2606">
            <v>298624470.84399998</v>
          </cell>
          <cell r="L2606">
            <v>292493314.5</v>
          </cell>
          <cell r="M2606">
            <v>66675459.728</v>
          </cell>
          <cell r="N2606">
            <v>49580999.328000002</v>
          </cell>
          <cell r="O2606">
            <v>30958427.127999999</v>
          </cell>
        </row>
        <row r="2607">
          <cell r="A2607" t="str">
            <v>Ireland HQOff Balance Sheet Assets</v>
          </cell>
          <cell r="B2607">
            <v>0</v>
          </cell>
          <cell r="C2607">
            <v>0</v>
          </cell>
          <cell r="D2607">
            <v>0</v>
          </cell>
          <cell r="E2607">
            <v>0</v>
          </cell>
          <cell r="F2607">
            <v>0</v>
          </cell>
          <cell r="G2607">
            <v>0</v>
          </cell>
          <cell r="H2607">
            <v>0</v>
          </cell>
          <cell r="I2607">
            <v>0</v>
          </cell>
          <cell r="J2607">
            <v>0</v>
          </cell>
          <cell r="K2607">
            <v>0</v>
          </cell>
          <cell r="L2607">
            <v>0</v>
          </cell>
          <cell r="M2607">
            <v>0</v>
          </cell>
          <cell r="N2607">
            <v>0</v>
          </cell>
          <cell r="O2607">
            <v>0</v>
          </cell>
        </row>
        <row r="2608">
          <cell r="A2608" t="str">
            <v>Ireland HQJV Receivables</v>
          </cell>
          <cell r="B2608">
            <v>0</v>
          </cell>
          <cell r="C2608">
            <v>0</v>
          </cell>
          <cell r="D2608">
            <v>0</v>
          </cell>
          <cell r="E2608">
            <v>0</v>
          </cell>
          <cell r="F2608">
            <v>0</v>
          </cell>
          <cell r="G2608">
            <v>0</v>
          </cell>
          <cell r="H2608">
            <v>0</v>
          </cell>
          <cell r="I2608">
            <v>0</v>
          </cell>
          <cell r="J2608">
            <v>0</v>
          </cell>
          <cell r="K2608">
            <v>0</v>
          </cell>
          <cell r="L2608">
            <v>0</v>
          </cell>
          <cell r="M2608">
            <v>0</v>
          </cell>
          <cell r="N2608">
            <v>0</v>
          </cell>
          <cell r="O2608">
            <v>0</v>
          </cell>
        </row>
        <row r="2609">
          <cell r="A2609" t="str">
            <v>Ireland HQ30+ DELINQUENCY $</v>
          </cell>
          <cell r="B2609">
            <v>0</v>
          </cell>
          <cell r="C2609">
            <v>0</v>
          </cell>
          <cell r="D2609">
            <v>0</v>
          </cell>
          <cell r="E2609">
            <v>0</v>
          </cell>
          <cell r="F2609">
            <v>0</v>
          </cell>
          <cell r="G2609">
            <v>0</v>
          </cell>
          <cell r="H2609">
            <v>0</v>
          </cell>
          <cell r="I2609">
            <v>0</v>
          </cell>
          <cell r="J2609">
            <v>0</v>
          </cell>
          <cell r="K2609">
            <v>0</v>
          </cell>
          <cell r="L2609">
            <v>0</v>
          </cell>
          <cell r="M2609">
            <v>0</v>
          </cell>
          <cell r="N2609">
            <v>0</v>
          </cell>
          <cell r="O2609">
            <v>0</v>
          </cell>
        </row>
        <row r="2610">
          <cell r="A2610" t="str">
            <v>Ireland HQ90+ DELINQUENCY $</v>
          </cell>
          <cell r="B2610">
            <v>0</v>
          </cell>
          <cell r="C2610">
            <v>0</v>
          </cell>
          <cell r="D2610">
            <v>0</v>
          </cell>
          <cell r="E2610">
            <v>0</v>
          </cell>
          <cell r="F2610">
            <v>0</v>
          </cell>
          <cell r="G2610">
            <v>0</v>
          </cell>
          <cell r="H2610">
            <v>0</v>
          </cell>
          <cell r="I2610">
            <v>0</v>
          </cell>
          <cell r="J2610">
            <v>0</v>
          </cell>
          <cell r="K2610">
            <v>0</v>
          </cell>
          <cell r="L2610">
            <v>0</v>
          </cell>
          <cell r="M2610">
            <v>0</v>
          </cell>
          <cell r="N2610">
            <v>0</v>
          </cell>
          <cell r="O2610">
            <v>0</v>
          </cell>
        </row>
        <row r="2611">
          <cell r="A2611" t="str">
            <v>Ireland HQTemporary Staff</v>
          </cell>
          <cell r="B2611">
            <v>0</v>
          </cell>
          <cell r="C2611">
            <v>2</v>
          </cell>
          <cell r="D2611">
            <v>1</v>
          </cell>
          <cell r="E2611">
            <v>1</v>
          </cell>
          <cell r="F2611">
            <v>1</v>
          </cell>
          <cell r="G2611">
            <v>4</v>
          </cell>
          <cell r="H2611">
            <v>4</v>
          </cell>
          <cell r="I2611">
            <v>4</v>
          </cell>
          <cell r="J2611">
            <v>4</v>
          </cell>
          <cell r="K2611">
            <v>4</v>
          </cell>
          <cell r="L2611">
            <v>0</v>
          </cell>
          <cell r="M2611">
            <v>0</v>
          </cell>
          <cell r="N2611">
            <v>0</v>
          </cell>
          <cell r="O2611">
            <v>0</v>
          </cell>
        </row>
        <row r="2612">
          <cell r="A2612" t="str">
            <v>Ireland HQContractors</v>
          </cell>
          <cell r="B2612">
            <v>0</v>
          </cell>
          <cell r="C2612">
            <v>0</v>
          </cell>
          <cell r="D2612">
            <v>2</v>
          </cell>
          <cell r="E2612">
            <v>3</v>
          </cell>
          <cell r="F2612">
            <v>3</v>
          </cell>
          <cell r="G2612">
            <v>0</v>
          </cell>
          <cell r="H2612">
            <v>0</v>
          </cell>
          <cell r="I2612">
            <v>0</v>
          </cell>
          <cell r="J2612">
            <v>0</v>
          </cell>
          <cell r="K2612">
            <v>0</v>
          </cell>
          <cell r="L2612">
            <v>2</v>
          </cell>
          <cell r="M2612">
            <v>0</v>
          </cell>
          <cell r="N2612">
            <v>0</v>
          </cell>
          <cell r="O2612">
            <v>0</v>
          </cell>
        </row>
        <row r="2613">
          <cell r="A2613" t="str">
            <v>Ireland HQOutsourced to LCC</v>
          </cell>
          <cell r="B2613">
            <v>0</v>
          </cell>
          <cell r="C2613">
            <v>0</v>
          </cell>
          <cell r="D2613">
            <v>0</v>
          </cell>
          <cell r="E2613">
            <v>0</v>
          </cell>
          <cell r="F2613">
            <v>0</v>
          </cell>
          <cell r="G2613">
            <v>0</v>
          </cell>
          <cell r="H2613">
            <v>0</v>
          </cell>
          <cell r="I2613">
            <v>0</v>
          </cell>
          <cell r="J2613">
            <v>0</v>
          </cell>
          <cell r="K2613">
            <v>0</v>
          </cell>
          <cell r="L2613">
            <v>3</v>
          </cell>
          <cell r="M2613">
            <v>0</v>
          </cell>
          <cell r="N2613">
            <v>0</v>
          </cell>
          <cell r="O2613">
            <v>0</v>
          </cell>
        </row>
        <row r="2614">
          <cell r="A2614" t="str">
            <v>Ireland HQTotal Headcount</v>
          </cell>
          <cell r="B2614">
            <v>59</v>
          </cell>
          <cell r="C2614">
            <v>54</v>
          </cell>
          <cell r="D2614">
            <v>52</v>
          </cell>
          <cell r="E2614">
            <v>55</v>
          </cell>
          <cell r="F2614">
            <v>55</v>
          </cell>
          <cell r="G2614">
            <v>71.5</v>
          </cell>
          <cell r="H2614">
            <v>73.5</v>
          </cell>
          <cell r="I2614">
            <v>73.5</v>
          </cell>
          <cell r="J2614">
            <v>51.5</v>
          </cell>
          <cell r="K2614">
            <v>51.5</v>
          </cell>
          <cell r="L2614">
            <v>61</v>
          </cell>
          <cell r="M2614">
            <v>55</v>
          </cell>
          <cell r="N2614">
            <v>55</v>
          </cell>
          <cell r="O2614">
            <v>55</v>
          </cell>
        </row>
        <row r="2615">
          <cell r="A2615" t="str">
            <v>Ireland HQTotal Workforce</v>
          </cell>
          <cell r="B2615">
            <v>59</v>
          </cell>
          <cell r="C2615">
            <v>56</v>
          </cell>
          <cell r="D2615">
            <v>55</v>
          </cell>
          <cell r="E2615">
            <v>59</v>
          </cell>
          <cell r="F2615">
            <v>59</v>
          </cell>
          <cell r="G2615">
            <v>75.5</v>
          </cell>
          <cell r="H2615">
            <v>77.5</v>
          </cell>
          <cell r="I2615">
            <v>77.5</v>
          </cell>
          <cell r="J2615">
            <v>55.5</v>
          </cell>
          <cell r="K2615">
            <v>55.5</v>
          </cell>
          <cell r="L2615">
            <v>66</v>
          </cell>
          <cell r="M2615">
            <v>55</v>
          </cell>
          <cell r="N2615">
            <v>55</v>
          </cell>
          <cell r="O2615">
            <v>55</v>
          </cell>
        </row>
        <row r="2616">
          <cell r="A2616" t="str">
            <v>Ireland HQTotal Earned Revenue</v>
          </cell>
          <cell r="B2616">
            <v>-4387085.26</v>
          </cell>
          <cell r="C2616">
            <v>-4263901.07</v>
          </cell>
          <cell r="D2616">
            <v>-1387584.46</v>
          </cell>
          <cell r="E2616">
            <v>-15182324.640000001</v>
          </cell>
          <cell r="F2616">
            <v>-25220895.43</v>
          </cell>
          <cell r="G2616">
            <v>-3249268</v>
          </cell>
          <cell r="H2616">
            <v>-3249268</v>
          </cell>
          <cell r="I2616">
            <v>-2487910</v>
          </cell>
          <cell r="J2616">
            <v>-7187910</v>
          </cell>
          <cell r="K2616">
            <v>-16174356</v>
          </cell>
          <cell r="L2616">
            <v>1949590.65</v>
          </cell>
          <cell r="M2616">
            <v>-15495205</v>
          </cell>
          <cell r="N2616">
            <v>-13459426</v>
          </cell>
          <cell r="O2616">
            <v>-13459426</v>
          </cell>
        </row>
        <row r="2617">
          <cell r="A2617" t="str">
            <v>Ireland HQOrdinary Gains - PreTax</v>
          </cell>
          <cell r="B2617">
            <v>0</v>
          </cell>
          <cell r="C2617">
            <v>0</v>
          </cell>
          <cell r="D2617">
            <v>0</v>
          </cell>
          <cell r="E2617">
            <v>0</v>
          </cell>
          <cell r="F2617">
            <v>0</v>
          </cell>
          <cell r="G2617">
            <v>0</v>
          </cell>
          <cell r="H2617">
            <v>0</v>
          </cell>
          <cell r="I2617">
            <v>0</v>
          </cell>
          <cell r="J2617">
            <v>0</v>
          </cell>
          <cell r="K2617">
            <v>0</v>
          </cell>
          <cell r="L2617">
            <v>0</v>
          </cell>
          <cell r="M2617">
            <v>0</v>
          </cell>
          <cell r="N2617">
            <v>0</v>
          </cell>
          <cell r="O2617">
            <v>0</v>
          </cell>
        </row>
        <row r="2618">
          <cell r="A2618" t="str">
            <v>Ireland HQOrdinary Gains - AfterTax</v>
          </cell>
          <cell r="B2618">
            <v>0</v>
          </cell>
          <cell r="C2618">
            <v>0</v>
          </cell>
          <cell r="D2618">
            <v>0</v>
          </cell>
          <cell r="E2618">
            <v>0</v>
          </cell>
          <cell r="F2618">
            <v>0</v>
          </cell>
          <cell r="G2618">
            <v>0</v>
          </cell>
          <cell r="H2618">
            <v>0</v>
          </cell>
          <cell r="I2618">
            <v>0</v>
          </cell>
          <cell r="J2618">
            <v>0</v>
          </cell>
          <cell r="K2618">
            <v>0</v>
          </cell>
          <cell r="L2618">
            <v>0</v>
          </cell>
          <cell r="M2618">
            <v>0</v>
          </cell>
          <cell r="N2618">
            <v>0</v>
          </cell>
          <cell r="O2618">
            <v>0</v>
          </cell>
        </row>
        <row r="2619">
          <cell r="A2619" t="str">
            <v>Ireland HQTotal Volume</v>
          </cell>
          <cell r="B2619">
            <v>0</v>
          </cell>
          <cell r="C2619">
            <v>0</v>
          </cell>
          <cell r="D2619">
            <v>0</v>
          </cell>
          <cell r="E2619">
            <v>0</v>
          </cell>
          <cell r="F2619">
            <v>0</v>
          </cell>
          <cell r="G2619">
            <v>0</v>
          </cell>
          <cell r="H2619">
            <v>0</v>
          </cell>
          <cell r="I2619">
            <v>0</v>
          </cell>
          <cell r="J2619">
            <v>0</v>
          </cell>
          <cell r="K2619">
            <v>0</v>
          </cell>
          <cell r="L2619">
            <v>0</v>
          </cell>
          <cell r="M2619">
            <v>0</v>
          </cell>
          <cell r="N2619">
            <v>0</v>
          </cell>
          <cell r="O2619">
            <v>0</v>
          </cell>
        </row>
        <row r="2620">
          <cell r="A2620" t="str">
            <v>Ireland HQTOTAL # ACTIVE ACCOUNTS</v>
          </cell>
          <cell r="B2620">
            <v>0</v>
          </cell>
          <cell r="C2620">
            <v>0</v>
          </cell>
          <cell r="D2620">
            <v>0</v>
          </cell>
          <cell r="E2620">
            <v>0</v>
          </cell>
          <cell r="F2620">
            <v>0</v>
          </cell>
          <cell r="G2620">
            <v>0</v>
          </cell>
          <cell r="H2620">
            <v>0</v>
          </cell>
          <cell r="I2620">
            <v>0</v>
          </cell>
          <cell r="J2620">
            <v>0</v>
          </cell>
          <cell r="K2620">
            <v>0</v>
          </cell>
          <cell r="L2620">
            <v>0</v>
          </cell>
          <cell r="M2620">
            <v>0</v>
          </cell>
          <cell r="N2620">
            <v>0</v>
          </cell>
          <cell r="O2620">
            <v>0</v>
          </cell>
        </row>
        <row r="2621">
          <cell r="A2621" t="str">
            <v>Japan - GECCCTOTAL FINANCING RECEIVABLES</v>
          </cell>
          <cell r="B2621">
            <v>6108021774.3000002</v>
          </cell>
          <cell r="C2621">
            <v>6448843819.0200005</v>
          </cell>
          <cell r="D2621">
            <v>7013253264.1499996</v>
          </cell>
          <cell r="E2621">
            <v>6603686607.8699999</v>
          </cell>
          <cell r="F2621">
            <v>6603686607.8699999</v>
          </cell>
          <cell r="G2621">
            <v>7205289239.9258299</v>
          </cell>
          <cell r="H2621">
            <v>7483392664.9258299</v>
          </cell>
          <cell r="I2621">
            <v>7679637323.25916</v>
          </cell>
          <cell r="J2621">
            <v>7769029689.9258299</v>
          </cell>
          <cell r="K2621">
            <v>7769029689.9258299</v>
          </cell>
          <cell r="L2621">
            <v>6721795933.9999905</v>
          </cell>
          <cell r="M2621">
            <v>7385642499.3138504</v>
          </cell>
          <cell r="N2621">
            <v>8406048350.3150196</v>
          </cell>
          <cell r="O2621">
            <v>9685886935.2690907</v>
          </cell>
        </row>
        <row r="2622">
          <cell r="A2622" t="str">
            <v>Japan - GECCCRECEIVABLE RESERVES</v>
          </cell>
          <cell r="B2622">
            <v>-628351402.15999997</v>
          </cell>
          <cell r="C2622">
            <v>-648522883.01999998</v>
          </cell>
          <cell r="D2622">
            <v>-709304242.33000004</v>
          </cell>
          <cell r="E2622">
            <v>-675196568.65999997</v>
          </cell>
          <cell r="F2622">
            <v>-675196568.65999997</v>
          </cell>
          <cell r="G2622">
            <v>-723094971.63646495</v>
          </cell>
          <cell r="H2622">
            <v>-732559189.30299699</v>
          </cell>
          <cell r="I2622">
            <v>-751985589.18978906</v>
          </cell>
          <cell r="J2622">
            <v>-759562244.69725597</v>
          </cell>
          <cell r="K2622">
            <v>-759562244.69725597</v>
          </cell>
          <cell r="L2622">
            <v>-679973288.72000003</v>
          </cell>
          <cell r="M2622">
            <v>-691796075</v>
          </cell>
          <cell r="N2622">
            <v>-764361016.66666698</v>
          </cell>
          <cell r="O2622">
            <v>-846963883.33333302</v>
          </cell>
        </row>
        <row r="2623">
          <cell r="A2623" t="str">
            <v>Japan - GECCCCASH</v>
          </cell>
          <cell r="B2623">
            <v>98136911.269999996</v>
          </cell>
          <cell r="C2623">
            <v>147921140.72999999</v>
          </cell>
          <cell r="D2623">
            <v>134419527.09999999</v>
          </cell>
          <cell r="E2623">
            <v>160935271.08000001</v>
          </cell>
          <cell r="F2623">
            <v>160935271.08000001</v>
          </cell>
          <cell r="G2623">
            <v>175596639.558171</v>
          </cell>
          <cell r="H2623">
            <v>182374164.40880701</v>
          </cell>
          <cell r="I2623">
            <v>187156748.61703399</v>
          </cell>
          <cell r="J2623">
            <v>189335287.00267401</v>
          </cell>
          <cell r="K2623">
            <v>189335287.00267401</v>
          </cell>
          <cell r="L2623">
            <v>146826332.77000001</v>
          </cell>
          <cell r="M2623">
            <v>169817273.08421901</v>
          </cell>
          <cell r="N2623">
            <v>193053484.25724599</v>
          </cell>
          <cell r="O2623">
            <v>221904961.44452301</v>
          </cell>
        </row>
        <row r="2624">
          <cell r="A2624" t="str">
            <v>Japan - GECCCINVESTMENT SECURITIES</v>
          </cell>
          <cell r="B2624">
            <v>0</v>
          </cell>
          <cell r="C2624">
            <v>0</v>
          </cell>
          <cell r="D2624">
            <v>0</v>
          </cell>
          <cell r="E2624">
            <v>0</v>
          </cell>
          <cell r="F2624">
            <v>0</v>
          </cell>
          <cell r="G2624">
            <v>0</v>
          </cell>
          <cell r="H2624">
            <v>0</v>
          </cell>
          <cell r="I2624">
            <v>0</v>
          </cell>
          <cell r="J2624">
            <v>0</v>
          </cell>
          <cell r="K2624">
            <v>0</v>
          </cell>
          <cell r="L2624">
            <v>0</v>
          </cell>
          <cell r="M2624">
            <v>0</v>
          </cell>
          <cell r="N2624">
            <v>0</v>
          </cell>
          <cell r="O2624">
            <v>0</v>
          </cell>
        </row>
        <row r="2625">
          <cell r="A2625" t="str">
            <v>Japan - GECCCINV IN NON CONSOL AFFILIATES</v>
          </cell>
          <cell r="B2625">
            <v>246804.75</v>
          </cell>
          <cell r="C2625">
            <v>282014.36</v>
          </cell>
          <cell r="D2625">
            <v>353811.14</v>
          </cell>
          <cell r="E2625">
            <v>278184.8</v>
          </cell>
          <cell r="F2625">
            <v>278184.8</v>
          </cell>
          <cell r="G2625">
            <v>295362.71139999997</v>
          </cell>
          <cell r="H2625">
            <v>295362.71139999997</v>
          </cell>
          <cell r="I2625">
            <v>295362.71139999997</v>
          </cell>
          <cell r="J2625">
            <v>295362.71139999997</v>
          </cell>
          <cell r="K2625">
            <v>295362.71139999997</v>
          </cell>
          <cell r="L2625">
            <v>274819.92</v>
          </cell>
          <cell r="M2625">
            <v>251741.908333</v>
          </cell>
          <cell r="N2625">
            <v>251741.908333</v>
          </cell>
          <cell r="O2625">
            <v>251741.908333</v>
          </cell>
        </row>
        <row r="2626">
          <cell r="A2626" t="str">
            <v>Japan - GECCCINVESTMENT IN JOINT VENTURE</v>
          </cell>
          <cell r="B2626">
            <v>0</v>
          </cell>
          <cell r="C2626">
            <v>0</v>
          </cell>
          <cell r="D2626">
            <v>0</v>
          </cell>
          <cell r="E2626">
            <v>0</v>
          </cell>
          <cell r="F2626">
            <v>0</v>
          </cell>
          <cell r="G2626">
            <v>0</v>
          </cell>
          <cell r="H2626">
            <v>0</v>
          </cell>
          <cell r="I2626">
            <v>0</v>
          </cell>
          <cell r="J2626">
            <v>0</v>
          </cell>
          <cell r="K2626">
            <v>0</v>
          </cell>
          <cell r="L2626">
            <v>0</v>
          </cell>
          <cell r="M2626">
            <v>0</v>
          </cell>
          <cell r="N2626">
            <v>0</v>
          </cell>
          <cell r="O2626">
            <v>0</v>
          </cell>
        </row>
        <row r="2627">
          <cell r="A2627" t="str">
            <v>Japan - GECCCALL OTHER RECEIVABLES (NON-FINANCING)</v>
          </cell>
          <cell r="B2627">
            <v>69670527.400000006</v>
          </cell>
          <cell r="C2627">
            <v>54715743.549999997</v>
          </cell>
          <cell r="D2627">
            <v>66724263.579999998</v>
          </cell>
          <cell r="E2627">
            <v>61484082.68</v>
          </cell>
          <cell r="F2627">
            <v>61484082.68</v>
          </cell>
          <cell r="G2627">
            <v>65466799.785489999</v>
          </cell>
          <cell r="H2627">
            <v>65731983.118822999</v>
          </cell>
          <cell r="I2627">
            <v>66510774.785489999</v>
          </cell>
          <cell r="J2627">
            <v>66436558.118822999</v>
          </cell>
          <cell r="K2627">
            <v>66436558.118822999</v>
          </cell>
          <cell r="L2627">
            <v>60296446.979999997</v>
          </cell>
          <cell r="M2627">
            <v>77473822.591666996</v>
          </cell>
          <cell r="N2627">
            <v>81173822.591666996</v>
          </cell>
          <cell r="O2627">
            <v>82040489.258332998</v>
          </cell>
        </row>
        <row r="2628">
          <cell r="A2628" t="str">
            <v>Japan - GECCCELTO (NET)</v>
          </cell>
          <cell r="B2628">
            <v>0</v>
          </cell>
          <cell r="C2628">
            <v>0</v>
          </cell>
          <cell r="D2628">
            <v>0</v>
          </cell>
          <cell r="E2628">
            <v>0</v>
          </cell>
          <cell r="F2628">
            <v>0</v>
          </cell>
          <cell r="G2628">
            <v>0</v>
          </cell>
          <cell r="H2628">
            <v>0</v>
          </cell>
          <cell r="I2628">
            <v>0</v>
          </cell>
          <cell r="J2628">
            <v>0</v>
          </cell>
          <cell r="K2628">
            <v>0</v>
          </cell>
          <cell r="L2628">
            <v>0</v>
          </cell>
          <cell r="M2628">
            <v>0</v>
          </cell>
          <cell r="N2628">
            <v>0</v>
          </cell>
          <cell r="O2628">
            <v>0</v>
          </cell>
        </row>
        <row r="2629">
          <cell r="A2629" t="str">
            <v>Japan - GECCCGOODWILL</v>
          </cell>
          <cell r="B2629">
            <v>1473843679.8</v>
          </cell>
          <cell r="C2629">
            <v>1445105920.97</v>
          </cell>
          <cell r="D2629">
            <v>1491867485.53</v>
          </cell>
          <cell r="E2629">
            <v>1585452981.29</v>
          </cell>
          <cell r="F2629">
            <v>1585452981.29</v>
          </cell>
          <cell r="G2629">
            <v>1683354702.88465</v>
          </cell>
          <cell r="H2629">
            <v>1683354702.88465</v>
          </cell>
          <cell r="I2629">
            <v>1683354702.88465</v>
          </cell>
          <cell r="J2629">
            <v>1899033316.3929901</v>
          </cell>
          <cell r="K2629">
            <v>1899033316.3929901</v>
          </cell>
          <cell r="L2629">
            <v>1555381595.29</v>
          </cell>
          <cell r="M2629">
            <v>1799334830.71666</v>
          </cell>
          <cell r="N2629">
            <v>1685340021.46666</v>
          </cell>
          <cell r="O2629">
            <v>1571345212.2249999</v>
          </cell>
        </row>
        <row r="2630">
          <cell r="A2630" t="str">
            <v>Japan - GECCCOTHER ASSETS</v>
          </cell>
          <cell r="B2630">
            <v>374460685.68000001</v>
          </cell>
          <cell r="C2630">
            <v>357146497.94999999</v>
          </cell>
          <cell r="D2630">
            <v>361572423.82999998</v>
          </cell>
          <cell r="E2630">
            <v>338345147.89999998</v>
          </cell>
          <cell r="F2630">
            <v>338345147.89999998</v>
          </cell>
          <cell r="G2630">
            <v>353094123.37449199</v>
          </cell>
          <cell r="H2630">
            <v>353486538.90782499</v>
          </cell>
          <cell r="I2630">
            <v>359936127.70782501</v>
          </cell>
          <cell r="J2630">
            <v>355593809.57449198</v>
          </cell>
          <cell r="K2630">
            <v>355593809.57449198</v>
          </cell>
          <cell r="L2630">
            <v>334788808.95999998</v>
          </cell>
          <cell r="M2630">
            <v>360738777.07499999</v>
          </cell>
          <cell r="N2630">
            <v>345410127.07499999</v>
          </cell>
          <cell r="O2630">
            <v>327288610.408333</v>
          </cell>
        </row>
        <row r="2631">
          <cell r="A2631" t="str">
            <v>Japan - GECCCACCOUNTS PAYABLE</v>
          </cell>
          <cell r="B2631">
            <v>-294617529.72000003</v>
          </cell>
          <cell r="C2631">
            <v>-355243559.94</v>
          </cell>
          <cell r="D2631">
            <v>-410856608.81999999</v>
          </cell>
          <cell r="E2631">
            <v>-619276004.64999998</v>
          </cell>
          <cell r="F2631">
            <v>-619276004.64999998</v>
          </cell>
          <cell r="G2631">
            <v>-410005956.27047098</v>
          </cell>
          <cell r="H2631">
            <v>-408370614.60380399</v>
          </cell>
          <cell r="I2631">
            <v>-406735272.93713802</v>
          </cell>
          <cell r="J2631">
            <v>-620778544.77880394</v>
          </cell>
          <cell r="K2631">
            <v>-620778544.77880394</v>
          </cell>
          <cell r="L2631">
            <v>-322660902.63</v>
          </cell>
          <cell r="M2631">
            <v>-499802725.32499999</v>
          </cell>
          <cell r="N2631">
            <v>-281392770.14999998</v>
          </cell>
          <cell r="O2631">
            <v>-280981661.81666702</v>
          </cell>
        </row>
        <row r="2632">
          <cell r="A2632" t="str">
            <v>Japan - GECCCDEFERRED INCOME TAXES</v>
          </cell>
          <cell r="B2632">
            <v>227314587.28</v>
          </cell>
          <cell r="C2632">
            <v>250948855.09</v>
          </cell>
          <cell r="D2632">
            <v>297707362.62</v>
          </cell>
          <cell r="E2632">
            <v>232820100.34999999</v>
          </cell>
          <cell r="F2632">
            <v>232820100.34999999</v>
          </cell>
          <cell r="G2632">
            <v>247196741.54661301</v>
          </cell>
          <cell r="H2632">
            <v>247196741.54661301</v>
          </cell>
          <cell r="I2632">
            <v>247196741.54661301</v>
          </cell>
          <cell r="J2632">
            <v>247196741.54661301</v>
          </cell>
          <cell r="K2632">
            <v>247196741.54661301</v>
          </cell>
          <cell r="L2632">
            <v>130693277.48</v>
          </cell>
          <cell r="M2632">
            <v>231861862.116667</v>
          </cell>
          <cell r="N2632">
            <v>231861862.116667</v>
          </cell>
          <cell r="O2632">
            <v>231861862.116667</v>
          </cell>
        </row>
        <row r="2633">
          <cell r="A2633" t="str">
            <v>Japan - GECCCWRITE-OFF (MEMO)</v>
          </cell>
          <cell r="B2633">
            <v>43600286.590000004</v>
          </cell>
          <cell r="C2633">
            <v>153016892.91</v>
          </cell>
          <cell r="D2633">
            <v>240872721.50999999</v>
          </cell>
          <cell r="E2633">
            <v>346006534.37</v>
          </cell>
          <cell r="F2633">
            <v>346006534.37</v>
          </cell>
          <cell r="G2633">
            <v>98756968</v>
          </cell>
          <cell r="H2633">
            <v>203581476.33333299</v>
          </cell>
          <cell r="I2633">
            <v>312063818</v>
          </cell>
          <cell r="J2633">
            <v>434224394</v>
          </cell>
          <cell r="K2633">
            <v>434224394</v>
          </cell>
          <cell r="L2633">
            <v>88833433.060000002</v>
          </cell>
          <cell r="M2633">
            <v>354692675</v>
          </cell>
          <cell r="N2633">
            <v>379119208.33333302</v>
          </cell>
          <cell r="O2633">
            <v>426073333.33333302</v>
          </cell>
        </row>
        <row r="2634">
          <cell r="A2634" t="str">
            <v>Japan - GECCCINSURANCE RESERVES AND ANNUITY BENEFITS</v>
          </cell>
          <cell r="B2634">
            <v>0</v>
          </cell>
          <cell r="C2634">
            <v>0</v>
          </cell>
          <cell r="D2634">
            <v>0</v>
          </cell>
          <cell r="E2634">
            <v>0</v>
          </cell>
          <cell r="F2634">
            <v>0</v>
          </cell>
          <cell r="G2634">
            <v>0</v>
          </cell>
          <cell r="H2634">
            <v>0</v>
          </cell>
          <cell r="I2634">
            <v>0</v>
          </cell>
          <cell r="J2634">
            <v>0</v>
          </cell>
          <cell r="K2634">
            <v>0</v>
          </cell>
          <cell r="L2634">
            <v>0</v>
          </cell>
          <cell r="M2634">
            <v>0</v>
          </cell>
          <cell r="N2634">
            <v>0</v>
          </cell>
          <cell r="O2634">
            <v>0</v>
          </cell>
        </row>
        <row r="2635">
          <cell r="A2635" t="str">
            <v>Japan - GECCCALL OTHER NON DEBT LIABILITIES</v>
          </cell>
          <cell r="B2635">
            <v>-80265450.340000004</v>
          </cell>
          <cell r="C2635">
            <v>-68396663.780000001</v>
          </cell>
          <cell r="D2635">
            <v>-78265583</v>
          </cell>
          <cell r="E2635">
            <v>-78105498.709999993</v>
          </cell>
          <cell r="F2635">
            <v>-78105498.709999993</v>
          </cell>
          <cell r="G2635">
            <v>-77220299.322008997</v>
          </cell>
          <cell r="H2635">
            <v>-77133773.005342007</v>
          </cell>
          <cell r="I2635">
            <v>-91387506.763676003</v>
          </cell>
          <cell r="J2635">
            <v>-91130699.388676003</v>
          </cell>
          <cell r="K2635">
            <v>-91130699.388676003</v>
          </cell>
          <cell r="L2635">
            <v>-66771513.259999998</v>
          </cell>
          <cell r="M2635">
            <v>-97398115.116667002</v>
          </cell>
          <cell r="N2635">
            <v>-103880662.741667</v>
          </cell>
          <cell r="O2635">
            <v>-110532018.06666701</v>
          </cell>
        </row>
        <row r="2636">
          <cell r="A2636" t="str">
            <v>Japan - GECCCMINORITY INTEREST (BS)</v>
          </cell>
          <cell r="B2636">
            <v>0</v>
          </cell>
          <cell r="C2636">
            <v>0</v>
          </cell>
          <cell r="D2636">
            <v>0</v>
          </cell>
          <cell r="E2636">
            <v>0</v>
          </cell>
          <cell r="F2636">
            <v>0</v>
          </cell>
          <cell r="G2636">
            <v>0</v>
          </cell>
          <cell r="H2636">
            <v>0</v>
          </cell>
          <cell r="I2636">
            <v>0</v>
          </cell>
          <cell r="J2636">
            <v>0</v>
          </cell>
          <cell r="K2636">
            <v>0</v>
          </cell>
          <cell r="L2636">
            <v>0</v>
          </cell>
          <cell r="M2636">
            <v>0</v>
          </cell>
          <cell r="N2636">
            <v>0</v>
          </cell>
          <cell r="O2636">
            <v>0</v>
          </cell>
        </row>
        <row r="2637">
          <cell r="A2637" t="str">
            <v>Japan - GECCCASIA PACIFIC ENI DIVIDEND</v>
          </cell>
          <cell r="B2637">
            <v>0</v>
          </cell>
          <cell r="C2637">
            <v>0</v>
          </cell>
          <cell r="D2637">
            <v>0</v>
          </cell>
          <cell r="E2637">
            <v>0</v>
          </cell>
          <cell r="F2637">
            <v>0</v>
          </cell>
          <cell r="G2637">
            <v>0</v>
          </cell>
          <cell r="H2637">
            <v>0</v>
          </cell>
          <cell r="I2637">
            <v>0</v>
          </cell>
          <cell r="J2637">
            <v>0</v>
          </cell>
          <cell r="K2637">
            <v>0</v>
          </cell>
          <cell r="L2637">
            <v>0</v>
          </cell>
          <cell r="M2637">
            <v>0</v>
          </cell>
          <cell r="N2637">
            <v>0</v>
          </cell>
          <cell r="O2637">
            <v>0</v>
          </cell>
        </row>
        <row r="2638">
          <cell r="A2638" t="str">
            <v>Japan - GECCCFINANCING INCOME</v>
          </cell>
          <cell r="B2638">
            <v>-390445007.88999999</v>
          </cell>
          <cell r="C2638">
            <v>-418182185.04000002</v>
          </cell>
          <cell r="D2638">
            <v>-406308832.38</v>
          </cell>
          <cell r="E2638">
            <v>-436227094.31999999</v>
          </cell>
          <cell r="F2638">
            <v>-1651163119.6300001</v>
          </cell>
          <cell r="G2638">
            <v>-427219075</v>
          </cell>
          <cell r="H2638">
            <v>-456572275</v>
          </cell>
          <cell r="I2638">
            <v>-478382316.66666698</v>
          </cell>
          <cell r="J2638">
            <v>-474996491.66666698</v>
          </cell>
          <cell r="K2638">
            <v>-1837170158.3333299</v>
          </cell>
          <cell r="L2638">
            <v>-406506872.44999999</v>
          </cell>
          <cell r="M2638">
            <v>-1774382741.6666701</v>
          </cell>
          <cell r="N2638">
            <v>-1965271017</v>
          </cell>
          <cell r="O2638">
            <v>-2206508299.6666698</v>
          </cell>
        </row>
        <row r="2639">
          <cell r="A2639" t="str">
            <v>Japan - GECCCINSURANCE PREMIUM INCOME</v>
          </cell>
          <cell r="B2639">
            <v>0</v>
          </cell>
          <cell r="C2639">
            <v>0</v>
          </cell>
          <cell r="D2639">
            <v>0</v>
          </cell>
          <cell r="E2639">
            <v>0</v>
          </cell>
          <cell r="F2639">
            <v>0</v>
          </cell>
          <cell r="G2639">
            <v>0</v>
          </cell>
          <cell r="H2639">
            <v>0</v>
          </cell>
          <cell r="I2639">
            <v>0</v>
          </cell>
          <cell r="J2639">
            <v>0</v>
          </cell>
          <cell r="K2639">
            <v>0</v>
          </cell>
          <cell r="L2639">
            <v>0</v>
          </cell>
          <cell r="M2639">
            <v>0</v>
          </cell>
          <cell r="N2639">
            <v>0</v>
          </cell>
          <cell r="O2639">
            <v>0</v>
          </cell>
        </row>
        <row r="2640">
          <cell r="A2640" t="str">
            <v>Japan - GECCCINSURANCE INCOME (COMMISSIONS)</v>
          </cell>
          <cell r="B2640">
            <v>0</v>
          </cell>
          <cell r="C2640">
            <v>0</v>
          </cell>
          <cell r="D2640">
            <v>0</v>
          </cell>
          <cell r="E2640">
            <v>0</v>
          </cell>
          <cell r="F2640">
            <v>0</v>
          </cell>
          <cell r="G2640">
            <v>0</v>
          </cell>
          <cell r="H2640">
            <v>0</v>
          </cell>
          <cell r="I2640">
            <v>0</v>
          </cell>
          <cell r="J2640">
            <v>0</v>
          </cell>
          <cell r="K2640">
            <v>0</v>
          </cell>
          <cell r="L2640">
            <v>-16915184.899999999</v>
          </cell>
          <cell r="M2640">
            <v>0</v>
          </cell>
          <cell r="N2640">
            <v>0</v>
          </cell>
          <cell r="O2640">
            <v>0</v>
          </cell>
        </row>
        <row r="2641">
          <cell r="A2641" t="str">
            <v>Japan - GECCCSUNDRY INCOME</v>
          </cell>
          <cell r="B2641">
            <v>-22347267.98</v>
          </cell>
          <cell r="C2641">
            <v>-4010865.32</v>
          </cell>
          <cell r="D2641">
            <v>-11227167.91</v>
          </cell>
          <cell r="E2641">
            <v>-17470175.510000002</v>
          </cell>
          <cell r="F2641">
            <v>-55055476.719999999</v>
          </cell>
          <cell r="G2641">
            <v>-4026123.5916670002</v>
          </cell>
          <cell r="H2641">
            <v>-5339491.6666670004</v>
          </cell>
          <cell r="I2641">
            <v>-4863458.3333329996</v>
          </cell>
          <cell r="J2641">
            <v>-5779075</v>
          </cell>
          <cell r="K2641">
            <v>-20008148.591667</v>
          </cell>
          <cell r="L2641">
            <v>-2934355.17</v>
          </cell>
          <cell r="M2641">
            <v>-4297458.3333329996</v>
          </cell>
          <cell r="N2641">
            <v>-4297458.3333329996</v>
          </cell>
          <cell r="O2641">
            <v>-4297458.3333329996</v>
          </cell>
        </row>
        <row r="2642">
          <cell r="A2642" t="str">
            <v>Japan - GECCCINTEREST EXPENSE</v>
          </cell>
          <cell r="B2642">
            <v>16070584.630000001</v>
          </cell>
          <cell r="C2642">
            <v>14823874.66</v>
          </cell>
          <cell r="D2642">
            <v>14836283.550000001</v>
          </cell>
          <cell r="E2642">
            <v>14408231.08</v>
          </cell>
          <cell r="F2642">
            <v>60138973.920000002</v>
          </cell>
          <cell r="G2642">
            <v>16456783.025</v>
          </cell>
          <cell r="H2642">
            <v>17884332.991666999</v>
          </cell>
          <cell r="I2642">
            <v>17177360.158333</v>
          </cell>
          <cell r="J2642">
            <v>19077780.658333</v>
          </cell>
          <cell r="K2642">
            <v>70596256.833333001</v>
          </cell>
          <cell r="L2642">
            <v>14261400.18</v>
          </cell>
          <cell r="M2642">
            <v>101900991.666667</v>
          </cell>
          <cell r="N2642">
            <v>127549708.333333</v>
          </cell>
          <cell r="O2642">
            <v>152664916.66666701</v>
          </cell>
        </row>
        <row r="2643">
          <cell r="A2643" t="str">
            <v>Japan - GECCCINTEREST EXPENSE REDUCTIONS / BUS SHARING</v>
          </cell>
          <cell r="B2643">
            <v>0</v>
          </cell>
          <cell r="C2643">
            <v>0</v>
          </cell>
          <cell r="D2643">
            <v>0</v>
          </cell>
          <cell r="E2643">
            <v>0</v>
          </cell>
          <cell r="F2643">
            <v>0</v>
          </cell>
          <cell r="G2643">
            <v>0</v>
          </cell>
          <cell r="H2643">
            <v>0</v>
          </cell>
          <cell r="I2643">
            <v>0</v>
          </cell>
          <cell r="J2643">
            <v>0</v>
          </cell>
          <cell r="K2643">
            <v>0</v>
          </cell>
          <cell r="L2643">
            <v>0</v>
          </cell>
          <cell r="M2643">
            <v>0</v>
          </cell>
          <cell r="N2643">
            <v>0</v>
          </cell>
          <cell r="O2643">
            <v>0</v>
          </cell>
        </row>
        <row r="2644">
          <cell r="A2644" t="str">
            <v>Japan - GECCCALLOCATED COST OF PREFERRED EQUITY</v>
          </cell>
          <cell r="B2644">
            <v>923205</v>
          </cell>
          <cell r="C2644">
            <v>800834</v>
          </cell>
          <cell r="D2644">
            <v>700724</v>
          </cell>
          <cell r="E2644">
            <v>396048</v>
          </cell>
          <cell r="F2644">
            <v>2820811</v>
          </cell>
          <cell r="G2644">
            <v>1049391.6666669999</v>
          </cell>
          <cell r="H2644">
            <v>1099575</v>
          </cell>
          <cell r="I2644">
            <v>1129383.3333330001</v>
          </cell>
          <cell r="J2644">
            <v>1145775</v>
          </cell>
          <cell r="K2644">
            <v>4424125</v>
          </cell>
          <cell r="L2644">
            <v>470888.31</v>
          </cell>
          <cell r="M2644">
            <v>0</v>
          </cell>
          <cell r="N2644">
            <v>0</v>
          </cell>
          <cell r="O2644">
            <v>0</v>
          </cell>
        </row>
        <row r="2645">
          <cell r="A2645" t="str">
            <v>Japan - GECCCSALARIES &amp; BENEFITS</v>
          </cell>
          <cell r="B2645">
            <v>45009125.979999997</v>
          </cell>
          <cell r="C2645">
            <v>42806705.829999998</v>
          </cell>
          <cell r="D2645">
            <v>40853181.159999996</v>
          </cell>
          <cell r="E2645">
            <v>46917050.520000003</v>
          </cell>
          <cell r="F2645">
            <v>175586063.49000001</v>
          </cell>
          <cell r="G2645">
            <v>44408581.024999999</v>
          </cell>
          <cell r="H2645">
            <v>46220978.983332999</v>
          </cell>
          <cell r="I2645">
            <v>45940099.075000003</v>
          </cell>
          <cell r="J2645">
            <v>46383254.141667001</v>
          </cell>
          <cell r="K2645">
            <v>182952913.22499999</v>
          </cell>
          <cell r="L2645">
            <v>38485557.609999999</v>
          </cell>
          <cell r="M2645">
            <v>172351025</v>
          </cell>
          <cell r="N2645">
            <v>170803575</v>
          </cell>
          <cell r="O2645">
            <v>170168175</v>
          </cell>
        </row>
        <row r="2646">
          <cell r="A2646" t="str">
            <v>Japan - GECCCLOSSES ON OTHER ASSETS</v>
          </cell>
          <cell r="B2646">
            <v>0</v>
          </cell>
          <cell r="C2646">
            <v>0</v>
          </cell>
          <cell r="D2646">
            <v>0</v>
          </cell>
          <cell r="E2646">
            <v>1233.3699999999999</v>
          </cell>
          <cell r="F2646">
            <v>1233.3699999999999</v>
          </cell>
          <cell r="G2646">
            <v>0</v>
          </cell>
          <cell r="H2646">
            <v>0</v>
          </cell>
          <cell r="I2646">
            <v>0</v>
          </cell>
          <cell r="J2646">
            <v>0</v>
          </cell>
          <cell r="K2646">
            <v>0</v>
          </cell>
          <cell r="L2646">
            <v>38000.46</v>
          </cell>
          <cell r="M2646">
            <v>0</v>
          </cell>
          <cell r="N2646">
            <v>0</v>
          </cell>
          <cell r="O2646">
            <v>0</v>
          </cell>
        </row>
        <row r="2647">
          <cell r="A2647" t="str">
            <v>Japan - GECCCCOST OF GOODS SOLD</v>
          </cell>
          <cell r="B2647">
            <v>-191968.89</v>
          </cell>
          <cell r="C2647">
            <v>-1434.04</v>
          </cell>
          <cell r="D2647">
            <v>-7954.74</v>
          </cell>
          <cell r="E2647">
            <v>0</v>
          </cell>
          <cell r="F2647">
            <v>-201357.67</v>
          </cell>
          <cell r="G2647">
            <v>0</v>
          </cell>
          <cell r="H2647">
            <v>0</v>
          </cell>
          <cell r="I2647">
            <v>0</v>
          </cell>
          <cell r="J2647">
            <v>0</v>
          </cell>
          <cell r="K2647">
            <v>0</v>
          </cell>
          <cell r="L2647">
            <v>0</v>
          </cell>
          <cell r="M2647">
            <v>0</v>
          </cell>
          <cell r="N2647">
            <v>0</v>
          </cell>
          <cell r="O2647">
            <v>0</v>
          </cell>
        </row>
        <row r="2648">
          <cell r="A2648" t="str">
            <v>Japan - GECCCCOST OF GOODS SOLD - DISTRIBUTION</v>
          </cell>
          <cell r="B2648">
            <v>0</v>
          </cell>
          <cell r="C2648">
            <v>0</v>
          </cell>
          <cell r="D2648">
            <v>0</v>
          </cell>
          <cell r="E2648">
            <v>0</v>
          </cell>
          <cell r="F2648">
            <v>0</v>
          </cell>
          <cell r="G2648">
            <v>0</v>
          </cell>
          <cell r="H2648">
            <v>0</v>
          </cell>
          <cell r="I2648">
            <v>0</v>
          </cell>
          <cell r="J2648">
            <v>0</v>
          </cell>
          <cell r="K2648">
            <v>0</v>
          </cell>
          <cell r="L2648">
            <v>0</v>
          </cell>
          <cell r="M2648">
            <v>0</v>
          </cell>
          <cell r="N2648">
            <v>0</v>
          </cell>
          <cell r="O2648">
            <v>0</v>
          </cell>
        </row>
        <row r="2649">
          <cell r="A2649" t="str">
            <v>Japan - GECCCPOSTAGE</v>
          </cell>
          <cell r="B2649">
            <v>1469117.87</v>
          </cell>
          <cell r="C2649">
            <v>2253370.4</v>
          </cell>
          <cell r="D2649">
            <v>2148828.27</v>
          </cell>
          <cell r="E2649">
            <v>2005902.44</v>
          </cell>
          <cell r="F2649">
            <v>7877218.9800000004</v>
          </cell>
          <cell r="G2649">
            <v>1728931.2749999999</v>
          </cell>
          <cell r="H2649">
            <v>1877178.091667</v>
          </cell>
          <cell r="I2649">
            <v>1847689.4</v>
          </cell>
          <cell r="J2649">
            <v>1818661.216667</v>
          </cell>
          <cell r="K2649">
            <v>7272459.983333</v>
          </cell>
          <cell r="L2649">
            <v>1673296.03</v>
          </cell>
          <cell r="M2649">
            <v>7271633.3333329996</v>
          </cell>
          <cell r="N2649">
            <v>7534825</v>
          </cell>
          <cell r="O2649">
            <v>7569350</v>
          </cell>
        </row>
        <row r="2650">
          <cell r="A2650" t="str">
            <v>Japan - GECCCTELEPHONE</v>
          </cell>
          <cell r="B2650">
            <v>2085171.94</v>
          </cell>
          <cell r="C2650">
            <v>1742555.45</v>
          </cell>
          <cell r="D2650">
            <v>296476.59000000003</v>
          </cell>
          <cell r="E2650">
            <v>1739409.48</v>
          </cell>
          <cell r="F2650">
            <v>5863613.46</v>
          </cell>
          <cell r="G2650">
            <v>2891805.4083329998</v>
          </cell>
          <cell r="H2650">
            <v>3136975.3833329999</v>
          </cell>
          <cell r="I2650">
            <v>3134400.4083329998</v>
          </cell>
          <cell r="J2650">
            <v>3213962.1</v>
          </cell>
          <cell r="K2650">
            <v>12377143.300000001</v>
          </cell>
          <cell r="L2650">
            <v>1347132.99</v>
          </cell>
          <cell r="M2650">
            <v>12279383.333333001</v>
          </cell>
          <cell r="N2650">
            <v>12630816.666666999</v>
          </cell>
          <cell r="O2650">
            <v>13505150</v>
          </cell>
        </row>
        <row r="2651">
          <cell r="A2651" t="str">
            <v>Japan - GECCCCUSTOMER SERVICE / COLLECTIONS</v>
          </cell>
          <cell r="B2651">
            <v>1865775.31</v>
          </cell>
          <cell r="C2651">
            <v>2627143.73</v>
          </cell>
          <cell r="D2651">
            <v>2259265.16</v>
          </cell>
          <cell r="E2651">
            <v>2857699.18</v>
          </cell>
          <cell r="F2651">
            <v>9609883.3800000008</v>
          </cell>
          <cell r="G2651">
            <v>2836263.0333329998</v>
          </cell>
          <cell r="H2651">
            <v>3059823</v>
          </cell>
          <cell r="I2651">
            <v>3056043.1666669999</v>
          </cell>
          <cell r="J2651">
            <v>3025314.0666669998</v>
          </cell>
          <cell r="K2651">
            <v>11977443.266666999</v>
          </cell>
          <cell r="L2651">
            <v>2888952.82</v>
          </cell>
          <cell r="M2651">
            <v>8772391.6666669995</v>
          </cell>
          <cell r="N2651">
            <v>8974425</v>
          </cell>
          <cell r="O2651">
            <v>9228691.6666669995</v>
          </cell>
        </row>
        <row r="2652">
          <cell r="A2652" t="str">
            <v>Japan - GECCCSTATIONARY - OFFICE SUPPLIES</v>
          </cell>
          <cell r="B2652">
            <v>3936269.18</v>
          </cell>
          <cell r="C2652">
            <v>2748328.31</v>
          </cell>
          <cell r="D2652">
            <v>271332.84999999998</v>
          </cell>
          <cell r="E2652">
            <v>6481213.4100000001</v>
          </cell>
          <cell r="F2652">
            <v>13437143.75</v>
          </cell>
          <cell r="G2652">
            <v>3793957.0083329999</v>
          </cell>
          <cell r="H2652">
            <v>3941330.0666669998</v>
          </cell>
          <cell r="I2652">
            <v>4077920.4083329998</v>
          </cell>
          <cell r="J2652">
            <v>2693381.75</v>
          </cell>
          <cell r="K2652">
            <v>14506589.233333001</v>
          </cell>
          <cell r="L2652">
            <v>280556.23</v>
          </cell>
          <cell r="M2652">
            <v>20898068.333333001</v>
          </cell>
          <cell r="N2652">
            <v>13684513.333333001</v>
          </cell>
          <cell r="O2652">
            <v>17096996.666666999</v>
          </cell>
        </row>
        <row r="2653">
          <cell r="A2653" t="str">
            <v>Japan - GECCCT&amp;L</v>
          </cell>
          <cell r="B2653">
            <v>1814341.04</v>
          </cell>
          <cell r="C2653">
            <v>1543882.35</v>
          </cell>
          <cell r="D2653">
            <v>1084853.67</v>
          </cell>
          <cell r="E2653">
            <v>2127084.91</v>
          </cell>
          <cell r="F2653">
            <v>6570161.9699999997</v>
          </cell>
          <cell r="G2653">
            <v>3120365.125</v>
          </cell>
          <cell r="H2653">
            <v>2266837.5499999998</v>
          </cell>
          <cell r="I2653">
            <v>1977990.75</v>
          </cell>
          <cell r="J2653">
            <v>2258303.2583329999</v>
          </cell>
          <cell r="K2653">
            <v>9623496.6833330002</v>
          </cell>
          <cell r="L2653">
            <v>1730892.96</v>
          </cell>
          <cell r="M2653">
            <v>9529295</v>
          </cell>
          <cell r="N2653">
            <v>9828468.3333330005</v>
          </cell>
          <cell r="O2653">
            <v>9832635</v>
          </cell>
        </row>
        <row r="2654">
          <cell r="A2654" t="str">
            <v>Japan - GECCCRENTAL - BLDG/FACILITIES</v>
          </cell>
          <cell r="B2654">
            <v>12485419.91</v>
          </cell>
          <cell r="C2654">
            <v>12751400.189999999</v>
          </cell>
          <cell r="D2654">
            <v>10930098.84</v>
          </cell>
          <cell r="E2654">
            <v>13335031.689999999</v>
          </cell>
          <cell r="F2654">
            <v>49501950.630000003</v>
          </cell>
          <cell r="G2654">
            <v>12730990.658333</v>
          </cell>
          <cell r="H2654">
            <v>13114213.233333001</v>
          </cell>
          <cell r="I2654">
            <v>12754764.966667</v>
          </cell>
          <cell r="J2654">
            <v>12397476.108333001</v>
          </cell>
          <cell r="K2654">
            <v>50997444.966666996</v>
          </cell>
          <cell r="L2654">
            <v>8372533.3499999996</v>
          </cell>
          <cell r="M2654">
            <v>51786466.666666999</v>
          </cell>
          <cell r="N2654">
            <v>53488091.666666999</v>
          </cell>
          <cell r="O2654">
            <v>54248700</v>
          </cell>
        </row>
        <row r="2655">
          <cell r="A2655" t="str">
            <v>Japan - GECCCRENTAL - FURNITURE/EQUIP</v>
          </cell>
          <cell r="B2655">
            <v>155560.71</v>
          </cell>
          <cell r="C2655">
            <v>275192.93</v>
          </cell>
          <cell r="D2655">
            <v>262925.25</v>
          </cell>
          <cell r="E2655">
            <v>403114.78</v>
          </cell>
          <cell r="F2655">
            <v>1096793.67</v>
          </cell>
          <cell r="G2655">
            <v>430675</v>
          </cell>
          <cell r="H2655">
            <v>428433.33333300002</v>
          </cell>
          <cell r="I2655">
            <v>426375</v>
          </cell>
          <cell r="J2655">
            <v>427291.66666699998</v>
          </cell>
          <cell r="K2655">
            <v>1712775</v>
          </cell>
          <cell r="L2655">
            <v>107573.36</v>
          </cell>
          <cell r="M2655">
            <v>1769716.6666669999</v>
          </cell>
          <cell r="N2655">
            <v>1776533.3333330001</v>
          </cell>
          <cell r="O2655">
            <v>1762883.3333330001</v>
          </cell>
        </row>
        <row r="2656">
          <cell r="A2656" t="str">
            <v>Japan - GECCCRENTAL - COMPUTERS</v>
          </cell>
          <cell r="B2656">
            <v>156386.81</v>
          </cell>
          <cell r="C2656">
            <v>1262820.45</v>
          </cell>
          <cell r="D2656">
            <v>-960743.59</v>
          </cell>
          <cell r="E2656">
            <v>-184158.25</v>
          </cell>
          <cell r="F2656">
            <v>274305.42</v>
          </cell>
          <cell r="G2656">
            <v>949180.95833299996</v>
          </cell>
          <cell r="H2656">
            <v>726308.73333299998</v>
          </cell>
          <cell r="I2656">
            <v>891471.23333299998</v>
          </cell>
          <cell r="J2656">
            <v>611171.23333299998</v>
          </cell>
          <cell r="K2656">
            <v>3178132.1583329998</v>
          </cell>
          <cell r="L2656">
            <v>1051421.3500000001</v>
          </cell>
          <cell r="M2656">
            <v>7641233.3333329996</v>
          </cell>
          <cell r="N2656">
            <v>9397550</v>
          </cell>
          <cell r="O2656">
            <v>12546916.666666999</v>
          </cell>
        </row>
        <row r="2657">
          <cell r="A2657" t="str">
            <v>Japan - GECCCLEASE IN - LEASE OUT</v>
          </cell>
          <cell r="B2657">
            <v>0</v>
          </cell>
          <cell r="C2657">
            <v>0</v>
          </cell>
          <cell r="D2657">
            <v>0</v>
          </cell>
          <cell r="E2657">
            <v>0</v>
          </cell>
          <cell r="F2657">
            <v>0</v>
          </cell>
          <cell r="G2657">
            <v>0</v>
          </cell>
          <cell r="H2657">
            <v>0</v>
          </cell>
          <cell r="I2657">
            <v>0</v>
          </cell>
          <cell r="J2657">
            <v>0</v>
          </cell>
          <cell r="K2657">
            <v>0</v>
          </cell>
          <cell r="L2657">
            <v>0</v>
          </cell>
          <cell r="M2657">
            <v>0</v>
          </cell>
          <cell r="N2657">
            <v>0</v>
          </cell>
          <cell r="O2657">
            <v>0</v>
          </cell>
        </row>
        <row r="2658">
          <cell r="A2658" t="str">
            <v>Japan - GECCCFURNITURE / EQUIPMENT / COMPUTER EXP</v>
          </cell>
          <cell r="B2658">
            <v>2503201.4700000002</v>
          </cell>
          <cell r="C2658">
            <v>2796793.21</v>
          </cell>
          <cell r="D2658">
            <v>1790945.07</v>
          </cell>
          <cell r="E2658">
            <v>2760324.92</v>
          </cell>
          <cell r="F2658">
            <v>9851264.6699999999</v>
          </cell>
          <cell r="G2658">
            <v>3235825</v>
          </cell>
          <cell r="H2658">
            <v>3565691.6666669999</v>
          </cell>
          <cell r="I2658">
            <v>3862566.6666669999</v>
          </cell>
          <cell r="J2658">
            <v>3785716.6666669999</v>
          </cell>
          <cell r="K2658">
            <v>14449800</v>
          </cell>
          <cell r="L2658">
            <v>2732501.22</v>
          </cell>
          <cell r="M2658">
            <v>13019766.666666999</v>
          </cell>
          <cell r="N2658">
            <v>16669175</v>
          </cell>
          <cell r="O2658">
            <v>19989808.333333001</v>
          </cell>
        </row>
        <row r="2659">
          <cell r="A2659" t="str">
            <v>Japan - GECCCSOFTWARE EXPENSE</v>
          </cell>
          <cell r="B2659">
            <v>0</v>
          </cell>
          <cell r="C2659">
            <v>0</v>
          </cell>
          <cell r="D2659">
            <v>0</v>
          </cell>
          <cell r="E2659">
            <v>0</v>
          </cell>
          <cell r="F2659">
            <v>0</v>
          </cell>
          <cell r="G2659">
            <v>252073.966667</v>
          </cell>
          <cell r="H2659">
            <v>379340.63333300001</v>
          </cell>
          <cell r="I2659">
            <v>530648.96666699997</v>
          </cell>
          <cell r="J2659">
            <v>613982.30000000005</v>
          </cell>
          <cell r="K2659">
            <v>1776045.8666670001</v>
          </cell>
          <cell r="L2659">
            <v>0</v>
          </cell>
          <cell r="M2659">
            <v>0</v>
          </cell>
          <cell r="N2659">
            <v>0</v>
          </cell>
          <cell r="O2659">
            <v>0</v>
          </cell>
        </row>
        <row r="2660">
          <cell r="A2660" t="str">
            <v>Japan - GECCCAMORTIZATION OF INTANGIBLES</v>
          </cell>
          <cell r="B2660">
            <v>0</v>
          </cell>
          <cell r="C2660">
            <v>0</v>
          </cell>
          <cell r="D2660">
            <v>327980.3</v>
          </cell>
          <cell r="E2660">
            <v>315393.93</v>
          </cell>
          <cell r="F2660">
            <v>643374.23</v>
          </cell>
          <cell r="G2660">
            <v>0</v>
          </cell>
          <cell r="H2660">
            <v>0</v>
          </cell>
          <cell r="I2660">
            <v>0</v>
          </cell>
          <cell r="J2660">
            <v>0</v>
          </cell>
          <cell r="K2660">
            <v>0</v>
          </cell>
          <cell r="L2660">
            <v>402823.94</v>
          </cell>
          <cell r="M2660">
            <v>0</v>
          </cell>
          <cell r="N2660">
            <v>0</v>
          </cell>
          <cell r="O2660">
            <v>0</v>
          </cell>
        </row>
        <row r="2661">
          <cell r="A2661" t="str">
            <v>Japan - GECCCELTO MAINTENANCE</v>
          </cell>
          <cell r="B2661">
            <v>0</v>
          </cell>
          <cell r="C2661">
            <v>0</v>
          </cell>
          <cell r="D2661">
            <v>0</v>
          </cell>
          <cell r="E2661">
            <v>0</v>
          </cell>
          <cell r="F2661">
            <v>0</v>
          </cell>
          <cell r="G2661">
            <v>0</v>
          </cell>
          <cell r="H2661">
            <v>0</v>
          </cell>
          <cell r="I2661">
            <v>0</v>
          </cell>
          <cell r="J2661">
            <v>0</v>
          </cell>
          <cell r="K2661">
            <v>0</v>
          </cell>
          <cell r="L2661">
            <v>0</v>
          </cell>
          <cell r="M2661">
            <v>0</v>
          </cell>
          <cell r="N2661">
            <v>0</v>
          </cell>
          <cell r="O2661">
            <v>0</v>
          </cell>
        </row>
        <row r="2662">
          <cell r="A2662" t="str">
            <v>Japan - GECCCELTO OTHER</v>
          </cell>
          <cell r="B2662">
            <v>0</v>
          </cell>
          <cell r="C2662">
            <v>0</v>
          </cell>
          <cell r="D2662">
            <v>0</v>
          </cell>
          <cell r="E2662">
            <v>0</v>
          </cell>
          <cell r="F2662">
            <v>0</v>
          </cell>
          <cell r="G2662">
            <v>0</v>
          </cell>
          <cell r="H2662">
            <v>0</v>
          </cell>
          <cell r="I2662">
            <v>0</v>
          </cell>
          <cell r="J2662">
            <v>0</v>
          </cell>
          <cell r="K2662">
            <v>0</v>
          </cell>
          <cell r="L2662">
            <v>0</v>
          </cell>
          <cell r="M2662">
            <v>0</v>
          </cell>
          <cell r="N2662">
            <v>0</v>
          </cell>
          <cell r="O2662">
            <v>0</v>
          </cell>
        </row>
        <row r="2663">
          <cell r="A2663" t="str">
            <v>Japan - GECCCLEGAL</v>
          </cell>
          <cell r="B2663">
            <v>107508.03</v>
          </cell>
          <cell r="C2663">
            <v>216886.87</v>
          </cell>
          <cell r="D2663">
            <v>-94173.15</v>
          </cell>
          <cell r="E2663">
            <v>158018.53</v>
          </cell>
          <cell r="F2663">
            <v>388240.28</v>
          </cell>
          <cell r="G2663">
            <v>144091.66666700001</v>
          </cell>
          <cell r="H2663">
            <v>106591.666667</v>
          </cell>
          <cell r="I2663">
            <v>144091.66666700001</v>
          </cell>
          <cell r="J2663">
            <v>106591.666667</v>
          </cell>
          <cell r="K2663">
            <v>501366.66666699998</v>
          </cell>
          <cell r="L2663">
            <v>24907.919999999998</v>
          </cell>
          <cell r="M2663">
            <v>360000</v>
          </cell>
          <cell r="N2663">
            <v>360000</v>
          </cell>
          <cell r="O2663">
            <v>360000</v>
          </cell>
        </row>
        <row r="2664">
          <cell r="A2664" t="str">
            <v>Japan - GECCCADVERTISING</v>
          </cell>
          <cell r="B2664">
            <v>17648681.120000001</v>
          </cell>
          <cell r="C2664">
            <v>23854229.859999999</v>
          </cell>
          <cell r="D2664">
            <v>31780839.800000001</v>
          </cell>
          <cell r="E2664">
            <v>27777079.18</v>
          </cell>
          <cell r="F2664">
            <v>101060829.95999999</v>
          </cell>
          <cell r="G2664">
            <v>25255493.666666999</v>
          </cell>
          <cell r="H2664">
            <v>31268188.508333001</v>
          </cell>
          <cell r="I2664">
            <v>30208111.5</v>
          </cell>
          <cell r="J2664">
            <v>23754207.175000001</v>
          </cell>
          <cell r="K2664">
            <v>110486000.84999999</v>
          </cell>
          <cell r="L2664">
            <v>22303184.280000001</v>
          </cell>
          <cell r="M2664">
            <v>110199516.666667</v>
          </cell>
          <cell r="N2664">
            <v>110055800</v>
          </cell>
          <cell r="O2664">
            <v>110153950</v>
          </cell>
        </row>
        <row r="2665">
          <cell r="A2665" t="str">
            <v>Japan - GECCCSALES PROMOTIONS</v>
          </cell>
          <cell r="B2665">
            <v>1281482.99</v>
          </cell>
          <cell r="C2665">
            <v>2094845.83</v>
          </cell>
          <cell r="D2665">
            <v>1252476.23</v>
          </cell>
          <cell r="E2665">
            <v>2279768.25</v>
          </cell>
          <cell r="F2665">
            <v>6908573.2999999998</v>
          </cell>
          <cell r="G2665">
            <v>1476172.6666669999</v>
          </cell>
          <cell r="H2665">
            <v>1479125.6666669999</v>
          </cell>
          <cell r="I2665">
            <v>1705653.3333330001</v>
          </cell>
          <cell r="J2665">
            <v>2019419.4166669999</v>
          </cell>
          <cell r="K2665">
            <v>6680371.0833329996</v>
          </cell>
          <cell r="L2665">
            <v>1143536.28</v>
          </cell>
          <cell r="M2665">
            <v>7876158.3333329996</v>
          </cell>
          <cell r="N2665">
            <v>10198191.666666999</v>
          </cell>
          <cell r="O2665">
            <v>11337541.666666999</v>
          </cell>
        </row>
        <row r="2666">
          <cell r="A2666" t="str">
            <v>Japan - GECCCDIRECT MAIL</v>
          </cell>
          <cell r="B2666">
            <v>981696.36</v>
          </cell>
          <cell r="C2666">
            <v>987752.99</v>
          </cell>
          <cell r="D2666">
            <v>1229777.55</v>
          </cell>
          <cell r="E2666">
            <v>269368.86</v>
          </cell>
          <cell r="F2666">
            <v>3468595.76</v>
          </cell>
          <cell r="G2666">
            <v>498998.75</v>
          </cell>
          <cell r="H2666">
            <v>720760.41666700004</v>
          </cell>
          <cell r="I2666">
            <v>616918.75</v>
          </cell>
          <cell r="J2666">
            <v>600052.08333299996</v>
          </cell>
          <cell r="K2666">
            <v>2436730</v>
          </cell>
          <cell r="L2666">
            <v>945963.67</v>
          </cell>
          <cell r="M2666">
            <v>3457658.3333330001</v>
          </cell>
          <cell r="N2666">
            <v>3457658.3333330001</v>
          </cell>
          <cell r="O2666">
            <v>3457658.3333330001</v>
          </cell>
        </row>
        <row r="2667">
          <cell r="A2667" t="str">
            <v>Japan - GECCCDATA PROCESSING</v>
          </cell>
          <cell r="B2667">
            <v>2061690.12</v>
          </cell>
          <cell r="C2667">
            <v>2774403.51</v>
          </cell>
          <cell r="D2667">
            <v>2932621.05</v>
          </cell>
          <cell r="E2667">
            <v>2828202.01</v>
          </cell>
          <cell r="F2667">
            <v>10596916.689999999</v>
          </cell>
          <cell r="G2667">
            <v>3150816.6666669999</v>
          </cell>
          <cell r="H2667">
            <v>3210450</v>
          </cell>
          <cell r="I2667">
            <v>3398350</v>
          </cell>
          <cell r="J2667">
            <v>3225316.6666669999</v>
          </cell>
          <cell r="K2667">
            <v>12984933.333333001</v>
          </cell>
          <cell r="L2667">
            <v>1583298.9</v>
          </cell>
          <cell r="M2667">
            <v>15553233.333333001</v>
          </cell>
          <cell r="N2667">
            <v>18039966.666666999</v>
          </cell>
          <cell r="O2667">
            <v>18881591.666666999</v>
          </cell>
        </row>
        <row r="2668">
          <cell r="A2668" t="str">
            <v>Japan - GECCCCONSULTING</v>
          </cell>
          <cell r="B2668">
            <v>539876.91</v>
          </cell>
          <cell r="C2668">
            <v>522192.02</v>
          </cell>
          <cell r="D2668">
            <v>590927.81000000006</v>
          </cell>
          <cell r="E2668">
            <v>817280.94</v>
          </cell>
          <cell r="F2668">
            <v>2470277.6800000002</v>
          </cell>
          <cell r="G2668">
            <v>43750</v>
          </cell>
          <cell r="H2668">
            <v>52083.333333000002</v>
          </cell>
          <cell r="I2668">
            <v>27083.333332999999</v>
          </cell>
          <cell r="J2668">
            <v>23750</v>
          </cell>
          <cell r="K2668">
            <v>146666.66666700001</v>
          </cell>
          <cell r="L2668">
            <v>-2222807.37</v>
          </cell>
          <cell r="M2668">
            <v>0</v>
          </cell>
          <cell r="N2668">
            <v>0</v>
          </cell>
          <cell r="O2668">
            <v>0</v>
          </cell>
        </row>
        <row r="2669">
          <cell r="A2669" t="str">
            <v>Japan - GECCCTEMP SERVICES</v>
          </cell>
          <cell r="B2669">
            <v>5151207.09</v>
          </cell>
          <cell r="C2669">
            <v>10025217.460000001</v>
          </cell>
          <cell r="D2669">
            <v>8710751.2100000009</v>
          </cell>
          <cell r="E2669">
            <v>9583387.1199999992</v>
          </cell>
          <cell r="F2669">
            <v>33470562.879999999</v>
          </cell>
          <cell r="G2669">
            <v>6965175</v>
          </cell>
          <cell r="H2669">
            <v>11143591.666666999</v>
          </cell>
          <cell r="I2669">
            <v>10934291.666666999</v>
          </cell>
          <cell r="J2669">
            <v>13506016.666666999</v>
          </cell>
          <cell r="K2669">
            <v>42549075</v>
          </cell>
          <cell r="L2669">
            <v>4847787.88</v>
          </cell>
          <cell r="M2669">
            <v>32235650</v>
          </cell>
          <cell r="N2669">
            <v>29680308.333333001</v>
          </cell>
          <cell r="O2669">
            <v>29962508.333333001</v>
          </cell>
        </row>
        <row r="2670">
          <cell r="A2670" t="str">
            <v>Japan - GECCCGDC CHARGES</v>
          </cell>
          <cell r="B2670">
            <v>0</v>
          </cell>
          <cell r="C2670">
            <v>0</v>
          </cell>
          <cell r="D2670">
            <v>0</v>
          </cell>
          <cell r="E2670">
            <v>0</v>
          </cell>
          <cell r="F2670">
            <v>0</v>
          </cell>
          <cell r="G2670">
            <v>0</v>
          </cell>
          <cell r="H2670">
            <v>0</v>
          </cell>
          <cell r="I2670">
            <v>0</v>
          </cell>
          <cell r="J2670">
            <v>0</v>
          </cell>
          <cell r="K2670">
            <v>0</v>
          </cell>
          <cell r="L2670">
            <v>0</v>
          </cell>
          <cell r="M2670">
            <v>0</v>
          </cell>
          <cell r="N2670">
            <v>0</v>
          </cell>
          <cell r="O2670">
            <v>0</v>
          </cell>
        </row>
        <row r="2671">
          <cell r="A2671" t="str">
            <v>Japan - GECCCTRAINING AND EDUCATION</v>
          </cell>
          <cell r="B2671">
            <v>67435.64</v>
          </cell>
          <cell r="C2671">
            <v>167719.18</v>
          </cell>
          <cell r="D2671">
            <v>-690032.16</v>
          </cell>
          <cell r="E2671">
            <v>281359.81</v>
          </cell>
          <cell r="F2671">
            <v>-173517.53</v>
          </cell>
          <cell r="G2671">
            <v>358379.75</v>
          </cell>
          <cell r="H2671">
            <v>465778.75</v>
          </cell>
          <cell r="I2671">
            <v>484737.5</v>
          </cell>
          <cell r="J2671">
            <v>486785.41666699998</v>
          </cell>
          <cell r="K2671">
            <v>1795681.4166669999</v>
          </cell>
          <cell r="L2671">
            <v>876537.78</v>
          </cell>
          <cell r="M2671">
            <v>1222616.6666669999</v>
          </cell>
          <cell r="N2671">
            <v>1222616.6666669999</v>
          </cell>
          <cell r="O2671">
            <v>1222616.6666669999</v>
          </cell>
        </row>
        <row r="2672">
          <cell r="A2672" t="str">
            <v>Japan - GECCCOUTSIDE SERVICES  AND FEES</v>
          </cell>
          <cell r="B2672">
            <v>8291477.8700000001</v>
          </cell>
          <cell r="C2672">
            <v>9626169.8100000005</v>
          </cell>
          <cell r="D2672">
            <v>7882602.8200000003</v>
          </cell>
          <cell r="E2672">
            <v>10926580.060000001</v>
          </cell>
          <cell r="F2672">
            <v>36726830.560000002</v>
          </cell>
          <cell r="G2672">
            <v>9748068.1083330009</v>
          </cell>
          <cell r="H2672">
            <v>12455376.25</v>
          </cell>
          <cell r="I2672">
            <v>11648472.091667</v>
          </cell>
          <cell r="J2672">
            <v>11962678.558333</v>
          </cell>
          <cell r="K2672">
            <v>45814595.008332998</v>
          </cell>
          <cell r="L2672">
            <v>4122330.52</v>
          </cell>
          <cell r="M2672">
            <v>34676041.666666999</v>
          </cell>
          <cell r="N2672">
            <v>41422891.666666999</v>
          </cell>
          <cell r="O2672">
            <v>45899850</v>
          </cell>
        </row>
        <row r="2673">
          <cell r="A2673" t="str">
            <v>Japan - GECCCSTATE, FOREIGN, LOCAL TAXES</v>
          </cell>
          <cell r="B2673">
            <v>22231023.920000002</v>
          </cell>
          <cell r="C2673">
            <v>4791983.58</v>
          </cell>
          <cell r="D2673">
            <v>15193730.66</v>
          </cell>
          <cell r="E2673">
            <v>8315355.71</v>
          </cell>
          <cell r="F2673">
            <v>50532093.869999997</v>
          </cell>
          <cell r="G2673">
            <v>7325261.6500000004</v>
          </cell>
          <cell r="H2673">
            <v>10067317.031667</v>
          </cell>
          <cell r="I2673">
            <v>8288777.1166669996</v>
          </cell>
          <cell r="J2673">
            <v>8071696.891667</v>
          </cell>
          <cell r="K2673">
            <v>33753052.689999998</v>
          </cell>
          <cell r="L2673">
            <v>14627641.59</v>
          </cell>
          <cell r="M2673">
            <v>31086833.333333001</v>
          </cell>
          <cell r="N2673">
            <v>31291658.333333001</v>
          </cell>
          <cell r="O2673">
            <v>31584333.333333001</v>
          </cell>
        </row>
        <row r="2674">
          <cell r="A2674" t="str">
            <v>Japan - GECCCS/L TAX - INSURANCE PREMIUMS</v>
          </cell>
          <cell r="B2674">
            <v>0</v>
          </cell>
          <cell r="C2674">
            <v>0</v>
          </cell>
          <cell r="D2674">
            <v>0</v>
          </cell>
          <cell r="E2674">
            <v>0</v>
          </cell>
          <cell r="F2674">
            <v>0</v>
          </cell>
          <cell r="G2674">
            <v>0</v>
          </cell>
          <cell r="H2674">
            <v>0</v>
          </cell>
          <cell r="I2674">
            <v>0</v>
          </cell>
          <cell r="J2674">
            <v>0</v>
          </cell>
          <cell r="K2674">
            <v>0</v>
          </cell>
          <cell r="L2674">
            <v>0</v>
          </cell>
          <cell r="M2674">
            <v>0</v>
          </cell>
          <cell r="N2674">
            <v>0</v>
          </cell>
          <cell r="O2674">
            <v>0</v>
          </cell>
        </row>
        <row r="2675">
          <cell r="A2675" t="str">
            <v>Japan - GECCCSATELLITE LEASE EXPENSE</v>
          </cell>
          <cell r="B2675">
            <v>0</v>
          </cell>
          <cell r="C2675">
            <v>0</v>
          </cell>
          <cell r="D2675">
            <v>0</v>
          </cell>
          <cell r="E2675">
            <v>0</v>
          </cell>
          <cell r="F2675">
            <v>0</v>
          </cell>
          <cell r="G2675">
            <v>0</v>
          </cell>
          <cell r="H2675">
            <v>0</v>
          </cell>
          <cell r="I2675">
            <v>0</v>
          </cell>
          <cell r="J2675">
            <v>0</v>
          </cell>
          <cell r="K2675">
            <v>0</v>
          </cell>
          <cell r="L2675">
            <v>0</v>
          </cell>
          <cell r="M2675">
            <v>0</v>
          </cell>
          <cell r="N2675">
            <v>0</v>
          </cell>
          <cell r="O2675">
            <v>0</v>
          </cell>
        </row>
        <row r="2676">
          <cell r="A2676" t="str">
            <v>Japan - GECCCBUSINESS SHARE EXPENSE</v>
          </cell>
          <cell r="B2676">
            <v>0</v>
          </cell>
          <cell r="C2676">
            <v>0</v>
          </cell>
          <cell r="D2676">
            <v>0</v>
          </cell>
          <cell r="E2676">
            <v>0</v>
          </cell>
          <cell r="F2676">
            <v>0</v>
          </cell>
          <cell r="G2676">
            <v>0</v>
          </cell>
          <cell r="H2676">
            <v>0</v>
          </cell>
          <cell r="I2676">
            <v>0</v>
          </cell>
          <cell r="J2676">
            <v>0</v>
          </cell>
          <cell r="K2676">
            <v>0</v>
          </cell>
          <cell r="L2676">
            <v>0</v>
          </cell>
          <cell r="M2676">
            <v>0</v>
          </cell>
          <cell r="N2676">
            <v>0</v>
          </cell>
          <cell r="O2676">
            <v>0</v>
          </cell>
        </row>
        <row r="2677">
          <cell r="A2677" t="str">
            <v>Japan - GECCCINSURANCE AFFILIATE EXPENSE</v>
          </cell>
          <cell r="B2677">
            <v>0</v>
          </cell>
          <cell r="C2677">
            <v>0</v>
          </cell>
          <cell r="D2677">
            <v>0</v>
          </cell>
          <cell r="E2677">
            <v>0</v>
          </cell>
          <cell r="F2677">
            <v>0</v>
          </cell>
          <cell r="G2677">
            <v>0</v>
          </cell>
          <cell r="H2677">
            <v>0</v>
          </cell>
          <cell r="I2677">
            <v>0</v>
          </cell>
          <cell r="J2677">
            <v>0</v>
          </cell>
          <cell r="K2677">
            <v>0</v>
          </cell>
          <cell r="L2677">
            <v>0</v>
          </cell>
          <cell r="M2677">
            <v>0</v>
          </cell>
          <cell r="N2677">
            <v>0</v>
          </cell>
          <cell r="O2677">
            <v>0</v>
          </cell>
        </row>
        <row r="2678">
          <cell r="A2678" t="str">
            <v>Japan - GECCCOTHER FACILITY EXPENSE</v>
          </cell>
          <cell r="B2678">
            <v>6699336.3600000003</v>
          </cell>
          <cell r="C2678">
            <v>8442384.9399999995</v>
          </cell>
          <cell r="D2678">
            <v>9508421.9299999997</v>
          </cell>
          <cell r="E2678">
            <v>11238217.369999999</v>
          </cell>
          <cell r="F2678">
            <v>35888360.600000001</v>
          </cell>
          <cell r="G2678">
            <v>7187341.9166670004</v>
          </cell>
          <cell r="H2678">
            <v>9003812.25</v>
          </cell>
          <cell r="I2678">
            <v>9622262.25</v>
          </cell>
          <cell r="J2678">
            <v>8646708.5833330005</v>
          </cell>
          <cell r="K2678">
            <v>34460125</v>
          </cell>
          <cell r="L2678">
            <v>5636219.2599999998</v>
          </cell>
          <cell r="M2678">
            <v>35854966.666666999</v>
          </cell>
          <cell r="N2678">
            <v>34787300</v>
          </cell>
          <cell r="O2678">
            <v>35183508.333333001</v>
          </cell>
        </row>
        <row r="2679">
          <cell r="A2679" t="str">
            <v>Japan - GECCCGROSS OP &amp; ADMIN BUS SHARE</v>
          </cell>
          <cell r="B2679">
            <v>0</v>
          </cell>
          <cell r="C2679">
            <v>0</v>
          </cell>
          <cell r="D2679">
            <v>0</v>
          </cell>
          <cell r="E2679">
            <v>0</v>
          </cell>
          <cell r="F2679">
            <v>0</v>
          </cell>
          <cell r="G2679">
            <v>0</v>
          </cell>
          <cell r="H2679">
            <v>0</v>
          </cell>
          <cell r="I2679">
            <v>0</v>
          </cell>
          <cell r="J2679">
            <v>0</v>
          </cell>
          <cell r="K2679">
            <v>0</v>
          </cell>
          <cell r="L2679">
            <v>0</v>
          </cell>
          <cell r="M2679">
            <v>0</v>
          </cell>
          <cell r="N2679">
            <v>0</v>
          </cell>
          <cell r="O2679">
            <v>0</v>
          </cell>
        </row>
        <row r="2680">
          <cell r="A2680" t="str">
            <v>Japan - GECCCOTHER EXPENSE</v>
          </cell>
          <cell r="B2680">
            <v>6395872.6399999997</v>
          </cell>
          <cell r="C2680">
            <v>1733925.54</v>
          </cell>
          <cell r="D2680">
            <v>-3400051.96</v>
          </cell>
          <cell r="E2680">
            <v>3282574.93</v>
          </cell>
          <cell r="F2680">
            <v>8012321.1500000004</v>
          </cell>
          <cell r="G2680">
            <v>-1394380.8675929999</v>
          </cell>
          <cell r="H2680">
            <v>-10666500.431481</v>
          </cell>
          <cell r="I2680">
            <v>-10638644.598147999</v>
          </cell>
          <cell r="J2680">
            <v>-13094459.444444001</v>
          </cell>
          <cell r="K2680">
            <v>-35793985.341666996</v>
          </cell>
          <cell r="L2680">
            <v>1594994.14</v>
          </cell>
          <cell r="M2680">
            <v>-18830225</v>
          </cell>
          <cell r="N2680">
            <v>-26894950</v>
          </cell>
          <cell r="O2680">
            <v>-1367066.6666669999</v>
          </cell>
        </row>
        <row r="2681">
          <cell r="A2681" t="str">
            <v>Japan - GECCCGECC INTERCO EXPENSES EXCL GECIS</v>
          </cell>
          <cell r="B2681">
            <v>0</v>
          </cell>
          <cell r="C2681">
            <v>0</v>
          </cell>
          <cell r="D2681">
            <v>0</v>
          </cell>
          <cell r="E2681">
            <v>0</v>
          </cell>
          <cell r="F2681">
            <v>0</v>
          </cell>
          <cell r="G2681">
            <v>0</v>
          </cell>
          <cell r="H2681">
            <v>0</v>
          </cell>
          <cell r="I2681">
            <v>0</v>
          </cell>
          <cell r="J2681">
            <v>0</v>
          </cell>
          <cell r="K2681">
            <v>0</v>
          </cell>
          <cell r="L2681">
            <v>-343273.66</v>
          </cell>
          <cell r="M2681">
            <v>0</v>
          </cell>
          <cell r="N2681">
            <v>0</v>
          </cell>
          <cell r="O2681">
            <v>0</v>
          </cell>
        </row>
        <row r="2682">
          <cell r="A2682" t="str">
            <v>Japan - GECCCGECIS INTERCO CHARGES</v>
          </cell>
          <cell r="B2682">
            <v>0</v>
          </cell>
          <cell r="C2682">
            <v>0</v>
          </cell>
          <cell r="D2682">
            <v>0</v>
          </cell>
          <cell r="E2682">
            <v>0</v>
          </cell>
          <cell r="F2682">
            <v>0</v>
          </cell>
          <cell r="G2682">
            <v>0</v>
          </cell>
          <cell r="H2682">
            <v>0</v>
          </cell>
          <cell r="I2682">
            <v>0</v>
          </cell>
          <cell r="J2682">
            <v>0</v>
          </cell>
          <cell r="K2682">
            <v>0</v>
          </cell>
          <cell r="L2682">
            <v>0</v>
          </cell>
          <cell r="M2682">
            <v>0</v>
          </cell>
          <cell r="N2682">
            <v>0</v>
          </cell>
          <cell r="O2682">
            <v>0</v>
          </cell>
        </row>
        <row r="2683">
          <cell r="A2683" t="str">
            <v>Japan - GECCCLOSS ADJUSTED EXPENSE</v>
          </cell>
          <cell r="B2683">
            <v>0</v>
          </cell>
          <cell r="C2683">
            <v>0</v>
          </cell>
          <cell r="D2683">
            <v>0</v>
          </cell>
          <cell r="E2683">
            <v>0</v>
          </cell>
          <cell r="F2683">
            <v>0</v>
          </cell>
          <cell r="G2683">
            <v>0</v>
          </cell>
          <cell r="H2683">
            <v>0</v>
          </cell>
          <cell r="I2683">
            <v>0</v>
          </cell>
          <cell r="J2683">
            <v>0</v>
          </cell>
          <cell r="K2683">
            <v>0</v>
          </cell>
          <cell r="L2683">
            <v>0</v>
          </cell>
          <cell r="M2683">
            <v>0</v>
          </cell>
          <cell r="N2683">
            <v>0</v>
          </cell>
          <cell r="O2683">
            <v>0</v>
          </cell>
        </row>
        <row r="2684">
          <cell r="A2684" t="str">
            <v>Japan - GECCCALL OTHER EXPENSES</v>
          </cell>
          <cell r="B2684">
            <v>0</v>
          </cell>
          <cell r="C2684">
            <v>0</v>
          </cell>
          <cell r="D2684">
            <v>0</v>
          </cell>
          <cell r="E2684">
            <v>0</v>
          </cell>
          <cell r="F2684">
            <v>0</v>
          </cell>
          <cell r="G2684">
            <v>0</v>
          </cell>
          <cell r="H2684">
            <v>0</v>
          </cell>
          <cell r="I2684">
            <v>0</v>
          </cell>
          <cell r="J2684">
            <v>0</v>
          </cell>
          <cell r="K2684">
            <v>0</v>
          </cell>
          <cell r="L2684">
            <v>0</v>
          </cell>
          <cell r="M2684">
            <v>5166.6666670000004</v>
          </cell>
          <cell r="N2684">
            <v>5166.6666670000004</v>
          </cell>
          <cell r="O2684">
            <v>5166.6666670000004</v>
          </cell>
        </row>
        <row r="2685">
          <cell r="A2685" t="str">
            <v>Japan - GECCCASSESSMENTS</v>
          </cell>
          <cell r="B2685">
            <v>5959404.0999999996</v>
          </cell>
          <cell r="C2685">
            <v>6544969.3600000003</v>
          </cell>
          <cell r="D2685">
            <v>5595018.9699999997</v>
          </cell>
          <cell r="E2685">
            <v>6017364.9400000004</v>
          </cell>
          <cell r="F2685">
            <v>24116757.370000001</v>
          </cell>
          <cell r="G2685">
            <v>5562291.6666670004</v>
          </cell>
          <cell r="H2685">
            <v>5562291.6666670004</v>
          </cell>
          <cell r="I2685">
            <v>5562291.6666670004</v>
          </cell>
          <cell r="J2685">
            <v>5562291.6666670004</v>
          </cell>
          <cell r="K2685">
            <v>22249166.666666999</v>
          </cell>
          <cell r="L2685">
            <v>5844302.54</v>
          </cell>
          <cell r="M2685">
            <v>21904400</v>
          </cell>
          <cell r="N2685">
            <v>24248833.333333001</v>
          </cell>
          <cell r="O2685">
            <v>26902700</v>
          </cell>
        </row>
        <row r="2686">
          <cell r="A2686" t="str">
            <v>Japan - GECCCFAS 91</v>
          </cell>
          <cell r="B2686">
            <v>-2605640.13</v>
          </cell>
          <cell r="C2686">
            <v>-3027208.73</v>
          </cell>
          <cell r="D2686">
            <v>-3158998.03</v>
          </cell>
          <cell r="E2686">
            <v>-3607451.69</v>
          </cell>
          <cell r="F2686">
            <v>-12399298.58</v>
          </cell>
          <cell r="G2686">
            <v>-2668166.6666669999</v>
          </cell>
          <cell r="H2686">
            <v>-3178283.3333330001</v>
          </cell>
          <cell r="I2686">
            <v>-3104675</v>
          </cell>
          <cell r="J2686">
            <v>-2997483.3333330001</v>
          </cell>
          <cell r="K2686">
            <v>-11948608.333333001</v>
          </cell>
          <cell r="L2686">
            <v>-2507911.7000000002</v>
          </cell>
          <cell r="M2686">
            <v>-11973791.666666999</v>
          </cell>
          <cell r="N2686">
            <v>-12914083</v>
          </cell>
          <cell r="O2686">
            <v>-13882333.666666999</v>
          </cell>
        </row>
        <row r="2687">
          <cell r="A2687" t="str">
            <v>Japan - GECCCGOODWILL AMORTIZATION</v>
          </cell>
          <cell r="B2687">
            <v>23278759.149999999</v>
          </cell>
          <cell r="C2687">
            <v>21595552.420000002</v>
          </cell>
          <cell r="D2687">
            <v>21113698.43</v>
          </cell>
          <cell r="E2687">
            <v>22004482.280000001</v>
          </cell>
          <cell r="F2687">
            <v>87992492.280000001</v>
          </cell>
          <cell r="G2687">
            <v>0</v>
          </cell>
          <cell r="H2687">
            <v>0</v>
          </cell>
          <cell r="I2687">
            <v>0</v>
          </cell>
          <cell r="J2687">
            <v>0</v>
          </cell>
          <cell r="K2687">
            <v>0</v>
          </cell>
          <cell r="L2687">
            <v>0</v>
          </cell>
          <cell r="M2687">
            <v>100373000</v>
          </cell>
          <cell r="N2687">
            <v>113994808.333333</v>
          </cell>
          <cell r="O2687">
            <v>113994808.333333</v>
          </cell>
        </row>
        <row r="2688">
          <cell r="A2688" t="str">
            <v>Japan - GECCCDEPRECIATION EXPENSE</v>
          </cell>
          <cell r="B2688">
            <v>10513419.130000001</v>
          </cell>
          <cell r="C2688">
            <v>10491206.48</v>
          </cell>
          <cell r="D2688">
            <v>11100468.109999999</v>
          </cell>
          <cell r="E2688">
            <v>1690046.43</v>
          </cell>
          <cell r="F2688">
            <v>33795140.149999999</v>
          </cell>
          <cell r="G2688">
            <v>10021951.275</v>
          </cell>
          <cell r="H2688">
            <v>10491839.933333</v>
          </cell>
          <cell r="I2688">
            <v>11368034.033333</v>
          </cell>
          <cell r="J2688">
            <v>11715061.033333</v>
          </cell>
          <cell r="K2688">
            <v>43596886.274999999</v>
          </cell>
          <cell r="L2688">
            <v>9608097.2799999993</v>
          </cell>
          <cell r="M2688">
            <v>46740241.666666999</v>
          </cell>
          <cell r="N2688">
            <v>41723775</v>
          </cell>
          <cell r="O2688">
            <v>36129375</v>
          </cell>
        </row>
        <row r="2689">
          <cell r="A2689" t="str">
            <v>Japan - GECCCELTO AMORTIZATION</v>
          </cell>
          <cell r="B2689">
            <v>0</v>
          </cell>
          <cell r="C2689">
            <v>0</v>
          </cell>
          <cell r="D2689">
            <v>0</v>
          </cell>
          <cell r="E2689">
            <v>0</v>
          </cell>
          <cell r="F2689">
            <v>0</v>
          </cell>
          <cell r="G2689">
            <v>0</v>
          </cell>
          <cell r="H2689">
            <v>0</v>
          </cell>
          <cell r="I2689">
            <v>0</v>
          </cell>
          <cell r="J2689">
            <v>0</v>
          </cell>
          <cell r="K2689">
            <v>0</v>
          </cell>
          <cell r="L2689">
            <v>0</v>
          </cell>
          <cell r="M2689">
            <v>0</v>
          </cell>
          <cell r="N2689">
            <v>0</v>
          </cell>
          <cell r="O2689">
            <v>0</v>
          </cell>
        </row>
        <row r="2690">
          <cell r="A2690" t="str">
            <v>Japan - GECCCINSURANCE LOSSES AND BENEFITS</v>
          </cell>
          <cell r="B2690">
            <v>0</v>
          </cell>
          <cell r="C2690">
            <v>0</v>
          </cell>
          <cell r="D2690">
            <v>0</v>
          </cell>
          <cell r="E2690">
            <v>0</v>
          </cell>
          <cell r="F2690">
            <v>0</v>
          </cell>
          <cell r="G2690">
            <v>0</v>
          </cell>
          <cell r="H2690">
            <v>0</v>
          </cell>
          <cell r="I2690">
            <v>0</v>
          </cell>
          <cell r="J2690">
            <v>0</v>
          </cell>
          <cell r="K2690">
            <v>0</v>
          </cell>
          <cell r="L2690">
            <v>0</v>
          </cell>
          <cell r="M2690">
            <v>0</v>
          </cell>
          <cell r="N2690">
            <v>0</v>
          </cell>
          <cell r="O2690">
            <v>0</v>
          </cell>
        </row>
        <row r="2691">
          <cell r="A2691" t="str">
            <v>Japan - GECCCWRITE OFFS</v>
          </cell>
          <cell r="B2691">
            <v>53154278.969999999</v>
          </cell>
          <cell r="C2691">
            <v>107281436.81</v>
          </cell>
          <cell r="D2691">
            <v>117042558.36</v>
          </cell>
          <cell r="E2691">
            <v>125861982.90000001</v>
          </cell>
          <cell r="F2691">
            <v>403340257.04000002</v>
          </cell>
          <cell r="G2691">
            <v>104961983.333333</v>
          </cell>
          <cell r="H2691">
            <v>114288725</v>
          </cell>
          <cell r="I2691">
            <v>127908741.666667</v>
          </cell>
          <cell r="J2691">
            <v>129737233.333333</v>
          </cell>
          <cell r="K2691">
            <v>476896683.33333302</v>
          </cell>
          <cell r="L2691">
            <v>107387395.98</v>
          </cell>
          <cell r="M2691">
            <v>376546516.66666698</v>
          </cell>
          <cell r="N2691">
            <v>451684150</v>
          </cell>
          <cell r="O2691">
            <v>508676200</v>
          </cell>
        </row>
        <row r="2692">
          <cell r="A2692" t="str">
            <v>Japan - GECCCRESERVE CHANGE</v>
          </cell>
          <cell r="B2692">
            <v>0</v>
          </cell>
          <cell r="C2692">
            <v>0</v>
          </cell>
          <cell r="D2692">
            <v>0</v>
          </cell>
          <cell r="E2692">
            <v>0</v>
          </cell>
          <cell r="F2692">
            <v>0</v>
          </cell>
          <cell r="G2692">
            <v>0</v>
          </cell>
          <cell r="H2692">
            <v>0</v>
          </cell>
          <cell r="I2692">
            <v>0</v>
          </cell>
          <cell r="J2692">
            <v>0</v>
          </cell>
          <cell r="K2692">
            <v>0</v>
          </cell>
          <cell r="L2692">
            <v>0</v>
          </cell>
          <cell r="M2692">
            <v>0</v>
          </cell>
          <cell r="N2692">
            <v>0</v>
          </cell>
          <cell r="O2692">
            <v>0</v>
          </cell>
        </row>
        <row r="2693">
          <cell r="A2693" t="str">
            <v>Japan - GECCCMINORITY INTEREST</v>
          </cell>
          <cell r="B2693">
            <v>0</v>
          </cell>
          <cell r="C2693">
            <v>0</v>
          </cell>
          <cell r="D2693">
            <v>0</v>
          </cell>
          <cell r="E2693">
            <v>0</v>
          </cell>
          <cell r="F2693">
            <v>0</v>
          </cell>
          <cell r="G2693">
            <v>0</v>
          </cell>
          <cell r="H2693">
            <v>0</v>
          </cell>
          <cell r="I2693">
            <v>0</v>
          </cell>
          <cell r="J2693">
            <v>0</v>
          </cell>
          <cell r="K2693">
            <v>0</v>
          </cell>
          <cell r="L2693">
            <v>0</v>
          </cell>
          <cell r="M2693">
            <v>0</v>
          </cell>
          <cell r="N2693">
            <v>0</v>
          </cell>
          <cell r="O2693">
            <v>0</v>
          </cell>
        </row>
        <row r="2694">
          <cell r="A2694" t="str">
            <v>Japan - GECCCINCOME TAXES</v>
          </cell>
          <cell r="B2694">
            <v>57285726.579999998</v>
          </cell>
          <cell r="C2694">
            <v>44953932.640000001</v>
          </cell>
          <cell r="D2694">
            <v>40886357.060000002</v>
          </cell>
          <cell r="E2694">
            <v>45795804.450000003</v>
          </cell>
          <cell r="F2694">
            <v>188921820.72999999</v>
          </cell>
          <cell r="G2694">
            <v>55870547.694458999</v>
          </cell>
          <cell r="H2694">
            <v>59044339.067934997</v>
          </cell>
          <cell r="I2694">
            <v>62749126.700415</v>
          </cell>
          <cell r="J2694">
            <v>63359165.970045</v>
          </cell>
          <cell r="K2694">
            <v>241023179.43285301</v>
          </cell>
          <cell r="L2694">
            <v>62129047.649999999</v>
          </cell>
          <cell r="M2694">
            <v>145628630.11680001</v>
          </cell>
          <cell r="N2694">
            <v>234033078.98666701</v>
          </cell>
          <cell r="O2694">
            <v>275858572.586667</v>
          </cell>
        </row>
        <row r="2695">
          <cell r="A2695" t="str">
            <v>Japan - GECCCCUMULATIVE TRANSITION ADJUSTMENT</v>
          </cell>
          <cell r="B2695">
            <v>0</v>
          </cell>
          <cell r="C2695">
            <v>0</v>
          </cell>
          <cell r="D2695">
            <v>0</v>
          </cell>
          <cell r="E2695">
            <v>0</v>
          </cell>
          <cell r="F2695">
            <v>0</v>
          </cell>
          <cell r="G2695">
            <v>0</v>
          </cell>
          <cell r="H2695">
            <v>0</v>
          </cell>
          <cell r="I2695">
            <v>0</v>
          </cell>
          <cell r="J2695">
            <v>0</v>
          </cell>
          <cell r="K2695">
            <v>0</v>
          </cell>
          <cell r="L2695">
            <v>0</v>
          </cell>
          <cell r="M2695">
            <v>0</v>
          </cell>
          <cell r="N2695">
            <v>0</v>
          </cell>
          <cell r="O2695">
            <v>0</v>
          </cell>
        </row>
        <row r="2696">
          <cell r="A2696" t="str">
            <v>Japan - GECCCASIA PACIFIC NI DIVIDEND</v>
          </cell>
          <cell r="B2696">
            <v>0</v>
          </cell>
          <cell r="C2696">
            <v>0</v>
          </cell>
          <cell r="D2696">
            <v>0</v>
          </cell>
          <cell r="E2696">
            <v>0</v>
          </cell>
          <cell r="F2696">
            <v>0</v>
          </cell>
          <cell r="G2696">
            <v>0</v>
          </cell>
          <cell r="H2696">
            <v>0</v>
          </cell>
          <cell r="I2696">
            <v>0</v>
          </cell>
          <cell r="J2696">
            <v>0</v>
          </cell>
          <cell r="K2696">
            <v>0</v>
          </cell>
          <cell r="L2696">
            <v>0</v>
          </cell>
          <cell r="M2696">
            <v>0</v>
          </cell>
          <cell r="N2696">
            <v>0</v>
          </cell>
          <cell r="O2696">
            <v>0</v>
          </cell>
        </row>
        <row r="2697">
          <cell r="A2697" t="str">
            <v>Japan - GECCCNet Income</v>
          </cell>
          <cell r="B2697">
            <v>-105466848.06</v>
          </cell>
          <cell r="C2697">
            <v>-82683982.319999993</v>
          </cell>
          <cell r="D2697">
            <v>-75264809.219999999</v>
          </cell>
          <cell r="E2697">
            <v>-84614268.290000007</v>
          </cell>
          <cell r="F2697">
            <v>-348029907.88999999</v>
          </cell>
          <cell r="G2697">
            <v>-102852599.1648</v>
          </cell>
          <cell r="H2697">
            <v>-108695260.55688</v>
          </cell>
          <cell r="I2697">
            <v>-115515437.7894</v>
          </cell>
          <cell r="J2697">
            <v>-116638464.1494</v>
          </cell>
          <cell r="K2697">
            <v>-443701761.66048002</v>
          </cell>
          <cell r="L2697">
            <v>-114911628.77</v>
          </cell>
          <cell r="M2697">
            <v>-438543614.88320303</v>
          </cell>
          <cell r="N2697">
            <v>-430833622.68000001</v>
          </cell>
          <cell r="O2697">
            <v>-507830554.08000398</v>
          </cell>
        </row>
        <row r="2698">
          <cell r="A2698" t="str">
            <v>Japan - GECCCSubPart F</v>
          </cell>
          <cell r="B2698">
            <v>0</v>
          </cell>
          <cell r="C2698">
            <v>0</v>
          </cell>
          <cell r="D2698">
            <v>0</v>
          </cell>
          <cell r="E2698">
            <v>0</v>
          </cell>
          <cell r="F2698">
            <v>0</v>
          </cell>
          <cell r="G2698">
            <v>0</v>
          </cell>
          <cell r="H2698">
            <v>0</v>
          </cell>
          <cell r="I2698">
            <v>0</v>
          </cell>
          <cell r="J2698">
            <v>0</v>
          </cell>
          <cell r="K2698">
            <v>0</v>
          </cell>
          <cell r="L2698">
            <v>0</v>
          </cell>
          <cell r="M2698">
            <v>0</v>
          </cell>
          <cell r="N2698">
            <v>0</v>
          </cell>
          <cell r="O2698">
            <v>0</v>
          </cell>
        </row>
        <row r="2699">
          <cell r="A2699" t="str">
            <v>Japan - GECCCAssets</v>
          </cell>
          <cell r="B2699">
            <v>7496028981.04</v>
          </cell>
          <cell r="C2699">
            <v>7805492253.5600004</v>
          </cell>
          <cell r="D2699">
            <v>8358886533</v>
          </cell>
          <cell r="E2699">
            <v>8074985706.96</v>
          </cell>
          <cell r="F2699">
            <v>8074985706.96</v>
          </cell>
          <cell r="G2699">
            <v>8760001896.6035709</v>
          </cell>
          <cell r="H2699">
            <v>9036076227.6543503</v>
          </cell>
          <cell r="I2699">
            <v>9224905450.7757797</v>
          </cell>
          <cell r="J2699">
            <v>9520161779.0289497</v>
          </cell>
          <cell r="K2699">
            <v>9520161779.0289497</v>
          </cell>
          <cell r="L2699">
            <v>8139390649.1999903</v>
          </cell>
          <cell r="M2699">
            <v>9101462869.6897297</v>
          </cell>
          <cell r="N2699">
            <v>9946916530.9472599</v>
          </cell>
          <cell r="O2699">
            <v>11041754067.180201</v>
          </cell>
        </row>
        <row r="2700">
          <cell r="A2700" t="str">
            <v>Japan - GECCCEnding Net Investment (ENI) incl Asia</v>
          </cell>
          <cell r="B2700">
            <v>7348460588.2600002</v>
          </cell>
          <cell r="C2700">
            <v>7632800884.9299898</v>
          </cell>
          <cell r="D2700">
            <v>8167471703.8000002</v>
          </cell>
          <cell r="E2700">
            <v>7610424303.9499998</v>
          </cell>
          <cell r="F2700">
            <v>7610424303.9499998</v>
          </cell>
          <cell r="G2700">
            <v>8519972382.5577097</v>
          </cell>
          <cell r="H2700">
            <v>8797768581.5918102</v>
          </cell>
          <cell r="I2700">
            <v>8973979412.6215801</v>
          </cell>
          <cell r="J2700">
            <v>9055449276.4080906</v>
          </cell>
          <cell r="K2700">
            <v>9055449276.4080906</v>
          </cell>
          <cell r="L2700">
            <v>7880651510.7899904</v>
          </cell>
          <cell r="M2700">
            <v>8736123891.3647308</v>
          </cell>
          <cell r="N2700">
            <v>9793504960.1722603</v>
          </cell>
          <cell r="O2700">
            <v>10882102249.413601</v>
          </cell>
        </row>
        <row r="2701">
          <cell r="A2701" t="str">
            <v>Japan - GECCCANR YTD</v>
          </cell>
          <cell r="B2701">
            <v>6320457956.2349997</v>
          </cell>
          <cell r="C2701">
            <v>6363253243.8299999</v>
          </cell>
          <cell r="D2701">
            <v>6525753248.9099998</v>
          </cell>
          <cell r="E2701">
            <v>6541339920.7019997</v>
          </cell>
          <cell r="F2701">
            <v>6541339920.7019997</v>
          </cell>
          <cell r="G2701">
            <v>6904487923.8979101</v>
          </cell>
          <cell r="H2701">
            <v>7097456170.9072199</v>
          </cell>
          <cell r="I2701">
            <v>7243001458.9952002</v>
          </cell>
          <cell r="J2701">
            <v>7348207105.1813297</v>
          </cell>
          <cell r="K2701">
            <v>7348207105.1813297</v>
          </cell>
          <cell r="L2701">
            <v>6662741270.9350004</v>
          </cell>
          <cell r="M2701">
            <v>2821281200.3455601</v>
          </cell>
          <cell r="N2701">
            <v>3158338169.9257698</v>
          </cell>
          <cell r="O2701">
            <v>3618387057.1168199</v>
          </cell>
        </row>
        <row r="2702">
          <cell r="A2702" t="str">
            <v>Japan - GECCCASA YTD</v>
          </cell>
          <cell r="B2702">
            <v>6320457956.2349997</v>
          </cell>
          <cell r="C2702">
            <v>6363253243.8299999</v>
          </cell>
          <cell r="D2702">
            <v>6525753248.9099998</v>
          </cell>
          <cell r="E2702">
            <v>6541339920.7019997</v>
          </cell>
          <cell r="F2702">
            <v>6541339920.7019997</v>
          </cell>
          <cell r="G2702">
            <v>6904487923.8979101</v>
          </cell>
          <cell r="H2702">
            <v>7097456170.9072199</v>
          </cell>
          <cell r="I2702">
            <v>7243001458.9952002</v>
          </cell>
          <cell r="J2702">
            <v>7348207105.1813297</v>
          </cell>
          <cell r="K2702">
            <v>7348207105.1813297</v>
          </cell>
          <cell r="L2702">
            <v>6662741270.9350004</v>
          </cell>
          <cell r="M2702">
            <v>2821281200.3455601</v>
          </cell>
          <cell r="N2702">
            <v>3158338169.9257698</v>
          </cell>
          <cell r="O2702">
            <v>3618387057.1168199</v>
          </cell>
        </row>
        <row r="2703">
          <cell r="A2703" t="str">
            <v>Japan - GECCCANI YTD incl Asia - 5 pt</v>
          </cell>
          <cell r="B2703">
            <v>7535473331.7849998</v>
          </cell>
          <cell r="C2703">
            <v>7567915849.5</v>
          </cell>
          <cell r="D2703">
            <v>7717804813.0749998</v>
          </cell>
          <cell r="E2703">
            <v>7696328711.25</v>
          </cell>
          <cell r="F2703">
            <v>7696328711.25</v>
          </cell>
          <cell r="G2703">
            <v>8065198343.25385</v>
          </cell>
          <cell r="H2703">
            <v>8309388422.6998396</v>
          </cell>
          <cell r="I2703">
            <v>8475536170.1802702</v>
          </cell>
          <cell r="J2703">
            <v>8591518791.4258308</v>
          </cell>
          <cell r="K2703">
            <v>8591518791.4258308</v>
          </cell>
          <cell r="L2703">
            <v>7745537907.3699903</v>
          </cell>
          <cell r="M2703">
            <v>3336424530.87851</v>
          </cell>
          <cell r="N2703">
            <v>3705925770.3074002</v>
          </cell>
          <cell r="O2703">
            <v>4135121441.91717</v>
          </cell>
        </row>
        <row r="2704">
          <cell r="A2704" t="str">
            <v>Japan - GECCCOff Balance Sheet Assets</v>
          </cell>
          <cell r="B2704">
            <v>0</v>
          </cell>
          <cell r="C2704">
            <v>0</v>
          </cell>
          <cell r="D2704">
            <v>0</v>
          </cell>
          <cell r="E2704">
            <v>0</v>
          </cell>
          <cell r="F2704">
            <v>0</v>
          </cell>
          <cell r="G2704">
            <v>0</v>
          </cell>
          <cell r="H2704">
            <v>0</v>
          </cell>
          <cell r="I2704">
            <v>0</v>
          </cell>
          <cell r="J2704">
            <v>0</v>
          </cell>
          <cell r="K2704">
            <v>0</v>
          </cell>
          <cell r="L2704">
            <v>0</v>
          </cell>
          <cell r="M2704">
            <v>0</v>
          </cell>
          <cell r="N2704">
            <v>0</v>
          </cell>
          <cell r="O2704">
            <v>0</v>
          </cell>
        </row>
        <row r="2705">
          <cell r="A2705" t="str">
            <v>Japan - GECCCJV Receivables</v>
          </cell>
          <cell r="B2705">
            <v>0</v>
          </cell>
          <cell r="C2705">
            <v>0</v>
          </cell>
          <cell r="D2705">
            <v>0</v>
          </cell>
          <cell r="E2705">
            <v>0</v>
          </cell>
          <cell r="F2705">
            <v>0</v>
          </cell>
          <cell r="G2705">
            <v>0</v>
          </cell>
          <cell r="H2705">
            <v>0</v>
          </cell>
          <cell r="I2705">
            <v>0</v>
          </cell>
          <cell r="J2705">
            <v>0</v>
          </cell>
          <cell r="K2705">
            <v>0</v>
          </cell>
          <cell r="L2705">
            <v>0</v>
          </cell>
          <cell r="M2705">
            <v>0</v>
          </cell>
          <cell r="N2705">
            <v>0</v>
          </cell>
          <cell r="O2705">
            <v>0</v>
          </cell>
        </row>
        <row r="2706">
          <cell r="A2706" t="str">
            <v>Japan - GECCC30+ DELINQUENCY $</v>
          </cell>
          <cell r="B2706">
            <v>200154494</v>
          </cell>
          <cell r="C2706">
            <v>188844597</v>
          </cell>
          <cell r="D2706">
            <v>206141414</v>
          </cell>
          <cell r="E2706">
            <v>207559668.44999999</v>
          </cell>
          <cell r="F2706">
            <v>207559668.44999999</v>
          </cell>
          <cell r="G2706">
            <v>233520594.74000001</v>
          </cell>
          <cell r="H2706">
            <v>233990020.99000001</v>
          </cell>
          <cell r="I2706">
            <v>237683959.38</v>
          </cell>
          <cell r="J2706">
            <v>238568560.78</v>
          </cell>
          <cell r="K2706">
            <v>238568560.78</v>
          </cell>
          <cell r="L2706">
            <v>200557777.38</v>
          </cell>
          <cell r="M2706">
            <v>213601630.671772</v>
          </cell>
          <cell r="N2706">
            <v>239980084.222729</v>
          </cell>
          <cell r="O2706">
            <v>273806817.438757</v>
          </cell>
        </row>
        <row r="2707">
          <cell r="A2707" t="str">
            <v>Japan - GECCC90+ DELINQUENCY $</v>
          </cell>
          <cell r="B2707">
            <v>136994110</v>
          </cell>
          <cell r="C2707">
            <v>111600787</v>
          </cell>
          <cell r="D2707">
            <v>118334472</v>
          </cell>
          <cell r="E2707">
            <v>126791010.54000001</v>
          </cell>
          <cell r="F2707">
            <v>126791010.54000001</v>
          </cell>
          <cell r="G2707">
            <v>149311938.41999999</v>
          </cell>
          <cell r="H2707">
            <v>148140686.05000001</v>
          </cell>
          <cell r="I2707">
            <v>149192575.27000001</v>
          </cell>
          <cell r="J2707">
            <v>147495588.06999999</v>
          </cell>
          <cell r="K2707">
            <v>147495588.06999999</v>
          </cell>
          <cell r="L2707">
            <v>128217067.88</v>
          </cell>
          <cell r="M2707">
            <v>134205740.89572699</v>
          </cell>
          <cell r="N2707">
            <v>150507551.56466499</v>
          </cell>
          <cell r="O2707">
            <v>171573641.46344</v>
          </cell>
        </row>
        <row r="2708">
          <cell r="A2708" t="str">
            <v>Japan - GECCCTemporary Staff</v>
          </cell>
          <cell r="B2708">
            <v>0</v>
          </cell>
          <cell r="C2708">
            <v>1137</v>
          </cell>
          <cell r="D2708">
            <v>1256</v>
          </cell>
          <cell r="E2708">
            <v>1290</v>
          </cell>
          <cell r="F2708">
            <v>1290</v>
          </cell>
          <cell r="G2708">
            <v>1561</v>
          </cell>
          <cell r="H2708">
            <v>1547.7</v>
          </cell>
          <cell r="I2708">
            <v>1551.1</v>
          </cell>
          <cell r="J2708">
            <v>1553.7</v>
          </cell>
          <cell r="K2708">
            <v>1553.7</v>
          </cell>
          <cell r="L2708">
            <v>0</v>
          </cell>
          <cell r="M2708">
            <v>957</v>
          </cell>
          <cell r="N2708">
            <v>765</v>
          </cell>
          <cell r="O2708">
            <v>593</v>
          </cell>
        </row>
        <row r="2709">
          <cell r="A2709" t="str">
            <v>Japan - GECCCContractors</v>
          </cell>
          <cell r="B2709">
            <v>0</v>
          </cell>
          <cell r="C2709">
            <v>0</v>
          </cell>
          <cell r="D2709">
            <v>0</v>
          </cell>
          <cell r="E2709">
            <v>0</v>
          </cell>
          <cell r="F2709">
            <v>0</v>
          </cell>
          <cell r="G2709">
            <v>0</v>
          </cell>
          <cell r="H2709">
            <v>0</v>
          </cell>
          <cell r="I2709">
            <v>0</v>
          </cell>
          <cell r="J2709">
            <v>0</v>
          </cell>
          <cell r="K2709">
            <v>0</v>
          </cell>
          <cell r="L2709">
            <v>1464</v>
          </cell>
          <cell r="M2709">
            <v>0</v>
          </cell>
          <cell r="N2709">
            <v>0</v>
          </cell>
          <cell r="O2709">
            <v>0</v>
          </cell>
        </row>
        <row r="2710">
          <cell r="A2710" t="str">
            <v>Japan - GECCCOutsourced to LCC</v>
          </cell>
          <cell r="B2710">
            <v>0</v>
          </cell>
          <cell r="C2710">
            <v>0</v>
          </cell>
          <cell r="D2710">
            <v>0</v>
          </cell>
          <cell r="E2710">
            <v>0</v>
          </cell>
          <cell r="F2710">
            <v>0</v>
          </cell>
          <cell r="G2710">
            <v>196</v>
          </cell>
          <cell r="H2710">
            <v>226</v>
          </cell>
          <cell r="I2710">
            <v>276</v>
          </cell>
          <cell r="J2710">
            <v>306</v>
          </cell>
          <cell r="K2710">
            <v>306</v>
          </cell>
          <cell r="L2710">
            <v>177.5</v>
          </cell>
          <cell r="M2710">
            <v>260</v>
          </cell>
          <cell r="N2710">
            <v>423</v>
          </cell>
          <cell r="O2710">
            <v>595</v>
          </cell>
        </row>
        <row r="2711">
          <cell r="A2711" t="str">
            <v>Japan - GECCCTotal Headcount</v>
          </cell>
          <cell r="B2711">
            <v>2810.5</v>
          </cell>
          <cell r="C2711">
            <v>2863</v>
          </cell>
          <cell r="D2711">
            <v>2758.5</v>
          </cell>
          <cell r="E2711">
            <v>2707</v>
          </cell>
          <cell r="F2711">
            <v>2707</v>
          </cell>
          <cell r="G2711">
            <v>2708.5</v>
          </cell>
          <cell r="H2711">
            <v>2709</v>
          </cell>
          <cell r="I2711">
            <v>2709</v>
          </cell>
          <cell r="J2711">
            <v>2709</v>
          </cell>
          <cell r="K2711">
            <v>2709</v>
          </cell>
          <cell r="L2711">
            <v>2680</v>
          </cell>
          <cell r="M2711">
            <v>2618</v>
          </cell>
          <cell r="N2711">
            <v>2529</v>
          </cell>
          <cell r="O2711">
            <v>2447</v>
          </cell>
        </row>
        <row r="2712">
          <cell r="A2712" t="str">
            <v>Japan - GECCCTotal Workforce</v>
          </cell>
          <cell r="B2712">
            <v>2810.5</v>
          </cell>
          <cell r="C2712">
            <v>4000</v>
          </cell>
          <cell r="D2712">
            <v>4014.5</v>
          </cell>
          <cell r="E2712">
            <v>3997</v>
          </cell>
          <cell r="F2712">
            <v>3997</v>
          </cell>
          <cell r="G2712">
            <v>4465.5</v>
          </cell>
          <cell r="H2712">
            <v>4482.7</v>
          </cell>
          <cell r="I2712">
            <v>4536.1000000000004</v>
          </cell>
          <cell r="J2712">
            <v>4568.7</v>
          </cell>
          <cell r="K2712">
            <v>4568.7</v>
          </cell>
          <cell r="L2712">
            <v>4321.5</v>
          </cell>
          <cell r="M2712">
            <v>3835</v>
          </cell>
          <cell r="N2712">
            <v>3717</v>
          </cell>
          <cell r="O2712">
            <v>3635</v>
          </cell>
        </row>
        <row r="2713">
          <cell r="A2713" t="str">
            <v>Japan - GECCCTotal Earned Revenue</v>
          </cell>
          <cell r="B2713">
            <v>-412792275.87</v>
          </cell>
          <cell r="C2713">
            <v>-422193050.36000001</v>
          </cell>
          <cell r="D2713">
            <v>-417536000.29000002</v>
          </cell>
          <cell r="E2713">
            <v>-453697269.82999998</v>
          </cell>
          <cell r="F2713">
            <v>-1706218596.3499999</v>
          </cell>
          <cell r="G2713">
            <v>-431245198.591667</v>
          </cell>
          <cell r="H2713">
            <v>-461911766.66666698</v>
          </cell>
          <cell r="I2713">
            <v>-483245775</v>
          </cell>
          <cell r="J2713">
            <v>-480775566.66666698</v>
          </cell>
          <cell r="K2713">
            <v>-1857178306.925</v>
          </cell>
          <cell r="L2713">
            <v>-426356412.51999998</v>
          </cell>
          <cell r="M2713">
            <v>-1778680200</v>
          </cell>
          <cell r="N2713">
            <v>-1969568475.3333299</v>
          </cell>
          <cell r="O2713">
            <v>-2210805758</v>
          </cell>
        </row>
        <row r="2714">
          <cell r="A2714" t="str">
            <v>Japan - GECCCOrdinary Gains - PreTax</v>
          </cell>
          <cell r="B2714">
            <v>0</v>
          </cell>
          <cell r="C2714">
            <v>0</v>
          </cell>
          <cell r="D2714">
            <v>0</v>
          </cell>
          <cell r="E2714">
            <v>0</v>
          </cell>
          <cell r="F2714">
            <v>0</v>
          </cell>
          <cell r="G2714">
            <v>0</v>
          </cell>
          <cell r="H2714">
            <v>0</v>
          </cell>
          <cell r="I2714">
            <v>0</v>
          </cell>
          <cell r="J2714">
            <v>0</v>
          </cell>
          <cell r="K2714">
            <v>0</v>
          </cell>
          <cell r="L2714">
            <v>0</v>
          </cell>
          <cell r="M2714">
            <v>0</v>
          </cell>
          <cell r="N2714">
            <v>0</v>
          </cell>
          <cell r="O2714">
            <v>0</v>
          </cell>
        </row>
        <row r="2715">
          <cell r="A2715" t="str">
            <v>Japan - GECCCOrdinary Gains - AfterTax</v>
          </cell>
          <cell r="B2715">
            <v>0</v>
          </cell>
          <cell r="C2715">
            <v>0</v>
          </cell>
          <cell r="D2715">
            <v>0</v>
          </cell>
          <cell r="E2715">
            <v>0</v>
          </cell>
          <cell r="F2715">
            <v>0</v>
          </cell>
          <cell r="G2715">
            <v>0</v>
          </cell>
          <cell r="H2715">
            <v>0</v>
          </cell>
          <cell r="I2715">
            <v>0</v>
          </cell>
          <cell r="J2715">
            <v>0</v>
          </cell>
          <cell r="K2715">
            <v>0</v>
          </cell>
          <cell r="L2715">
            <v>0</v>
          </cell>
          <cell r="M2715">
            <v>0</v>
          </cell>
          <cell r="N2715">
            <v>0</v>
          </cell>
          <cell r="O2715">
            <v>0</v>
          </cell>
        </row>
        <row r="2716">
          <cell r="A2716" t="str">
            <v>Japan - GECCCTotal Volume</v>
          </cell>
          <cell r="B2716">
            <v>1092801758</v>
          </cell>
          <cell r="C2716">
            <v>1378983320</v>
          </cell>
          <cell r="D2716">
            <v>1114633099</v>
          </cell>
          <cell r="E2716">
            <v>1007130746.01</v>
          </cell>
          <cell r="F2716">
            <v>4593548923.0100002</v>
          </cell>
          <cell r="G2716">
            <v>1225517625</v>
          </cell>
          <cell r="H2716">
            <v>1351604866.6700001</v>
          </cell>
          <cell r="I2716">
            <v>1331035441.6700001</v>
          </cell>
          <cell r="J2716">
            <v>1298454208.3299999</v>
          </cell>
          <cell r="K2716">
            <v>5206612141.6700001</v>
          </cell>
          <cell r="L2716">
            <v>890009109.44000006</v>
          </cell>
          <cell r="M2716">
            <v>5346583469</v>
          </cell>
          <cell r="N2716">
            <v>6214044086</v>
          </cell>
          <cell r="O2716">
            <v>7175610228</v>
          </cell>
        </row>
        <row r="2717">
          <cell r="A2717" t="str">
            <v>Japan - GECCCTOTAL # ACTIVE ACCOUNTS</v>
          </cell>
          <cell r="B2717">
            <v>1775387</v>
          </cell>
          <cell r="C2717">
            <v>1805293</v>
          </cell>
          <cell r="D2717">
            <v>1842007</v>
          </cell>
          <cell r="E2717">
            <v>1866604</v>
          </cell>
          <cell r="F2717">
            <v>1866604</v>
          </cell>
          <cell r="G2717">
            <v>1890179</v>
          </cell>
          <cell r="H2717">
            <v>1919871</v>
          </cell>
          <cell r="I2717">
            <v>1956463</v>
          </cell>
          <cell r="J2717">
            <v>1971723</v>
          </cell>
          <cell r="K2717">
            <v>1971723</v>
          </cell>
          <cell r="L2717">
            <v>0</v>
          </cell>
          <cell r="M2717">
            <v>1943896</v>
          </cell>
          <cell r="N2717">
            <v>2046559</v>
          </cell>
          <cell r="O2717">
            <v>2149221</v>
          </cell>
        </row>
        <row r="2718">
          <cell r="A2718" t="str">
            <v>Japan - GECCFTOTAL FINANCING RECEIVABLES</v>
          </cell>
          <cell r="B2718">
            <v>1624411051.5699999</v>
          </cell>
          <cell r="C2718">
            <v>1603858041.8299999</v>
          </cell>
          <cell r="D2718">
            <v>1634952470.28</v>
          </cell>
          <cell r="E2718">
            <v>1557918229.28</v>
          </cell>
          <cell r="F2718">
            <v>1557918229.28</v>
          </cell>
          <cell r="G2718">
            <v>1619177297.8708701</v>
          </cell>
          <cell r="H2718">
            <v>1657029410.9804299</v>
          </cell>
          <cell r="I2718">
            <v>1634753076.0824299</v>
          </cell>
          <cell r="J2718">
            <v>1698445603.8110001</v>
          </cell>
          <cell r="K2718">
            <v>1698445603.8110001</v>
          </cell>
          <cell r="L2718">
            <v>1495074853.3399999</v>
          </cell>
          <cell r="M2718">
            <v>1872462920.0179999</v>
          </cell>
          <cell r="N2718">
            <v>2069813307.2049999</v>
          </cell>
          <cell r="O2718">
            <v>2300363104.8590002</v>
          </cell>
        </row>
        <row r="2719">
          <cell r="A2719" t="str">
            <v>Japan - GECCFRECEIVABLE RESERVES</v>
          </cell>
          <cell r="B2719">
            <v>-81286450.019999996</v>
          </cell>
          <cell r="C2719">
            <v>-74704747.319999993</v>
          </cell>
          <cell r="D2719">
            <v>-61550011.469999999</v>
          </cell>
          <cell r="E2719">
            <v>-58280616.079999998</v>
          </cell>
          <cell r="F2719">
            <v>-58280616.079999998</v>
          </cell>
          <cell r="G2719">
            <v>-59326542.931263</v>
          </cell>
          <cell r="H2719">
            <v>-60262827.237626001</v>
          </cell>
          <cell r="I2719">
            <v>-54063929.034190997</v>
          </cell>
          <cell r="J2719">
            <v>-57324391.07401</v>
          </cell>
          <cell r="K2719">
            <v>-57324391.07401</v>
          </cell>
          <cell r="L2719">
            <v>-53222636.43</v>
          </cell>
          <cell r="M2719">
            <v>-77520114.217999995</v>
          </cell>
          <cell r="N2719">
            <v>-84456064.857999995</v>
          </cell>
          <cell r="O2719">
            <v>-92404635.171000004</v>
          </cell>
        </row>
        <row r="2720">
          <cell r="A2720" t="str">
            <v>Japan - GECCFCASH</v>
          </cell>
          <cell r="B2720">
            <v>7834358.1200000001</v>
          </cell>
          <cell r="C2720">
            <v>22228954.77</v>
          </cell>
          <cell r="D2720">
            <v>15579762.550000001</v>
          </cell>
          <cell r="E2720">
            <v>11742708.24</v>
          </cell>
          <cell r="F2720">
            <v>11742708.24</v>
          </cell>
          <cell r="G2720">
            <v>12143829.734031999</v>
          </cell>
          <cell r="H2720">
            <v>12427720.582353</v>
          </cell>
          <cell r="I2720">
            <v>12260648.070618</v>
          </cell>
          <cell r="J2720">
            <v>12738342.028582999</v>
          </cell>
          <cell r="K2720">
            <v>12738342.028582999</v>
          </cell>
          <cell r="L2720">
            <v>15560096.74</v>
          </cell>
          <cell r="M2720">
            <v>8987822.0160000008</v>
          </cell>
          <cell r="N2720">
            <v>9935103.875</v>
          </cell>
          <cell r="O2720">
            <v>11041742.903000001</v>
          </cell>
        </row>
        <row r="2721">
          <cell r="A2721" t="str">
            <v>Japan - GECCFINVESTMENT SECURITIES</v>
          </cell>
          <cell r="B2721">
            <v>0</v>
          </cell>
          <cell r="C2721">
            <v>140323.76999999999</v>
          </cell>
          <cell r="D2721">
            <v>159764.82999999999</v>
          </cell>
          <cell r="E2721">
            <v>174240.64000000001</v>
          </cell>
          <cell r="F2721">
            <v>174240.64000000001</v>
          </cell>
          <cell r="G2721">
            <v>0</v>
          </cell>
          <cell r="H2721">
            <v>0</v>
          </cell>
          <cell r="I2721">
            <v>0</v>
          </cell>
          <cell r="J2721">
            <v>0</v>
          </cell>
          <cell r="K2721">
            <v>0</v>
          </cell>
          <cell r="L2721">
            <v>422578.89</v>
          </cell>
          <cell r="M2721">
            <v>0</v>
          </cell>
          <cell r="N2721">
            <v>0</v>
          </cell>
          <cell r="O2721">
            <v>0</v>
          </cell>
        </row>
        <row r="2722">
          <cell r="A2722" t="str">
            <v>Japan - GECCFINV IN NON CONSOL AFFILIATES</v>
          </cell>
          <cell r="B2722">
            <v>262013592.13999999</v>
          </cell>
          <cell r="C2722">
            <v>294683216.69999999</v>
          </cell>
          <cell r="D2722">
            <v>327246919.82999998</v>
          </cell>
          <cell r="E2722">
            <v>349945771.16000003</v>
          </cell>
          <cell r="F2722">
            <v>349945771.16000003</v>
          </cell>
          <cell r="G2722">
            <v>402188395.44</v>
          </cell>
          <cell r="H2722">
            <v>425449267.06999999</v>
          </cell>
          <cell r="I2722">
            <v>465122504.64999998</v>
          </cell>
          <cell r="J2722">
            <v>465748039.19</v>
          </cell>
          <cell r="K2722">
            <v>465748039.19</v>
          </cell>
          <cell r="L2722">
            <v>385469255.94999999</v>
          </cell>
          <cell r="M2722">
            <v>439350000</v>
          </cell>
          <cell r="N2722">
            <v>517775000</v>
          </cell>
          <cell r="O2722">
            <v>593983333.33333302</v>
          </cell>
        </row>
        <row r="2723">
          <cell r="A2723" t="str">
            <v>Japan - GECCFINVESTMENT IN JOINT VENTURE</v>
          </cell>
          <cell r="B2723">
            <v>0</v>
          </cell>
          <cell r="C2723">
            <v>0</v>
          </cell>
          <cell r="D2723">
            <v>0</v>
          </cell>
          <cell r="E2723">
            <v>0</v>
          </cell>
          <cell r="F2723">
            <v>0</v>
          </cell>
          <cell r="G2723">
            <v>0</v>
          </cell>
          <cell r="H2723">
            <v>0</v>
          </cell>
          <cell r="I2723">
            <v>0</v>
          </cell>
          <cell r="J2723">
            <v>0</v>
          </cell>
          <cell r="K2723">
            <v>0</v>
          </cell>
          <cell r="L2723">
            <v>0</v>
          </cell>
          <cell r="M2723">
            <v>0</v>
          </cell>
          <cell r="N2723">
            <v>0</v>
          </cell>
          <cell r="O2723">
            <v>0</v>
          </cell>
        </row>
        <row r="2724">
          <cell r="A2724" t="str">
            <v>Japan - GECCFALL OTHER RECEIVABLES (NON-FINANCING)</v>
          </cell>
          <cell r="B2724">
            <v>7987493.2800000003</v>
          </cell>
          <cell r="C2724">
            <v>2614010.3199999998</v>
          </cell>
          <cell r="D2724">
            <v>5714457.9400000004</v>
          </cell>
          <cell r="E2724">
            <v>2923273.61</v>
          </cell>
          <cell r="F2724">
            <v>2923273.61</v>
          </cell>
          <cell r="G2724">
            <v>3076436.8659549998</v>
          </cell>
          <cell r="H2724">
            <v>3148355.8808630002</v>
          </cell>
          <cell r="I2724">
            <v>3106030.8445569999</v>
          </cell>
          <cell r="J2724">
            <v>3227046.6472410001</v>
          </cell>
          <cell r="K2724">
            <v>3227046.6472410001</v>
          </cell>
          <cell r="L2724">
            <v>-6990820.3700000001</v>
          </cell>
          <cell r="M2724">
            <v>9175068.3080000002</v>
          </cell>
          <cell r="N2724">
            <v>10142085.205</v>
          </cell>
          <cell r="O2724">
            <v>11271779.214</v>
          </cell>
        </row>
        <row r="2725">
          <cell r="A2725" t="str">
            <v>Japan - GECCFELTO (NET)</v>
          </cell>
          <cell r="B2725">
            <v>0</v>
          </cell>
          <cell r="C2725">
            <v>0</v>
          </cell>
          <cell r="D2725">
            <v>0</v>
          </cell>
          <cell r="E2725">
            <v>0</v>
          </cell>
          <cell r="F2725">
            <v>0</v>
          </cell>
          <cell r="G2725">
            <v>0</v>
          </cell>
          <cell r="H2725">
            <v>0</v>
          </cell>
          <cell r="I2725">
            <v>0</v>
          </cell>
          <cell r="J2725">
            <v>0</v>
          </cell>
          <cell r="K2725">
            <v>0</v>
          </cell>
          <cell r="L2725">
            <v>0</v>
          </cell>
          <cell r="M2725">
            <v>0</v>
          </cell>
          <cell r="N2725">
            <v>0</v>
          </cell>
          <cell r="O2725">
            <v>0</v>
          </cell>
        </row>
        <row r="2726">
          <cell r="A2726" t="str">
            <v>Japan - GECCFGOODWILL</v>
          </cell>
          <cell r="B2726">
            <v>89941981.900000006</v>
          </cell>
          <cell r="C2726">
            <v>87884940.590000004</v>
          </cell>
          <cell r="D2726">
            <v>90307142.379999995</v>
          </cell>
          <cell r="E2726">
            <v>81572849.170000002</v>
          </cell>
          <cell r="F2726">
            <v>81572849.170000002</v>
          </cell>
          <cell r="G2726">
            <v>86609972.598749995</v>
          </cell>
          <cell r="H2726">
            <v>86609972.598749995</v>
          </cell>
          <cell r="I2726">
            <v>86609972.598749995</v>
          </cell>
          <cell r="J2726">
            <v>86609972.598749995</v>
          </cell>
          <cell r="K2726">
            <v>86609972.598749995</v>
          </cell>
          <cell r="L2726">
            <v>80586157.340000004</v>
          </cell>
          <cell r="M2726">
            <v>77393278.996000007</v>
          </cell>
          <cell r="N2726">
            <v>70551628.453999996</v>
          </cell>
          <cell r="O2726">
            <v>63709977.912</v>
          </cell>
        </row>
        <row r="2727">
          <cell r="A2727" t="str">
            <v>Japan - GECCFOTHER ASSETS</v>
          </cell>
          <cell r="B2727">
            <v>14521094.619999999</v>
          </cell>
          <cell r="C2727">
            <v>13321486.85</v>
          </cell>
          <cell r="D2727">
            <v>13174604.130000001</v>
          </cell>
          <cell r="E2727">
            <v>12977832.869999999</v>
          </cell>
          <cell r="F2727">
            <v>12977832.869999999</v>
          </cell>
          <cell r="G2727">
            <v>13439171.572327999</v>
          </cell>
          <cell r="H2727">
            <v>13753344.111137999</v>
          </cell>
          <cell r="I2727">
            <v>13568450.531484</v>
          </cell>
          <cell r="J2727">
            <v>14097098.511631001</v>
          </cell>
          <cell r="K2727">
            <v>14097098.511631001</v>
          </cell>
          <cell r="L2727">
            <v>13645464.99</v>
          </cell>
          <cell r="M2727">
            <v>16664919.988</v>
          </cell>
          <cell r="N2727">
            <v>18421338.434</v>
          </cell>
          <cell r="O2727">
            <v>20473231.633000001</v>
          </cell>
        </row>
        <row r="2728">
          <cell r="A2728" t="str">
            <v>Japan - GECCFACCOUNTS PAYABLE</v>
          </cell>
          <cell r="B2728">
            <v>47096411.840000004</v>
          </cell>
          <cell r="C2728">
            <v>23038273.789999999</v>
          </cell>
          <cell r="D2728">
            <v>30515230.620000001</v>
          </cell>
          <cell r="E2728">
            <v>17475388.800000001</v>
          </cell>
          <cell r="F2728">
            <v>17475388.800000001</v>
          </cell>
          <cell r="G2728">
            <v>18134785.736154001</v>
          </cell>
          <cell r="H2728">
            <v>18558729.402980998</v>
          </cell>
          <cell r="I2728">
            <v>18309234.452123001</v>
          </cell>
          <cell r="J2728">
            <v>19022590.762683</v>
          </cell>
          <cell r="K2728">
            <v>19022590.762683</v>
          </cell>
          <cell r="L2728">
            <v>50850633.420000002</v>
          </cell>
          <cell r="M2728">
            <v>54301424.681000002</v>
          </cell>
          <cell r="N2728">
            <v>60024585.909000002</v>
          </cell>
          <cell r="O2728">
            <v>66710530.041000001</v>
          </cell>
        </row>
        <row r="2729">
          <cell r="A2729" t="str">
            <v>Japan - GECCFDEFERRED INCOME TAXES</v>
          </cell>
          <cell r="B2729">
            <v>158793245.71000001</v>
          </cell>
          <cell r="C2729">
            <v>163206691.18000001</v>
          </cell>
          <cell r="D2729">
            <v>176771366.02000001</v>
          </cell>
          <cell r="E2729">
            <v>190539106.43000001</v>
          </cell>
          <cell r="F2729">
            <v>190539106.43000001</v>
          </cell>
          <cell r="G2729">
            <v>198025383.52960899</v>
          </cell>
          <cell r="H2729">
            <v>202654696.96290699</v>
          </cell>
          <cell r="I2729">
            <v>199930301.204882</v>
          </cell>
          <cell r="J2729">
            <v>207719897.34608501</v>
          </cell>
          <cell r="K2729">
            <v>207719897.34608501</v>
          </cell>
          <cell r="L2729">
            <v>155681852.84</v>
          </cell>
          <cell r="M2729">
            <v>183126873.57800001</v>
          </cell>
          <cell r="N2729">
            <v>202427741.44499999</v>
          </cell>
          <cell r="O2729">
            <v>224975511.655</v>
          </cell>
        </row>
        <row r="2730">
          <cell r="A2730" t="str">
            <v>Japan - GECCFWRITE-OFF (MEMO)</v>
          </cell>
          <cell r="B2730">
            <v>22413984.920000002</v>
          </cell>
          <cell r="C2730">
            <v>38339570.659999996</v>
          </cell>
          <cell r="D2730">
            <v>51415132.899999999</v>
          </cell>
          <cell r="E2730">
            <v>68283678.879999995</v>
          </cell>
          <cell r="F2730">
            <v>68283678.879999995</v>
          </cell>
          <cell r="G2730">
            <v>12007882.576837</v>
          </cell>
          <cell r="H2730">
            <v>24151127.838192999</v>
          </cell>
          <cell r="I2730">
            <v>37314321.486151002</v>
          </cell>
          <cell r="J2730">
            <v>50406892.173064001</v>
          </cell>
          <cell r="K2730">
            <v>50406892.173064001</v>
          </cell>
          <cell r="L2730">
            <v>12522165.720000001</v>
          </cell>
          <cell r="M2730">
            <v>50531346.965999998</v>
          </cell>
          <cell r="N2730">
            <v>55651897.993000001</v>
          </cell>
          <cell r="O2730">
            <v>62427935.934</v>
          </cell>
        </row>
        <row r="2731">
          <cell r="A2731" t="str">
            <v>Japan - GECCFINSURANCE RESERVES AND ANNUITY BENEFITS</v>
          </cell>
          <cell r="B2731">
            <v>0</v>
          </cell>
          <cell r="C2731">
            <v>0</v>
          </cell>
          <cell r="D2731">
            <v>0</v>
          </cell>
          <cell r="E2731">
            <v>0</v>
          </cell>
          <cell r="F2731">
            <v>0</v>
          </cell>
          <cell r="G2731">
            <v>0</v>
          </cell>
          <cell r="H2731">
            <v>0</v>
          </cell>
          <cell r="I2731">
            <v>0</v>
          </cell>
          <cell r="J2731">
            <v>0</v>
          </cell>
          <cell r="K2731">
            <v>0</v>
          </cell>
          <cell r="L2731">
            <v>0</v>
          </cell>
          <cell r="M2731">
            <v>0</v>
          </cell>
          <cell r="N2731">
            <v>0</v>
          </cell>
          <cell r="O2731">
            <v>0</v>
          </cell>
        </row>
        <row r="2732">
          <cell r="A2732" t="str">
            <v>Japan - GECCFALL OTHER NON DEBT LIABILITIES</v>
          </cell>
          <cell r="B2732">
            <v>-25396854.420000002</v>
          </cell>
          <cell r="C2732">
            <v>-25254732.559999999</v>
          </cell>
          <cell r="D2732">
            <v>-31256117.050000001</v>
          </cell>
          <cell r="E2732">
            <v>-30850139.140000001</v>
          </cell>
          <cell r="F2732">
            <v>-30850139.140000001</v>
          </cell>
          <cell r="G2732">
            <v>-32059710.497843001</v>
          </cell>
          <cell r="H2732">
            <v>-32809182.337413002</v>
          </cell>
          <cell r="I2732">
            <v>-32368110.906431999</v>
          </cell>
          <cell r="J2732">
            <v>-33629222.955458</v>
          </cell>
          <cell r="K2732">
            <v>-33629222.955458</v>
          </cell>
          <cell r="L2732">
            <v>-27395743.620000001</v>
          </cell>
          <cell r="M2732">
            <v>-29210421.552000001</v>
          </cell>
          <cell r="N2732">
            <v>-32289087.592</v>
          </cell>
          <cell r="O2732">
            <v>-35885664.435999997</v>
          </cell>
        </row>
        <row r="2733">
          <cell r="A2733" t="str">
            <v>Japan - GECCFMINORITY INTEREST (BS)</v>
          </cell>
          <cell r="B2733">
            <v>0</v>
          </cell>
          <cell r="C2733">
            <v>0</v>
          </cell>
          <cell r="D2733">
            <v>0</v>
          </cell>
          <cell r="E2733">
            <v>0</v>
          </cell>
          <cell r="F2733">
            <v>0</v>
          </cell>
          <cell r="G2733">
            <v>0</v>
          </cell>
          <cell r="H2733">
            <v>0</v>
          </cell>
          <cell r="I2733">
            <v>0</v>
          </cell>
          <cell r="J2733">
            <v>0</v>
          </cell>
          <cell r="K2733">
            <v>0</v>
          </cell>
          <cell r="L2733">
            <v>0</v>
          </cell>
          <cell r="M2733">
            <v>0</v>
          </cell>
          <cell r="N2733">
            <v>0</v>
          </cell>
          <cell r="O2733">
            <v>0</v>
          </cell>
        </row>
        <row r="2734">
          <cell r="A2734" t="str">
            <v>Japan - GECCFASIA PACIFIC ENI DIVIDEND</v>
          </cell>
          <cell r="B2734">
            <v>0</v>
          </cell>
          <cell r="C2734">
            <v>0</v>
          </cell>
          <cell r="D2734">
            <v>0</v>
          </cell>
          <cell r="E2734">
            <v>0</v>
          </cell>
          <cell r="F2734">
            <v>0</v>
          </cell>
          <cell r="G2734">
            <v>0</v>
          </cell>
          <cell r="H2734">
            <v>0</v>
          </cell>
          <cell r="I2734">
            <v>0</v>
          </cell>
          <cell r="J2734">
            <v>0</v>
          </cell>
          <cell r="K2734">
            <v>0</v>
          </cell>
          <cell r="L2734">
            <v>0</v>
          </cell>
          <cell r="M2734">
            <v>0</v>
          </cell>
          <cell r="N2734">
            <v>0</v>
          </cell>
          <cell r="O2734">
            <v>0</v>
          </cell>
        </row>
        <row r="2735">
          <cell r="A2735" t="str">
            <v>Japan - GECCFFINANCING INCOME</v>
          </cell>
          <cell r="B2735">
            <v>-48288646.530000001</v>
          </cell>
          <cell r="C2735">
            <v>-45835843.68</v>
          </cell>
          <cell r="D2735">
            <v>-38156276.439999998</v>
          </cell>
          <cell r="E2735">
            <v>-43058641.18</v>
          </cell>
          <cell r="F2735">
            <v>-175339407.83000001</v>
          </cell>
          <cell r="G2735">
            <v>-43736388.296807997</v>
          </cell>
          <cell r="H2735">
            <v>-43753076.738192998</v>
          </cell>
          <cell r="I2735">
            <v>-44324637.334073</v>
          </cell>
          <cell r="J2735">
            <v>-44577215.042663001</v>
          </cell>
          <cell r="K2735">
            <v>-176391317.41173699</v>
          </cell>
          <cell r="L2735">
            <v>-38614215.960000001</v>
          </cell>
          <cell r="M2735">
            <v>-202297407.097</v>
          </cell>
          <cell r="N2735">
            <v>-212368395.75099999</v>
          </cell>
          <cell r="O2735">
            <v>-216845559.59799999</v>
          </cell>
        </row>
        <row r="2736">
          <cell r="A2736" t="str">
            <v>Japan - GECCFINSURANCE PREMIUM INCOME</v>
          </cell>
          <cell r="B2736">
            <v>0</v>
          </cell>
          <cell r="C2736">
            <v>0</v>
          </cell>
          <cell r="D2736">
            <v>0</v>
          </cell>
          <cell r="E2736">
            <v>0</v>
          </cell>
          <cell r="F2736">
            <v>0</v>
          </cell>
          <cell r="G2736">
            <v>0</v>
          </cell>
          <cell r="H2736">
            <v>0</v>
          </cell>
          <cell r="I2736">
            <v>0</v>
          </cell>
          <cell r="J2736">
            <v>0</v>
          </cell>
          <cell r="K2736">
            <v>0</v>
          </cell>
          <cell r="L2736">
            <v>0</v>
          </cell>
          <cell r="M2736">
            <v>-14679837.27</v>
          </cell>
          <cell r="N2736">
            <v>-19612262.563999999</v>
          </cell>
          <cell r="O2736">
            <v>-24656873.153000001</v>
          </cell>
        </row>
        <row r="2737">
          <cell r="A2737" t="str">
            <v>Japan - GECCFINSURANCE INCOME (COMMISSIONS)</v>
          </cell>
          <cell r="B2737">
            <v>-3245390.03</v>
          </cell>
          <cell r="C2737">
            <v>-3247891.87</v>
          </cell>
          <cell r="D2737">
            <v>-3388315.52</v>
          </cell>
          <cell r="E2737">
            <v>-3828947.44</v>
          </cell>
          <cell r="F2737">
            <v>-13710544.859999999</v>
          </cell>
          <cell r="G2737">
            <v>-4235292.0997289997</v>
          </cell>
          <cell r="H2737">
            <v>-4579593.6327419998</v>
          </cell>
          <cell r="I2737">
            <v>-4814524.305164</v>
          </cell>
          <cell r="J2737">
            <v>-5114437.336627</v>
          </cell>
          <cell r="K2737">
            <v>-18743847.374263</v>
          </cell>
          <cell r="L2737">
            <v>-5889380.4400000004</v>
          </cell>
          <cell r="M2737">
            <v>0</v>
          </cell>
          <cell r="N2737">
            <v>0</v>
          </cell>
          <cell r="O2737">
            <v>0</v>
          </cell>
        </row>
        <row r="2738">
          <cell r="A2738" t="str">
            <v>Japan - GECCFSUNDRY INCOME</v>
          </cell>
          <cell r="B2738">
            <v>-6991653.3600000003</v>
          </cell>
          <cell r="C2738">
            <v>-482806.09</v>
          </cell>
          <cell r="D2738">
            <v>-3603464.9</v>
          </cell>
          <cell r="E2738">
            <v>-3616724.71</v>
          </cell>
          <cell r="F2738">
            <v>-14694649.060000001</v>
          </cell>
          <cell r="G2738">
            <v>-3289716.355161</v>
          </cell>
          <cell r="H2738">
            <v>-2753551.7692729998</v>
          </cell>
          <cell r="I2738">
            <v>-4409857.2250499995</v>
          </cell>
          <cell r="J2738">
            <v>-2297142.0896859998</v>
          </cell>
          <cell r="K2738">
            <v>-12750267.439169999</v>
          </cell>
          <cell r="L2738">
            <v>-3180875.28</v>
          </cell>
          <cell r="M2738">
            <v>-7977272.6922169998</v>
          </cell>
          <cell r="N2738">
            <v>-9905429.7324829996</v>
          </cell>
          <cell r="O2738">
            <v>-12992361.138374999</v>
          </cell>
        </row>
        <row r="2739">
          <cell r="A2739" t="str">
            <v>Japan - GECCFINTEREST EXPENSE</v>
          </cell>
          <cell r="B2739">
            <v>4724845.6500000004</v>
          </cell>
          <cell r="C2739">
            <v>3977648</v>
          </cell>
          <cell r="D2739">
            <v>3377877.56</v>
          </cell>
          <cell r="E2739">
            <v>3608773.69</v>
          </cell>
          <cell r="F2739">
            <v>15689144.9</v>
          </cell>
          <cell r="G2739">
            <v>4782514.4812740004</v>
          </cell>
          <cell r="H2739">
            <v>4912895.5313940002</v>
          </cell>
          <cell r="I2739">
            <v>4960738.2588400003</v>
          </cell>
          <cell r="J2739">
            <v>5250683.0831509996</v>
          </cell>
          <cell r="K2739">
            <v>19906831.354660001</v>
          </cell>
          <cell r="L2739">
            <v>2847316.42</v>
          </cell>
          <cell r="M2739">
            <v>18086433.822000001</v>
          </cell>
          <cell r="N2739">
            <v>21758189.456999999</v>
          </cell>
          <cell r="O2739">
            <v>26525285.862</v>
          </cell>
        </row>
        <row r="2740">
          <cell r="A2740" t="str">
            <v>Japan - GECCFINTEREST EXPENSE REDUCTIONS / BUS SHARING</v>
          </cell>
          <cell r="B2740">
            <v>0</v>
          </cell>
          <cell r="C2740">
            <v>0</v>
          </cell>
          <cell r="D2740">
            <v>0</v>
          </cell>
          <cell r="E2740">
            <v>0</v>
          </cell>
          <cell r="F2740">
            <v>0</v>
          </cell>
          <cell r="G2740">
            <v>0</v>
          </cell>
          <cell r="H2740">
            <v>0</v>
          </cell>
          <cell r="I2740">
            <v>0</v>
          </cell>
          <cell r="J2740">
            <v>0</v>
          </cell>
          <cell r="K2740">
            <v>0</v>
          </cell>
          <cell r="L2740">
            <v>0</v>
          </cell>
          <cell r="M2740">
            <v>0</v>
          </cell>
          <cell r="N2740">
            <v>0</v>
          </cell>
          <cell r="O2740">
            <v>0</v>
          </cell>
        </row>
        <row r="2741">
          <cell r="A2741" t="str">
            <v>Japan - GECCFALLOCATED COST OF PREFERRED EQUITY</v>
          </cell>
          <cell r="B2741">
            <v>278463</v>
          </cell>
          <cell r="C2741">
            <v>226953</v>
          </cell>
          <cell r="D2741">
            <v>184807</v>
          </cell>
          <cell r="E2741">
            <v>106059</v>
          </cell>
          <cell r="F2741">
            <v>796282</v>
          </cell>
          <cell r="G2741">
            <v>0</v>
          </cell>
          <cell r="H2741">
            <v>0</v>
          </cell>
          <cell r="I2741">
            <v>0</v>
          </cell>
          <cell r="J2741">
            <v>0</v>
          </cell>
          <cell r="K2741">
            <v>0</v>
          </cell>
          <cell r="L2741">
            <v>126789</v>
          </cell>
          <cell r="M2741">
            <v>0</v>
          </cell>
          <cell r="N2741">
            <v>0</v>
          </cell>
          <cell r="O2741">
            <v>0</v>
          </cell>
        </row>
        <row r="2742">
          <cell r="A2742" t="str">
            <v>Japan - GECCFSALARIES &amp; BENEFITS</v>
          </cell>
          <cell r="B2742">
            <v>9859669.8900000006</v>
          </cell>
          <cell r="C2742">
            <v>11006939.189999999</v>
          </cell>
          <cell r="D2742">
            <v>11187192.15</v>
          </cell>
          <cell r="E2742">
            <v>12544300.640000001</v>
          </cell>
          <cell r="F2742">
            <v>44598101.869999997</v>
          </cell>
          <cell r="G2742">
            <v>7298275.2022150001</v>
          </cell>
          <cell r="H2742">
            <v>7560969.0440549999</v>
          </cell>
          <cell r="I2742">
            <v>7111783.4391900003</v>
          </cell>
          <cell r="J2742">
            <v>10697283.025087001</v>
          </cell>
          <cell r="K2742">
            <v>32668310.710546002</v>
          </cell>
          <cell r="L2742">
            <v>8060175.2699999996</v>
          </cell>
          <cell r="M2742">
            <v>42369732.523000002</v>
          </cell>
          <cell r="N2742">
            <v>41373906.568999998</v>
          </cell>
          <cell r="O2742">
            <v>41164815.604999997</v>
          </cell>
        </row>
        <row r="2743">
          <cell r="A2743" t="str">
            <v>Japan - GECCFLOSSES ON OTHER ASSETS</v>
          </cell>
          <cell r="B2743">
            <v>0</v>
          </cell>
          <cell r="C2743">
            <v>0</v>
          </cell>
          <cell r="D2743">
            <v>0</v>
          </cell>
          <cell r="E2743">
            <v>0</v>
          </cell>
          <cell r="F2743">
            <v>0</v>
          </cell>
          <cell r="G2743">
            <v>0</v>
          </cell>
          <cell r="H2743">
            <v>0</v>
          </cell>
          <cell r="I2743">
            <v>0</v>
          </cell>
          <cell r="J2743">
            <v>0</v>
          </cell>
          <cell r="K2743">
            <v>0</v>
          </cell>
          <cell r="L2743">
            <v>0</v>
          </cell>
          <cell r="M2743">
            <v>0</v>
          </cell>
          <cell r="N2743">
            <v>0</v>
          </cell>
          <cell r="O2743">
            <v>0</v>
          </cell>
        </row>
        <row r="2744">
          <cell r="A2744" t="str">
            <v>Japan - GECCFCOST OF GOODS SOLD</v>
          </cell>
          <cell r="B2744">
            <v>0</v>
          </cell>
          <cell r="C2744">
            <v>0</v>
          </cell>
          <cell r="D2744">
            <v>0</v>
          </cell>
          <cell r="E2744">
            <v>0</v>
          </cell>
          <cell r="F2744">
            <v>0</v>
          </cell>
          <cell r="G2744">
            <v>0</v>
          </cell>
          <cell r="H2744">
            <v>0</v>
          </cell>
          <cell r="I2744">
            <v>0</v>
          </cell>
          <cell r="J2744">
            <v>0</v>
          </cell>
          <cell r="K2744">
            <v>0</v>
          </cell>
          <cell r="L2744">
            <v>0</v>
          </cell>
          <cell r="M2744">
            <v>0</v>
          </cell>
          <cell r="N2744">
            <v>0</v>
          </cell>
          <cell r="O2744">
            <v>0</v>
          </cell>
        </row>
        <row r="2745">
          <cell r="A2745" t="str">
            <v>Japan - GECCFCOST OF GOODS SOLD - DISTRIBUTION</v>
          </cell>
          <cell r="B2745">
            <v>0</v>
          </cell>
          <cell r="C2745">
            <v>0</v>
          </cell>
          <cell r="D2745">
            <v>0</v>
          </cell>
          <cell r="E2745">
            <v>0</v>
          </cell>
          <cell r="F2745">
            <v>0</v>
          </cell>
          <cell r="G2745">
            <v>0</v>
          </cell>
          <cell r="H2745">
            <v>0</v>
          </cell>
          <cell r="I2745">
            <v>0</v>
          </cell>
          <cell r="J2745">
            <v>0</v>
          </cell>
          <cell r="K2745">
            <v>0</v>
          </cell>
          <cell r="L2745">
            <v>0</v>
          </cell>
          <cell r="M2745">
            <v>0</v>
          </cell>
          <cell r="N2745">
            <v>0</v>
          </cell>
          <cell r="O2745">
            <v>0</v>
          </cell>
        </row>
        <row r="2746">
          <cell r="A2746" t="str">
            <v>Japan - GECCFPOSTAGE</v>
          </cell>
          <cell r="B2746">
            <v>571459.41</v>
          </cell>
          <cell r="C2746">
            <v>571719.69999999995</v>
          </cell>
          <cell r="D2746">
            <v>463406.79</v>
          </cell>
          <cell r="E2746">
            <v>651813.29</v>
          </cell>
          <cell r="F2746">
            <v>2258399.19</v>
          </cell>
          <cell r="G2746">
            <v>638829.53946999996</v>
          </cell>
          <cell r="H2746">
            <v>661783.02497400006</v>
          </cell>
          <cell r="I2746">
            <v>840286.03257100005</v>
          </cell>
          <cell r="J2746">
            <v>1026377.1677</v>
          </cell>
          <cell r="K2746">
            <v>3167275.7647139998</v>
          </cell>
          <cell r="L2746">
            <v>580908.43999999994</v>
          </cell>
          <cell r="M2746">
            <v>2322199.6889999998</v>
          </cell>
          <cell r="N2746">
            <v>2474318.898</v>
          </cell>
          <cell r="O2746">
            <v>2633940.7239999999</v>
          </cell>
        </row>
        <row r="2747">
          <cell r="A2747" t="str">
            <v>Japan - GECCFTELEPHONE</v>
          </cell>
          <cell r="B2747">
            <v>512482.06</v>
          </cell>
          <cell r="C2747">
            <v>564861.91</v>
          </cell>
          <cell r="D2747">
            <v>698213.33</v>
          </cell>
          <cell r="E2747">
            <v>520419.59</v>
          </cell>
          <cell r="F2747">
            <v>2295976.89</v>
          </cell>
          <cell r="G2747">
            <v>558770.27500000002</v>
          </cell>
          <cell r="H2747">
            <v>560107.77500000002</v>
          </cell>
          <cell r="I2747">
            <v>560070.27500000002</v>
          </cell>
          <cell r="J2747">
            <v>565268.69999999995</v>
          </cell>
          <cell r="K2747">
            <v>2244217.0249999999</v>
          </cell>
          <cell r="L2747">
            <v>249398.05</v>
          </cell>
          <cell r="M2747">
            <v>2739324.5669999998</v>
          </cell>
          <cell r="N2747">
            <v>2640284.3769999999</v>
          </cell>
          <cell r="O2747">
            <v>2567800.915</v>
          </cell>
        </row>
        <row r="2748">
          <cell r="A2748" t="str">
            <v>Japan - GECCFCUSTOMER SERVICE / COLLECTIONS</v>
          </cell>
          <cell r="B2748">
            <v>284901.81</v>
          </cell>
          <cell r="C2748">
            <v>274910.15000000002</v>
          </cell>
          <cell r="D2748">
            <v>441879.82</v>
          </cell>
          <cell r="E2748">
            <v>36913.93</v>
          </cell>
          <cell r="F2748">
            <v>1038605.71</v>
          </cell>
          <cell r="G2748">
            <v>2221244.1470309999</v>
          </cell>
          <cell r="H2748">
            <v>2218203.4090869999</v>
          </cell>
          <cell r="I2748">
            <v>2166840.643656</v>
          </cell>
          <cell r="J2748">
            <v>2267035.1650879998</v>
          </cell>
          <cell r="K2748">
            <v>8873323.3648610003</v>
          </cell>
          <cell r="L2748">
            <v>1653559.89</v>
          </cell>
          <cell r="M2748">
            <v>2007983.65</v>
          </cell>
          <cell r="N2748">
            <v>2211431.858</v>
          </cell>
          <cell r="O2748">
            <v>2430913.5079999999</v>
          </cell>
        </row>
        <row r="2749">
          <cell r="A2749" t="str">
            <v>Japan - GECCFSTATIONARY - OFFICE SUPPLIES</v>
          </cell>
          <cell r="B2749">
            <v>254573.9</v>
          </cell>
          <cell r="C2749">
            <v>246972.76</v>
          </cell>
          <cell r="D2749">
            <v>145454.96</v>
          </cell>
          <cell r="E2749">
            <v>276573.78999999998</v>
          </cell>
          <cell r="F2749">
            <v>923575.41</v>
          </cell>
          <cell r="G2749">
            <v>230329.66666700001</v>
          </cell>
          <cell r="H2749">
            <v>232674.70833299999</v>
          </cell>
          <cell r="I2749">
            <v>232229.1</v>
          </cell>
          <cell r="J2749">
            <v>234197.54166700001</v>
          </cell>
          <cell r="K2749">
            <v>929431.01666700002</v>
          </cell>
          <cell r="L2749">
            <v>148172.94</v>
          </cell>
          <cell r="M2749">
            <v>1994029.4110000001</v>
          </cell>
          <cell r="N2749">
            <v>2040708.9620000001</v>
          </cell>
          <cell r="O2749">
            <v>2029225.3230000001</v>
          </cell>
        </row>
        <row r="2750">
          <cell r="A2750" t="str">
            <v>Japan - GECCFT&amp;L</v>
          </cell>
          <cell r="B2750">
            <v>759245.74</v>
          </cell>
          <cell r="C2750">
            <v>476709.89</v>
          </cell>
          <cell r="D2750">
            <v>498687.48</v>
          </cell>
          <cell r="E2750">
            <v>672298.25</v>
          </cell>
          <cell r="F2750">
            <v>2406941.36</v>
          </cell>
          <cell r="G2750">
            <v>472631.24657700001</v>
          </cell>
          <cell r="H2750">
            <v>474712.038244</v>
          </cell>
          <cell r="I2750">
            <v>480281.08467299998</v>
          </cell>
          <cell r="J2750">
            <v>536968.444196</v>
          </cell>
          <cell r="K2750">
            <v>1964592.81369</v>
          </cell>
          <cell r="L2750">
            <v>736771</v>
          </cell>
          <cell r="M2750">
            <v>3238927</v>
          </cell>
          <cell r="N2750">
            <v>3144033.7749999999</v>
          </cell>
          <cell r="O2750">
            <v>3113653.6170000001</v>
          </cell>
        </row>
        <row r="2751">
          <cell r="A2751" t="str">
            <v>Japan - GECCFRENTAL - BLDG/FACILITIES</v>
          </cell>
          <cell r="B2751">
            <v>1473522.44</v>
          </cell>
          <cell r="C2751">
            <v>1385146.42</v>
          </cell>
          <cell r="D2751">
            <v>1326055.9099999999</v>
          </cell>
          <cell r="E2751">
            <v>1434699.55</v>
          </cell>
          <cell r="F2751">
            <v>5619424.3200000003</v>
          </cell>
          <cell r="G2751">
            <v>1232072.75</v>
          </cell>
          <cell r="H2751">
            <v>1225899.6666669999</v>
          </cell>
          <cell r="I2751">
            <v>1211053.5</v>
          </cell>
          <cell r="J2751">
            <v>1212303.5</v>
          </cell>
          <cell r="K2751">
            <v>4881329.4166670004</v>
          </cell>
          <cell r="L2751">
            <v>1356344.87</v>
          </cell>
          <cell r="M2751">
            <v>6362045.1500000004</v>
          </cell>
          <cell r="N2751">
            <v>6362045.1500000004</v>
          </cell>
          <cell r="O2751">
            <v>6367445.1500000004</v>
          </cell>
        </row>
        <row r="2752">
          <cell r="A2752" t="str">
            <v>Japan - GECCFRENTAL - FURNITURE/EQUIP</v>
          </cell>
          <cell r="B2752">
            <v>34033.53</v>
          </cell>
          <cell r="C2752">
            <v>39145.06</v>
          </cell>
          <cell r="D2752">
            <v>38169.81</v>
          </cell>
          <cell r="E2752">
            <v>33928.49</v>
          </cell>
          <cell r="F2752">
            <v>145276.89000000001</v>
          </cell>
          <cell r="G2752">
            <v>39581.666666999998</v>
          </cell>
          <cell r="H2752">
            <v>37058.333333000002</v>
          </cell>
          <cell r="I2752">
            <v>36761.083333000002</v>
          </cell>
          <cell r="J2752">
            <v>35808.333333000002</v>
          </cell>
          <cell r="K2752">
            <v>149209.41666700001</v>
          </cell>
          <cell r="L2752">
            <v>32073.15</v>
          </cell>
          <cell r="M2752">
            <v>0</v>
          </cell>
          <cell r="N2752">
            <v>0</v>
          </cell>
          <cell r="O2752">
            <v>0</v>
          </cell>
        </row>
        <row r="2753">
          <cell r="A2753" t="str">
            <v>Japan - GECCFRENTAL - COMPUTERS</v>
          </cell>
          <cell r="B2753">
            <v>1357318.91</v>
          </cell>
          <cell r="C2753">
            <v>1295168.7</v>
          </cell>
          <cell r="D2753">
            <v>1827303.76</v>
          </cell>
          <cell r="E2753">
            <v>1149693.1499999999</v>
          </cell>
          <cell r="F2753">
            <v>5629484.5199999996</v>
          </cell>
          <cell r="G2753">
            <v>26900</v>
          </cell>
          <cell r="H2753">
            <v>26900</v>
          </cell>
          <cell r="I2753">
            <v>26900</v>
          </cell>
          <cell r="J2753">
            <v>26966.666667000001</v>
          </cell>
          <cell r="K2753">
            <v>107666.666667</v>
          </cell>
          <cell r="L2753">
            <v>-453279.52</v>
          </cell>
          <cell r="M2753">
            <v>0</v>
          </cell>
          <cell r="N2753">
            <v>0</v>
          </cell>
          <cell r="O2753">
            <v>0</v>
          </cell>
        </row>
        <row r="2754">
          <cell r="A2754" t="str">
            <v>Japan - GECCFLEASE IN - LEASE OUT</v>
          </cell>
          <cell r="B2754">
            <v>0</v>
          </cell>
          <cell r="C2754">
            <v>0</v>
          </cell>
          <cell r="D2754">
            <v>0</v>
          </cell>
          <cell r="E2754">
            <v>0</v>
          </cell>
          <cell r="F2754">
            <v>0</v>
          </cell>
          <cell r="G2754">
            <v>0</v>
          </cell>
          <cell r="H2754">
            <v>0</v>
          </cell>
          <cell r="I2754">
            <v>0</v>
          </cell>
          <cell r="J2754">
            <v>0</v>
          </cell>
          <cell r="K2754">
            <v>0</v>
          </cell>
          <cell r="L2754">
            <v>0</v>
          </cell>
          <cell r="M2754">
            <v>0</v>
          </cell>
          <cell r="N2754">
            <v>0</v>
          </cell>
          <cell r="O2754">
            <v>0</v>
          </cell>
        </row>
        <row r="2755">
          <cell r="A2755" t="str">
            <v>Japan - GECCFFURNITURE / EQUIPMENT / COMPUTER EXP</v>
          </cell>
          <cell r="B2755">
            <v>572465.43999999994</v>
          </cell>
          <cell r="C2755">
            <v>855870.44</v>
          </cell>
          <cell r="D2755">
            <v>383686.62</v>
          </cell>
          <cell r="E2755">
            <v>424017.08</v>
          </cell>
          <cell r="F2755">
            <v>2236039.58</v>
          </cell>
          <cell r="G2755">
            <v>471842.91666699998</v>
          </cell>
          <cell r="H2755">
            <v>468497.5</v>
          </cell>
          <cell r="I2755">
            <v>474892.08333300002</v>
          </cell>
          <cell r="J2755">
            <v>463614.16666699998</v>
          </cell>
          <cell r="K2755">
            <v>1878846.6666669999</v>
          </cell>
          <cell r="L2755">
            <v>250279.58</v>
          </cell>
          <cell r="M2755">
            <v>278766.859</v>
          </cell>
          <cell r="N2755">
            <v>272551.01199999999</v>
          </cell>
          <cell r="O2755">
            <v>269764.12699999998</v>
          </cell>
        </row>
        <row r="2756">
          <cell r="A2756" t="str">
            <v>Japan - GECCFSOFTWARE EXPENSE</v>
          </cell>
          <cell r="B2756">
            <v>0</v>
          </cell>
          <cell r="C2756">
            <v>0</v>
          </cell>
          <cell r="D2756">
            <v>0</v>
          </cell>
          <cell r="E2756">
            <v>0</v>
          </cell>
          <cell r="F2756">
            <v>0</v>
          </cell>
          <cell r="G2756">
            <v>279167.83269200003</v>
          </cell>
          <cell r="H2756">
            <v>338714.21089699998</v>
          </cell>
          <cell r="I2756">
            <v>481610.58910300001</v>
          </cell>
          <cell r="J2756">
            <v>541173.633974</v>
          </cell>
          <cell r="K2756">
            <v>1640666.266667</v>
          </cell>
          <cell r="L2756">
            <v>36322.28</v>
          </cell>
          <cell r="M2756">
            <v>0</v>
          </cell>
          <cell r="N2756">
            <v>0</v>
          </cell>
          <cell r="O2756">
            <v>0</v>
          </cell>
        </row>
        <row r="2757">
          <cell r="A2757" t="str">
            <v>Japan - GECCFAMORTIZATION OF INTANGIBLES</v>
          </cell>
          <cell r="B2757">
            <v>145536.21</v>
          </cell>
          <cell r="C2757">
            <v>159448.88</v>
          </cell>
          <cell r="D2757">
            <v>157570.04999999999</v>
          </cell>
          <cell r="E2757">
            <v>163874.57999999999</v>
          </cell>
          <cell r="F2757">
            <v>626429.72</v>
          </cell>
          <cell r="G2757">
            <v>0</v>
          </cell>
          <cell r="H2757">
            <v>0</v>
          </cell>
          <cell r="I2757">
            <v>0</v>
          </cell>
          <cell r="J2757">
            <v>0</v>
          </cell>
          <cell r="K2757">
            <v>0</v>
          </cell>
          <cell r="L2757">
            <v>146220.4</v>
          </cell>
          <cell r="M2757">
            <v>0</v>
          </cell>
          <cell r="N2757">
            <v>0</v>
          </cell>
          <cell r="O2757">
            <v>0</v>
          </cell>
        </row>
        <row r="2758">
          <cell r="A2758" t="str">
            <v>Japan - GECCFELTO MAINTENANCE</v>
          </cell>
          <cell r="B2758">
            <v>0</v>
          </cell>
          <cell r="C2758">
            <v>0</v>
          </cell>
          <cell r="D2758">
            <v>0</v>
          </cell>
          <cell r="E2758">
            <v>0</v>
          </cell>
          <cell r="F2758">
            <v>0</v>
          </cell>
          <cell r="G2758">
            <v>0</v>
          </cell>
          <cell r="H2758">
            <v>0</v>
          </cell>
          <cell r="I2758">
            <v>0</v>
          </cell>
          <cell r="J2758">
            <v>0</v>
          </cell>
          <cell r="K2758">
            <v>0</v>
          </cell>
          <cell r="L2758">
            <v>0</v>
          </cell>
          <cell r="M2758">
            <v>0</v>
          </cell>
          <cell r="N2758">
            <v>0</v>
          </cell>
          <cell r="O2758">
            <v>0</v>
          </cell>
        </row>
        <row r="2759">
          <cell r="A2759" t="str">
            <v>Japan - GECCFELTO OTHER</v>
          </cell>
          <cell r="B2759">
            <v>0</v>
          </cell>
          <cell r="C2759">
            <v>0</v>
          </cell>
          <cell r="D2759">
            <v>0</v>
          </cell>
          <cell r="E2759">
            <v>0</v>
          </cell>
          <cell r="F2759">
            <v>0</v>
          </cell>
          <cell r="G2759">
            <v>0</v>
          </cell>
          <cell r="H2759">
            <v>0</v>
          </cell>
          <cell r="I2759">
            <v>0</v>
          </cell>
          <cell r="J2759">
            <v>0</v>
          </cell>
          <cell r="K2759">
            <v>0</v>
          </cell>
          <cell r="L2759">
            <v>0</v>
          </cell>
          <cell r="M2759">
            <v>0</v>
          </cell>
          <cell r="N2759">
            <v>0</v>
          </cell>
          <cell r="O2759">
            <v>0</v>
          </cell>
        </row>
        <row r="2760">
          <cell r="A2760" t="str">
            <v>Japan - GECCFLEGAL</v>
          </cell>
          <cell r="B2760">
            <v>101312.55</v>
          </cell>
          <cell r="C2760">
            <v>217979.3</v>
          </cell>
          <cell r="D2760">
            <v>259898.62</v>
          </cell>
          <cell r="E2760">
            <v>393340.61</v>
          </cell>
          <cell r="F2760">
            <v>972531.08</v>
          </cell>
          <cell r="G2760">
            <v>59587.508332999998</v>
          </cell>
          <cell r="H2760">
            <v>73754.175000000003</v>
          </cell>
          <cell r="I2760">
            <v>64587.508332999998</v>
          </cell>
          <cell r="J2760">
            <v>55420.841667000001</v>
          </cell>
          <cell r="K2760">
            <v>253350.033333</v>
          </cell>
          <cell r="L2760">
            <v>109966.38</v>
          </cell>
          <cell r="M2760">
            <v>444854.96899999998</v>
          </cell>
          <cell r="N2760">
            <v>451617.32699999999</v>
          </cell>
          <cell r="O2760">
            <v>462088.29800000001</v>
          </cell>
        </row>
        <row r="2761">
          <cell r="A2761" t="str">
            <v>Japan - GECCFADVERTISING</v>
          </cell>
          <cell r="B2761">
            <v>164322.57</v>
          </cell>
          <cell r="C2761">
            <v>222390.16</v>
          </cell>
          <cell r="D2761">
            <v>73332.759999999995</v>
          </cell>
          <cell r="E2761">
            <v>111622.29</v>
          </cell>
          <cell r="F2761">
            <v>571667.78</v>
          </cell>
          <cell r="G2761">
            <v>31742.05</v>
          </cell>
          <cell r="H2761">
            <v>32003.658332999999</v>
          </cell>
          <cell r="I2761">
            <v>73178.358332999996</v>
          </cell>
          <cell r="J2761">
            <v>82321.283332999999</v>
          </cell>
          <cell r="K2761">
            <v>219245.35</v>
          </cell>
          <cell r="L2761">
            <v>22689.1</v>
          </cell>
          <cell r="M2761">
            <v>1900857.9169999999</v>
          </cell>
          <cell r="N2761">
            <v>2288934.5</v>
          </cell>
          <cell r="O2761">
            <v>2749669.4169999999</v>
          </cell>
        </row>
        <row r="2762">
          <cell r="A2762" t="str">
            <v>Japan - GECCFSALES PROMOTIONS</v>
          </cell>
          <cell r="B2762">
            <v>221927.31</v>
          </cell>
          <cell r="C2762">
            <v>718084.27</v>
          </cell>
          <cell r="D2762">
            <v>704878.02</v>
          </cell>
          <cell r="E2762">
            <v>1359242.27</v>
          </cell>
          <cell r="F2762">
            <v>3004131.87</v>
          </cell>
          <cell r="G2762">
            <v>984550.79580099997</v>
          </cell>
          <cell r="H2762">
            <v>1112181.649491</v>
          </cell>
          <cell r="I2762">
            <v>1554944.8401939999</v>
          </cell>
          <cell r="J2762">
            <v>2075860.099133</v>
          </cell>
          <cell r="K2762">
            <v>5727537.3846190004</v>
          </cell>
          <cell r="L2762">
            <v>489919.69</v>
          </cell>
          <cell r="M2762">
            <v>3866319.7170000002</v>
          </cell>
          <cell r="N2762">
            <v>4459465.3669999996</v>
          </cell>
          <cell r="O2762">
            <v>5013640.3669999996</v>
          </cell>
        </row>
        <row r="2763">
          <cell r="A2763" t="str">
            <v>Japan - GECCFDIRECT MAIL</v>
          </cell>
          <cell r="B2763">
            <v>0</v>
          </cell>
          <cell r="C2763">
            <v>0</v>
          </cell>
          <cell r="D2763">
            <v>0</v>
          </cell>
          <cell r="E2763">
            <v>0</v>
          </cell>
          <cell r="F2763">
            <v>0</v>
          </cell>
          <cell r="G2763">
            <v>7916.6666670000004</v>
          </cell>
          <cell r="H2763">
            <v>14583.333333</v>
          </cell>
          <cell r="I2763">
            <v>22500</v>
          </cell>
          <cell r="J2763">
            <v>4166.6666670000004</v>
          </cell>
          <cell r="K2763">
            <v>49166.666666999998</v>
          </cell>
          <cell r="L2763">
            <v>4983.22</v>
          </cell>
          <cell r="M2763">
            <v>0</v>
          </cell>
          <cell r="N2763">
            <v>0</v>
          </cell>
          <cell r="O2763">
            <v>0</v>
          </cell>
        </row>
        <row r="2764">
          <cell r="A2764" t="str">
            <v>Japan - GECCFDATA PROCESSING</v>
          </cell>
          <cell r="B2764">
            <v>0</v>
          </cell>
          <cell r="C2764">
            <v>0</v>
          </cell>
          <cell r="D2764">
            <v>0</v>
          </cell>
          <cell r="E2764">
            <v>0</v>
          </cell>
          <cell r="F2764">
            <v>0</v>
          </cell>
          <cell r="G2764">
            <v>954708.33333299996</v>
          </cell>
          <cell r="H2764">
            <v>1009208.333333</v>
          </cell>
          <cell r="I2764">
            <v>1442500</v>
          </cell>
          <cell r="J2764">
            <v>2138666.6666669999</v>
          </cell>
          <cell r="K2764">
            <v>5545083.3333329996</v>
          </cell>
          <cell r="L2764">
            <v>693512.68</v>
          </cell>
          <cell r="M2764">
            <v>7728078.4730000002</v>
          </cell>
          <cell r="N2764">
            <v>6207498.0769999996</v>
          </cell>
          <cell r="O2764">
            <v>5215597.8859999999</v>
          </cell>
        </row>
        <row r="2765">
          <cell r="A2765" t="str">
            <v>Japan - GECCFCONSULTING</v>
          </cell>
          <cell r="B2765">
            <v>80572.899999999994</v>
          </cell>
          <cell r="C2765">
            <v>41659.15</v>
          </cell>
          <cell r="D2765">
            <v>28812.11</v>
          </cell>
          <cell r="E2765">
            <v>188710.74</v>
          </cell>
          <cell r="F2765">
            <v>339754.9</v>
          </cell>
          <cell r="G2765">
            <v>117083.333333</v>
          </cell>
          <cell r="H2765">
            <v>117083.333333</v>
          </cell>
          <cell r="I2765">
            <v>117083.333333</v>
          </cell>
          <cell r="J2765">
            <v>117083.333333</v>
          </cell>
          <cell r="K2765">
            <v>468333.33333300002</v>
          </cell>
          <cell r="L2765">
            <v>-6137.98</v>
          </cell>
          <cell r="M2765">
            <v>0</v>
          </cell>
          <cell r="N2765">
            <v>0</v>
          </cell>
          <cell r="O2765">
            <v>0</v>
          </cell>
        </row>
        <row r="2766">
          <cell r="A2766" t="str">
            <v>Japan - GECCFTEMP SERVICES</v>
          </cell>
          <cell r="B2766">
            <v>0</v>
          </cell>
          <cell r="C2766">
            <v>0</v>
          </cell>
          <cell r="D2766">
            <v>0</v>
          </cell>
          <cell r="E2766">
            <v>0</v>
          </cell>
          <cell r="F2766">
            <v>0</v>
          </cell>
          <cell r="G2766">
            <v>1264192.370506</v>
          </cell>
          <cell r="H2766">
            <v>1286306.2115140001</v>
          </cell>
          <cell r="I2766">
            <v>1311268.9035990001</v>
          </cell>
          <cell r="J2766">
            <v>1363202.0691170001</v>
          </cell>
          <cell r="K2766">
            <v>5224969.5547359996</v>
          </cell>
          <cell r="L2766">
            <v>1299122.8</v>
          </cell>
          <cell r="M2766">
            <v>0</v>
          </cell>
          <cell r="N2766">
            <v>0</v>
          </cell>
          <cell r="O2766">
            <v>0</v>
          </cell>
        </row>
        <row r="2767">
          <cell r="A2767" t="str">
            <v>Japan - GECCFGDC CHARGES</v>
          </cell>
          <cell r="B2767">
            <v>0</v>
          </cell>
          <cell r="C2767">
            <v>0</v>
          </cell>
          <cell r="D2767">
            <v>0</v>
          </cell>
          <cell r="E2767">
            <v>0</v>
          </cell>
          <cell r="F2767">
            <v>0</v>
          </cell>
          <cell r="G2767">
            <v>141666.716667</v>
          </cell>
          <cell r="H2767">
            <v>161083.31666700001</v>
          </cell>
          <cell r="I2767">
            <v>184833.31666700001</v>
          </cell>
          <cell r="J2767">
            <v>199916.65</v>
          </cell>
          <cell r="K2767">
            <v>687500</v>
          </cell>
          <cell r="L2767">
            <v>36692.129999999997</v>
          </cell>
          <cell r="M2767">
            <v>0</v>
          </cell>
          <cell r="N2767">
            <v>0</v>
          </cell>
          <cell r="O2767">
            <v>0</v>
          </cell>
        </row>
        <row r="2768">
          <cell r="A2768" t="str">
            <v>Japan - GECCFTRAINING AND EDUCATION</v>
          </cell>
          <cell r="B2768">
            <v>0</v>
          </cell>
          <cell r="C2768">
            <v>0</v>
          </cell>
          <cell r="D2768">
            <v>0</v>
          </cell>
          <cell r="E2768">
            <v>0</v>
          </cell>
          <cell r="F2768">
            <v>0</v>
          </cell>
          <cell r="G2768">
            <v>127366.86904799999</v>
          </cell>
          <cell r="H2768">
            <v>203795.22500000001</v>
          </cell>
          <cell r="I2768">
            <v>128889.11666699999</v>
          </cell>
          <cell r="J2768">
            <v>124369.06666700001</v>
          </cell>
          <cell r="K2768">
            <v>584420.27738099999</v>
          </cell>
          <cell r="L2768">
            <v>-51020.66</v>
          </cell>
          <cell r="M2768">
            <v>0</v>
          </cell>
          <cell r="N2768">
            <v>0</v>
          </cell>
          <cell r="O2768">
            <v>0</v>
          </cell>
        </row>
        <row r="2769">
          <cell r="A2769" t="str">
            <v>Japan - GECCFOUTSIDE SERVICES  AND FEES</v>
          </cell>
          <cell r="B2769">
            <v>2038276.88</v>
          </cell>
          <cell r="C2769">
            <v>2171755.8199999998</v>
          </cell>
          <cell r="D2769">
            <v>3106349.13</v>
          </cell>
          <cell r="E2769">
            <v>840586.48</v>
          </cell>
          <cell r="F2769">
            <v>8156968.3099999996</v>
          </cell>
          <cell r="G2769">
            <v>1695668.8346269999</v>
          </cell>
          <cell r="H2769">
            <v>2251023.3184110001</v>
          </cell>
          <cell r="I2769">
            <v>2149593.413679</v>
          </cell>
          <cell r="J2769">
            <v>2441270.2810889999</v>
          </cell>
          <cell r="K2769">
            <v>8537555.8478059992</v>
          </cell>
          <cell r="L2769">
            <v>1499097.03</v>
          </cell>
          <cell r="M2769">
            <v>21074427.467999998</v>
          </cell>
          <cell r="N2769">
            <v>25052537.684</v>
          </cell>
          <cell r="O2769">
            <v>29600134.919</v>
          </cell>
        </row>
        <row r="2770">
          <cell r="A2770" t="str">
            <v>Japan - GECCFSTATE, FOREIGN, LOCAL TAXES</v>
          </cell>
          <cell r="B2770">
            <v>956829.2</v>
          </cell>
          <cell r="C2770">
            <v>518736.83</v>
          </cell>
          <cell r="D2770">
            <v>423509.07</v>
          </cell>
          <cell r="E2770">
            <v>1001350.58</v>
          </cell>
          <cell r="F2770">
            <v>2900425.68</v>
          </cell>
          <cell r="G2770">
            <v>638475.95736</v>
          </cell>
          <cell r="H2770">
            <v>641368.85968200001</v>
          </cell>
          <cell r="I2770">
            <v>633623.41846399999</v>
          </cell>
          <cell r="J2770">
            <v>633696.53140600002</v>
          </cell>
          <cell r="K2770">
            <v>2547164.7669119998</v>
          </cell>
          <cell r="L2770">
            <v>455741.78</v>
          </cell>
          <cell r="M2770">
            <v>3509650.4130000002</v>
          </cell>
          <cell r="N2770">
            <v>3506150.4130000002</v>
          </cell>
          <cell r="O2770">
            <v>3506150.4130000002</v>
          </cell>
        </row>
        <row r="2771">
          <cell r="A2771" t="str">
            <v>Japan - GECCFS/L TAX - INSURANCE PREMIUMS</v>
          </cell>
          <cell r="B2771">
            <v>0</v>
          </cell>
          <cell r="C2771">
            <v>0</v>
          </cell>
          <cell r="D2771">
            <v>0</v>
          </cell>
          <cell r="E2771">
            <v>0</v>
          </cell>
          <cell r="F2771">
            <v>0</v>
          </cell>
          <cell r="G2771">
            <v>0</v>
          </cell>
          <cell r="H2771">
            <v>0</v>
          </cell>
          <cell r="I2771">
            <v>0</v>
          </cell>
          <cell r="J2771">
            <v>0</v>
          </cell>
          <cell r="K2771">
            <v>0</v>
          </cell>
          <cell r="L2771">
            <v>0</v>
          </cell>
          <cell r="M2771">
            <v>0</v>
          </cell>
          <cell r="N2771">
            <v>0</v>
          </cell>
          <cell r="O2771">
            <v>0</v>
          </cell>
        </row>
        <row r="2772">
          <cell r="A2772" t="str">
            <v>Japan - GECCFSATELLITE LEASE EXPENSE</v>
          </cell>
          <cell r="B2772">
            <v>0</v>
          </cell>
          <cell r="C2772">
            <v>0</v>
          </cell>
          <cell r="D2772">
            <v>0</v>
          </cell>
          <cell r="E2772">
            <v>0</v>
          </cell>
          <cell r="F2772">
            <v>0</v>
          </cell>
          <cell r="G2772">
            <v>0</v>
          </cell>
          <cell r="H2772">
            <v>0</v>
          </cell>
          <cell r="I2772">
            <v>0</v>
          </cell>
          <cell r="J2772">
            <v>0</v>
          </cell>
          <cell r="K2772">
            <v>0</v>
          </cell>
          <cell r="L2772">
            <v>0</v>
          </cell>
          <cell r="M2772">
            <v>0</v>
          </cell>
          <cell r="N2772">
            <v>0</v>
          </cell>
          <cell r="O2772">
            <v>0</v>
          </cell>
        </row>
        <row r="2773">
          <cell r="A2773" t="str">
            <v>Japan - GECCFBUSINESS SHARE EXPENSE</v>
          </cell>
          <cell r="B2773">
            <v>0</v>
          </cell>
          <cell r="C2773">
            <v>0</v>
          </cell>
          <cell r="D2773">
            <v>0</v>
          </cell>
          <cell r="E2773">
            <v>0</v>
          </cell>
          <cell r="F2773">
            <v>0</v>
          </cell>
          <cell r="G2773">
            <v>0</v>
          </cell>
          <cell r="H2773">
            <v>0</v>
          </cell>
          <cell r="I2773">
            <v>0</v>
          </cell>
          <cell r="J2773">
            <v>0</v>
          </cell>
          <cell r="K2773">
            <v>0</v>
          </cell>
          <cell r="L2773">
            <v>0</v>
          </cell>
          <cell r="M2773">
            <v>0</v>
          </cell>
          <cell r="N2773">
            <v>0</v>
          </cell>
          <cell r="O2773">
            <v>0</v>
          </cell>
        </row>
        <row r="2774">
          <cell r="A2774" t="str">
            <v>Japan - GECCFINSURANCE AFFILIATE EXPENSE</v>
          </cell>
          <cell r="B2774">
            <v>0</v>
          </cell>
          <cell r="C2774">
            <v>0</v>
          </cell>
          <cell r="D2774">
            <v>0</v>
          </cell>
          <cell r="E2774">
            <v>0</v>
          </cell>
          <cell r="F2774">
            <v>0</v>
          </cell>
          <cell r="G2774">
            <v>0</v>
          </cell>
          <cell r="H2774">
            <v>0</v>
          </cell>
          <cell r="I2774">
            <v>0</v>
          </cell>
          <cell r="J2774">
            <v>0</v>
          </cell>
          <cell r="K2774">
            <v>0</v>
          </cell>
          <cell r="L2774">
            <v>0</v>
          </cell>
          <cell r="M2774">
            <v>0</v>
          </cell>
          <cell r="N2774">
            <v>0</v>
          </cell>
          <cell r="O2774">
            <v>0</v>
          </cell>
        </row>
        <row r="2775">
          <cell r="A2775" t="str">
            <v>Japan - GECCFOTHER FACILITY EXPENSE</v>
          </cell>
          <cell r="B2775">
            <v>185703.92</v>
          </cell>
          <cell r="C2775">
            <v>198966.23</v>
          </cell>
          <cell r="D2775">
            <v>210286.52</v>
          </cell>
          <cell r="E2775">
            <v>139905.20000000001</v>
          </cell>
          <cell r="F2775">
            <v>734861.87</v>
          </cell>
          <cell r="G2775">
            <v>248666.716667</v>
          </cell>
          <cell r="H2775">
            <v>252625.07500000001</v>
          </cell>
          <cell r="I2775">
            <v>250675</v>
          </cell>
          <cell r="J2775">
            <v>252816.66666700001</v>
          </cell>
          <cell r="K2775">
            <v>1004783.458333</v>
          </cell>
          <cell r="L2775">
            <v>340449.06</v>
          </cell>
          <cell r="M2775">
            <v>3665601.6379999998</v>
          </cell>
          <cell r="N2775">
            <v>3488140.0430000001</v>
          </cell>
          <cell r="O2775">
            <v>3365470.1269999999</v>
          </cell>
        </row>
        <row r="2776">
          <cell r="A2776" t="str">
            <v>Japan - GECCFGROSS OP &amp; ADMIN BUS SHARE</v>
          </cell>
          <cell r="B2776">
            <v>0</v>
          </cell>
          <cell r="C2776">
            <v>0</v>
          </cell>
          <cell r="D2776">
            <v>0</v>
          </cell>
          <cell r="E2776">
            <v>-44202</v>
          </cell>
          <cell r="F2776">
            <v>-44202</v>
          </cell>
          <cell r="G2776">
            <v>0</v>
          </cell>
          <cell r="H2776">
            <v>0</v>
          </cell>
          <cell r="I2776">
            <v>0</v>
          </cell>
          <cell r="J2776">
            <v>0</v>
          </cell>
          <cell r="K2776">
            <v>0</v>
          </cell>
          <cell r="L2776">
            <v>-13588.9</v>
          </cell>
          <cell r="M2776">
            <v>0</v>
          </cell>
          <cell r="N2776">
            <v>0</v>
          </cell>
          <cell r="O2776">
            <v>0</v>
          </cell>
        </row>
        <row r="2777">
          <cell r="A2777" t="str">
            <v>Japan - GECCFOTHER EXPENSE</v>
          </cell>
          <cell r="B2777">
            <v>-562429.21</v>
          </cell>
          <cell r="C2777">
            <v>-439392.72</v>
          </cell>
          <cell r="D2777">
            <v>592167.48</v>
          </cell>
          <cell r="E2777">
            <v>-1187949.72</v>
          </cell>
          <cell r="F2777">
            <v>-1597604.17</v>
          </cell>
          <cell r="G2777">
            <v>-863217.41211799998</v>
          </cell>
          <cell r="H2777">
            <v>-1083567.7498959999</v>
          </cell>
          <cell r="I2777">
            <v>-996854.58388199995</v>
          </cell>
          <cell r="J2777">
            <v>-1387942.9278220001</v>
          </cell>
          <cell r="K2777">
            <v>-4331582.6737179998</v>
          </cell>
          <cell r="L2777">
            <v>1132215.1000000001</v>
          </cell>
          <cell r="M2777">
            <v>-15210035.012</v>
          </cell>
          <cell r="N2777">
            <v>-27396495.114</v>
          </cell>
          <cell r="O2777">
            <v>-45055375.623000003</v>
          </cell>
        </row>
        <row r="2778">
          <cell r="A2778" t="str">
            <v>Japan - GECCFGECC INTERCO EXPENSES EXCL GECIS</v>
          </cell>
          <cell r="B2778">
            <v>0</v>
          </cell>
          <cell r="C2778">
            <v>0</v>
          </cell>
          <cell r="D2778">
            <v>0</v>
          </cell>
          <cell r="E2778">
            <v>0</v>
          </cell>
          <cell r="F2778">
            <v>0</v>
          </cell>
          <cell r="G2778">
            <v>0</v>
          </cell>
          <cell r="H2778">
            <v>0</v>
          </cell>
          <cell r="I2778">
            <v>0</v>
          </cell>
          <cell r="J2778">
            <v>0</v>
          </cell>
          <cell r="K2778">
            <v>0</v>
          </cell>
          <cell r="L2778">
            <v>0</v>
          </cell>
          <cell r="M2778">
            <v>0</v>
          </cell>
          <cell r="N2778">
            <v>0</v>
          </cell>
          <cell r="O2778">
            <v>0</v>
          </cell>
        </row>
        <row r="2779">
          <cell r="A2779" t="str">
            <v>Japan - GECCFGECIS INTERCO CHARGES</v>
          </cell>
          <cell r="B2779">
            <v>0</v>
          </cell>
          <cell r="C2779">
            <v>0</v>
          </cell>
          <cell r="D2779">
            <v>0</v>
          </cell>
          <cell r="E2779">
            <v>0</v>
          </cell>
          <cell r="F2779">
            <v>0</v>
          </cell>
          <cell r="G2779">
            <v>0</v>
          </cell>
          <cell r="H2779">
            <v>0</v>
          </cell>
          <cell r="I2779">
            <v>0</v>
          </cell>
          <cell r="J2779">
            <v>0</v>
          </cell>
          <cell r="K2779">
            <v>0</v>
          </cell>
          <cell r="L2779">
            <v>0</v>
          </cell>
          <cell r="M2779">
            <v>0</v>
          </cell>
          <cell r="N2779">
            <v>0</v>
          </cell>
          <cell r="O2779">
            <v>0</v>
          </cell>
        </row>
        <row r="2780">
          <cell r="A2780" t="str">
            <v>Japan - GECCFLOSS ADJUSTED EXPENSE</v>
          </cell>
          <cell r="B2780">
            <v>0</v>
          </cell>
          <cell r="C2780">
            <v>0</v>
          </cell>
          <cell r="D2780">
            <v>0</v>
          </cell>
          <cell r="E2780">
            <v>0</v>
          </cell>
          <cell r="F2780">
            <v>0</v>
          </cell>
          <cell r="G2780">
            <v>0</v>
          </cell>
          <cell r="H2780">
            <v>0</v>
          </cell>
          <cell r="I2780">
            <v>0</v>
          </cell>
          <cell r="J2780">
            <v>0</v>
          </cell>
          <cell r="K2780">
            <v>0</v>
          </cell>
          <cell r="L2780">
            <v>0</v>
          </cell>
          <cell r="M2780">
            <v>0</v>
          </cell>
          <cell r="N2780">
            <v>0</v>
          </cell>
          <cell r="O2780">
            <v>0</v>
          </cell>
        </row>
        <row r="2781">
          <cell r="A2781" t="str">
            <v>Japan - GECCFALL OTHER EXPENSES</v>
          </cell>
          <cell r="B2781">
            <v>0</v>
          </cell>
          <cell r="C2781">
            <v>-0.01</v>
          </cell>
          <cell r="D2781">
            <v>0</v>
          </cell>
          <cell r="E2781">
            <v>0</v>
          </cell>
          <cell r="F2781">
            <v>-0.01</v>
          </cell>
          <cell r="G2781">
            <v>0</v>
          </cell>
          <cell r="H2781">
            <v>0</v>
          </cell>
          <cell r="I2781">
            <v>0</v>
          </cell>
          <cell r="J2781">
            <v>0</v>
          </cell>
          <cell r="K2781">
            <v>0</v>
          </cell>
          <cell r="L2781">
            <v>0</v>
          </cell>
          <cell r="M2781">
            <v>0</v>
          </cell>
          <cell r="N2781">
            <v>0</v>
          </cell>
          <cell r="O2781">
            <v>0</v>
          </cell>
        </row>
        <row r="2782">
          <cell r="A2782" t="str">
            <v>Japan - GECCFASSESSMENTS</v>
          </cell>
          <cell r="B2782">
            <v>1672901.85</v>
          </cell>
          <cell r="C2782">
            <v>1672901.85</v>
          </cell>
          <cell r="D2782">
            <v>1672901.85</v>
          </cell>
          <cell r="E2782">
            <v>1672901.85</v>
          </cell>
          <cell r="F2782">
            <v>6691607.4000000004</v>
          </cell>
          <cell r="G2782">
            <v>2313593.4980950002</v>
          </cell>
          <cell r="H2782">
            <v>2313593.4980950002</v>
          </cell>
          <cell r="I2782">
            <v>2313593.4980950002</v>
          </cell>
          <cell r="J2782">
            <v>2313593.4980950002</v>
          </cell>
          <cell r="K2782">
            <v>9254373.9923800007</v>
          </cell>
          <cell r="L2782">
            <v>-76517.119999999995</v>
          </cell>
          <cell r="M2782">
            <v>4973059.7589999996</v>
          </cell>
          <cell r="N2782">
            <v>5527140.0710000005</v>
          </cell>
          <cell r="O2782">
            <v>6115152.2149999999</v>
          </cell>
        </row>
        <row r="2783">
          <cell r="A2783" t="str">
            <v>Japan - GECCFFAS 91</v>
          </cell>
          <cell r="B2783">
            <v>261164.31</v>
          </cell>
          <cell r="C2783">
            <v>-39504.81</v>
          </cell>
          <cell r="D2783">
            <v>-4774429.16</v>
          </cell>
          <cell r="E2783">
            <v>-2336357.91</v>
          </cell>
          <cell r="F2783">
            <v>-6889127.5700000003</v>
          </cell>
          <cell r="G2783">
            <v>-1705496.1377350001</v>
          </cell>
          <cell r="H2783">
            <v>-1971215.8425489999</v>
          </cell>
          <cell r="I2783">
            <v>-2246912.2317209998</v>
          </cell>
          <cell r="J2783">
            <v>-2857289.595524</v>
          </cell>
          <cell r="K2783">
            <v>-8780913.8075300008</v>
          </cell>
          <cell r="L2783">
            <v>-1421803.68</v>
          </cell>
          <cell r="M2783">
            <v>-900812.61499999999</v>
          </cell>
          <cell r="N2783">
            <v>-291415.75300000003</v>
          </cell>
          <cell r="O2783">
            <v>-694574.30900000001</v>
          </cell>
        </row>
        <row r="2784">
          <cell r="A2784" t="str">
            <v>Japan - GECCFGOODWILL AMORTIZATION</v>
          </cell>
          <cell r="B2784">
            <v>1756566.41</v>
          </cell>
          <cell r="C2784">
            <v>1798389.08</v>
          </cell>
          <cell r="D2784">
            <v>1668381.98</v>
          </cell>
          <cell r="E2784">
            <v>1707819.15</v>
          </cell>
          <cell r="F2784">
            <v>6931156.6200000001</v>
          </cell>
          <cell r="G2784">
            <v>0</v>
          </cell>
          <cell r="H2784">
            <v>0</v>
          </cell>
          <cell r="I2784">
            <v>0</v>
          </cell>
          <cell r="J2784">
            <v>0</v>
          </cell>
          <cell r="K2784">
            <v>0</v>
          </cell>
          <cell r="L2784">
            <v>0</v>
          </cell>
          <cell r="M2784">
            <v>6841650.5420000004</v>
          </cell>
          <cell r="N2784">
            <v>6841650.5420000004</v>
          </cell>
          <cell r="O2784">
            <v>6841650.5420000004</v>
          </cell>
        </row>
        <row r="2785">
          <cell r="A2785" t="str">
            <v>Japan - GECCFDEPRECIATION EXPENSE</v>
          </cell>
          <cell r="B2785">
            <v>567380.19999999995</v>
          </cell>
          <cell r="C2785">
            <v>543978.84</v>
          </cell>
          <cell r="D2785">
            <v>543876.32999999996</v>
          </cell>
          <cell r="E2785">
            <v>557028.43000000005</v>
          </cell>
          <cell r="F2785">
            <v>2212263.7999999998</v>
          </cell>
          <cell r="G2785">
            <v>0</v>
          </cell>
          <cell r="H2785">
            <v>576519.09679500002</v>
          </cell>
          <cell r="I2785">
            <v>592596.01987199998</v>
          </cell>
          <cell r="J2785">
            <v>608672.94294900005</v>
          </cell>
          <cell r="K2785">
            <v>1777788.0596149999</v>
          </cell>
          <cell r="L2785">
            <v>464180.86</v>
          </cell>
          <cell r="M2785">
            <v>5311358.1339999996</v>
          </cell>
          <cell r="N2785">
            <v>5234673.091</v>
          </cell>
          <cell r="O2785">
            <v>5143023.5010000002</v>
          </cell>
        </row>
        <row r="2786">
          <cell r="A2786" t="str">
            <v>Japan - GECCFELTO AMORTIZATION</v>
          </cell>
          <cell r="B2786">
            <v>0</v>
          </cell>
          <cell r="C2786">
            <v>0</v>
          </cell>
          <cell r="D2786">
            <v>0</v>
          </cell>
          <cell r="E2786">
            <v>0</v>
          </cell>
          <cell r="F2786">
            <v>0</v>
          </cell>
          <cell r="G2786">
            <v>0</v>
          </cell>
          <cell r="H2786">
            <v>0</v>
          </cell>
          <cell r="I2786">
            <v>0</v>
          </cell>
          <cell r="J2786">
            <v>0</v>
          </cell>
          <cell r="K2786">
            <v>0</v>
          </cell>
          <cell r="L2786">
            <v>0</v>
          </cell>
          <cell r="M2786">
            <v>0</v>
          </cell>
          <cell r="N2786">
            <v>0</v>
          </cell>
          <cell r="O2786">
            <v>0</v>
          </cell>
        </row>
        <row r="2787">
          <cell r="A2787" t="str">
            <v>Japan - GECCFINSURANCE LOSSES AND BENEFITS</v>
          </cell>
          <cell r="B2787">
            <v>0</v>
          </cell>
          <cell r="C2787">
            <v>0</v>
          </cell>
          <cell r="D2787">
            <v>0</v>
          </cell>
          <cell r="E2787">
            <v>0</v>
          </cell>
          <cell r="F2787">
            <v>0</v>
          </cell>
          <cell r="G2787">
            <v>0</v>
          </cell>
          <cell r="H2787">
            <v>0</v>
          </cell>
          <cell r="I2787">
            <v>0</v>
          </cell>
          <cell r="J2787">
            <v>0</v>
          </cell>
          <cell r="K2787">
            <v>0</v>
          </cell>
          <cell r="L2787">
            <v>0</v>
          </cell>
          <cell r="M2787">
            <v>0</v>
          </cell>
          <cell r="N2787">
            <v>0</v>
          </cell>
          <cell r="O2787">
            <v>0</v>
          </cell>
        </row>
        <row r="2788">
          <cell r="A2788" t="str">
            <v>Japan - GECCFWRITE OFFS</v>
          </cell>
          <cell r="B2788">
            <v>13872323.1</v>
          </cell>
          <cell r="C2788">
            <v>9492769.7100000009</v>
          </cell>
          <cell r="D2788">
            <v>-2823741.82</v>
          </cell>
          <cell r="E2788">
            <v>18548468.949999999</v>
          </cell>
          <cell r="F2788">
            <v>39089819.939999998</v>
          </cell>
          <cell r="G2788">
            <v>9783430.1627900004</v>
          </cell>
          <cell r="H2788">
            <v>13079529.567718999</v>
          </cell>
          <cell r="I2788">
            <v>6964295.4445240004</v>
          </cell>
          <cell r="J2788">
            <v>16353032.726731</v>
          </cell>
          <cell r="K2788">
            <v>46180287.901763</v>
          </cell>
          <cell r="L2788">
            <v>4831080.79</v>
          </cell>
          <cell r="M2788">
            <v>54488016.638999999</v>
          </cell>
          <cell r="N2788">
            <v>62587848.633000001</v>
          </cell>
          <cell r="O2788">
            <v>70376506.246999994</v>
          </cell>
        </row>
        <row r="2789">
          <cell r="A2789" t="str">
            <v>Japan - GECCFRESERVE CHANGE</v>
          </cell>
          <cell r="B2789">
            <v>0</v>
          </cell>
          <cell r="C2789">
            <v>0</v>
          </cell>
          <cell r="D2789">
            <v>0</v>
          </cell>
          <cell r="E2789">
            <v>0</v>
          </cell>
          <cell r="F2789">
            <v>0</v>
          </cell>
          <cell r="G2789">
            <v>0</v>
          </cell>
          <cell r="H2789">
            <v>0</v>
          </cell>
          <cell r="I2789">
            <v>0</v>
          </cell>
          <cell r="J2789">
            <v>0</v>
          </cell>
          <cell r="K2789">
            <v>0</v>
          </cell>
          <cell r="L2789">
            <v>0</v>
          </cell>
          <cell r="M2789">
            <v>0</v>
          </cell>
          <cell r="N2789">
            <v>0</v>
          </cell>
          <cell r="O2789">
            <v>0</v>
          </cell>
        </row>
        <row r="2790">
          <cell r="A2790" t="str">
            <v>Japan - GECCFMINORITY INTEREST</v>
          </cell>
          <cell r="B2790">
            <v>0</v>
          </cell>
          <cell r="C2790">
            <v>0</v>
          </cell>
          <cell r="D2790">
            <v>0</v>
          </cell>
          <cell r="E2790">
            <v>0</v>
          </cell>
          <cell r="F2790">
            <v>0</v>
          </cell>
          <cell r="G2790">
            <v>0</v>
          </cell>
          <cell r="H2790">
            <v>0</v>
          </cell>
          <cell r="I2790">
            <v>0</v>
          </cell>
          <cell r="J2790">
            <v>0</v>
          </cell>
          <cell r="K2790">
            <v>0</v>
          </cell>
          <cell r="L2790">
            <v>0</v>
          </cell>
          <cell r="M2790">
            <v>0</v>
          </cell>
          <cell r="N2790">
            <v>0</v>
          </cell>
          <cell r="O2790">
            <v>0</v>
          </cell>
        </row>
        <row r="2791">
          <cell r="A2791" t="str">
            <v>Japan - GECCFINCOME TAXES</v>
          </cell>
          <cell r="B2791">
            <v>5810561.2199999997</v>
          </cell>
          <cell r="C2791">
            <v>4077662.96</v>
          </cell>
          <cell r="D2791">
            <v>8020717.7400000002</v>
          </cell>
          <cell r="E2791">
            <v>2096618.51</v>
          </cell>
          <cell r="F2791">
            <v>20005560.43</v>
          </cell>
          <cell r="G2791">
            <v>5907015.0278550005</v>
          </cell>
          <cell r="H2791">
            <v>4363306.2164639998</v>
          </cell>
          <cell r="I2791">
            <v>7239756.9480600003</v>
          </cell>
          <cell r="J2791">
            <v>1636429.224003</v>
          </cell>
          <cell r="K2791">
            <v>19146507.416382</v>
          </cell>
          <cell r="L2791">
            <v>7775613.1900000004</v>
          </cell>
          <cell r="M2791">
            <v>17484224.234999999</v>
          </cell>
          <cell r="N2791">
            <v>22058299.034000002</v>
          </cell>
          <cell r="O2791">
            <v>26084498.622000001</v>
          </cell>
        </row>
        <row r="2792">
          <cell r="A2792" t="str">
            <v>Japan - GECCFCUMULATIVE TRANSITION ADJUSTMENT</v>
          </cell>
          <cell r="B2792">
            <v>0</v>
          </cell>
          <cell r="C2792">
            <v>0</v>
          </cell>
          <cell r="D2792">
            <v>0</v>
          </cell>
          <cell r="E2792">
            <v>0</v>
          </cell>
          <cell r="F2792">
            <v>0</v>
          </cell>
          <cell r="G2792">
            <v>0</v>
          </cell>
          <cell r="H2792">
            <v>0</v>
          </cell>
          <cell r="I2792">
            <v>0</v>
          </cell>
          <cell r="J2792">
            <v>0</v>
          </cell>
          <cell r="K2792">
            <v>0</v>
          </cell>
          <cell r="L2792">
            <v>0</v>
          </cell>
          <cell r="M2792">
            <v>0</v>
          </cell>
          <cell r="N2792">
            <v>0</v>
          </cell>
          <cell r="O2792">
            <v>0</v>
          </cell>
        </row>
        <row r="2793">
          <cell r="A2793" t="str">
            <v>Japan - GECCFASIA PACIFIC NI DIVIDEND</v>
          </cell>
          <cell r="B2793">
            <v>0</v>
          </cell>
          <cell r="C2793">
            <v>0</v>
          </cell>
          <cell r="D2793">
            <v>0</v>
          </cell>
          <cell r="E2793">
            <v>0</v>
          </cell>
          <cell r="F2793">
            <v>0</v>
          </cell>
          <cell r="G2793">
            <v>0</v>
          </cell>
          <cell r="H2793">
            <v>0</v>
          </cell>
          <cell r="I2793">
            <v>0</v>
          </cell>
          <cell r="J2793">
            <v>0</v>
          </cell>
          <cell r="K2793">
            <v>0</v>
          </cell>
          <cell r="L2793">
            <v>0</v>
          </cell>
          <cell r="M2793">
            <v>0</v>
          </cell>
          <cell r="N2793">
            <v>0</v>
          </cell>
          <cell r="O2793">
            <v>0</v>
          </cell>
        </row>
        <row r="2794">
          <cell r="A2794" t="str">
            <v>Japan - GECCFNet Income</v>
          </cell>
          <cell r="B2794">
            <v>-10569758.720000001</v>
          </cell>
          <cell r="C2794">
            <v>-7288670.8799999999</v>
          </cell>
          <cell r="D2794">
            <v>-14710810.99</v>
          </cell>
          <cell r="E2794">
            <v>-3831862.87</v>
          </cell>
          <cell r="F2794">
            <v>-36401103.460000001</v>
          </cell>
          <cell r="G2794">
            <v>-11302285.73621</v>
          </cell>
          <cell r="H2794">
            <v>-7934625.622498</v>
          </cell>
          <cell r="I2794">
            <v>-13165420.470372001</v>
          </cell>
          <cell r="J2794">
            <v>-2975829.0172689999</v>
          </cell>
          <cell r="K2794">
            <v>-35378160.846349001</v>
          </cell>
          <cell r="L2794">
            <v>-14327224.439999999</v>
          </cell>
          <cell r="M2794">
            <v>-30377822.111217</v>
          </cell>
          <cell r="N2794">
            <v>-39592574.074483</v>
          </cell>
          <cell r="O2794">
            <v>-48668316.436375</v>
          </cell>
        </row>
        <row r="2795">
          <cell r="A2795" t="str">
            <v>Japan - GECCFSubPart F</v>
          </cell>
          <cell r="B2795">
            <v>0</v>
          </cell>
          <cell r="C2795">
            <v>0</v>
          </cell>
          <cell r="D2795">
            <v>0</v>
          </cell>
          <cell r="E2795">
            <v>0</v>
          </cell>
          <cell r="F2795">
            <v>0</v>
          </cell>
          <cell r="G2795">
            <v>0</v>
          </cell>
          <cell r="H2795">
            <v>0</v>
          </cell>
          <cell r="I2795">
            <v>0</v>
          </cell>
          <cell r="J2795">
            <v>0</v>
          </cell>
          <cell r="K2795">
            <v>0</v>
          </cell>
          <cell r="L2795">
            <v>0</v>
          </cell>
          <cell r="M2795">
            <v>0</v>
          </cell>
          <cell r="N2795">
            <v>0</v>
          </cell>
          <cell r="O2795">
            <v>0</v>
          </cell>
        </row>
        <row r="2796">
          <cell r="A2796" t="str">
            <v>Japan - GECCFAssets</v>
          </cell>
          <cell r="B2796">
            <v>1925423121.6099999</v>
          </cell>
          <cell r="C2796">
            <v>1950026227.51</v>
          </cell>
          <cell r="D2796">
            <v>2025585110.47</v>
          </cell>
          <cell r="E2796">
            <v>1958974288.8900001</v>
          </cell>
          <cell r="F2796">
            <v>1958974288.8900001</v>
          </cell>
          <cell r="G2796">
            <v>2077308561.1506801</v>
          </cell>
          <cell r="H2796">
            <v>2138155243.9859099</v>
          </cell>
          <cell r="I2796">
            <v>2161356753.74365</v>
          </cell>
          <cell r="J2796">
            <v>2223541711.7131901</v>
          </cell>
          <cell r="K2796">
            <v>2223541711.7131901</v>
          </cell>
          <cell r="L2796">
            <v>1930544950.45</v>
          </cell>
          <cell r="M2796">
            <v>2346513895.1079998</v>
          </cell>
          <cell r="N2796">
            <v>2612182398.3150001</v>
          </cell>
          <cell r="O2796">
            <v>2908438534.6833301</v>
          </cell>
        </row>
        <row r="2797">
          <cell r="A2797" t="str">
            <v>Japan - GECCFEnding Net Investment (ENI) incl Asia</v>
          </cell>
          <cell r="B2797">
            <v>2105915924.74</v>
          </cell>
          <cell r="C2797">
            <v>2111016459.9200001</v>
          </cell>
          <cell r="D2797">
            <v>2201615590.0599999</v>
          </cell>
          <cell r="E2797">
            <v>2136138644.98</v>
          </cell>
          <cell r="F2797">
            <v>2136138644.98</v>
          </cell>
          <cell r="G2797">
            <v>2261409019.9185901</v>
          </cell>
          <cell r="H2797">
            <v>2326559488.01439</v>
          </cell>
          <cell r="I2797">
            <v>2347228178.4942198</v>
          </cell>
          <cell r="J2797">
            <v>2416654976.8664999</v>
          </cell>
          <cell r="K2797">
            <v>2416654976.8664999</v>
          </cell>
          <cell r="L2797">
            <v>2109681693.0899999</v>
          </cell>
          <cell r="M2797">
            <v>2554731771.8150001</v>
          </cell>
          <cell r="N2797">
            <v>2842345638.0770001</v>
          </cell>
          <cell r="O2797">
            <v>3164238911.9433298</v>
          </cell>
        </row>
        <row r="2798">
          <cell r="A2798" t="str">
            <v>Japan - GECCFANR YTD</v>
          </cell>
          <cell r="B2798">
            <v>1743582980.4549899</v>
          </cell>
          <cell r="C2798">
            <v>1697008000.9133301</v>
          </cell>
          <cell r="D2798">
            <v>1681494118.2550001</v>
          </cell>
          <cell r="E2798">
            <v>1656778940.46</v>
          </cell>
          <cell r="F2798">
            <v>1656778940.46</v>
          </cell>
          <cell r="G2798">
            <v>1588547763.5754399</v>
          </cell>
          <cell r="H2798">
            <v>1611374979.3771</v>
          </cell>
          <cell r="I2798">
            <v>1617219503.5534301</v>
          </cell>
          <cell r="J2798">
            <v>1633464723.60495</v>
          </cell>
          <cell r="K2798">
            <v>1633464723.60495</v>
          </cell>
          <cell r="L2798">
            <v>1526496541.3099999</v>
          </cell>
          <cell r="M2798">
            <v>722333011.2572</v>
          </cell>
          <cell r="N2798">
            <v>788455245.44459999</v>
          </cell>
          <cell r="O2798">
            <v>874035282.41279995</v>
          </cell>
        </row>
        <row r="2799">
          <cell r="A2799" t="str">
            <v>Japan - GECCFASA YTD</v>
          </cell>
          <cell r="B2799">
            <v>1743582980.4549899</v>
          </cell>
          <cell r="C2799">
            <v>1697008000.9133301</v>
          </cell>
          <cell r="D2799">
            <v>1681494118.2550001</v>
          </cell>
          <cell r="E2799">
            <v>1656778940.46</v>
          </cell>
          <cell r="F2799">
            <v>1656778940.46</v>
          </cell>
          <cell r="G2799">
            <v>1588547763.5754399</v>
          </cell>
          <cell r="H2799">
            <v>1611374979.3771</v>
          </cell>
          <cell r="I2799">
            <v>1617219503.5534301</v>
          </cell>
          <cell r="J2799">
            <v>1633464723.60495</v>
          </cell>
          <cell r="K2799">
            <v>1633464723.60495</v>
          </cell>
          <cell r="L2799">
            <v>1526496541.3099999</v>
          </cell>
          <cell r="M2799">
            <v>722333011.2572</v>
          </cell>
          <cell r="N2799">
            <v>788455245.44459999</v>
          </cell>
          <cell r="O2799">
            <v>874035282.41279995</v>
          </cell>
        </row>
        <row r="2800">
          <cell r="A2800" t="str">
            <v>Japan - GECCFANI YTD incl Asia - 5 pt</v>
          </cell>
          <cell r="B2800">
            <v>2241004519.9650002</v>
          </cell>
          <cell r="C2800">
            <v>2197675166.6166601</v>
          </cell>
          <cell r="D2800">
            <v>2198660272.4775</v>
          </cell>
          <cell r="E2800">
            <v>2186155946.9780002</v>
          </cell>
          <cell r="F2800">
            <v>2186155946.9780002</v>
          </cell>
          <cell r="G2800">
            <v>2198773832.4492998</v>
          </cell>
          <cell r="H2800">
            <v>2241369050.9709902</v>
          </cell>
          <cell r="I2800">
            <v>2267833832.8518</v>
          </cell>
          <cell r="J2800">
            <v>2297598061.6547399</v>
          </cell>
          <cell r="K2800">
            <v>2297598061.6547399</v>
          </cell>
          <cell r="L2800">
            <v>2122910169.0350001</v>
          </cell>
          <cell r="M2800">
            <v>971415766.07280004</v>
          </cell>
          <cell r="N2800">
            <v>1079415481.9784</v>
          </cell>
          <cell r="O2800">
            <v>1201316910.00406</v>
          </cell>
        </row>
        <row r="2801">
          <cell r="A2801" t="str">
            <v>Japan - GECCFOff Balance Sheet Assets</v>
          </cell>
          <cell r="B2801">
            <v>0</v>
          </cell>
          <cell r="C2801">
            <v>0</v>
          </cell>
          <cell r="D2801">
            <v>0</v>
          </cell>
          <cell r="E2801">
            <v>0</v>
          </cell>
          <cell r="F2801">
            <v>0</v>
          </cell>
          <cell r="G2801">
            <v>0</v>
          </cell>
          <cell r="H2801">
            <v>0</v>
          </cell>
          <cell r="I2801">
            <v>0</v>
          </cell>
          <cell r="J2801">
            <v>0</v>
          </cell>
          <cell r="K2801">
            <v>0</v>
          </cell>
          <cell r="L2801">
            <v>0</v>
          </cell>
          <cell r="M2801">
            <v>0</v>
          </cell>
          <cell r="N2801">
            <v>0</v>
          </cell>
          <cell r="O2801">
            <v>0</v>
          </cell>
        </row>
        <row r="2802">
          <cell r="A2802" t="str">
            <v>Japan - GECCFJV Receivables</v>
          </cell>
          <cell r="B2802">
            <v>0</v>
          </cell>
          <cell r="C2802">
            <v>0</v>
          </cell>
          <cell r="D2802">
            <v>0</v>
          </cell>
          <cell r="E2802">
            <v>0</v>
          </cell>
          <cell r="F2802">
            <v>0</v>
          </cell>
          <cell r="G2802">
            <v>0</v>
          </cell>
          <cell r="H2802">
            <v>0</v>
          </cell>
          <cell r="I2802">
            <v>0</v>
          </cell>
          <cell r="J2802">
            <v>0</v>
          </cell>
          <cell r="K2802">
            <v>0</v>
          </cell>
          <cell r="L2802">
            <v>0</v>
          </cell>
          <cell r="M2802">
            <v>0</v>
          </cell>
          <cell r="N2802">
            <v>0</v>
          </cell>
          <cell r="O2802">
            <v>0</v>
          </cell>
        </row>
        <row r="2803">
          <cell r="A2803" t="str">
            <v>Japan - GECCF30+ DELINQUENCY $</v>
          </cell>
          <cell r="B2803">
            <v>67760194.640000001</v>
          </cell>
          <cell r="C2803">
            <v>61965255.140000001</v>
          </cell>
          <cell r="D2803">
            <v>58244257.490000002</v>
          </cell>
          <cell r="E2803">
            <v>53563613.359999999</v>
          </cell>
          <cell r="F2803">
            <v>53563613.359999999</v>
          </cell>
          <cell r="G2803">
            <v>60858749.331483997</v>
          </cell>
          <cell r="H2803">
            <v>59361521.829769</v>
          </cell>
          <cell r="I2803">
            <v>60065740.598788001</v>
          </cell>
          <cell r="J2803">
            <v>59264300.951361001</v>
          </cell>
          <cell r="K2803">
            <v>59264300.951361001</v>
          </cell>
          <cell r="L2803">
            <v>59737632.390000001</v>
          </cell>
          <cell r="M2803">
            <v>64636863.336727999</v>
          </cell>
          <cell r="N2803">
            <v>69316837.370360002</v>
          </cell>
          <cell r="O2803">
            <v>75272989.707141995</v>
          </cell>
        </row>
        <row r="2804">
          <cell r="A2804" t="str">
            <v>Japan - GECCF90+ DELINQUENCY $</v>
          </cell>
          <cell r="B2804">
            <v>44884263.439999998</v>
          </cell>
          <cell r="C2804">
            <v>41708648.479999997</v>
          </cell>
          <cell r="D2804">
            <v>37727585.5</v>
          </cell>
          <cell r="E2804">
            <v>36764801.969999999</v>
          </cell>
          <cell r="F2804">
            <v>36764801.969999999</v>
          </cell>
          <cell r="G2804">
            <v>38912770.021224</v>
          </cell>
          <cell r="H2804">
            <v>39964237.850069001</v>
          </cell>
          <cell r="I2804">
            <v>38449429.981045999</v>
          </cell>
          <cell r="J2804">
            <v>40373030.775914997</v>
          </cell>
          <cell r="K2804">
            <v>40373030.775914997</v>
          </cell>
          <cell r="L2804">
            <v>36593209.369999997</v>
          </cell>
          <cell r="M2804">
            <v>42114255.275096998</v>
          </cell>
          <cell r="N2804">
            <v>44975344.596649997</v>
          </cell>
          <cell r="O2804">
            <v>48737996.948729999</v>
          </cell>
        </row>
        <row r="2805">
          <cell r="A2805" t="str">
            <v>Japan - GECCFTemporary Staff</v>
          </cell>
          <cell r="B2805">
            <v>0</v>
          </cell>
          <cell r="C2805">
            <v>107.3</v>
          </cell>
          <cell r="D2805">
            <v>104</v>
          </cell>
          <cell r="E2805">
            <v>135.25</v>
          </cell>
          <cell r="F2805">
            <v>135.25</v>
          </cell>
          <cell r="G2805">
            <v>165</v>
          </cell>
          <cell r="H2805">
            <v>165</v>
          </cell>
          <cell r="I2805">
            <v>165</v>
          </cell>
          <cell r="J2805">
            <v>165</v>
          </cell>
          <cell r="K2805">
            <v>165</v>
          </cell>
          <cell r="L2805">
            <v>160.94999999999999</v>
          </cell>
          <cell r="M2805">
            <v>113.131922</v>
          </cell>
          <cell r="N2805">
            <v>122.370997</v>
          </cell>
          <cell r="O2805">
            <v>132.04107099999999</v>
          </cell>
        </row>
        <row r="2806">
          <cell r="A2806" t="str">
            <v>Japan - GECCFContractors</v>
          </cell>
          <cell r="B2806">
            <v>0</v>
          </cell>
          <cell r="C2806">
            <v>21</v>
          </cell>
          <cell r="D2806">
            <v>25</v>
          </cell>
          <cell r="E2806">
            <v>27</v>
          </cell>
          <cell r="F2806">
            <v>27</v>
          </cell>
          <cell r="G2806">
            <v>17.899999999999999</v>
          </cell>
          <cell r="H2806">
            <v>26.5</v>
          </cell>
          <cell r="I2806">
            <v>26.8</v>
          </cell>
          <cell r="J2806">
            <v>17</v>
          </cell>
          <cell r="K2806">
            <v>17</v>
          </cell>
          <cell r="L2806">
            <v>170.25</v>
          </cell>
          <cell r="M2806">
            <v>15</v>
          </cell>
          <cell r="N2806">
            <v>15</v>
          </cell>
          <cell r="O2806">
            <v>15</v>
          </cell>
        </row>
        <row r="2807">
          <cell r="A2807" t="str">
            <v>Japan - GECCFOutsourced to LCC</v>
          </cell>
          <cell r="B2807">
            <v>0</v>
          </cell>
          <cell r="C2807">
            <v>0</v>
          </cell>
          <cell r="D2807">
            <v>0</v>
          </cell>
          <cell r="E2807">
            <v>0</v>
          </cell>
          <cell r="F2807">
            <v>0</v>
          </cell>
          <cell r="G2807">
            <v>19.7</v>
          </cell>
          <cell r="H2807">
            <v>30.7</v>
          </cell>
          <cell r="I2807">
            <v>36.299999999999997</v>
          </cell>
          <cell r="J2807">
            <v>29.3</v>
          </cell>
          <cell r="K2807">
            <v>29.3</v>
          </cell>
          <cell r="L2807">
            <v>19</v>
          </cell>
          <cell r="M2807">
            <v>80</v>
          </cell>
          <cell r="N2807">
            <v>120</v>
          </cell>
          <cell r="O2807">
            <v>160</v>
          </cell>
        </row>
        <row r="2808">
          <cell r="A2808" t="str">
            <v>Japan - GECCFTotal Headcount</v>
          </cell>
          <cell r="B2808">
            <v>609.5</v>
          </cell>
          <cell r="C2808">
            <v>573.5</v>
          </cell>
          <cell r="D2808">
            <v>580</v>
          </cell>
          <cell r="E2808">
            <v>587</v>
          </cell>
          <cell r="F2808">
            <v>587</v>
          </cell>
          <cell r="G2808">
            <v>619</v>
          </cell>
          <cell r="H2808">
            <v>635</v>
          </cell>
          <cell r="I2808">
            <v>645</v>
          </cell>
          <cell r="J2808">
            <v>661</v>
          </cell>
          <cell r="K2808">
            <v>661</v>
          </cell>
          <cell r="L2808">
            <v>573</v>
          </cell>
          <cell r="M2808">
            <v>533</v>
          </cell>
          <cell r="N2808">
            <v>493</v>
          </cell>
          <cell r="O2808">
            <v>453</v>
          </cell>
        </row>
        <row r="2809">
          <cell r="A2809" t="str">
            <v>Japan - GECCFTotal Workforce</v>
          </cell>
          <cell r="B2809">
            <v>609.5</v>
          </cell>
          <cell r="C2809">
            <v>701.8</v>
          </cell>
          <cell r="D2809">
            <v>709</v>
          </cell>
          <cell r="E2809">
            <v>749.25</v>
          </cell>
          <cell r="F2809">
            <v>749.25</v>
          </cell>
          <cell r="G2809">
            <v>821.6</v>
          </cell>
          <cell r="H2809">
            <v>857.2</v>
          </cell>
          <cell r="I2809">
            <v>873.1</v>
          </cell>
          <cell r="J2809">
            <v>872.3</v>
          </cell>
          <cell r="K2809">
            <v>872.3</v>
          </cell>
          <cell r="L2809">
            <v>923.2</v>
          </cell>
          <cell r="M2809">
            <v>741.13192200000003</v>
          </cell>
          <cell r="N2809">
            <v>750.37099699999999</v>
          </cell>
          <cell r="O2809">
            <v>760.04107099999999</v>
          </cell>
        </row>
        <row r="2810">
          <cell r="A2810" t="str">
            <v>Japan - GECCFTotal Earned Revenue</v>
          </cell>
          <cell r="B2810">
            <v>-58525689.920000002</v>
          </cell>
          <cell r="C2810">
            <v>-49566541.640000001</v>
          </cell>
          <cell r="D2810">
            <v>-45148056.859999999</v>
          </cell>
          <cell r="E2810">
            <v>-50504313.329999998</v>
          </cell>
          <cell r="F2810">
            <v>-203744601.75</v>
          </cell>
          <cell r="G2810">
            <v>-51261396.751698002</v>
          </cell>
          <cell r="H2810">
            <v>-51086222.140207998</v>
          </cell>
          <cell r="I2810">
            <v>-53549018.864286996</v>
          </cell>
          <cell r="J2810">
            <v>-51988794.468975998</v>
          </cell>
          <cell r="K2810">
            <v>-207885432.225169</v>
          </cell>
          <cell r="L2810">
            <v>-47684471.68</v>
          </cell>
          <cell r="M2810">
            <v>-224954517.05921701</v>
          </cell>
          <cell r="N2810">
            <v>-241886088.047483</v>
          </cell>
          <cell r="O2810">
            <v>-254494793.889375</v>
          </cell>
        </row>
        <row r="2811">
          <cell r="A2811" t="str">
            <v>Japan - GECCFOrdinary Gains - PreTax</v>
          </cell>
          <cell r="B2811">
            <v>0</v>
          </cell>
          <cell r="C2811">
            <v>0</v>
          </cell>
          <cell r="D2811">
            <v>0</v>
          </cell>
          <cell r="E2811">
            <v>0</v>
          </cell>
          <cell r="F2811">
            <v>0</v>
          </cell>
          <cell r="G2811">
            <v>0</v>
          </cell>
          <cell r="H2811">
            <v>0</v>
          </cell>
          <cell r="I2811">
            <v>0</v>
          </cell>
          <cell r="J2811">
            <v>0</v>
          </cell>
          <cell r="K2811">
            <v>0</v>
          </cell>
          <cell r="L2811">
            <v>0</v>
          </cell>
          <cell r="M2811">
            <v>0</v>
          </cell>
          <cell r="N2811">
            <v>0</v>
          </cell>
          <cell r="O2811">
            <v>0</v>
          </cell>
        </row>
        <row r="2812">
          <cell r="A2812" t="str">
            <v>Japan - GECCFOrdinary Gains - AfterTax</v>
          </cell>
          <cell r="B2812">
            <v>0</v>
          </cell>
          <cell r="C2812">
            <v>0</v>
          </cell>
          <cell r="D2812">
            <v>0</v>
          </cell>
          <cell r="E2812">
            <v>0</v>
          </cell>
          <cell r="F2812">
            <v>0</v>
          </cell>
          <cell r="G2812">
            <v>0</v>
          </cell>
          <cell r="H2812">
            <v>0</v>
          </cell>
          <cell r="I2812">
            <v>0</v>
          </cell>
          <cell r="J2812">
            <v>0</v>
          </cell>
          <cell r="K2812">
            <v>0</v>
          </cell>
          <cell r="L2812">
            <v>0</v>
          </cell>
          <cell r="M2812">
            <v>0</v>
          </cell>
          <cell r="N2812">
            <v>0</v>
          </cell>
          <cell r="O2812">
            <v>0</v>
          </cell>
        </row>
        <row r="2813">
          <cell r="A2813" t="str">
            <v>Japan - GECCFTotal Volume</v>
          </cell>
          <cell r="B2813">
            <v>250285635.37</v>
          </cell>
          <cell r="C2813">
            <v>258318748.41999999</v>
          </cell>
          <cell r="D2813">
            <v>268689543.73000002</v>
          </cell>
          <cell r="E2813">
            <v>324816673.63999999</v>
          </cell>
          <cell r="F2813">
            <v>1102110601.1600001</v>
          </cell>
          <cell r="G2813">
            <v>282061197.64608598</v>
          </cell>
          <cell r="H2813">
            <v>313971492.51724702</v>
          </cell>
          <cell r="I2813">
            <v>304732474.70508599</v>
          </cell>
          <cell r="J2813">
            <v>353145143.99768698</v>
          </cell>
          <cell r="K2813">
            <v>1253910308.8661001</v>
          </cell>
          <cell r="L2813">
            <v>256179402.69999999</v>
          </cell>
          <cell r="M2813">
            <v>1424621816</v>
          </cell>
          <cell r="N2813">
            <v>1701992271</v>
          </cell>
          <cell r="O2813">
            <v>2013342866</v>
          </cell>
        </row>
        <row r="2814">
          <cell r="A2814" t="str">
            <v>Japan - GECCFTOTAL # ACTIVE ACCOUNTS</v>
          </cell>
          <cell r="B2814">
            <v>866003</v>
          </cell>
          <cell r="C2814">
            <v>868255</v>
          </cell>
          <cell r="D2814">
            <v>870530.78</v>
          </cell>
          <cell r="E2814">
            <v>879105</v>
          </cell>
          <cell r="F2814">
            <v>879105</v>
          </cell>
          <cell r="G2814">
            <v>888196</v>
          </cell>
          <cell r="H2814">
            <v>896864</v>
          </cell>
          <cell r="I2814">
            <v>918264</v>
          </cell>
          <cell r="J2814">
            <v>937825</v>
          </cell>
          <cell r="K2814">
            <v>937825</v>
          </cell>
          <cell r="L2814">
            <v>0</v>
          </cell>
          <cell r="M2814">
            <v>916238</v>
          </cell>
          <cell r="N2814">
            <v>1038278</v>
          </cell>
          <cell r="O2814">
            <v>1176994</v>
          </cell>
        </row>
        <row r="2815">
          <cell r="A2815" t="str">
            <v>KoreaTOTAL FINANCING RECEIVABLES</v>
          </cell>
          <cell r="B2815">
            <v>58755842.729999997</v>
          </cell>
          <cell r="C2815">
            <v>73573933.120000005</v>
          </cell>
          <cell r="D2815">
            <v>82324892.890000001</v>
          </cell>
          <cell r="E2815">
            <v>116850093.09999999</v>
          </cell>
          <cell r="F2815">
            <v>116850093.09999999</v>
          </cell>
          <cell r="G2815">
            <v>156145659.46782699</v>
          </cell>
          <cell r="H2815">
            <v>206946264.90915999</v>
          </cell>
          <cell r="I2815">
            <v>256002116.938683</v>
          </cell>
          <cell r="J2815">
            <v>295703281.739591</v>
          </cell>
          <cell r="K2815">
            <v>295703281.739591</v>
          </cell>
          <cell r="L2815">
            <v>139269612.02000001</v>
          </cell>
          <cell r="M2815">
            <v>196023822.06461501</v>
          </cell>
          <cell r="N2815">
            <v>398764339.21153802</v>
          </cell>
          <cell r="O2815">
            <v>573555181.32538497</v>
          </cell>
        </row>
        <row r="2816">
          <cell r="A2816" t="str">
            <v>KoreaRECEIVABLE RESERVES</v>
          </cell>
          <cell r="B2816">
            <v>-1177853.07</v>
          </cell>
          <cell r="C2816">
            <v>-1478520.73</v>
          </cell>
          <cell r="D2816">
            <v>-1644360.24</v>
          </cell>
          <cell r="E2816">
            <v>-2323060.58</v>
          </cell>
          <cell r="F2816">
            <v>-2323060.58</v>
          </cell>
          <cell r="G2816">
            <v>-3366333.7153670001</v>
          </cell>
          <cell r="H2816">
            <v>-4619430.925814</v>
          </cell>
          <cell r="I2816">
            <v>-5842486.6366389999</v>
          </cell>
          <cell r="J2816">
            <v>-6896172.8872069996</v>
          </cell>
          <cell r="K2816">
            <v>-6896172.8872069996</v>
          </cell>
          <cell r="L2816">
            <v>-2756284.46</v>
          </cell>
          <cell r="M2816">
            <v>-3920476.4412850002</v>
          </cell>
          <cell r="N2816">
            <v>-5975286.7842229996</v>
          </cell>
          <cell r="O2816">
            <v>-8871103.6265229993</v>
          </cell>
        </row>
        <row r="2817">
          <cell r="A2817" t="str">
            <v>KoreaCASH</v>
          </cell>
          <cell r="B2817">
            <v>5186475.5999999996</v>
          </cell>
          <cell r="C2817">
            <v>4394229.82</v>
          </cell>
          <cell r="D2817">
            <v>1715655.84</v>
          </cell>
          <cell r="E2817">
            <v>352546.55</v>
          </cell>
          <cell r="F2817">
            <v>352546.55</v>
          </cell>
          <cell r="G2817">
            <v>2887546</v>
          </cell>
          <cell r="H2817">
            <v>2887546</v>
          </cell>
          <cell r="I2817">
            <v>2887546</v>
          </cell>
          <cell r="J2817">
            <v>2887546</v>
          </cell>
          <cell r="K2817">
            <v>2887546</v>
          </cell>
          <cell r="L2817">
            <v>4480597.3499999996</v>
          </cell>
          <cell r="M2817">
            <v>2500000</v>
          </cell>
          <cell r="N2817">
            <v>2500000</v>
          </cell>
          <cell r="O2817">
            <v>2500000</v>
          </cell>
        </row>
        <row r="2818">
          <cell r="A2818" t="str">
            <v>KoreaINVESTMENT SECURITIES</v>
          </cell>
          <cell r="B2818">
            <v>27374.95</v>
          </cell>
          <cell r="C2818">
            <v>27322.2</v>
          </cell>
          <cell r="D2818">
            <v>27237.48</v>
          </cell>
          <cell r="E2818">
            <v>27668.14</v>
          </cell>
          <cell r="F2818">
            <v>27668.14</v>
          </cell>
          <cell r="G2818">
            <v>0</v>
          </cell>
          <cell r="H2818">
            <v>0</v>
          </cell>
          <cell r="I2818">
            <v>0</v>
          </cell>
          <cell r="J2818">
            <v>0</v>
          </cell>
          <cell r="K2818">
            <v>0</v>
          </cell>
          <cell r="L2818">
            <v>0</v>
          </cell>
          <cell r="M2818">
            <v>0</v>
          </cell>
          <cell r="N2818">
            <v>0</v>
          </cell>
          <cell r="O2818">
            <v>0</v>
          </cell>
        </row>
        <row r="2819">
          <cell r="A2819" t="str">
            <v>KoreaINV IN NON CONSOL AFFILIATES</v>
          </cell>
          <cell r="B2819">
            <v>0</v>
          </cell>
          <cell r="C2819">
            <v>0</v>
          </cell>
          <cell r="D2819">
            <v>0</v>
          </cell>
          <cell r="E2819">
            <v>0</v>
          </cell>
          <cell r="F2819">
            <v>0</v>
          </cell>
          <cell r="G2819">
            <v>0</v>
          </cell>
          <cell r="H2819">
            <v>0</v>
          </cell>
          <cell r="I2819">
            <v>0</v>
          </cell>
          <cell r="J2819">
            <v>0</v>
          </cell>
          <cell r="K2819">
            <v>0</v>
          </cell>
          <cell r="L2819">
            <v>0</v>
          </cell>
          <cell r="M2819">
            <v>0</v>
          </cell>
          <cell r="N2819">
            <v>0</v>
          </cell>
          <cell r="O2819">
            <v>0</v>
          </cell>
        </row>
        <row r="2820">
          <cell r="A2820" t="str">
            <v>KoreaINVESTMENT IN JOINT VENTURE</v>
          </cell>
          <cell r="B2820">
            <v>0</v>
          </cell>
          <cell r="C2820">
            <v>0</v>
          </cell>
          <cell r="D2820">
            <v>0</v>
          </cell>
          <cell r="E2820">
            <v>0</v>
          </cell>
          <cell r="F2820">
            <v>0</v>
          </cell>
          <cell r="G2820">
            <v>0</v>
          </cell>
          <cell r="H2820">
            <v>0</v>
          </cell>
          <cell r="I2820">
            <v>0</v>
          </cell>
          <cell r="J2820">
            <v>0</v>
          </cell>
          <cell r="K2820">
            <v>0</v>
          </cell>
          <cell r="L2820">
            <v>0</v>
          </cell>
          <cell r="M2820">
            <v>0</v>
          </cell>
          <cell r="N2820">
            <v>0</v>
          </cell>
          <cell r="O2820">
            <v>0</v>
          </cell>
        </row>
        <row r="2821">
          <cell r="A2821" t="str">
            <v>KoreaALL OTHER RECEIVABLES (NON-FINANCING)</v>
          </cell>
          <cell r="B2821">
            <v>4570263.5199999996</v>
          </cell>
          <cell r="C2821">
            <v>3869973.24</v>
          </cell>
          <cell r="D2821">
            <v>5653899.4500000002</v>
          </cell>
          <cell r="E2821">
            <v>5632824.0899999999</v>
          </cell>
          <cell r="F2821">
            <v>5632824.0899999999</v>
          </cell>
          <cell r="G2821">
            <v>861825.67978799995</v>
          </cell>
          <cell r="H2821">
            <v>861825.67978799995</v>
          </cell>
          <cell r="I2821">
            <v>861825.67978799995</v>
          </cell>
          <cell r="J2821">
            <v>861825.67978799995</v>
          </cell>
          <cell r="K2821">
            <v>861825.67978799995</v>
          </cell>
          <cell r="L2821">
            <v>5055386.5599999996</v>
          </cell>
          <cell r="M2821">
            <v>4530000</v>
          </cell>
          <cell r="N2821">
            <v>4530000</v>
          </cell>
          <cell r="O2821">
            <v>4530000</v>
          </cell>
        </row>
        <row r="2822">
          <cell r="A2822" t="str">
            <v>KoreaELTO (NET)</v>
          </cell>
          <cell r="B2822">
            <v>0</v>
          </cell>
          <cell r="C2822">
            <v>0</v>
          </cell>
          <cell r="D2822">
            <v>0</v>
          </cell>
          <cell r="E2822">
            <v>0</v>
          </cell>
          <cell r="F2822">
            <v>0</v>
          </cell>
          <cell r="G2822">
            <v>0</v>
          </cell>
          <cell r="H2822">
            <v>0</v>
          </cell>
          <cell r="I2822">
            <v>0</v>
          </cell>
          <cell r="J2822">
            <v>0</v>
          </cell>
          <cell r="K2822">
            <v>0</v>
          </cell>
          <cell r="L2822">
            <v>0</v>
          </cell>
          <cell r="M2822">
            <v>0</v>
          </cell>
          <cell r="N2822">
            <v>0</v>
          </cell>
          <cell r="O2822">
            <v>0</v>
          </cell>
        </row>
        <row r="2823">
          <cell r="A2823" t="str">
            <v>KoreaGOODWILL</v>
          </cell>
          <cell r="B2823">
            <v>1683361.95</v>
          </cell>
          <cell r="C2823">
            <v>1624114.17</v>
          </cell>
          <cell r="D2823">
            <v>1544637.79</v>
          </cell>
          <cell r="E2823">
            <v>1512347.48</v>
          </cell>
          <cell r="F2823">
            <v>1512347.48</v>
          </cell>
          <cell r="G2823">
            <v>1500000</v>
          </cell>
          <cell r="H2823">
            <v>1500000</v>
          </cell>
          <cell r="I2823">
            <v>1500000</v>
          </cell>
          <cell r="J2823">
            <v>1500000</v>
          </cell>
          <cell r="K2823">
            <v>1500000</v>
          </cell>
          <cell r="L2823">
            <v>1469764.52</v>
          </cell>
          <cell r="M2823">
            <v>1261600.937069</v>
          </cell>
          <cell r="N2823">
            <v>1038965.527838</v>
          </cell>
          <cell r="O2823">
            <v>816330.11860799999</v>
          </cell>
        </row>
        <row r="2824">
          <cell r="A2824" t="str">
            <v>KoreaOTHER ASSETS</v>
          </cell>
          <cell r="B2824">
            <v>4770390.5199999996</v>
          </cell>
          <cell r="C2824">
            <v>3941282.39</v>
          </cell>
          <cell r="D2824">
            <v>2591031.3199999998</v>
          </cell>
          <cell r="E2824">
            <v>532414.80000000005</v>
          </cell>
          <cell r="F2824">
            <v>532414.80000000005</v>
          </cell>
          <cell r="G2824">
            <v>2833978</v>
          </cell>
          <cell r="H2824">
            <v>2833978</v>
          </cell>
          <cell r="I2824">
            <v>2833978</v>
          </cell>
          <cell r="J2824">
            <v>2833978</v>
          </cell>
          <cell r="K2824">
            <v>2833978</v>
          </cell>
          <cell r="L2824">
            <v>835884.59</v>
          </cell>
          <cell r="M2824">
            <v>0</v>
          </cell>
          <cell r="N2824">
            <v>0</v>
          </cell>
          <cell r="O2824">
            <v>0</v>
          </cell>
        </row>
        <row r="2825">
          <cell r="A2825" t="str">
            <v>KoreaACCOUNTS PAYABLE</v>
          </cell>
          <cell r="B2825">
            <v>-2135659.3199999998</v>
          </cell>
          <cell r="C2825">
            <v>-2173583.2000000002</v>
          </cell>
          <cell r="D2825">
            <v>-2293498.37</v>
          </cell>
          <cell r="E2825">
            <v>-4909716.9400000004</v>
          </cell>
          <cell r="F2825">
            <v>-4909716.9400000004</v>
          </cell>
          <cell r="G2825">
            <v>-2165123</v>
          </cell>
          <cell r="H2825">
            <v>-2165123</v>
          </cell>
          <cell r="I2825">
            <v>-2165123</v>
          </cell>
          <cell r="J2825">
            <v>-2165123</v>
          </cell>
          <cell r="K2825">
            <v>-2165123</v>
          </cell>
          <cell r="L2825">
            <v>-4233818.63</v>
          </cell>
          <cell r="M2825">
            <v>-2400000</v>
          </cell>
          <cell r="N2825">
            <v>-2400000</v>
          </cell>
          <cell r="O2825">
            <v>-2400000</v>
          </cell>
        </row>
        <row r="2826">
          <cell r="A2826" t="str">
            <v>KoreaDEFERRED INCOME TAXES</v>
          </cell>
          <cell r="B2826">
            <v>-996174.56</v>
          </cell>
          <cell r="C2826">
            <v>-1004588.84</v>
          </cell>
          <cell r="D2826">
            <v>-1009503.35</v>
          </cell>
          <cell r="E2826">
            <v>-421812.05</v>
          </cell>
          <cell r="F2826">
            <v>-421812.05</v>
          </cell>
          <cell r="G2826">
            <v>0</v>
          </cell>
          <cell r="H2826">
            <v>0</v>
          </cell>
          <cell r="I2826">
            <v>0</v>
          </cell>
          <cell r="J2826">
            <v>0</v>
          </cell>
          <cell r="K2826">
            <v>0</v>
          </cell>
          <cell r="L2826">
            <v>-101586.07</v>
          </cell>
          <cell r="M2826">
            <v>0</v>
          </cell>
          <cell r="N2826">
            <v>0</v>
          </cell>
          <cell r="O2826">
            <v>0</v>
          </cell>
        </row>
        <row r="2827">
          <cell r="A2827" t="str">
            <v>KoreaWRITE-OFF (MEMO)</v>
          </cell>
          <cell r="B2827">
            <v>-8138.44</v>
          </cell>
          <cell r="C2827">
            <v>186331.02</v>
          </cell>
          <cell r="D2827">
            <v>463101.4</v>
          </cell>
          <cell r="E2827">
            <v>912346.83</v>
          </cell>
          <cell r="F2827">
            <v>912346.83</v>
          </cell>
          <cell r="G2827">
            <v>355683.22785800003</v>
          </cell>
          <cell r="H2827">
            <v>831604.54882699996</v>
          </cell>
          <cell r="I2827">
            <v>1434393.208176</v>
          </cell>
          <cell r="J2827">
            <v>2151538.7464040001</v>
          </cell>
          <cell r="K2827">
            <v>2151538.7464040001</v>
          </cell>
          <cell r="L2827">
            <v>435525.83</v>
          </cell>
          <cell r="M2827">
            <v>451000</v>
          </cell>
          <cell r="N2827">
            <v>1232000</v>
          </cell>
          <cell r="O2827">
            <v>5695000</v>
          </cell>
        </row>
        <row r="2828">
          <cell r="A2828" t="str">
            <v>KoreaINSURANCE RESERVES AND ANNUITY BENEFITS</v>
          </cell>
          <cell r="B2828">
            <v>0</v>
          </cell>
          <cell r="C2828">
            <v>0</v>
          </cell>
          <cell r="D2828">
            <v>0</v>
          </cell>
          <cell r="E2828">
            <v>0</v>
          </cell>
          <cell r="F2828">
            <v>0</v>
          </cell>
          <cell r="G2828">
            <v>0</v>
          </cell>
          <cell r="H2828">
            <v>0</v>
          </cell>
          <cell r="I2828">
            <v>0</v>
          </cell>
          <cell r="J2828">
            <v>0</v>
          </cell>
          <cell r="K2828">
            <v>0</v>
          </cell>
          <cell r="L2828">
            <v>0</v>
          </cell>
          <cell r="M2828">
            <v>0</v>
          </cell>
          <cell r="N2828">
            <v>0</v>
          </cell>
          <cell r="O2828">
            <v>0</v>
          </cell>
        </row>
        <row r="2829">
          <cell r="A2829" t="str">
            <v>KoreaALL OTHER NON DEBT LIABILITIES</v>
          </cell>
          <cell r="B2829">
            <v>-2018333.12</v>
          </cell>
          <cell r="C2829">
            <v>-2685134.14</v>
          </cell>
          <cell r="D2829">
            <v>-2509465.61</v>
          </cell>
          <cell r="E2829">
            <v>-3364181.96</v>
          </cell>
          <cell r="F2829">
            <v>-3364181.96</v>
          </cell>
          <cell r="G2829">
            <v>-2465924</v>
          </cell>
          <cell r="H2829">
            <v>-2465924</v>
          </cell>
          <cell r="I2829">
            <v>-2465924</v>
          </cell>
          <cell r="J2829">
            <v>-2465924</v>
          </cell>
          <cell r="K2829">
            <v>-2465924</v>
          </cell>
          <cell r="L2829">
            <v>-3573304.85</v>
          </cell>
          <cell r="M2829">
            <v>-4300000</v>
          </cell>
          <cell r="N2829">
            <v>-4300000</v>
          </cell>
          <cell r="O2829">
            <v>-4300000</v>
          </cell>
        </row>
        <row r="2830">
          <cell r="A2830" t="str">
            <v>KoreaMINORITY INTEREST (BS)</v>
          </cell>
          <cell r="B2830">
            <v>0</v>
          </cell>
          <cell r="C2830">
            <v>0</v>
          </cell>
          <cell r="D2830">
            <v>0</v>
          </cell>
          <cell r="E2830">
            <v>0</v>
          </cell>
          <cell r="F2830">
            <v>0</v>
          </cell>
          <cell r="G2830">
            <v>0</v>
          </cell>
          <cell r="H2830">
            <v>0</v>
          </cell>
          <cell r="I2830">
            <v>0</v>
          </cell>
          <cell r="J2830">
            <v>0</v>
          </cell>
          <cell r="K2830">
            <v>0</v>
          </cell>
          <cell r="L2830">
            <v>0</v>
          </cell>
          <cell r="M2830">
            <v>0</v>
          </cell>
          <cell r="N2830">
            <v>0</v>
          </cell>
          <cell r="O2830">
            <v>0</v>
          </cell>
        </row>
        <row r="2831">
          <cell r="A2831" t="str">
            <v>KoreaASIA PACIFIC ENI DIVIDEND</v>
          </cell>
          <cell r="B2831">
            <v>0</v>
          </cell>
          <cell r="C2831">
            <v>0</v>
          </cell>
          <cell r="D2831">
            <v>0</v>
          </cell>
          <cell r="E2831">
            <v>0</v>
          </cell>
          <cell r="F2831">
            <v>0</v>
          </cell>
          <cell r="G2831">
            <v>0</v>
          </cell>
          <cell r="H2831">
            <v>0</v>
          </cell>
          <cell r="I2831">
            <v>0</v>
          </cell>
          <cell r="J2831">
            <v>0</v>
          </cell>
          <cell r="K2831">
            <v>0</v>
          </cell>
          <cell r="L2831">
            <v>0</v>
          </cell>
          <cell r="M2831">
            <v>0</v>
          </cell>
          <cell r="N2831">
            <v>0</v>
          </cell>
          <cell r="O2831">
            <v>0</v>
          </cell>
        </row>
        <row r="2832">
          <cell r="A2832" t="str">
            <v>KoreaFINANCING INCOME</v>
          </cell>
          <cell r="B2832">
            <v>-1616809.19</v>
          </cell>
          <cell r="C2832">
            <v>-2531219.34</v>
          </cell>
          <cell r="D2832">
            <v>-3297705.68</v>
          </cell>
          <cell r="E2832">
            <v>-2653710.5699999998</v>
          </cell>
          <cell r="F2832">
            <v>-10099444.779999999</v>
          </cell>
          <cell r="G2832">
            <v>-4102983.9243000001</v>
          </cell>
          <cell r="H2832">
            <v>-5392987.3081</v>
          </cell>
          <cell r="I2832">
            <v>-6877459.6389100002</v>
          </cell>
          <cell r="J2832">
            <v>-8150807.5639669998</v>
          </cell>
          <cell r="K2832">
            <v>-24524238.435277</v>
          </cell>
          <cell r="L2832">
            <v>-3884819.41</v>
          </cell>
          <cell r="M2832">
            <v>-19533380.050769001</v>
          </cell>
          <cell r="N2832">
            <v>-44506920.074615002</v>
          </cell>
          <cell r="O2832">
            <v>-71151568.231537998</v>
          </cell>
        </row>
        <row r="2833">
          <cell r="A2833" t="str">
            <v>KoreaINSURANCE PREMIUM INCOME</v>
          </cell>
          <cell r="B2833">
            <v>0</v>
          </cell>
          <cell r="C2833">
            <v>0</v>
          </cell>
          <cell r="D2833">
            <v>0</v>
          </cell>
          <cell r="E2833">
            <v>0</v>
          </cell>
          <cell r="F2833">
            <v>0</v>
          </cell>
          <cell r="G2833">
            <v>0</v>
          </cell>
          <cell r="H2833">
            <v>0</v>
          </cell>
          <cell r="I2833">
            <v>0</v>
          </cell>
          <cell r="J2833">
            <v>0</v>
          </cell>
          <cell r="K2833">
            <v>0</v>
          </cell>
          <cell r="L2833">
            <v>0</v>
          </cell>
          <cell r="M2833">
            <v>0</v>
          </cell>
          <cell r="N2833">
            <v>0</v>
          </cell>
          <cell r="O2833">
            <v>0</v>
          </cell>
        </row>
        <row r="2834">
          <cell r="A2834" t="str">
            <v>KoreaINSURANCE INCOME (COMMISSIONS)</v>
          </cell>
          <cell r="B2834">
            <v>0</v>
          </cell>
          <cell r="C2834">
            <v>0</v>
          </cell>
          <cell r="D2834">
            <v>0</v>
          </cell>
          <cell r="E2834">
            <v>0</v>
          </cell>
          <cell r="F2834">
            <v>0</v>
          </cell>
          <cell r="G2834">
            <v>0</v>
          </cell>
          <cell r="H2834">
            <v>0</v>
          </cell>
          <cell r="I2834">
            <v>0</v>
          </cell>
          <cell r="J2834">
            <v>0</v>
          </cell>
          <cell r="K2834">
            <v>0</v>
          </cell>
          <cell r="L2834">
            <v>-8158.98</v>
          </cell>
          <cell r="M2834">
            <v>0</v>
          </cell>
          <cell r="N2834">
            <v>0</v>
          </cell>
          <cell r="O2834">
            <v>0</v>
          </cell>
        </row>
        <row r="2835">
          <cell r="A2835" t="str">
            <v>KoreaSUNDRY INCOME</v>
          </cell>
          <cell r="B2835">
            <v>-181849.21</v>
          </cell>
          <cell r="C2835">
            <v>-90022.68</v>
          </cell>
          <cell r="D2835">
            <v>150087.76</v>
          </cell>
          <cell r="E2835">
            <v>78604.28</v>
          </cell>
          <cell r="F2835">
            <v>-43179.85</v>
          </cell>
          <cell r="G2835">
            <v>-62811.029522999997</v>
          </cell>
          <cell r="H2835">
            <v>-62811.029522999997</v>
          </cell>
          <cell r="I2835">
            <v>-62811.029522999997</v>
          </cell>
          <cell r="J2835">
            <v>-62811.029522999997</v>
          </cell>
          <cell r="K2835">
            <v>-251244.11809199999</v>
          </cell>
          <cell r="L2835">
            <v>493627.83</v>
          </cell>
          <cell r="M2835">
            <v>-112500</v>
          </cell>
          <cell r="N2835">
            <v>-112500</v>
          </cell>
          <cell r="O2835">
            <v>-112500</v>
          </cell>
        </row>
        <row r="2836">
          <cell r="A2836" t="str">
            <v>KoreaINTEREST EXPENSE</v>
          </cell>
          <cell r="B2836">
            <v>813183.38</v>
          </cell>
          <cell r="C2836">
            <v>945261.65</v>
          </cell>
          <cell r="D2836">
            <v>1128838.3999999999</v>
          </cell>
          <cell r="E2836">
            <v>263758.63</v>
          </cell>
          <cell r="F2836">
            <v>3151042.06</v>
          </cell>
          <cell r="G2836">
            <v>1666919.8766089999</v>
          </cell>
          <cell r="H2836">
            <v>2376010.8009080002</v>
          </cell>
          <cell r="I2836">
            <v>3058082.8652539998</v>
          </cell>
          <cell r="J2836">
            <v>3705152.1953070001</v>
          </cell>
          <cell r="K2836">
            <v>10806165.738078</v>
          </cell>
          <cell r="L2836">
            <v>878286.75</v>
          </cell>
          <cell r="M2836">
            <v>9532960.8499999996</v>
          </cell>
          <cell r="N2836">
            <v>18509928.536153998</v>
          </cell>
          <cell r="O2836">
            <v>29879630.903076999</v>
          </cell>
        </row>
        <row r="2837">
          <cell r="A2837" t="str">
            <v>KoreaINTEREST EXPENSE REDUCTIONS / BUS SHARING</v>
          </cell>
          <cell r="B2837">
            <v>0</v>
          </cell>
          <cell r="C2837">
            <v>0</v>
          </cell>
          <cell r="D2837">
            <v>0</v>
          </cell>
          <cell r="E2837">
            <v>0</v>
          </cell>
          <cell r="F2837">
            <v>0</v>
          </cell>
          <cell r="G2837">
            <v>0</v>
          </cell>
          <cell r="H2837">
            <v>0</v>
          </cell>
          <cell r="I2837">
            <v>0</v>
          </cell>
          <cell r="J2837">
            <v>0</v>
          </cell>
          <cell r="K2837">
            <v>0</v>
          </cell>
          <cell r="L2837">
            <v>0</v>
          </cell>
          <cell r="M2837">
            <v>0</v>
          </cell>
          <cell r="N2837">
            <v>0</v>
          </cell>
          <cell r="O2837">
            <v>0</v>
          </cell>
        </row>
        <row r="2838">
          <cell r="A2838" t="str">
            <v>KoreaALLOCATED COST OF PREFERRED EQUITY</v>
          </cell>
          <cell r="B2838">
            <v>6653.29</v>
          </cell>
          <cell r="C2838">
            <v>7082.86</v>
          </cell>
          <cell r="D2838">
            <v>6968.99</v>
          </cell>
          <cell r="E2838">
            <v>5033.1000000000004</v>
          </cell>
          <cell r="F2838">
            <v>25738.240000000002</v>
          </cell>
          <cell r="G2838">
            <v>9138.2165029999996</v>
          </cell>
          <cell r="H2838">
            <v>12277.747917999999</v>
          </cell>
          <cell r="I2838">
            <v>15802.273278000001</v>
          </cell>
          <cell r="J2838">
            <v>19145.925057</v>
          </cell>
          <cell r="K2838">
            <v>56364.162755999998</v>
          </cell>
          <cell r="L2838">
            <v>6825.89</v>
          </cell>
          <cell r="M2838">
            <v>0</v>
          </cell>
          <cell r="N2838">
            <v>0</v>
          </cell>
          <cell r="O2838">
            <v>0</v>
          </cell>
        </row>
        <row r="2839">
          <cell r="A2839" t="str">
            <v>KoreaSALARIES &amp; BENEFITS</v>
          </cell>
          <cell r="B2839">
            <v>248517.63</v>
          </cell>
          <cell r="C2839">
            <v>322623.15000000002</v>
          </cell>
          <cell r="D2839">
            <v>433149.97</v>
          </cell>
          <cell r="E2839">
            <v>376866.59</v>
          </cell>
          <cell r="F2839">
            <v>1381157.34</v>
          </cell>
          <cell r="G2839">
            <v>538879.63966800005</v>
          </cell>
          <cell r="H2839">
            <v>630032.02346699999</v>
          </cell>
          <cell r="I2839">
            <v>734058.72445199999</v>
          </cell>
          <cell r="J2839">
            <v>863423.88417900004</v>
          </cell>
          <cell r="K2839">
            <v>2766394.271766</v>
          </cell>
          <cell r="L2839">
            <v>802787.79</v>
          </cell>
          <cell r="M2839">
            <v>2278327.1384620001</v>
          </cell>
          <cell r="N2839">
            <v>3541825.28</v>
          </cell>
          <cell r="O2839">
            <v>5406706.1953849997</v>
          </cell>
        </row>
        <row r="2840">
          <cell r="A2840" t="str">
            <v>KoreaLOSSES ON OTHER ASSETS</v>
          </cell>
          <cell r="B2840">
            <v>0</v>
          </cell>
          <cell r="C2840">
            <v>0</v>
          </cell>
          <cell r="D2840">
            <v>0</v>
          </cell>
          <cell r="E2840">
            <v>0</v>
          </cell>
          <cell r="F2840">
            <v>0</v>
          </cell>
          <cell r="G2840">
            <v>0</v>
          </cell>
          <cell r="H2840">
            <v>0</v>
          </cell>
          <cell r="I2840">
            <v>0</v>
          </cell>
          <cell r="J2840">
            <v>0</v>
          </cell>
          <cell r="K2840">
            <v>0</v>
          </cell>
          <cell r="L2840">
            <v>0</v>
          </cell>
          <cell r="M2840">
            <v>0</v>
          </cell>
          <cell r="N2840">
            <v>0</v>
          </cell>
          <cell r="O2840">
            <v>0</v>
          </cell>
        </row>
        <row r="2841">
          <cell r="A2841" t="str">
            <v>KoreaCOST OF GOODS SOLD</v>
          </cell>
          <cell r="B2841">
            <v>0</v>
          </cell>
          <cell r="C2841">
            <v>0</v>
          </cell>
          <cell r="D2841">
            <v>0</v>
          </cell>
          <cell r="E2841">
            <v>0</v>
          </cell>
          <cell r="F2841">
            <v>0</v>
          </cell>
          <cell r="G2841">
            <v>0</v>
          </cell>
          <cell r="H2841">
            <v>0</v>
          </cell>
          <cell r="I2841">
            <v>0</v>
          </cell>
          <cell r="J2841">
            <v>0</v>
          </cell>
          <cell r="K2841">
            <v>0</v>
          </cell>
          <cell r="L2841">
            <v>0</v>
          </cell>
          <cell r="M2841">
            <v>0</v>
          </cell>
          <cell r="N2841">
            <v>0</v>
          </cell>
          <cell r="O2841">
            <v>0</v>
          </cell>
        </row>
        <row r="2842">
          <cell r="A2842" t="str">
            <v>KoreaCOST OF GOODS SOLD - DISTRIBUTION</v>
          </cell>
          <cell r="B2842">
            <v>0</v>
          </cell>
          <cell r="C2842">
            <v>0</v>
          </cell>
          <cell r="D2842">
            <v>0</v>
          </cell>
          <cell r="E2842">
            <v>0</v>
          </cell>
          <cell r="F2842">
            <v>0</v>
          </cell>
          <cell r="G2842">
            <v>0</v>
          </cell>
          <cell r="H2842">
            <v>0</v>
          </cell>
          <cell r="I2842">
            <v>0</v>
          </cell>
          <cell r="J2842">
            <v>0</v>
          </cell>
          <cell r="K2842">
            <v>0</v>
          </cell>
          <cell r="L2842">
            <v>0</v>
          </cell>
          <cell r="M2842">
            <v>0</v>
          </cell>
          <cell r="N2842">
            <v>0</v>
          </cell>
          <cell r="O2842">
            <v>0</v>
          </cell>
        </row>
        <row r="2843">
          <cell r="A2843" t="str">
            <v>KoreaPOSTAGE</v>
          </cell>
          <cell r="B2843">
            <v>17999.080000000002</v>
          </cell>
          <cell r="C2843">
            <v>18382.900000000001</v>
          </cell>
          <cell r="D2843">
            <v>14069.45</v>
          </cell>
          <cell r="E2843">
            <v>17226.77</v>
          </cell>
          <cell r="F2843">
            <v>67678.2</v>
          </cell>
          <cell r="G2843">
            <v>33620.255109999998</v>
          </cell>
          <cell r="H2843">
            <v>37770.874338000001</v>
          </cell>
          <cell r="I2843">
            <v>40585.950794999997</v>
          </cell>
          <cell r="J2843">
            <v>42441.456471999998</v>
          </cell>
          <cell r="K2843">
            <v>154418.53671499999</v>
          </cell>
          <cell r="L2843">
            <v>15849.67</v>
          </cell>
          <cell r="M2843">
            <v>76940.012308000005</v>
          </cell>
          <cell r="N2843">
            <v>183022.01615400001</v>
          </cell>
          <cell r="O2843">
            <v>352745.28769199998</v>
          </cell>
        </row>
        <row r="2844">
          <cell r="A2844" t="str">
            <v>KoreaTELEPHONE</v>
          </cell>
          <cell r="B2844">
            <v>27577.54</v>
          </cell>
          <cell r="C2844">
            <v>23313.94</v>
          </cell>
          <cell r="D2844">
            <v>26715.38</v>
          </cell>
          <cell r="E2844">
            <v>43991.03</v>
          </cell>
          <cell r="F2844">
            <v>121597.89</v>
          </cell>
          <cell r="G2844">
            <v>39773.952309</v>
          </cell>
          <cell r="H2844">
            <v>44273.897805000001</v>
          </cell>
          <cell r="I2844">
            <v>47794.303558</v>
          </cell>
          <cell r="J2844">
            <v>51021.892505999997</v>
          </cell>
          <cell r="K2844">
            <v>182864.04617799999</v>
          </cell>
          <cell r="L2844">
            <v>42682.03</v>
          </cell>
          <cell r="M2844">
            <v>116825.31538499999</v>
          </cell>
          <cell r="N2844">
            <v>151872.912308</v>
          </cell>
          <cell r="O2844">
            <v>197434.78461500001</v>
          </cell>
        </row>
        <row r="2845">
          <cell r="A2845" t="str">
            <v>KoreaCUSTOMER SERVICE / COLLECTIONS</v>
          </cell>
          <cell r="B2845">
            <v>23243.99</v>
          </cell>
          <cell r="C2845">
            <v>36198.769999999997</v>
          </cell>
          <cell r="D2845">
            <v>13393.85</v>
          </cell>
          <cell r="E2845">
            <v>46251.25</v>
          </cell>
          <cell r="F2845">
            <v>119087.86</v>
          </cell>
          <cell r="G2845">
            <v>0</v>
          </cell>
          <cell r="H2845">
            <v>0</v>
          </cell>
          <cell r="I2845">
            <v>0</v>
          </cell>
          <cell r="J2845">
            <v>0</v>
          </cell>
          <cell r="K2845">
            <v>0</v>
          </cell>
          <cell r="L2845">
            <v>19688.66</v>
          </cell>
          <cell r="M2845">
            <v>119209.69384599999</v>
          </cell>
          <cell r="N2845">
            <v>172972.602308</v>
          </cell>
          <cell r="O2845">
            <v>287814.382308</v>
          </cell>
        </row>
        <row r="2846">
          <cell r="A2846" t="str">
            <v>KoreaSTATIONARY - OFFICE SUPPLIES</v>
          </cell>
          <cell r="B2846">
            <v>13250.03</v>
          </cell>
          <cell r="C2846">
            <v>38321.43</v>
          </cell>
          <cell r="D2846">
            <v>15029.53</v>
          </cell>
          <cell r="E2846">
            <v>31030.11</v>
          </cell>
          <cell r="F2846">
            <v>97631.1</v>
          </cell>
          <cell r="G2846">
            <v>40870.037850000001</v>
          </cell>
          <cell r="H2846">
            <v>42278.334595</v>
          </cell>
          <cell r="I2846">
            <v>44016.188494000002</v>
          </cell>
          <cell r="J2846">
            <v>45683.602573999997</v>
          </cell>
          <cell r="K2846">
            <v>172848.16351300001</v>
          </cell>
          <cell r="L2846">
            <v>26404.46</v>
          </cell>
          <cell r="M2846">
            <v>72847.317691999997</v>
          </cell>
          <cell r="N2846">
            <v>94701.513846000002</v>
          </cell>
          <cell r="O2846">
            <v>123111.969231</v>
          </cell>
        </row>
        <row r="2847">
          <cell r="A2847" t="str">
            <v>KoreaT&amp;L</v>
          </cell>
          <cell r="B2847">
            <v>53356.29</v>
          </cell>
          <cell r="C2847">
            <v>37777.519999999997</v>
          </cell>
          <cell r="D2847">
            <v>41374.11</v>
          </cell>
          <cell r="E2847">
            <v>289841.88</v>
          </cell>
          <cell r="F2847">
            <v>422349.8</v>
          </cell>
          <cell r="G2847">
            <v>182220.690386</v>
          </cell>
          <cell r="H2847">
            <v>121000.22180100001</v>
          </cell>
          <cell r="I2847">
            <v>95669.911431</v>
          </cell>
          <cell r="J2847">
            <v>103466.248297</v>
          </cell>
          <cell r="K2847">
            <v>502357.07191499998</v>
          </cell>
          <cell r="L2847">
            <v>88363.9</v>
          </cell>
          <cell r="M2847">
            <v>139161.111538</v>
          </cell>
          <cell r="N2847">
            <v>239076.111538</v>
          </cell>
          <cell r="O2847">
            <v>351832.276923</v>
          </cell>
        </row>
        <row r="2848">
          <cell r="A2848" t="str">
            <v>KoreaRENTAL - BLDG/FACILITIES</v>
          </cell>
          <cell r="B2848">
            <v>29149.01</v>
          </cell>
          <cell r="C2848">
            <v>28392.48</v>
          </cell>
          <cell r="D2848">
            <v>32426.799999999999</v>
          </cell>
          <cell r="E2848">
            <v>40754.639999999999</v>
          </cell>
          <cell r="F2848">
            <v>130722.93</v>
          </cell>
          <cell r="G2848">
            <v>15000</v>
          </cell>
          <cell r="H2848">
            <v>15000</v>
          </cell>
          <cell r="I2848">
            <v>30000</v>
          </cell>
          <cell r="J2848">
            <v>30000</v>
          </cell>
          <cell r="K2848">
            <v>90000</v>
          </cell>
          <cell r="L2848">
            <v>37191.18</v>
          </cell>
          <cell r="M2848">
            <v>132692.31153800001</v>
          </cell>
          <cell r="N2848">
            <v>229500.00461500001</v>
          </cell>
          <cell r="O2848">
            <v>377200.006154</v>
          </cell>
        </row>
        <row r="2849">
          <cell r="A2849" t="str">
            <v>KoreaRENTAL - FURNITURE/EQUIP</v>
          </cell>
          <cell r="B2849">
            <v>11973.18</v>
          </cell>
          <cell r="C2849">
            <v>-483.2</v>
          </cell>
          <cell r="D2849">
            <v>18600.34</v>
          </cell>
          <cell r="E2849">
            <v>17315.419999999998</v>
          </cell>
          <cell r="F2849">
            <v>47405.74</v>
          </cell>
          <cell r="G2849">
            <v>0</v>
          </cell>
          <cell r="H2849">
            <v>0</v>
          </cell>
          <cell r="I2849">
            <v>0</v>
          </cell>
          <cell r="J2849">
            <v>0</v>
          </cell>
          <cell r="K2849">
            <v>0</v>
          </cell>
          <cell r="L2849">
            <v>16506.2</v>
          </cell>
          <cell r="M2849">
            <v>611.25769200000002</v>
          </cell>
          <cell r="N2849">
            <v>16794.635385000001</v>
          </cell>
          <cell r="O2849">
            <v>43966.359231000002</v>
          </cell>
        </row>
        <row r="2850">
          <cell r="A2850" t="str">
            <v>KoreaRENTAL - COMPUTERS</v>
          </cell>
          <cell r="B2850">
            <v>0</v>
          </cell>
          <cell r="C2850">
            <v>0</v>
          </cell>
          <cell r="D2850">
            <v>0</v>
          </cell>
          <cell r="E2850">
            <v>0</v>
          </cell>
          <cell r="F2850">
            <v>0</v>
          </cell>
          <cell r="G2850">
            <v>0</v>
          </cell>
          <cell r="H2850">
            <v>0</v>
          </cell>
          <cell r="I2850">
            <v>0</v>
          </cell>
          <cell r="J2850">
            <v>0</v>
          </cell>
          <cell r="K2850">
            <v>0</v>
          </cell>
          <cell r="L2850">
            <v>0</v>
          </cell>
          <cell r="M2850">
            <v>0</v>
          </cell>
          <cell r="N2850">
            <v>0</v>
          </cell>
          <cell r="O2850">
            <v>0</v>
          </cell>
        </row>
        <row r="2851">
          <cell r="A2851" t="str">
            <v>KoreaLEASE IN - LEASE OUT</v>
          </cell>
          <cell r="B2851">
            <v>0</v>
          </cell>
          <cell r="C2851">
            <v>0</v>
          </cell>
          <cell r="D2851">
            <v>0</v>
          </cell>
          <cell r="E2851">
            <v>0</v>
          </cell>
          <cell r="F2851">
            <v>0</v>
          </cell>
          <cell r="G2851">
            <v>0</v>
          </cell>
          <cell r="H2851">
            <v>0</v>
          </cell>
          <cell r="I2851">
            <v>0</v>
          </cell>
          <cell r="J2851">
            <v>0</v>
          </cell>
          <cell r="K2851">
            <v>0</v>
          </cell>
          <cell r="L2851">
            <v>0</v>
          </cell>
          <cell r="M2851">
            <v>0</v>
          </cell>
          <cell r="N2851">
            <v>0</v>
          </cell>
          <cell r="O2851">
            <v>0</v>
          </cell>
        </row>
        <row r="2852">
          <cell r="A2852" t="str">
            <v>KoreaFURNITURE / EQUIPMENT / COMPUTER EXP</v>
          </cell>
          <cell r="B2852">
            <v>12874.37</v>
          </cell>
          <cell r="C2852">
            <v>31022.26</v>
          </cell>
          <cell r="D2852">
            <v>9270.69</v>
          </cell>
          <cell r="E2852">
            <v>228184.81</v>
          </cell>
          <cell r="F2852">
            <v>281352.13</v>
          </cell>
          <cell r="G2852">
            <v>54814.412565999999</v>
          </cell>
          <cell r="H2852">
            <v>20348.523088999998</v>
          </cell>
          <cell r="I2852">
            <v>19213.019681999998</v>
          </cell>
          <cell r="J2852">
            <v>15352.3081</v>
          </cell>
          <cell r="K2852">
            <v>109728.263437</v>
          </cell>
          <cell r="L2852">
            <v>32773.35</v>
          </cell>
          <cell r="M2852">
            <v>42479.723077000002</v>
          </cell>
          <cell r="N2852">
            <v>55223.64</v>
          </cell>
          <cell r="O2852">
            <v>71790.732308000006</v>
          </cell>
        </row>
        <row r="2853">
          <cell r="A2853" t="str">
            <v>KoreaSOFTWARE EXPENSE</v>
          </cell>
          <cell r="B2853">
            <v>0</v>
          </cell>
          <cell r="C2853">
            <v>0</v>
          </cell>
          <cell r="D2853">
            <v>0</v>
          </cell>
          <cell r="E2853">
            <v>0</v>
          </cell>
          <cell r="F2853">
            <v>0</v>
          </cell>
          <cell r="G2853">
            <v>104952.999243</v>
          </cell>
          <cell r="H2853">
            <v>115077.715367</v>
          </cell>
          <cell r="I2853">
            <v>45650.000757000002</v>
          </cell>
          <cell r="J2853">
            <v>58773.999242999998</v>
          </cell>
          <cell r="K2853">
            <v>324454.71461000002</v>
          </cell>
          <cell r="L2853">
            <v>0</v>
          </cell>
          <cell r="M2853">
            <v>0</v>
          </cell>
          <cell r="N2853">
            <v>0</v>
          </cell>
          <cell r="O2853">
            <v>0</v>
          </cell>
        </row>
        <row r="2854">
          <cell r="A2854" t="str">
            <v>KoreaAMORTIZATION OF INTANGIBLES</v>
          </cell>
          <cell r="B2854">
            <v>0</v>
          </cell>
          <cell r="C2854">
            <v>0</v>
          </cell>
          <cell r="D2854">
            <v>0</v>
          </cell>
          <cell r="E2854">
            <v>0</v>
          </cell>
          <cell r="F2854">
            <v>0</v>
          </cell>
          <cell r="G2854">
            <v>0</v>
          </cell>
          <cell r="H2854">
            <v>0</v>
          </cell>
          <cell r="I2854">
            <v>0</v>
          </cell>
          <cell r="J2854">
            <v>0</v>
          </cell>
          <cell r="K2854">
            <v>0</v>
          </cell>
          <cell r="L2854">
            <v>0</v>
          </cell>
          <cell r="M2854">
            <v>0</v>
          </cell>
          <cell r="N2854">
            <v>0</v>
          </cell>
          <cell r="O2854">
            <v>0</v>
          </cell>
        </row>
        <row r="2855">
          <cell r="A2855" t="str">
            <v>KoreaELTO MAINTENANCE</v>
          </cell>
          <cell r="B2855">
            <v>0</v>
          </cell>
          <cell r="C2855">
            <v>0</v>
          </cell>
          <cell r="D2855">
            <v>0</v>
          </cell>
          <cell r="E2855">
            <v>0</v>
          </cell>
          <cell r="F2855">
            <v>0</v>
          </cell>
          <cell r="G2855">
            <v>0</v>
          </cell>
          <cell r="H2855">
            <v>0</v>
          </cell>
          <cell r="I2855">
            <v>0</v>
          </cell>
          <cell r="J2855">
            <v>0</v>
          </cell>
          <cell r="K2855">
            <v>0</v>
          </cell>
          <cell r="L2855">
            <v>0</v>
          </cell>
          <cell r="M2855">
            <v>0</v>
          </cell>
          <cell r="N2855">
            <v>0</v>
          </cell>
          <cell r="O2855">
            <v>0</v>
          </cell>
        </row>
        <row r="2856">
          <cell r="A2856" t="str">
            <v>KoreaELTO OTHER</v>
          </cell>
          <cell r="B2856">
            <v>0</v>
          </cell>
          <cell r="C2856">
            <v>0</v>
          </cell>
          <cell r="D2856">
            <v>0</v>
          </cell>
          <cell r="E2856">
            <v>0</v>
          </cell>
          <cell r="F2856">
            <v>0</v>
          </cell>
          <cell r="G2856">
            <v>0</v>
          </cell>
          <cell r="H2856">
            <v>0</v>
          </cell>
          <cell r="I2856">
            <v>0</v>
          </cell>
          <cell r="J2856">
            <v>0</v>
          </cell>
          <cell r="K2856">
            <v>0</v>
          </cell>
          <cell r="L2856">
            <v>0</v>
          </cell>
          <cell r="M2856">
            <v>0</v>
          </cell>
          <cell r="N2856">
            <v>0</v>
          </cell>
          <cell r="O2856">
            <v>0</v>
          </cell>
        </row>
        <row r="2857">
          <cell r="A2857" t="str">
            <v>KoreaLEGAL</v>
          </cell>
          <cell r="B2857">
            <v>555.61</v>
          </cell>
          <cell r="C2857">
            <v>154021.81</v>
          </cell>
          <cell r="D2857">
            <v>157836.1</v>
          </cell>
          <cell r="E2857">
            <v>-47639.74</v>
          </cell>
          <cell r="F2857">
            <v>264773.78000000003</v>
          </cell>
          <cell r="G2857">
            <v>51600</v>
          </cell>
          <cell r="H2857">
            <v>51600</v>
          </cell>
          <cell r="I2857">
            <v>51600</v>
          </cell>
          <cell r="J2857">
            <v>51600</v>
          </cell>
          <cell r="K2857">
            <v>206400</v>
          </cell>
          <cell r="L2857">
            <v>21134.92</v>
          </cell>
          <cell r="M2857">
            <v>45197.184614999998</v>
          </cell>
          <cell r="N2857">
            <v>68756.34</v>
          </cell>
          <cell r="O2857">
            <v>103216.575385</v>
          </cell>
        </row>
        <row r="2858">
          <cell r="A2858" t="str">
            <v>KoreaADVERTISING</v>
          </cell>
          <cell r="B2858">
            <v>0</v>
          </cell>
          <cell r="C2858">
            <v>0</v>
          </cell>
          <cell r="D2858">
            <v>0</v>
          </cell>
          <cell r="E2858">
            <v>0</v>
          </cell>
          <cell r="F2858">
            <v>0</v>
          </cell>
          <cell r="G2858">
            <v>0</v>
          </cell>
          <cell r="H2858">
            <v>0</v>
          </cell>
          <cell r="I2858">
            <v>0</v>
          </cell>
          <cell r="J2858">
            <v>0</v>
          </cell>
          <cell r="K2858">
            <v>0</v>
          </cell>
          <cell r="L2858">
            <v>0</v>
          </cell>
          <cell r="M2858">
            <v>0</v>
          </cell>
          <cell r="N2858">
            <v>0</v>
          </cell>
          <cell r="O2858">
            <v>0</v>
          </cell>
        </row>
        <row r="2859">
          <cell r="A2859" t="str">
            <v>KoreaSALES PROMOTIONS</v>
          </cell>
          <cell r="B2859">
            <v>0</v>
          </cell>
          <cell r="C2859">
            <v>9393.11</v>
          </cell>
          <cell r="D2859">
            <v>132.56</v>
          </cell>
          <cell r="E2859">
            <v>1010.07</v>
          </cell>
          <cell r="F2859">
            <v>10535.74</v>
          </cell>
          <cell r="G2859">
            <v>11355.034065</v>
          </cell>
          <cell r="H2859">
            <v>0</v>
          </cell>
          <cell r="I2859">
            <v>11355.034065</v>
          </cell>
          <cell r="J2859">
            <v>0</v>
          </cell>
          <cell r="K2859">
            <v>22710.06813</v>
          </cell>
          <cell r="L2859">
            <v>0</v>
          </cell>
          <cell r="M2859">
            <v>0</v>
          </cell>
          <cell r="N2859">
            <v>0</v>
          </cell>
          <cell r="O2859">
            <v>0</v>
          </cell>
        </row>
        <row r="2860">
          <cell r="A2860" t="str">
            <v>KoreaDIRECT MAIL</v>
          </cell>
          <cell r="B2860">
            <v>0</v>
          </cell>
          <cell r="C2860">
            <v>0</v>
          </cell>
          <cell r="D2860">
            <v>0</v>
          </cell>
          <cell r="E2860">
            <v>0</v>
          </cell>
          <cell r="F2860">
            <v>0</v>
          </cell>
          <cell r="G2860">
            <v>0</v>
          </cell>
          <cell r="H2860">
            <v>0</v>
          </cell>
          <cell r="I2860">
            <v>0</v>
          </cell>
          <cell r="J2860">
            <v>0</v>
          </cell>
          <cell r="K2860">
            <v>0</v>
          </cell>
          <cell r="L2860">
            <v>0</v>
          </cell>
          <cell r="M2860">
            <v>0</v>
          </cell>
          <cell r="N2860">
            <v>0</v>
          </cell>
          <cell r="O2860">
            <v>0</v>
          </cell>
        </row>
        <row r="2861">
          <cell r="A2861" t="str">
            <v>KoreaDATA PROCESSING</v>
          </cell>
          <cell r="B2861">
            <v>0</v>
          </cell>
          <cell r="C2861">
            <v>0</v>
          </cell>
          <cell r="D2861">
            <v>0</v>
          </cell>
          <cell r="E2861">
            <v>220</v>
          </cell>
          <cell r="F2861">
            <v>220</v>
          </cell>
          <cell r="G2861">
            <v>0</v>
          </cell>
          <cell r="H2861">
            <v>0</v>
          </cell>
          <cell r="I2861">
            <v>0</v>
          </cell>
          <cell r="J2861">
            <v>0</v>
          </cell>
          <cell r="K2861">
            <v>0</v>
          </cell>
          <cell r="L2861">
            <v>544.5</v>
          </cell>
          <cell r="M2861">
            <v>0</v>
          </cell>
          <cell r="N2861">
            <v>0</v>
          </cell>
          <cell r="O2861">
            <v>0</v>
          </cell>
        </row>
        <row r="2862">
          <cell r="A2862" t="str">
            <v>KoreaCONSULTING</v>
          </cell>
          <cell r="B2862">
            <v>258752.79</v>
          </cell>
          <cell r="C2862">
            <v>319382.98</v>
          </cell>
          <cell r="D2862">
            <v>116786.34</v>
          </cell>
          <cell r="E2862">
            <v>249273.92</v>
          </cell>
          <cell r="F2862">
            <v>944196.03</v>
          </cell>
          <cell r="G2862">
            <v>91680.106736999995</v>
          </cell>
          <cell r="H2862">
            <v>109342.769114</v>
          </cell>
          <cell r="I2862">
            <v>55480.165026000002</v>
          </cell>
          <cell r="J2862">
            <v>59612.314156</v>
          </cell>
          <cell r="K2862">
            <v>316115.355033</v>
          </cell>
          <cell r="L2862">
            <v>126316.88</v>
          </cell>
          <cell r="M2862">
            <v>2452209.2961539999</v>
          </cell>
          <cell r="N2862">
            <v>5249580.6630769996</v>
          </cell>
          <cell r="O2862">
            <v>8737526.1207689997</v>
          </cell>
        </row>
        <row r="2863">
          <cell r="A2863" t="str">
            <v>KoreaTEMP SERVICES</v>
          </cell>
          <cell r="B2863">
            <v>122230.97</v>
          </cell>
          <cell r="C2863">
            <v>187150.19</v>
          </cell>
          <cell r="D2863">
            <v>127159.96</v>
          </cell>
          <cell r="E2863">
            <v>22309.15</v>
          </cell>
          <cell r="F2863">
            <v>458850.27</v>
          </cell>
          <cell r="G2863">
            <v>96577.791824</v>
          </cell>
          <cell r="H2863">
            <v>106040.32096899999</v>
          </cell>
          <cell r="I2863">
            <v>110597.32324</v>
          </cell>
          <cell r="J2863">
            <v>114745.84632900001</v>
          </cell>
          <cell r="K2863">
            <v>427961.28236200003</v>
          </cell>
          <cell r="L2863">
            <v>33344.339999999997</v>
          </cell>
          <cell r="M2863">
            <v>9881.7538459999996</v>
          </cell>
          <cell r="N2863">
            <v>22846.279231</v>
          </cell>
          <cell r="O2863">
            <v>43533.496922999999</v>
          </cell>
        </row>
        <row r="2864">
          <cell r="A2864" t="str">
            <v>KoreaGDC CHARGES</v>
          </cell>
          <cell r="B2864">
            <v>0</v>
          </cell>
          <cell r="C2864">
            <v>0</v>
          </cell>
          <cell r="D2864">
            <v>0</v>
          </cell>
          <cell r="E2864">
            <v>0</v>
          </cell>
          <cell r="F2864">
            <v>0</v>
          </cell>
          <cell r="G2864">
            <v>0</v>
          </cell>
          <cell r="H2864">
            <v>0</v>
          </cell>
          <cell r="I2864">
            <v>0</v>
          </cell>
          <cell r="J2864">
            <v>0</v>
          </cell>
          <cell r="K2864">
            <v>0</v>
          </cell>
          <cell r="L2864">
            <v>0</v>
          </cell>
          <cell r="M2864">
            <v>0</v>
          </cell>
          <cell r="N2864">
            <v>0</v>
          </cell>
          <cell r="O2864">
            <v>0</v>
          </cell>
        </row>
        <row r="2865">
          <cell r="A2865" t="str">
            <v>KoreaTRAINING AND EDUCATION</v>
          </cell>
          <cell r="B2865">
            <v>741.63</v>
          </cell>
          <cell r="C2865">
            <v>0</v>
          </cell>
          <cell r="D2865">
            <v>1591.1</v>
          </cell>
          <cell r="E2865">
            <v>51.2</v>
          </cell>
          <cell r="F2865">
            <v>2383.9299999999998</v>
          </cell>
          <cell r="G2865">
            <v>14135.504921</v>
          </cell>
          <cell r="H2865">
            <v>17481.926571</v>
          </cell>
          <cell r="I2865">
            <v>16497.824375</v>
          </cell>
          <cell r="J2865">
            <v>15005.770628</v>
          </cell>
          <cell r="K2865">
            <v>63121.026494999998</v>
          </cell>
          <cell r="L2865">
            <v>0</v>
          </cell>
          <cell r="M2865">
            <v>3230.7730769999998</v>
          </cell>
          <cell r="N2865">
            <v>4200.0046149999998</v>
          </cell>
          <cell r="O2865">
            <v>5460.0061539999997</v>
          </cell>
        </row>
        <row r="2866">
          <cell r="A2866" t="str">
            <v>KoreaOUTSIDE SERVICES  AND FEES</v>
          </cell>
          <cell r="B2866">
            <v>-10214.02</v>
          </cell>
          <cell r="C2866">
            <v>25473.16</v>
          </cell>
          <cell r="D2866">
            <v>4783.59</v>
          </cell>
          <cell r="E2866">
            <v>3642.77</v>
          </cell>
          <cell r="F2866">
            <v>23685.5</v>
          </cell>
          <cell r="G2866">
            <v>10105.035578999999</v>
          </cell>
          <cell r="H2866">
            <v>10105.035578999999</v>
          </cell>
          <cell r="I2866">
            <v>10105.035578999999</v>
          </cell>
          <cell r="J2866">
            <v>10105.035578999999</v>
          </cell>
          <cell r="K2866">
            <v>40420.142315999998</v>
          </cell>
          <cell r="L2866">
            <v>17399.849999999999</v>
          </cell>
          <cell r="M2866">
            <v>23117.815385000002</v>
          </cell>
          <cell r="N2866">
            <v>30053.16</v>
          </cell>
          <cell r="O2866">
            <v>39069.107691999998</v>
          </cell>
        </row>
        <row r="2867">
          <cell r="A2867" t="str">
            <v>KoreaSTATE, FOREIGN, LOCAL TAXES</v>
          </cell>
          <cell r="B2867">
            <v>16591.099999999999</v>
          </cell>
          <cell r="C2867">
            <v>-59571.47</v>
          </cell>
          <cell r="D2867">
            <v>189303.43</v>
          </cell>
          <cell r="E2867">
            <v>-78054.45</v>
          </cell>
          <cell r="F2867">
            <v>68268.61</v>
          </cell>
          <cell r="G2867">
            <v>6137.3663889999998</v>
          </cell>
          <cell r="H2867">
            <v>6768.7358059999997</v>
          </cell>
          <cell r="I2867">
            <v>7198.537472</v>
          </cell>
          <cell r="J2867">
            <v>7250.0370929999999</v>
          </cell>
          <cell r="K2867">
            <v>27354.676759999998</v>
          </cell>
          <cell r="L2867">
            <v>61241.16</v>
          </cell>
          <cell r="M2867">
            <v>96220.685385000004</v>
          </cell>
          <cell r="N2867">
            <v>156086.89076899999</v>
          </cell>
          <cell r="O2867">
            <v>245796.292308</v>
          </cell>
        </row>
        <row r="2868">
          <cell r="A2868" t="str">
            <v>KoreaS/L TAX - INSURANCE PREMIUMS</v>
          </cell>
          <cell r="B2868">
            <v>0</v>
          </cell>
          <cell r="C2868">
            <v>0</v>
          </cell>
          <cell r="D2868">
            <v>0</v>
          </cell>
          <cell r="E2868">
            <v>0</v>
          </cell>
          <cell r="F2868">
            <v>0</v>
          </cell>
          <cell r="G2868">
            <v>0</v>
          </cell>
          <cell r="H2868">
            <v>0</v>
          </cell>
          <cell r="I2868">
            <v>0</v>
          </cell>
          <cell r="J2868">
            <v>0</v>
          </cell>
          <cell r="K2868">
            <v>0</v>
          </cell>
          <cell r="L2868">
            <v>0</v>
          </cell>
          <cell r="M2868">
            <v>0</v>
          </cell>
          <cell r="N2868">
            <v>0</v>
          </cell>
          <cell r="O2868">
            <v>0</v>
          </cell>
        </row>
        <row r="2869">
          <cell r="A2869" t="str">
            <v>KoreaSATELLITE LEASE EXPENSE</v>
          </cell>
          <cell r="B2869">
            <v>0</v>
          </cell>
          <cell r="C2869">
            <v>0</v>
          </cell>
          <cell r="D2869">
            <v>0</v>
          </cell>
          <cell r="E2869">
            <v>0</v>
          </cell>
          <cell r="F2869">
            <v>0</v>
          </cell>
          <cell r="G2869">
            <v>0</v>
          </cell>
          <cell r="H2869">
            <v>0</v>
          </cell>
          <cell r="I2869">
            <v>0</v>
          </cell>
          <cell r="J2869">
            <v>0</v>
          </cell>
          <cell r="K2869">
            <v>0</v>
          </cell>
          <cell r="L2869">
            <v>0</v>
          </cell>
          <cell r="M2869">
            <v>0</v>
          </cell>
          <cell r="N2869">
            <v>0</v>
          </cell>
          <cell r="O2869">
            <v>0</v>
          </cell>
        </row>
        <row r="2870">
          <cell r="A2870" t="str">
            <v>KoreaBUSINESS SHARE EXPENSE</v>
          </cell>
          <cell r="B2870">
            <v>0</v>
          </cell>
          <cell r="C2870">
            <v>0</v>
          </cell>
          <cell r="D2870">
            <v>0</v>
          </cell>
          <cell r="E2870">
            <v>0</v>
          </cell>
          <cell r="F2870">
            <v>0</v>
          </cell>
          <cell r="G2870">
            <v>0</v>
          </cell>
          <cell r="H2870">
            <v>0</v>
          </cell>
          <cell r="I2870">
            <v>0</v>
          </cell>
          <cell r="J2870">
            <v>0</v>
          </cell>
          <cell r="K2870">
            <v>0</v>
          </cell>
          <cell r="L2870">
            <v>0</v>
          </cell>
          <cell r="M2870">
            <v>0</v>
          </cell>
          <cell r="N2870">
            <v>0</v>
          </cell>
          <cell r="O2870">
            <v>0</v>
          </cell>
        </row>
        <row r="2871">
          <cell r="A2871" t="str">
            <v>KoreaINSURANCE AFFILIATE EXPENSE</v>
          </cell>
          <cell r="B2871">
            <v>2990.53</v>
          </cell>
          <cell r="C2871">
            <v>-1416.96</v>
          </cell>
          <cell r="D2871">
            <v>0</v>
          </cell>
          <cell r="E2871">
            <v>4.67</v>
          </cell>
          <cell r="F2871">
            <v>1578.24</v>
          </cell>
          <cell r="G2871">
            <v>0</v>
          </cell>
          <cell r="H2871">
            <v>0</v>
          </cell>
          <cell r="I2871">
            <v>0</v>
          </cell>
          <cell r="J2871">
            <v>0</v>
          </cell>
          <cell r="K2871">
            <v>0</v>
          </cell>
          <cell r="L2871">
            <v>0</v>
          </cell>
          <cell r="M2871">
            <v>7551.26</v>
          </cell>
          <cell r="N2871">
            <v>9816.6384620000008</v>
          </cell>
          <cell r="O2871">
            <v>12761.63</v>
          </cell>
        </row>
        <row r="2872">
          <cell r="A2872" t="str">
            <v>KoreaOTHER FACILITY EXPENSE</v>
          </cell>
          <cell r="B2872">
            <v>31921.43</v>
          </cell>
          <cell r="C2872">
            <v>25410.59</v>
          </cell>
          <cell r="D2872">
            <v>39082.18</v>
          </cell>
          <cell r="E2872">
            <v>27586.92</v>
          </cell>
          <cell r="F2872">
            <v>124001.12</v>
          </cell>
          <cell r="G2872">
            <v>39849.999242999998</v>
          </cell>
          <cell r="H2872">
            <v>39849.999242999998</v>
          </cell>
          <cell r="I2872">
            <v>49849.998485999997</v>
          </cell>
          <cell r="J2872">
            <v>49849.998485999997</v>
          </cell>
          <cell r="K2872">
            <v>179399.99545799999</v>
          </cell>
          <cell r="L2872">
            <v>42566.29</v>
          </cell>
          <cell r="M2872">
            <v>149732.70076899999</v>
          </cell>
          <cell r="N2872">
            <v>194652.51076899999</v>
          </cell>
          <cell r="O2872">
            <v>253048.26461499999</v>
          </cell>
        </row>
        <row r="2873">
          <cell r="A2873" t="str">
            <v>KoreaGROSS OP &amp; ADMIN BUS SHARE</v>
          </cell>
          <cell r="B2873">
            <v>0</v>
          </cell>
          <cell r="C2873">
            <v>0</v>
          </cell>
          <cell r="D2873">
            <v>0</v>
          </cell>
          <cell r="E2873">
            <v>0</v>
          </cell>
          <cell r="F2873">
            <v>0</v>
          </cell>
          <cell r="G2873">
            <v>0</v>
          </cell>
          <cell r="H2873">
            <v>0</v>
          </cell>
          <cell r="I2873">
            <v>0</v>
          </cell>
          <cell r="J2873">
            <v>0</v>
          </cell>
          <cell r="K2873">
            <v>0</v>
          </cell>
          <cell r="L2873">
            <v>0</v>
          </cell>
          <cell r="M2873">
            <v>0</v>
          </cell>
          <cell r="N2873">
            <v>0</v>
          </cell>
          <cell r="O2873">
            <v>0</v>
          </cell>
        </row>
        <row r="2874">
          <cell r="A2874" t="str">
            <v>KoreaOTHER EXPENSE</v>
          </cell>
          <cell r="B2874">
            <v>-14491.85</v>
          </cell>
          <cell r="C2874">
            <v>486.67</v>
          </cell>
          <cell r="D2874">
            <v>579.08000000000004</v>
          </cell>
          <cell r="E2874">
            <v>24.57</v>
          </cell>
          <cell r="F2874">
            <v>-13401.53</v>
          </cell>
          <cell r="G2874">
            <v>-113489.221045</v>
          </cell>
          <cell r="H2874">
            <v>-113489.221045</v>
          </cell>
          <cell r="I2874">
            <v>-113489.221045</v>
          </cell>
          <cell r="J2874">
            <v>-113489.221045</v>
          </cell>
          <cell r="K2874">
            <v>-453956.88417999999</v>
          </cell>
          <cell r="L2874">
            <v>-162214.35</v>
          </cell>
          <cell r="M2874">
            <v>60989.538461999997</v>
          </cell>
          <cell r="N2874">
            <v>129286.39999999999</v>
          </cell>
          <cell r="O2874">
            <v>237238.98692299999</v>
          </cell>
        </row>
        <row r="2875">
          <cell r="A2875" t="str">
            <v>KoreaGECC INTERCO EXPENSES EXCL GECIS</v>
          </cell>
          <cell r="B2875">
            <v>0</v>
          </cell>
          <cell r="C2875">
            <v>66460.78</v>
          </cell>
          <cell r="D2875">
            <v>15107.9</v>
          </cell>
          <cell r="E2875">
            <v>15159.5</v>
          </cell>
          <cell r="F2875">
            <v>96728.18</v>
          </cell>
          <cell r="G2875">
            <v>34801.832702</v>
          </cell>
          <cell r="H2875">
            <v>34801.832702</v>
          </cell>
          <cell r="I2875">
            <v>34801.832702</v>
          </cell>
          <cell r="J2875">
            <v>34801.832702</v>
          </cell>
          <cell r="K2875">
            <v>139207.330808</v>
          </cell>
          <cell r="L2875">
            <v>36707.14</v>
          </cell>
          <cell r="M2875">
            <v>72762.092308000007</v>
          </cell>
          <cell r="N2875">
            <v>94590.720000000001</v>
          </cell>
          <cell r="O2875">
            <v>122967.936154</v>
          </cell>
        </row>
        <row r="2876">
          <cell r="A2876" t="str">
            <v>KoreaGECIS INTERCO CHARGES</v>
          </cell>
          <cell r="B2876">
            <v>0</v>
          </cell>
          <cell r="C2876">
            <v>0</v>
          </cell>
          <cell r="D2876">
            <v>0</v>
          </cell>
          <cell r="E2876">
            <v>0</v>
          </cell>
          <cell r="F2876">
            <v>0</v>
          </cell>
          <cell r="G2876">
            <v>0</v>
          </cell>
          <cell r="H2876">
            <v>0</v>
          </cell>
          <cell r="I2876">
            <v>0</v>
          </cell>
          <cell r="J2876">
            <v>0</v>
          </cell>
          <cell r="K2876">
            <v>0</v>
          </cell>
          <cell r="L2876">
            <v>0</v>
          </cell>
          <cell r="M2876">
            <v>0</v>
          </cell>
          <cell r="N2876">
            <v>0</v>
          </cell>
          <cell r="O2876">
            <v>0</v>
          </cell>
        </row>
        <row r="2877">
          <cell r="A2877" t="str">
            <v>KoreaLOSS ADJUSTED EXPENSE</v>
          </cell>
          <cell r="B2877">
            <v>0</v>
          </cell>
          <cell r="C2877">
            <v>0</v>
          </cell>
          <cell r="D2877">
            <v>0</v>
          </cell>
          <cell r="E2877">
            <v>0</v>
          </cell>
          <cell r="F2877">
            <v>0</v>
          </cell>
          <cell r="G2877">
            <v>0</v>
          </cell>
          <cell r="H2877">
            <v>0</v>
          </cell>
          <cell r="I2877">
            <v>0</v>
          </cell>
          <cell r="J2877">
            <v>0</v>
          </cell>
          <cell r="K2877">
            <v>0</v>
          </cell>
          <cell r="L2877">
            <v>0</v>
          </cell>
          <cell r="M2877">
            <v>0</v>
          </cell>
          <cell r="N2877">
            <v>0</v>
          </cell>
          <cell r="O2877">
            <v>0</v>
          </cell>
        </row>
        <row r="2878">
          <cell r="A2878" t="str">
            <v>KoreaALL OTHER EXPENSES</v>
          </cell>
          <cell r="B2878">
            <v>0</v>
          </cell>
          <cell r="C2878">
            <v>0.01</v>
          </cell>
          <cell r="D2878">
            <v>-0.01</v>
          </cell>
          <cell r="E2878">
            <v>0</v>
          </cell>
          <cell r="F2878">
            <v>0</v>
          </cell>
          <cell r="G2878">
            <v>0</v>
          </cell>
          <cell r="H2878">
            <v>0</v>
          </cell>
          <cell r="I2878">
            <v>0</v>
          </cell>
          <cell r="J2878">
            <v>0</v>
          </cell>
          <cell r="K2878">
            <v>0</v>
          </cell>
          <cell r="L2878">
            <v>0</v>
          </cell>
          <cell r="M2878">
            <v>0</v>
          </cell>
          <cell r="N2878">
            <v>0</v>
          </cell>
          <cell r="O2878">
            <v>0</v>
          </cell>
        </row>
        <row r="2879">
          <cell r="A2879" t="str">
            <v>KoreaASSESSMENTS</v>
          </cell>
          <cell r="B2879">
            <v>-184182.03</v>
          </cell>
          <cell r="C2879">
            <v>-206785.04</v>
          </cell>
          <cell r="D2879">
            <v>-212047.34</v>
          </cell>
          <cell r="E2879">
            <v>-228194.67</v>
          </cell>
          <cell r="F2879">
            <v>-831209.08</v>
          </cell>
          <cell r="G2879">
            <v>114959.82286099999</v>
          </cell>
          <cell r="H2879">
            <v>114959.82286099999</v>
          </cell>
          <cell r="I2879">
            <v>114959.82286099999</v>
          </cell>
          <cell r="J2879">
            <v>114959.82286099999</v>
          </cell>
          <cell r="K2879">
            <v>459839.29144399997</v>
          </cell>
          <cell r="L2879">
            <v>8829.77</v>
          </cell>
          <cell r="M2879">
            <v>-990640.44230800006</v>
          </cell>
          <cell r="N2879">
            <v>-1287832.5753850001</v>
          </cell>
          <cell r="O2879">
            <v>-1674182.347692</v>
          </cell>
        </row>
        <row r="2880">
          <cell r="A2880" t="str">
            <v>KoreaFAS 91</v>
          </cell>
          <cell r="B2880">
            <v>0</v>
          </cell>
          <cell r="C2880">
            <v>0</v>
          </cell>
          <cell r="D2880">
            <v>0</v>
          </cell>
          <cell r="E2880">
            <v>-88172.53</v>
          </cell>
          <cell r="F2880">
            <v>-88172.53</v>
          </cell>
          <cell r="G2880">
            <v>-114830.95458000001</v>
          </cell>
          <cell r="H2880">
            <v>-133331.42316400001</v>
          </cell>
          <cell r="I2880">
            <v>-163276.26495099999</v>
          </cell>
          <cell r="J2880">
            <v>-184105.687358</v>
          </cell>
          <cell r="K2880">
            <v>-595544.33005300001</v>
          </cell>
          <cell r="L2880">
            <v>-115400.65</v>
          </cell>
          <cell r="M2880">
            <v>0</v>
          </cell>
          <cell r="N2880">
            <v>0</v>
          </cell>
          <cell r="O2880">
            <v>0</v>
          </cell>
        </row>
        <row r="2881">
          <cell r="A2881" t="str">
            <v>KoreaGOODWILL AMORTIZATION</v>
          </cell>
          <cell r="B2881">
            <v>38344.129999999997</v>
          </cell>
          <cell r="C2881">
            <v>55885.760000000002</v>
          </cell>
          <cell r="D2881">
            <v>74428.320000000007</v>
          </cell>
          <cell r="E2881">
            <v>56049.68</v>
          </cell>
          <cell r="F2881">
            <v>224707.89</v>
          </cell>
          <cell r="G2881">
            <v>0</v>
          </cell>
          <cell r="H2881">
            <v>0</v>
          </cell>
          <cell r="I2881">
            <v>0</v>
          </cell>
          <cell r="J2881">
            <v>0</v>
          </cell>
          <cell r="K2881">
            <v>0</v>
          </cell>
          <cell r="L2881">
            <v>0</v>
          </cell>
          <cell r="M2881">
            <v>222635.409231</v>
          </cell>
          <cell r="N2881">
            <v>222635.409231</v>
          </cell>
          <cell r="O2881">
            <v>222635.409231</v>
          </cell>
        </row>
        <row r="2882">
          <cell r="A2882" t="str">
            <v>KoreaDEPRECIATION EXPENSE</v>
          </cell>
          <cell r="B2882">
            <v>25053.200000000001</v>
          </cell>
          <cell r="C2882">
            <v>24346.959999999999</v>
          </cell>
          <cell r="D2882">
            <v>14230.85</v>
          </cell>
          <cell r="E2882">
            <v>17866.14</v>
          </cell>
          <cell r="F2882">
            <v>81497.149999999994</v>
          </cell>
          <cell r="G2882">
            <v>26576.800150999999</v>
          </cell>
          <cell r="H2882">
            <v>27083.800150999999</v>
          </cell>
          <cell r="I2882">
            <v>28933.798637</v>
          </cell>
          <cell r="J2882">
            <v>28933.798637</v>
          </cell>
          <cell r="K2882">
            <v>111528.19757600001</v>
          </cell>
          <cell r="L2882">
            <v>28765.14</v>
          </cell>
          <cell r="M2882">
            <v>69867.741538000002</v>
          </cell>
          <cell r="N2882">
            <v>90828.066923000006</v>
          </cell>
          <cell r="O2882">
            <v>118076.486154</v>
          </cell>
        </row>
        <row r="2883">
          <cell r="A2883" t="str">
            <v>KoreaELTO AMORTIZATION</v>
          </cell>
          <cell r="B2883">
            <v>0</v>
          </cell>
          <cell r="C2883">
            <v>0</v>
          </cell>
          <cell r="D2883">
            <v>0</v>
          </cell>
          <cell r="E2883">
            <v>0</v>
          </cell>
          <cell r="F2883">
            <v>0</v>
          </cell>
          <cell r="G2883">
            <v>0</v>
          </cell>
          <cell r="H2883">
            <v>0</v>
          </cell>
          <cell r="I2883">
            <v>0</v>
          </cell>
          <cell r="J2883">
            <v>0</v>
          </cell>
          <cell r="K2883">
            <v>0</v>
          </cell>
          <cell r="L2883">
            <v>0</v>
          </cell>
          <cell r="M2883">
            <v>0</v>
          </cell>
          <cell r="N2883">
            <v>0</v>
          </cell>
          <cell r="O2883">
            <v>0</v>
          </cell>
        </row>
        <row r="2884">
          <cell r="A2884" t="str">
            <v>KoreaINSURANCE LOSSES AND BENEFITS</v>
          </cell>
          <cell r="B2884">
            <v>0</v>
          </cell>
          <cell r="C2884">
            <v>0</v>
          </cell>
          <cell r="D2884">
            <v>0</v>
          </cell>
          <cell r="E2884">
            <v>0</v>
          </cell>
          <cell r="F2884">
            <v>0</v>
          </cell>
          <cell r="G2884">
            <v>0</v>
          </cell>
          <cell r="H2884">
            <v>0</v>
          </cell>
          <cell r="I2884">
            <v>0</v>
          </cell>
          <cell r="J2884">
            <v>0</v>
          </cell>
          <cell r="K2884">
            <v>0</v>
          </cell>
          <cell r="L2884">
            <v>0</v>
          </cell>
          <cell r="M2884">
            <v>0</v>
          </cell>
          <cell r="N2884">
            <v>0</v>
          </cell>
          <cell r="O2884">
            <v>0</v>
          </cell>
        </row>
        <row r="2885">
          <cell r="A2885" t="str">
            <v>KoreaWRITE OFFS</v>
          </cell>
          <cell r="B2885">
            <v>290412.13</v>
          </cell>
          <cell r="C2885">
            <v>499502.9</v>
          </cell>
          <cell r="D2885">
            <v>447704.94</v>
          </cell>
          <cell r="E2885">
            <v>1094179.73</v>
          </cell>
          <cell r="F2885">
            <v>2331799.7000000002</v>
          </cell>
          <cell r="G2885">
            <v>938683.677517</v>
          </cell>
          <cell r="H2885">
            <v>1253097.2112040001</v>
          </cell>
          <cell r="I2885">
            <v>1223055.710825</v>
          </cell>
          <cell r="J2885">
            <v>1053686.2505679999</v>
          </cell>
          <cell r="K2885">
            <v>4468522.850114</v>
          </cell>
          <cell r="L2885">
            <v>941632.26</v>
          </cell>
          <cell r="M2885">
            <v>2221823.8984619998</v>
          </cell>
          <cell r="N2885">
            <v>8286810.3429309996</v>
          </cell>
          <cell r="O2885">
            <v>10090816.8423</v>
          </cell>
        </row>
        <row r="2886">
          <cell r="A2886" t="str">
            <v>KoreaRESERVE CHANGE</v>
          </cell>
          <cell r="B2886">
            <v>0</v>
          </cell>
          <cell r="C2886">
            <v>0</v>
          </cell>
          <cell r="D2886">
            <v>0</v>
          </cell>
          <cell r="E2886">
            <v>0</v>
          </cell>
          <cell r="F2886">
            <v>0</v>
          </cell>
          <cell r="G2886">
            <v>0</v>
          </cell>
          <cell r="H2886">
            <v>0</v>
          </cell>
          <cell r="I2886">
            <v>0</v>
          </cell>
          <cell r="J2886">
            <v>0</v>
          </cell>
          <cell r="K2886">
            <v>0</v>
          </cell>
          <cell r="L2886">
            <v>0</v>
          </cell>
          <cell r="M2886">
            <v>0</v>
          </cell>
          <cell r="N2886">
            <v>0</v>
          </cell>
          <cell r="O2886">
            <v>0</v>
          </cell>
        </row>
        <row r="2887">
          <cell r="A2887" t="str">
            <v>KoreaMINORITY INTEREST</v>
          </cell>
          <cell r="B2887">
            <v>0</v>
          </cell>
          <cell r="C2887">
            <v>0</v>
          </cell>
          <cell r="D2887">
            <v>0</v>
          </cell>
          <cell r="E2887">
            <v>0</v>
          </cell>
          <cell r="F2887">
            <v>0</v>
          </cell>
          <cell r="G2887">
            <v>0</v>
          </cell>
          <cell r="H2887">
            <v>0</v>
          </cell>
          <cell r="I2887">
            <v>0</v>
          </cell>
          <cell r="J2887">
            <v>0</v>
          </cell>
          <cell r="K2887">
            <v>0</v>
          </cell>
          <cell r="L2887">
            <v>0</v>
          </cell>
          <cell r="M2887">
            <v>0</v>
          </cell>
          <cell r="N2887">
            <v>0</v>
          </cell>
          <cell r="O2887">
            <v>0</v>
          </cell>
        </row>
        <row r="2888">
          <cell r="A2888" t="str">
            <v>KoreaINCOME TAXES</v>
          </cell>
          <cell r="B2888">
            <v>2036.44</v>
          </cell>
          <cell r="C2888">
            <v>73827.990000000005</v>
          </cell>
          <cell r="D2888">
            <v>101702.69</v>
          </cell>
          <cell r="E2888">
            <v>-69011.06</v>
          </cell>
          <cell r="F2888">
            <v>108556.06</v>
          </cell>
          <cell r="G2888">
            <v>98210.104466000004</v>
          </cell>
          <cell r="H2888">
            <v>185393.30204400001</v>
          </cell>
          <cell r="I2888">
            <v>485635.54277100001</v>
          </cell>
          <cell r="J2888">
            <v>719371.52687399997</v>
          </cell>
          <cell r="K2888">
            <v>1488610.476155</v>
          </cell>
          <cell r="L2888">
            <v>123260.66</v>
          </cell>
          <cell r="M2888">
            <v>941235.96230799996</v>
          </cell>
          <cell r="N2888">
            <v>2853267.1896540001</v>
          </cell>
          <cell r="O2888">
            <v>5464854.6841770001</v>
          </cell>
        </row>
        <row r="2889">
          <cell r="A2889" t="str">
            <v>KoreaCUMULATIVE TRANSITION ADJUSTMENT</v>
          </cell>
          <cell r="B2889">
            <v>0</v>
          </cell>
          <cell r="C2889">
            <v>0</v>
          </cell>
          <cell r="D2889">
            <v>0</v>
          </cell>
          <cell r="E2889">
            <v>0</v>
          </cell>
          <cell r="F2889">
            <v>0</v>
          </cell>
          <cell r="G2889">
            <v>0</v>
          </cell>
          <cell r="H2889">
            <v>0</v>
          </cell>
          <cell r="I2889">
            <v>0</v>
          </cell>
          <cell r="J2889">
            <v>0</v>
          </cell>
          <cell r="K2889">
            <v>0</v>
          </cell>
          <cell r="L2889">
            <v>0</v>
          </cell>
          <cell r="M2889">
            <v>0</v>
          </cell>
          <cell r="N2889">
            <v>0</v>
          </cell>
          <cell r="O2889">
            <v>0</v>
          </cell>
        </row>
        <row r="2890">
          <cell r="A2890" t="str">
            <v>KoreaASIA PACIFIC NI DIVIDEND</v>
          </cell>
          <cell r="B2890">
            <v>0</v>
          </cell>
          <cell r="C2890">
            <v>0</v>
          </cell>
          <cell r="D2890">
            <v>0</v>
          </cell>
          <cell r="E2890">
            <v>0</v>
          </cell>
          <cell r="F2890">
            <v>0</v>
          </cell>
          <cell r="G2890">
            <v>0</v>
          </cell>
          <cell r="H2890">
            <v>0</v>
          </cell>
          <cell r="I2890">
            <v>0</v>
          </cell>
          <cell r="J2890">
            <v>0</v>
          </cell>
          <cell r="K2890">
            <v>0</v>
          </cell>
          <cell r="L2890">
            <v>0</v>
          </cell>
          <cell r="M2890">
            <v>0</v>
          </cell>
          <cell r="N2890">
            <v>0</v>
          </cell>
          <cell r="O2890">
            <v>0</v>
          </cell>
        </row>
        <row r="2891">
          <cell r="A2891" t="str">
            <v>KoreaNet Income</v>
          </cell>
          <cell r="B2891">
            <v>39861.449999999997</v>
          </cell>
          <cell r="C2891">
            <v>40221.18</v>
          </cell>
          <cell r="D2891">
            <v>-329398.71999999997</v>
          </cell>
          <cell r="E2891">
            <v>-238546.19</v>
          </cell>
          <cell r="F2891">
            <v>-487862.28</v>
          </cell>
          <cell r="G2891">
            <v>-173251.97274900001</v>
          </cell>
          <cell r="H2891">
            <v>-332024.08630000002</v>
          </cell>
          <cell r="I2891">
            <v>-886092.29068900004</v>
          </cell>
          <cell r="J2891">
            <v>-1316829.7562450001</v>
          </cell>
          <cell r="K2891">
            <v>-2708198.1059829998</v>
          </cell>
          <cell r="L2891">
            <v>-267862.77</v>
          </cell>
          <cell r="M2891">
            <v>-1748009.65</v>
          </cell>
          <cell r="N2891">
            <v>-5298924.7820309997</v>
          </cell>
          <cell r="O2891">
            <v>-10149015.843522999</v>
          </cell>
        </row>
        <row r="2892">
          <cell r="A2892" t="str">
            <v>KoreaSubPart F</v>
          </cell>
          <cell r="B2892">
            <v>0</v>
          </cell>
          <cell r="C2892">
            <v>0</v>
          </cell>
          <cell r="D2892">
            <v>0</v>
          </cell>
          <cell r="E2892">
            <v>0</v>
          </cell>
          <cell r="F2892">
            <v>0</v>
          </cell>
          <cell r="G2892">
            <v>0</v>
          </cell>
          <cell r="H2892">
            <v>0</v>
          </cell>
          <cell r="I2892">
            <v>0</v>
          </cell>
          <cell r="J2892">
            <v>0</v>
          </cell>
          <cell r="K2892">
            <v>0</v>
          </cell>
          <cell r="L2892">
            <v>0</v>
          </cell>
          <cell r="M2892">
            <v>0</v>
          </cell>
          <cell r="N2892">
            <v>0</v>
          </cell>
          <cell r="O2892">
            <v>0</v>
          </cell>
        </row>
        <row r="2893">
          <cell r="A2893" t="str">
            <v>KoreaAssets</v>
          </cell>
          <cell r="B2893">
            <v>73815856.200000003</v>
          </cell>
          <cell r="C2893">
            <v>85952334.209999993</v>
          </cell>
          <cell r="D2893">
            <v>92212994.530000001</v>
          </cell>
          <cell r="E2893">
            <v>122584833.58</v>
          </cell>
          <cell r="F2893">
            <v>122584833.58</v>
          </cell>
          <cell r="G2893">
            <v>160862675.432248</v>
          </cell>
          <cell r="H2893">
            <v>210410183.66313401</v>
          </cell>
          <cell r="I2893">
            <v>258242979.981832</v>
          </cell>
          <cell r="J2893">
            <v>296890458.53217202</v>
          </cell>
          <cell r="K2893">
            <v>296890458.53217202</v>
          </cell>
          <cell r="L2893">
            <v>148354960.58000001</v>
          </cell>
          <cell r="M2893">
            <v>200394946.56040001</v>
          </cell>
          <cell r="N2893">
            <v>400858017.955154</v>
          </cell>
          <cell r="O2893">
            <v>572530407.817469</v>
          </cell>
        </row>
        <row r="2894">
          <cell r="A2894" t="str">
            <v>KoreaEnding Net Investment (ENI) incl Asia</v>
          </cell>
          <cell r="B2894">
            <v>68665689.200000003</v>
          </cell>
          <cell r="C2894">
            <v>80089028.030000001</v>
          </cell>
          <cell r="D2894">
            <v>86400527.200000003</v>
          </cell>
          <cell r="E2894">
            <v>113889122.63</v>
          </cell>
          <cell r="F2894">
            <v>113889122.63</v>
          </cell>
          <cell r="G2894">
            <v>156231628.432248</v>
          </cell>
          <cell r="H2894">
            <v>205779136.66313401</v>
          </cell>
          <cell r="I2894">
            <v>253611932.981832</v>
          </cell>
          <cell r="J2894">
            <v>292259411.53217202</v>
          </cell>
          <cell r="K2894">
            <v>292259411.53217202</v>
          </cell>
          <cell r="L2894">
            <v>140446251.03</v>
          </cell>
          <cell r="M2894">
            <v>193694946.56040001</v>
          </cell>
          <cell r="N2894">
            <v>394158017.955154</v>
          </cell>
          <cell r="O2894">
            <v>565830407.817469</v>
          </cell>
        </row>
        <row r="2895">
          <cell r="A2895" t="str">
            <v>KoreaANR YTD</v>
          </cell>
          <cell r="B2895">
            <v>53141559.479999997</v>
          </cell>
          <cell r="C2895">
            <v>59952350.693333</v>
          </cell>
          <cell r="D2895">
            <v>65545486.2425</v>
          </cell>
          <cell r="E2895">
            <v>75806407.613999993</v>
          </cell>
          <cell r="F2895">
            <v>75806407.613999993</v>
          </cell>
          <cell r="G2895">
            <v>78072829.733913004</v>
          </cell>
          <cell r="H2895">
            <v>121030641.458996</v>
          </cell>
          <cell r="I2895">
            <v>154773510.32891801</v>
          </cell>
          <cell r="J2895">
            <v>182959464.61105201</v>
          </cell>
          <cell r="K2895">
            <v>182959464.61105201</v>
          </cell>
          <cell r="L2895">
            <v>128059852.56</v>
          </cell>
          <cell r="M2895">
            <v>60701289.842462003</v>
          </cell>
          <cell r="N2895">
            <v>118957632.25523099</v>
          </cell>
          <cell r="O2895">
            <v>194463904.10738501</v>
          </cell>
        </row>
        <row r="2896">
          <cell r="A2896" t="str">
            <v>KoreaASA YTD</v>
          </cell>
          <cell r="B2896">
            <v>53141559.479999997</v>
          </cell>
          <cell r="C2896">
            <v>59952350.693333</v>
          </cell>
          <cell r="D2896">
            <v>65545486.2425</v>
          </cell>
          <cell r="E2896">
            <v>75806407.613999993</v>
          </cell>
          <cell r="F2896">
            <v>75806407.613999993</v>
          </cell>
          <cell r="G2896">
            <v>78072829.733913004</v>
          </cell>
          <cell r="H2896">
            <v>121030641.458996</v>
          </cell>
          <cell r="I2896">
            <v>154773510.32891801</v>
          </cell>
          <cell r="J2896">
            <v>182959464.61105201</v>
          </cell>
          <cell r="K2896">
            <v>182959464.61105201</v>
          </cell>
          <cell r="L2896">
            <v>128059852.56</v>
          </cell>
          <cell r="M2896">
            <v>60701289.842462003</v>
          </cell>
          <cell r="N2896">
            <v>118957632.25523099</v>
          </cell>
          <cell r="O2896">
            <v>194463904.10738501</v>
          </cell>
        </row>
        <row r="2897">
          <cell r="A2897" t="str">
            <v>KoreaANI YTD incl Asia - 5 pt</v>
          </cell>
          <cell r="B2897">
            <v>57907166.604999997</v>
          </cell>
          <cell r="C2897">
            <v>65301120.413332999</v>
          </cell>
          <cell r="D2897">
            <v>70575972.109999999</v>
          </cell>
          <cell r="E2897">
            <v>79238602.214000002</v>
          </cell>
          <cell r="F2897">
            <v>79238602.214000002</v>
          </cell>
          <cell r="G2897">
            <v>78115814.216123998</v>
          </cell>
          <cell r="H2897">
            <v>120670255.031794</v>
          </cell>
          <cell r="I2897">
            <v>153905674.51930401</v>
          </cell>
          <cell r="J2897">
            <v>181576421.921877</v>
          </cell>
          <cell r="K2897">
            <v>181576421.921877</v>
          </cell>
          <cell r="L2897">
            <v>127167686.83</v>
          </cell>
          <cell r="M2897">
            <v>60168431.502288997</v>
          </cell>
          <cell r="N2897">
            <v>117570592.903111</v>
          </cell>
          <cell r="O2897">
            <v>191997685.15452501</v>
          </cell>
        </row>
        <row r="2898">
          <cell r="A2898" t="str">
            <v>KoreaOff Balance Sheet Assets</v>
          </cell>
          <cell r="B2898">
            <v>0</v>
          </cell>
          <cell r="C2898">
            <v>0</v>
          </cell>
          <cell r="D2898">
            <v>0</v>
          </cell>
          <cell r="E2898">
            <v>0</v>
          </cell>
          <cell r="F2898">
            <v>0</v>
          </cell>
          <cell r="G2898">
            <v>0</v>
          </cell>
          <cell r="H2898">
            <v>0</v>
          </cell>
          <cell r="I2898">
            <v>0</v>
          </cell>
          <cell r="J2898">
            <v>0</v>
          </cell>
          <cell r="K2898">
            <v>0</v>
          </cell>
          <cell r="L2898">
            <v>0</v>
          </cell>
          <cell r="M2898">
            <v>0</v>
          </cell>
          <cell r="N2898">
            <v>0</v>
          </cell>
          <cell r="O2898">
            <v>0</v>
          </cell>
        </row>
        <row r="2899">
          <cell r="A2899" t="str">
            <v>KoreaJV Receivables</v>
          </cell>
          <cell r="B2899">
            <v>0</v>
          </cell>
          <cell r="C2899">
            <v>0</v>
          </cell>
          <cell r="D2899">
            <v>0</v>
          </cell>
          <cell r="E2899">
            <v>0</v>
          </cell>
          <cell r="F2899">
            <v>0</v>
          </cell>
          <cell r="G2899">
            <v>0</v>
          </cell>
          <cell r="H2899">
            <v>0</v>
          </cell>
          <cell r="I2899">
            <v>0</v>
          </cell>
          <cell r="J2899">
            <v>0</v>
          </cell>
          <cell r="K2899">
            <v>0</v>
          </cell>
          <cell r="L2899">
            <v>0</v>
          </cell>
          <cell r="M2899">
            <v>0</v>
          </cell>
          <cell r="N2899">
            <v>0</v>
          </cell>
          <cell r="O2899">
            <v>0</v>
          </cell>
        </row>
        <row r="2900">
          <cell r="A2900" t="str">
            <v>Korea30+ DELINQUENCY $</v>
          </cell>
          <cell r="B2900">
            <v>1099000</v>
          </cell>
          <cell r="C2900">
            <v>1203000</v>
          </cell>
          <cell r="D2900">
            <v>1534000</v>
          </cell>
          <cell r="E2900">
            <v>1109000</v>
          </cell>
          <cell r="F2900">
            <v>1109000</v>
          </cell>
          <cell r="G2900">
            <v>1704648</v>
          </cell>
          <cell r="H2900">
            <v>2335664</v>
          </cell>
          <cell r="I2900">
            <v>3086086</v>
          </cell>
          <cell r="J2900">
            <v>3785721</v>
          </cell>
          <cell r="K2900">
            <v>3785721</v>
          </cell>
          <cell r="L2900">
            <v>1346000</v>
          </cell>
          <cell r="M2900">
            <v>1960238</v>
          </cell>
          <cell r="N2900">
            <v>3987643</v>
          </cell>
          <cell r="O2900">
            <v>5735552</v>
          </cell>
        </row>
        <row r="2901">
          <cell r="A2901" t="str">
            <v>Korea90+ DELINQUENCY $</v>
          </cell>
          <cell r="B2901">
            <v>132000</v>
          </cell>
          <cell r="C2901">
            <v>276000</v>
          </cell>
          <cell r="D2901">
            <v>558000</v>
          </cell>
          <cell r="E2901">
            <v>481000</v>
          </cell>
          <cell r="F2901">
            <v>481000</v>
          </cell>
          <cell r="G2901">
            <v>731861</v>
          </cell>
          <cell r="H2901">
            <v>965439</v>
          </cell>
          <cell r="I2901">
            <v>1339969</v>
          </cell>
          <cell r="J2901">
            <v>1678709</v>
          </cell>
          <cell r="K2901">
            <v>1678709</v>
          </cell>
          <cell r="L2901">
            <v>340000</v>
          </cell>
          <cell r="M2901">
            <v>980119</v>
          </cell>
          <cell r="N2901">
            <v>1993822</v>
          </cell>
          <cell r="O2901">
            <v>2867776</v>
          </cell>
        </row>
        <row r="2902">
          <cell r="A2902" t="str">
            <v>KoreaTemporary Staff</v>
          </cell>
          <cell r="B2902">
            <v>5</v>
          </cell>
          <cell r="C2902">
            <v>9</v>
          </cell>
          <cell r="D2902">
            <v>18</v>
          </cell>
          <cell r="E2902">
            <v>16</v>
          </cell>
          <cell r="F2902">
            <v>16</v>
          </cell>
          <cell r="G2902">
            <v>35</v>
          </cell>
          <cell r="H2902">
            <v>38</v>
          </cell>
          <cell r="I2902">
            <v>39</v>
          </cell>
          <cell r="J2902">
            <v>42</v>
          </cell>
          <cell r="K2902">
            <v>42</v>
          </cell>
          <cell r="L2902">
            <v>4</v>
          </cell>
          <cell r="M2902">
            <v>21</v>
          </cell>
          <cell r="N2902">
            <v>28</v>
          </cell>
          <cell r="O2902">
            <v>35</v>
          </cell>
        </row>
        <row r="2903">
          <cell r="A2903" t="str">
            <v>KoreaContractors</v>
          </cell>
          <cell r="B2903">
            <v>0</v>
          </cell>
          <cell r="C2903">
            <v>0</v>
          </cell>
          <cell r="D2903">
            <v>0</v>
          </cell>
          <cell r="E2903">
            <v>9</v>
          </cell>
          <cell r="F2903">
            <v>9</v>
          </cell>
          <cell r="G2903">
            <v>0</v>
          </cell>
          <cell r="H2903">
            <v>0</v>
          </cell>
          <cell r="I2903">
            <v>0</v>
          </cell>
          <cell r="J2903">
            <v>0</v>
          </cell>
          <cell r="K2903">
            <v>0</v>
          </cell>
          <cell r="L2903">
            <v>22</v>
          </cell>
          <cell r="M2903">
            <v>0</v>
          </cell>
          <cell r="N2903">
            <v>0</v>
          </cell>
          <cell r="O2903">
            <v>0</v>
          </cell>
        </row>
        <row r="2904">
          <cell r="A2904" t="str">
            <v>KoreaOutsourced to LCC</v>
          </cell>
          <cell r="B2904">
            <v>0</v>
          </cell>
          <cell r="C2904">
            <v>0</v>
          </cell>
          <cell r="D2904">
            <v>0</v>
          </cell>
          <cell r="E2904">
            <v>0</v>
          </cell>
          <cell r="F2904">
            <v>0</v>
          </cell>
          <cell r="G2904">
            <v>0</v>
          </cell>
          <cell r="H2904">
            <v>0</v>
          </cell>
          <cell r="I2904">
            <v>0</v>
          </cell>
          <cell r="J2904">
            <v>0</v>
          </cell>
          <cell r="K2904">
            <v>0</v>
          </cell>
          <cell r="L2904">
            <v>0</v>
          </cell>
          <cell r="M2904">
            <v>0</v>
          </cell>
          <cell r="N2904">
            <v>0</v>
          </cell>
          <cell r="O2904">
            <v>0</v>
          </cell>
        </row>
        <row r="2905">
          <cell r="A2905" t="str">
            <v>KoreaTotal Headcount</v>
          </cell>
          <cell r="B2905">
            <v>22</v>
          </cell>
          <cell r="C2905">
            <v>22</v>
          </cell>
          <cell r="D2905">
            <v>23</v>
          </cell>
          <cell r="E2905">
            <v>38</v>
          </cell>
          <cell r="F2905">
            <v>38</v>
          </cell>
          <cell r="G2905">
            <v>65</v>
          </cell>
          <cell r="H2905">
            <v>69</v>
          </cell>
          <cell r="I2905">
            <v>74</v>
          </cell>
          <cell r="J2905">
            <v>72</v>
          </cell>
          <cell r="K2905">
            <v>72</v>
          </cell>
          <cell r="L2905">
            <v>48</v>
          </cell>
          <cell r="M2905">
            <v>37</v>
          </cell>
          <cell r="N2905">
            <v>41</v>
          </cell>
          <cell r="O2905">
            <v>43</v>
          </cell>
        </row>
        <row r="2906">
          <cell r="A2906" t="str">
            <v>KoreaTotal Workforce</v>
          </cell>
          <cell r="B2906">
            <v>27</v>
          </cell>
          <cell r="C2906">
            <v>31</v>
          </cell>
          <cell r="D2906">
            <v>41</v>
          </cell>
          <cell r="E2906">
            <v>63</v>
          </cell>
          <cell r="F2906">
            <v>63</v>
          </cell>
          <cell r="G2906">
            <v>100</v>
          </cell>
          <cell r="H2906">
            <v>107</v>
          </cell>
          <cell r="I2906">
            <v>113</v>
          </cell>
          <cell r="J2906">
            <v>114</v>
          </cell>
          <cell r="K2906">
            <v>114</v>
          </cell>
          <cell r="L2906">
            <v>74</v>
          </cell>
          <cell r="M2906">
            <v>58</v>
          </cell>
          <cell r="N2906">
            <v>69</v>
          </cell>
          <cell r="O2906">
            <v>78</v>
          </cell>
        </row>
        <row r="2907">
          <cell r="A2907" t="str">
            <v>KoreaTotal Earned Revenue</v>
          </cell>
          <cell r="B2907">
            <v>-1798658.4</v>
          </cell>
          <cell r="C2907">
            <v>-2621242.02</v>
          </cell>
          <cell r="D2907">
            <v>-3147617.92</v>
          </cell>
          <cell r="E2907">
            <v>-2575106.29</v>
          </cell>
          <cell r="F2907">
            <v>-10142624.630000001</v>
          </cell>
          <cell r="G2907">
            <v>-4165794.9538230002</v>
          </cell>
          <cell r="H2907">
            <v>-5455798.3376230001</v>
          </cell>
          <cell r="I2907">
            <v>-6940270.6684330003</v>
          </cell>
          <cell r="J2907">
            <v>-8213618.5934899999</v>
          </cell>
          <cell r="K2907">
            <v>-24775482.553369001</v>
          </cell>
          <cell r="L2907">
            <v>-3399350.56</v>
          </cell>
          <cell r="M2907">
            <v>-19645880.050769001</v>
          </cell>
          <cell r="N2907">
            <v>-44619420.074615002</v>
          </cell>
          <cell r="O2907">
            <v>-71264068.231537998</v>
          </cell>
        </row>
        <row r="2908">
          <cell r="A2908" t="str">
            <v>KoreaOrdinary Gains - PreTax</v>
          </cell>
          <cell r="B2908">
            <v>0</v>
          </cell>
          <cell r="C2908">
            <v>0</v>
          </cell>
          <cell r="D2908">
            <v>0</v>
          </cell>
          <cell r="E2908">
            <v>0</v>
          </cell>
          <cell r="F2908">
            <v>0</v>
          </cell>
          <cell r="G2908">
            <v>0</v>
          </cell>
          <cell r="H2908">
            <v>0</v>
          </cell>
          <cell r="I2908">
            <v>0</v>
          </cell>
          <cell r="J2908">
            <v>0</v>
          </cell>
          <cell r="K2908">
            <v>0</v>
          </cell>
          <cell r="L2908">
            <v>0</v>
          </cell>
          <cell r="M2908">
            <v>0</v>
          </cell>
          <cell r="N2908">
            <v>0</v>
          </cell>
          <cell r="O2908">
            <v>0</v>
          </cell>
        </row>
        <row r="2909">
          <cell r="A2909" t="str">
            <v>KoreaOrdinary Gains - AfterTax</v>
          </cell>
          <cell r="B2909">
            <v>0</v>
          </cell>
          <cell r="C2909">
            <v>0</v>
          </cell>
          <cell r="D2909">
            <v>0</v>
          </cell>
          <cell r="E2909">
            <v>0</v>
          </cell>
          <cell r="F2909">
            <v>0</v>
          </cell>
          <cell r="G2909">
            <v>0</v>
          </cell>
          <cell r="H2909">
            <v>0</v>
          </cell>
          <cell r="I2909">
            <v>0</v>
          </cell>
          <cell r="J2909">
            <v>0</v>
          </cell>
          <cell r="K2909">
            <v>0</v>
          </cell>
          <cell r="L2909">
            <v>0</v>
          </cell>
          <cell r="M2909">
            <v>0</v>
          </cell>
          <cell r="N2909">
            <v>0</v>
          </cell>
          <cell r="O2909">
            <v>0</v>
          </cell>
        </row>
        <row r="2910">
          <cell r="A2910" t="str">
            <v>KoreaTotal Volume</v>
          </cell>
          <cell r="B2910">
            <v>22280496.100000001</v>
          </cell>
          <cell r="C2910">
            <v>27356970.23</v>
          </cell>
          <cell r="D2910">
            <v>23663393.43</v>
          </cell>
          <cell r="E2910">
            <v>47269570.130000003</v>
          </cell>
          <cell r="F2910">
            <v>120570429.89</v>
          </cell>
          <cell r="G2910">
            <v>53822861.468584001</v>
          </cell>
          <cell r="H2910">
            <v>69038607.115821004</v>
          </cell>
          <cell r="I2910">
            <v>72975018.925056994</v>
          </cell>
          <cell r="J2910">
            <v>69871309.613929003</v>
          </cell>
          <cell r="K2910">
            <v>265707797.123391</v>
          </cell>
          <cell r="L2910">
            <v>45501813.490000002</v>
          </cell>
          <cell r="M2910">
            <v>160000000</v>
          </cell>
          <cell r="N2910">
            <v>280000000</v>
          </cell>
          <cell r="O2910">
            <v>470000000</v>
          </cell>
        </row>
        <row r="2911">
          <cell r="A2911" t="str">
            <v>KoreaTOTAL # ACTIVE ACCOUNTS</v>
          </cell>
          <cell r="B2911">
            <v>5421</v>
          </cell>
          <cell r="C2911">
            <v>6998</v>
          </cell>
          <cell r="D2911">
            <v>7889</v>
          </cell>
          <cell r="E2911">
            <v>10715</v>
          </cell>
          <cell r="F2911">
            <v>10715</v>
          </cell>
          <cell r="G2911">
            <v>14096</v>
          </cell>
          <cell r="H2911">
            <v>18691</v>
          </cell>
          <cell r="I2911">
            <v>23390</v>
          </cell>
          <cell r="J2911">
            <v>28275</v>
          </cell>
          <cell r="K2911">
            <v>28275</v>
          </cell>
          <cell r="L2911">
            <v>0</v>
          </cell>
          <cell r="M2911">
            <v>19602</v>
          </cell>
          <cell r="N2911">
            <v>45883</v>
          </cell>
          <cell r="O2911">
            <v>60862</v>
          </cell>
        </row>
        <row r="2912">
          <cell r="A2912" t="str">
            <v>Mail ServicesTOTAL FINANCING RECEIVABLES</v>
          </cell>
          <cell r="B2912">
            <v>0</v>
          </cell>
          <cell r="C2912">
            <v>0</v>
          </cell>
          <cell r="D2912">
            <v>0</v>
          </cell>
          <cell r="E2912">
            <v>0</v>
          </cell>
          <cell r="F2912">
            <v>0</v>
          </cell>
          <cell r="G2912">
            <v>0</v>
          </cell>
          <cell r="H2912">
            <v>0</v>
          </cell>
          <cell r="I2912">
            <v>0</v>
          </cell>
          <cell r="J2912">
            <v>0</v>
          </cell>
          <cell r="K2912">
            <v>0</v>
          </cell>
          <cell r="L2912">
            <v>0</v>
          </cell>
          <cell r="M2912">
            <v>0</v>
          </cell>
          <cell r="N2912">
            <v>0</v>
          </cell>
          <cell r="O2912">
            <v>0</v>
          </cell>
        </row>
        <row r="2913">
          <cell r="A2913" t="str">
            <v>Mail ServicesRECEIVABLE RESERVES</v>
          </cell>
          <cell r="B2913">
            <v>0</v>
          </cell>
          <cell r="C2913">
            <v>0</v>
          </cell>
          <cell r="D2913">
            <v>0</v>
          </cell>
          <cell r="E2913">
            <v>0</v>
          </cell>
          <cell r="F2913">
            <v>0</v>
          </cell>
          <cell r="G2913">
            <v>0</v>
          </cell>
          <cell r="H2913">
            <v>0</v>
          </cell>
          <cell r="I2913">
            <v>0</v>
          </cell>
          <cell r="J2913">
            <v>0</v>
          </cell>
          <cell r="K2913">
            <v>0</v>
          </cell>
          <cell r="L2913">
            <v>0</v>
          </cell>
          <cell r="M2913">
            <v>0</v>
          </cell>
          <cell r="N2913">
            <v>0</v>
          </cell>
          <cell r="O2913">
            <v>0</v>
          </cell>
        </row>
        <row r="2914">
          <cell r="A2914" t="str">
            <v>Mail ServicesCASH</v>
          </cell>
          <cell r="B2914">
            <v>-593347.93999999994</v>
          </cell>
          <cell r="C2914">
            <v>-331176.84000000003</v>
          </cell>
          <cell r="D2914">
            <v>-429082.38</v>
          </cell>
          <cell r="E2914">
            <v>-652656.17000000004</v>
          </cell>
          <cell r="F2914">
            <v>-652656.17000000004</v>
          </cell>
          <cell r="G2914">
            <v>0</v>
          </cell>
          <cell r="H2914">
            <v>0</v>
          </cell>
          <cell r="I2914">
            <v>0</v>
          </cell>
          <cell r="J2914">
            <v>0</v>
          </cell>
          <cell r="K2914">
            <v>0</v>
          </cell>
          <cell r="L2914">
            <v>-468425.09</v>
          </cell>
          <cell r="M2914">
            <v>0</v>
          </cell>
          <cell r="N2914">
            <v>0</v>
          </cell>
          <cell r="O2914">
            <v>0</v>
          </cell>
        </row>
        <row r="2915">
          <cell r="A2915" t="str">
            <v>Mail ServicesINVESTMENT SECURITIES</v>
          </cell>
          <cell r="B2915">
            <v>0</v>
          </cell>
          <cell r="C2915">
            <v>0</v>
          </cell>
          <cell r="D2915">
            <v>0</v>
          </cell>
          <cell r="E2915">
            <v>0</v>
          </cell>
          <cell r="F2915">
            <v>0</v>
          </cell>
          <cell r="G2915">
            <v>0</v>
          </cell>
          <cell r="H2915">
            <v>0</v>
          </cell>
          <cell r="I2915">
            <v>0</v>
          </cell>
          <cell r="J2915">
            <v>0</v>
          </cell>
          <cell r="K2915">
            <v>0</v>
          </cell>
          <cell r="L2915">
            <v>0</v>
          </cell>
          <cell r="M2915">
            <v>0</v>
          </cell>
          <cell r="N2915">
            <v>0</v>
          </cell>
          <cell r="O2915">
            <v>0</v>
          </cell>
        </row>
        <row r="2916">
          <cell r="A2916" t="str">
            <v>Mail ServicesINV IN NON CONSOL AFFILIATES</v>
          </cell>
          <cell r="B2916">
            <v>0</v>
          </cell>
          <cell r="C2916">
            <v>0</v>
          </cell>
          <cell r="D2916">
            <v>0</v>
          </cell>
          <cell r="E2916">
            <v>0</v>
          </cell>
          <cell r="F2916">
            <v>0</v>
          </cell>
          <cell r="G2916">
            <v>0</v>
          </cell>
          <cell r="H2916">
            <v>0</v>
          </cell>
          <cell r="I2916">
            <v>0</v>
          </cell>
          <cell r="J2916">
            <v>0</v>
          </cell>
          <cell r="K2916">
            <v>0</v>
          </cell>
          <cell r="L2916">
            <v>0</v>
          </cell>
          <cell r="M2916">
            <v>0</v>
          </cell>
          <cell r="N2916">
            <v>0</v>
          </cell>
          <cell r="O2916">
            <v>0</v>
          </cell>
        </row>
        <row r="2917">
          <cell r="A2917" t="str">
            <v>Mail ServicesINVESTMENT IN JOINT VENTURE</v>
          </cell>
          <cell r="B2917">
            <v>0</v>
          </cell>
          <cell r="C2917">
            <v>0</v>
          </cell>
          <cell r="D2917">
            <v>0</v>
          </cell>
          <cell r="E2917">
            <v>0</v>
          </cell>
          <cell r="F2917">
            <v>0</v>
          </cell>
          <cell r="G2917">
            <v>0</v>
          </cell>
          <cell r="H2917">
            <v>0</v>
          </cell>
          <cell r="I2917">
            <v>0</v>
          </cell>
          <cell r="J2917">
            <v>0</v>
          </cell>
          <cell r="K2917">
            <v>0</v>
          </cell>
          <cell r="L2917">
            <v>0</v>
          </cell>
          <cell r="M2917">
            <v>0</v>
          </cell>
          <cell r="N2917">
            <v>0</v>
          </cell>
          <cell r="O2917">
            <v>0</v>
          </cell>
        </row>
        <row r="2918">
          <cell r="A2918" t="str">
            <v>Mail ServicesALL OTHER RECEIVABLES (NON-FINANCING)</v>
          </cell>
          <cell r="B2918">
            <v>2873706.65</v>
          </cell>
          <cell r="C2918">
            <v>5146753.03</v>
          </cell>
          <cell r="D2918">
            <v>2123094.7599999998</v>
          </cell>
          <cell r="E2918">
            <v>2549489.6800000002</v>
          </cell>
          <cell r="F2918">
            <v>2549489.6800000002</v>
          </cell>
          <cell r="G2918">
            <v>0</v>
          </cell>
          <cell r="H2918">
            <v>0</v>
          </cell>
          <cell r="I2918">
            <v>0</v>
          </cell>
          <cell r="J2918">
            <v>0</v>
          </cell>
          <cell r="K2918">
            <v>0</v>
          </cell>
          <cell r="L2918">
            <v>879963.35</v>
          </cell>
          <cell r="M2918">
            <v>0</v>
          </cell>
          <cell r="N2918">
            <v>0</v>
          </cell>
          <cell r="O2918">
            <v>0</v>
          </cell>
        </row>
        <row r="2919">
          <cell r="A2919" t="str">
            <v>Mail ServicesELTO (NET)</v>
          </cell>
          <cell r="B2919">
            <v>0</v>
          </cell>
          <cell r="C2919">
            <v>0</v>
          </cell>
          <cell r="D2919">
            <v>0</v>
          </cell>
          <cell r="E2919">
            <v>0</v>
          </cell>
          <cell r="F2919">
            <v>0</v>
          </cell>
          <cell r="G2919">
            <v>0</v>
          </cell>
          <cell r="H2919">
            <v>0</v>
          </cell>
          <cell r="I2919">
            <v>0</v>
          </cell>
          <cell r="J2919">
            <v>0</v>
          </cell>
          <cell r="K2919">
            <v>0</v>
          </cell>
          <cell r="L2919">
            <v>0</v>
          </cell>
          <cell r="M2919">
            <v>0</v>
          </cell>
          <cell r="N2919">
            <v>0</v>
          </cell>
          <cell r="O2919">
            <v>0</v>
          </cell>
        </row>
        <row r="2920">
          <cell r="A2920" t="str">
            <v>Mail ServicesGOODWILL</v>
          </cell>
          <cell r="B2920">
            <v>0</v>
          </cell>
          <cell r="C2920">
            <v>0</v>
          </cell>
          <cell r="D2920">
            <v>0</v>
          </cell>
          <cell r="E2920">
            <v>0</v>
          </cell>
          <cell r="F2920">
            <v>0</v>
          </cell>
          <cell r="G2920">
            <v>0</v>
          </cell>
          <cell r="H2920">
            <v>0</v>
          </cell>
          <cell r="I2920">
            <v>0</v>
          </cell>
          <cell r="J2920">
            <v>0</v>
          </cell>
          <cell r="K2920">
            <v>0</v>
          </cell>
          <cell r="L2920">
            <v>0</v>
          </cell>
          <cell r="M2920">
            <v>0</v>
          </cell>
          <cell r="N2920">
            <v>0</v>
          </cell>
          <cell r="O2920">
            <v>0</v>
          </cell>
        </row>
        <row r="2921">
          <cell r="A2921" t="str">
            <v>Mail ServicesOTHER ASSETS</v>
          </cell>
          <cell r="B2921">
            <v>3486419.91</v>
          </cell>
          <cell r="C2921">
            <v>3146952.12</v>
          </cell>
          <cell r="D2921">
            <v>3089250.7</v>
          </cell>
          <cell r="E2921">
            <v>3122265.4</v>
          </cell>
          <cell r="F2921">
            <v>3122265.4</v>
          </cell>
          <cell r="G2921">
            <v>0</v>
          </cell>
          <cell r="H2921">
            <v>0</v>
          </cell>
          <cell r="I2921">
            <v>0</v>
          </cell>
          <cell r="J2921">
            <v>0</v>
          </cell>
          <cell r="K2921">
            <v>0</v>
          </cell>
          <cell r="L2921">
            <v>14626.21</v>
          </cell>
          <cell r="M2921">
            <v>0</v>
          </cell>
          <cell r="N2921">
            <v>0</v>
          </cell>
          <cell r="O2921">
            <v>0</v>
          </cell>
        </row>
        <row r="2922">
          <cell r="A2922" t="str">
            <v>Mail ServicesACCOUNTS PAYABLE</v>
          </cell>
          <cell r="B2922">
            <v>1471880.46</v>
          </cell>
          <cell r="C2922">
            <v>1103865.8500000001</v>
          </cell>
          <cell r="D2922">
            <v>1346184.72</v>
          </cell>
          <cell r="E2922">
            <v>1393149.55</v>
          </cell>
          <cell r="F2922">
            <v>1393149.55</v>
          </cell>
          <cell r="G2922">
            <v>0</v>
          </cell>
          <cell r="H2922">
            <v>0</v>
          </cell>
          <cell r="I2922">
            <v>0</v>
          </cell>
          <cell r="J2922">
            <v>0</v>
          </cell>
          <cell r="K2922">
            <v>0</v>
          </cell>
          <cell r="L2922">
            <v>1297742.67</v>
          </cell>
          <cell r="M2922">
            <v>0</v>
          </cell>
          <cell r="N2922">
            <v>0</v>
          </cell>
          <cell r="O2922">
            <v>0</v>
          </cell>
        </row>
        <row r="2923">
          <cell r="A2923" t="str">
            <v>Mail ServicesDEFERRED INCOME TAXES</v>
          </cell>
          <cell r="B2923">
            <v>893870.93</v>
          </cell>
          <cell r="C2923">
            <v>934353.92000000004</v>
          </cell>
          <cell r="D2923">
            <v>943691.32</v>
          </cell>
          <cell r="E2923">
            <v>1139922.96</v>
          </cell>
          <cell r="F2923">
            <v>1139922.96</v>
          </cell>
          <cell r="G2923">
            <v>0</v>
          </cell>
          <cell r="H2923">
            <v>0</v>
          </cell>
          <cell r="I2923">
            <v>0</v>
          </cell>
          <cell r="J2923">
            <v>0</v>
          </cell>
          <cell r="K2923">
            <v>0</v>
          </cell>
          <cell r="L2923">
            <v>1119964.75</v>
          </cell>
          <cell r="M2923">
            <v>0</v>
          </cell>
          <cell r="N2923">
            <v>0</v>
          </cell>
          <cell r="O2923">
            <v>0</v>
          </cell>
        </row>
        <row r="2924">
          <cell r="A2924" t="str">
            <v>Mail ServicesWRITE-OFF (MEMO)</v>
          </cell>
          <cell r="B2924">
            <v>0</v>
          </cell>
          <cell r="C2924">
            <v>0</v>
          </cell>
          <cell r="D2924">
            <v>0</v>
          </cell>
          <cell r="E2924">
            <v>0</v>
          </cell>
          <cell r="F2924">
            <v>0</v>
          </cell>
          <cell r="G2924">
            <v>0</v>
          </cell>
          <cell r="H2924">
            <v>0</v>
          </cell>
          <cell r="I2924">
            <v>0</v>
          </cell>
          <cell r="J2924">
            <v>0</v>
          </cell>
          <cell r="K2924">
            <v>0</v>
          </cell>
          <cell r="L2924">
            <v>0</v>
          </cell>
          <cell r="M2924">
            <v>0</v>
          </cell>
          <cell r="N2924">
            <v>0</v>
          </cell>
          <cell r="O2924">
            <v>0</v>
          </cell>
        </row>
        <row r="2925">
          <cell r="A2925" t="str">
            <v>Mail ServicesINSURANCE RESERVES AND ANNUITY BENEFITS</v>
          </cell>
          <cell r="B2925">
            <v>0</v>
          </cell>
          <cell r="C2925">
            <v>0</v>
          </cell>
          <cell r="D2925">
            <v>0</v>
          </cell>
          <cell r="E2925">
            <v>0</v>
          </cell>
          <cell r="F2925">
            <v>0</v>
          </cell>
          <cell r="G2925">
            <v>0</v>
          </cell>
          <cell r="H2925">
            <v>0</v>
          </cell>
          <cell r="I2925">
            <v>0</v>
          </cell>
          <cell r="J2925">
            <v>0</v>
          </cell>
          <cell r="K2925">
            <v>0</v>
          </cell>
          <cell r="L2925">
            <v>0</v>
          </cell>
          <cell r="M2925">
            <v>0</v>
          </cell>
          <cell r="N2925">
            <v>0</v>
          </cell>
          <cell r="O2925">
            <v>0</v>
          </cell>
        </row>
        <row r="2926">
          <cell r="A2926" t="str">
            <v>Mail ServicesALL OTHER NON DEBT LIABILITIES</v>
          </cell>
          <cell r="B2926">
            <v>-599379.11</v>
          </cell>
          <cell r="C2926">
            <v>-1910931.05</v>
          </cell>
          <cell r="D2926">
            <v>-1278763.1299999999</v>
          </cell>
          <cell r="E2926">
            <v>-1371019.62</v>
          </cell>
          <cell r="F2926">
            <v>-1371019.62</v>
          </cell>
          <cell r="G2926">
            <v>0</v>
          </cell>
          <cell r="H2926">
            <v>0</v>
          </cell>
          <cell r="I2926">
            <v>0</v>
          </cell>
          <cell r="J2926">
            <v>0</v>
          </cell>
          <cell r="K2926">
            <v>0</v>
          </cell>
          <cell r="L2926">
            <v>-1083772.58</v>
          </cell>
          <cell r="M2926">
            <v>0</v>
          </cell>
          <cell r="N2926">
            <v>0</v>
          </cell>
          <cell r="O2926">
            <v>0</v>
          </cell>
        </row>
        <row r="2927">
          <cell r="A2927" t="str">
            <v>Mail ServicesMINORITY INTEREST (BS)</v>
          </cell>
          <cell r="B2927">
            <v>0</v>
          </cell>
          <cell r="C2927">
            <v>0</v>
          </cell>
          <cell r="D2927">
            <v>0</v>
          </cell>
          <cell r="E2927">
            <v>0</v>
          </cell>
          <cell r="F2927">
            <v>0</v>
          </cell>
          <cell r="G2927">
            <v>0</v>
          </cell>
          <cell r="H2927">
            <v>0</v>
          </cell>
          <cell r="I2927">
            <v>0</v>
          </cell>
          <cell r="J2927">
            <v>0</v>
          </cell>
          <cell r="K2927">
            <v>0</v>
          </cell>
          <cell r="L2927">
            <v>0</v>
          </cell>
          <cell r="M2927">
            <v>0</v>
          </cell>
          <cell r="N2927">
            <v>0</v>
          </cell>
          <cell r="O2927">
            <v>0</v>
          </cell>
        </row>
        <row r="2928">
          <cell r="A2928" t="str">
            <v>Mail ServicesASIA PACIFIC ENI DIVIDEND</v>
          </cell>
          <cell r="B2928">
            <v>0</v>
          </cell>
          <cell r="C2928">
            <v>0</v>
          </cell>
          <cell r="D2928">
            <v>0</v>
          </cell>
          <cell r="E2928">
            <v>0</v>
          </cell>
          <cell r="F2928">
            <v>0</v>
          </cell>
          <cell r="G2928">
            <v>0</v>
          </cell>
          <cell r="H2928">
            <v>0</v>
          </cell>
          <cell r="I2928">
            <v>0</v>
          </cell>
          <cell r="J2928">
            <v>0</v>
          </cell>
          <cell r="K2928">
            <v>0</v>
          </cell>
          <cell r="L2928">
            <v>0</v>
          </cell>
          <cell r="M2928">
            <v>0</v>
          </cell>
          <cell r="N2928">
            <v>0</v>
          </cell>
          <cell r="O2928">
            <v>0</v>
          </cell>
        </row>
        <row r="2929">
          <cell r="A2929" t="str">
            <v>Mail ServicesFINANCING INCOME</v>
          </cell>
          <cell r="B2929">
            <v>0</v>
          </cell>
          <cell r="C2929">
            <v>0</v>
          </cell>
          <cell r="D2929">
            <v>0</v>
          </cell>
          <cell r="E2929">
            <v>0</v>
          </cell>
          <cell r="F2929">
            <v>0</v>
          </cell>
          <cell r="G2929">
            <v>0</v>
          </cell>
          <cell r="H2929">
            <v>0</v>
          </cell>
          <cell r="I2929">
            <v>0</v>
          </cell>
          <cell r="J2929">
            <v>0</v>
          </cell>
          <cell r="K2929">
            <v>0</v>
          </cell>
          <cell r="L2929">
            <v>0</v>
          </cell>
          <cell r="M2929">
            <v>0</v>
          </cell>
          <cell r="N2929">
            <v>0</v>
          </cell>
          <cell r="O2929">
            <v>0</v>
          </cell>
        </row>
        <row r="2930">
          <cell r="A2930" t="str">
            <v>Mail ServicesINSURANCE PREMIUM INCOME</v>
          </cell>
          <cell r="B2930">
            <v>0</v>
          </cell>
          <cell r="C2930">
            <v>0</v>
          </cell>
          <cell r="D2930">
            <v>0</v>
          </cell>
          <cell r="E2930">
            <v>0</v>
          </cell>
          <cell r="F2930">
            <v>0</v>
          </cell>
          <cell r="G2930">
            <v>0</v>
          </cell>
          <cell r="H2930">
            <v>0</v>
          </cell>
          <cell r="I2930">
            <v>0</v>
          </cell>
          <cell r="J2930">
            <v>0</v>
          </cell>
          <cell r="K2930">
            <v>0</v>
          </cell>
          <cell r="L2930">
            <v>0</v>
          </cell>
          <cell r="M2930">
            <v>0</v>
          </cell>
          <cell r="N2930">
            <v>0</v>
          </cell>
          <cell r="O2930">
            <v>0</v>
          </cell>
        </row>
        <row r="2931">
          <cell r="A2931" t="str">
            <v>Mail ServicesINSURANCE INCOME (COMMISSIONS)</v>
          </cell>
          <cell r="B2931">
            <v>0</v>
          </cell>
          <cell r="C2931">
            <v>0</v>
          </cell>
          <cell r="D2931">
            <v>0</v>
          </cell>
          <cell r="E2931">
            <v>0</v>
          </cell>
          <cell r="F2931">
            <v>0</v>
          </cell>
          <cell r="G2931">
            <v>0</v>
          </cell>
          <cell r="H2931">
            <v>0</v>
          </cell>
          <cell r="I2931">
            <v>0</v>
          </cell>
          <cell r="J2931">
            <v>0</v>
          </cell>
          <cell r="K2931">
            <v>0</v>
          </cell>
          <cell r="L2931">
            <v>0</v>
          </cell>
          <cell r="M2931">
            <v>0</v>
          </cell>
          <cell r="N2931">
            <v>0</v>
          </cell>
          <cell r="O2931">
            <v>0</v>
          </cell>
        </row>
        <row r="2932">
          <cell r="A2932" t="str">
            <v>Mail ServicesSUNDRY INCOME</v>
          </cell>
          <cell r="B2932">
            <v>-277276.61</v>
          </cell>
          <cell r="C2932">
            <v>-148869.26999999999</v>
          </cell>
          <cell r="D2932">
            <v>-186282.53</v>
          </cell>
          <cell r="E2932">
            <v>-189709.77</v>
          </cell>
          <cell r="F2932">
            <v>-802138.18</v>
          </cell>
          <cell r="G2932">
            <v>0</v>
          </cell>
          <cell r="H2932">
            <v>0</v>
          </cell>
          <cell r="I2932">
            <v>0</v>
          </cell>
          <cell r="J2932">
            <v>0</v>
          </cell>
          <cell r="K2932">
            <v>0</v>
          </cell>
          <cell r="L2932">
            <v>-29261.64</v>
          </cell>
          <cell r="M2932">
            <v>0</v>
          </cell>
          <cell r="N2932">
            <v>0</v>
          </cell>
          <cell r="O2932">
            <v>0</v>
          </cell>
        </row>
        <row r="2933">
          <cell r="A2933" t="str">
            <v>Mail ServicesINTEREST EXPENSE</v>
          </cell>
          <cell r="B2933">
            <v>84950.67</v>
          </cell>
          <cell r="C2933">
            <v>97837.42</v>
          </cell>
          <cell r="D2933">
            <v>77471.19</v>
          </cell>
          <cell r="E2933">
            <v>84889.26</v>
          </cell>
          <cell r="F2933">
            <v>345148.54</v>
          </cell>
          <cell r="G2933">
            <v>0</v>
          </cell>
          <cell r="H2933">
            <v>0</v>
          </cell>
          <cell r="I2933">
            <v>0</v>
          </cell>
          <cell r="J2933">
            <v>0</v>
          </cell>
          <cell r="K2933">
            <v>0</v>
          </cell>
          <cell r="L2933">
            <v>34783.82</v>
          </cell>
          <cell r="M2933">
            <v>251000</v>
          </cell>
          <cell r="N2933">
            <v>234000</v>
          </cell>
          <cell r="O2933">
            <v>212000</v>
          </cell>
        </row>
        <row r="2934">
          <cell r="A2934" t="str">
            <v>Mail ServicesINTEREST EXPENSE REDUCTIONS / BUS SHARING</v>
          </cell>
          <cell r="B2934">
            <v>0</v>
          </cell>
          <cell r="C2934">
            <v>0</v>
          </cell>
          <cell r="D2934">
            <v>0</v>
          </cell>
          <cell r="E2934">
            <v>0</v>
          </cell>
          <cell r="F2934">
            <v>0</v>
          </cell>
          <cell r="G2934">
            <v>0</v>
          </cell>
          <cell r="H2934">
            <v>0</v>
          </cell>
          <cell r="I2934">
            <v>0</v>
          </cell>
          <cell r="J2934">
            <v>0</v>
          </cell>
          <cell r="K2934">
            <v>0</v>
          </cell>
          <cell r="L2934">
            <v>0</v>
          </cell>
          <cell r="M2934">
            <v>0</v>
          </cell>
          <cell r="N2934">
            <v>0</v>
          </cell>
          <cell r="O2934">
            <v>0</v>
          </cell>
        </row>
        <row r="2935">
          <cell r="A2935" t="str">
            <v>Mail ServicesALLOCATED COST OF PREFERRED EQUITY</v>
          </cell>
          <cell r="B2935">
            <v>940.36</v>
          </cell>
          <cell r="C2935">
            <v>766.02</v>
          </cell>
          <cell r="D2935">
            <v>602.38</v>
          </cell>
          <cell r="E2935">
            <v>695.97</v>
          </cell>
          <cell r="F2935">
            <v>3004.73</v>
          </cell>
          <cell r="G2935">
            <v>0</v>
          </cell>
          <cell r="H2935">
            <v>0</v>
          </cell>
          <cell r="I2935">
            <v>0</v>
          </cell>
          <cell r="J2935">
            <v>0</v>
          </cell>
          <cell r="K2935">
            <v>0</v>
          </cell>
          <cell r="L2935">
            <v>230.33</v>
          </cell>
          <cell r="M2935">
            <v>0</v>
          </cell>
          <cell r="N2935">
            <v>0</v>
          </cell>
          <cell r="O2935">
            <v>0</v>
          </cell>
        </row>
        <row r="2936">
          <cell r="A2936" t="str">
            <v>Mail ServicesSALARIES &amp; BENEFITS</v>
          </cell>
          <cell r="B2936">
            <v>854035.37</v>
          </cell>
          <cell r="C2936">
            <v>839627.48</v>
          </cell>
          <cell r="D2936">
            <v>848534.75</v>
          </cell>
          <cell r="E2936">
            <v>915494.61</v>
          </cell>
          <cell r="F2936">
            <v>3457692.21</v>
          </cell>
          <cell r="G2936">
            <v>0</v>
          </cell>
          <cell r="H2936">
            <v>0</v>
          </cell>
          <cell r="I2936">
            <v>0</v>
          </cell>
          <cell r="J2936">
            <v>0</v>
          </cell>
          <cell r="K2936">
            <v>0</v>
          </cell>
          <cell r="L2936">
            <v>78206.710000000006</v>
          </cell>
          <cell r="M2936">
            <v>3353000</v>
          </cell>
          <cell r="N2936">
            <v>3466000</v>
          </cell>
          <cell r="O2936">
            <v>3582000</v>
          </cell>
        </row>
        <row r="2937">
          <cell r="A2937" t="str">
            <v>Mail ServicesLOSSES ON OTHER ASSETS</v>
          </cell>
          <cell r="B2937">
            <v>0</v>
          </cell>
          <cell r="C2937">
            <v>0</v>
          </cell>
          <cell r="D2937">
            <v>2007.42</v>
          </cell>
          <cell r="E2937">
            <v>0</v>
          </cell>
          <cell r="F2937">
            <v>2007.42</v>
          </cell>
          <cell r="G2937">
            <v>0</v>
          </cell>
          <cell r="H2937">
            <v>0</v>
          </cell>
          <cell r="I2937">
            <v>0</v>
          </cell>
          <cell r="J2937">
            <v>0</v>
          </cell>
          <cell r="K2937">
            <v>0</v>
          </cell>
          <cell r="L2937">
            <v>0</v>
          </cell>
          <cell r="M2937">
            <v>0</v>
          </cell>
          <cell r="N2937">
            <v>0</v>
          </cell>
          <cell r="O2937">
            <v>0</v>
          </cell>
        </row>
        <row r="2938">
          <cell r="A2938" t="str">
            <v>Mail ServicesCOST OF GOODS SOLD</v>
          </cell>
          <cell r="B2938">
            <v>0</v>
          </cell>
          <cell r="C2938">
            <v>0</v>
          </cell>
          <cell r="D2938">
            <v>0</v>
          </cell>
          <cell r="E2938">
            <v>0</v>
          </cell>
          <cell r="F2938">
            <v>0</v>
          </cell>
          <cell r="G2938">
            <v>0</v>
          </cell>
          <cell r="H2938">
            <v>0</v>
          </cell>
          <cell r="I2938">
            <v>0</v>
          </cell>
          <cell r="J2938">
            <v>0</v>
          </cell>
          <cell r="K2938">
            <v>0</v>
          </cell>
          <cell r="L2938">
            <v>0</v>
          </cell>
          <cell r="M2938">
            <v>0</v>
          </cell>
          <cell r="N2938">
            <v>0</v>
          </cell>
          <cell r="O2938">
            <v>0</v>
          </cell>
        </row>
        <row r="2939">
          <cell r="A2939" t="str">
            <v>Mail ServicesCOST OF GOODS SOLD - DISTRIBUTION</v>
          </cell>
          <cell r="B2939">
            <v>0</v>
          </cell>
          <cell r="C2939">
            <v>0</v>
          </cell>
          <cell r="D2939">
            <v>0</v>
          </cell>
          <cell r="E2939">
            <v>0</v>
          </cell>
          <cell r="F2939">
            <v>0</v>
          </cell>
          <cell r="G2939">
            <v>0</v>
          </cell>
          <cell r="H2939">
            <v>0</v>
          </cell>
          <cell r="I2939">
            <v>0</v>
          </cell>
          <cell r="J2939">
            <v>0</v>
          </cell>
          <cell r="K2939">
            <v>0</v>
          </cell>
          <cell r="L2939">
            <v>0</v>
          </cell>
          <cell r="M2939">
            <v>0</v>
          </cell>
          <cell r="N2939">
            <v>0</v>
          </cell>
          <cell r="O2939">
            <v>0</v>
          </cell>
        </row>
        <row r="2940">
          <cell r="A2940" t="str">
            <v>Mail ServicesPOSTAGE</v>
          </cell>
          <cell r="B2940">
            <v>2094.0500000000002</v>
          </cell>
          <cell r="C2940">
            <v>431.85</v>
          </cell>
          <cell r="D2940">
            <v>3066.09</v>
          </cell>
          <cell r="E2940">
            <v>4257.7700000000004</v>
          </cell>
          <cell r="F2940">
            <v>9849.76</v>
          </cell>
          <cell r="G2940">
            <v>0</v>
          </cell>
          <cell r="H2940">
            <v>0</v>
          </cell>
          <cell r="I2940">
            <v>0</v>
          </cell>
          <cell r="J2940">
            <v>0</v>
          </cell>
          <cell r="K2940">
            <v>0</v>
          </cell>
          <cell r="L2940">
            <v>-0.01</v>
          </cell>
          <cell r="M2940">
            <v>0</v>
          </cell>
          <cell r="N2940">
            <v>0</v>
          </cell>
          <cell r="O2940">
            <v>0</v>
          </cell>
        </row>
        <row r="2941">
          <cell r="A2941" t="str">
            <v>Mail ServicesTELEPHONE</v>
          </cell>
          <cell r="B2941">
            <v>17777.68</v>
          </cell>
          <cell r="C2941">
            <v>17966.84</v>
          </cell>
          <cell r="D2941">
            <v>18043.12</v>
          </cell>
          <cell r="E2941">
            <v>23096.75</v>
          </cell>
          <cell r="F2941">
            <v>76884.39</v>
          </cell>
          <cell r="G2941">
            <v>0</v>
          </cell>
          <cell r="H2941">
            <v>0</v>
          </cell>
          <cell r="I2941">
            <v>0</v>
          </cell>
          <cell r="J2941">
            <v>0</v>
          </cell>
          <cell r="K2941">
            <v>0</v>
          </cell>
          <cell r="L2941">
            <v>0</v>
          </cell>
          <cell r="M2941">
            <v>32000</v>
          </cell>
          <cell r="N2941">
            <v>33000</v>
          </cell>
          <cell r="O2941">
            <v>35000</v>
          </cell>
        </row>
        <row r="2942">
          <cell r="A2942" t="str">
            <v>Mail ServicesCUSTOMER SERVICE / COLLECTIONS</v>
          </cell>
          <cell r="B2942">
            <v>0</v>
          </cell>
          <cell r="C2942">
            <v>0</v>
          </cell>
          <cell r="D2942">
            <v>0</v>
          </cell>
          <cell r="E2942">
            <v>0</v>
          </cell>
          <cell r="F2942">
            <v>0</v>
          </cell>
          <cell r="G2942">
            <v>0</v>
          </cell>
          <cell r="H2942">
            <v>0</v>
          </cell>
          <cell r="I2942">
            <v>0</v>
          </cell>
          <cell r="J2942">
            <v>0</v>
          </cell>
          <cell r="K2942">
            <v>0</v>
          </cell>
          <cell r="L2942">
            <v>0</v>
          </cell>
          <cell r="M2942">
            <v>0</v>
          </cell>
          <cell r="N2942">
            <v>0</v>
          </cell>
          <cell r="O2942">
            <v>0</v>
          </cell>
        </row>
        <row r="2943">
          <cell r="A2943" t="str">
            <v>Mail ServicesSTATIONARY - OFFICE SUPPLIES</v>
          </cell>
          <cell r="B2943">
            <v>11473.35</v>
          </cell>
          <cell r="C2943">
            <v>6718.61</v>
          </cell>
          <cell r="D2943">
            <v>14040.62</v>
          </cell>
          <cell r="E2943">
            <v>15719.42</v>
          </cell>
          <cell r="F2943">
            <v>47952</v>
          </cell>
          <cell r="G2943">
            <v>0</v>
          </cell>
          <cell r="H2943">
            <v>0</v>
          </cell>
          <cell r="I2943">
            <v>0</v>
          </cell>
          <cell r="J2943">
            <v>0</v>
          </cell>
          <cell r="K2943">
            <v>0</v>
          </cell>
          <cell r="L2943">
            <v>0</v>
          </cell>
          <cell r="M2943">
            <v>38000</v>
          </cell>
          <cell r="N2943">
            <v>39000</v>
          </cell>
          <cell r="O2943">
            <v>41000</v>
          </cell>
        </row>
        <row r="2944">
          <cell r="A2944" t="str">
            <v>Mail ServicesT&amp;L</v>
          </cell>
          <cell r="B2944">
            <v>9764.26</v>
          </cell>
          <cell r="C2944">
            <v>29053.32</v>
          </cell>
          <cell r="D2944">
            <v>22352.7</v>
          </cell>
          <cell r="E2944">
            <v>39655.519999999997</v>
          </cell>
          <cell r="F2944">
            <v>100825.8</v>
          </cell>
          <cell r="G2944">
            <v>0</v>
          </cell>
          <cell r="H2944">
            <v>0</v>
          </cell>
          <cell r="I2944">
            <v>0</v>
          </cell>
          <cell r="J2944">
            <v>0</v>
          </cell>
          <cell r="K2944">
            <v>0</v>
          </cell>
          <cell r="L2944">
            <v>-8453.09</v>
          </cell>
          <cell r="M2944">
            <v>75000</v>
          </cell>
          <cell r="N2944">
            <v>78000</v>
          </cell>
          <cell r="O2944">
            <v>81000</v>
          </cell>
        </row>
        <row r="2945">
          <cell r="A2945" t="str">
            <v>Mail ServicesRENTAL - BLDG/FACILITIES</v>
          </cell>
          <cell r="B2945">
            <v>122023.66</v>
          </cell>
          <cell r="C2945">
            <v>114269.53</v>
          </cell>
          <cell r="D2945">
            <v>118414.08</v>
          </cell>
          <cell r="E2945">
            <v>121892.21</v>
          </cell>
          <cell r="F2945">
            <v>476599.48</v>
          </cell>
          <cell r="G2945">
            <v>0</v>
          </cell>
          <cell r="H2945">
            <v>0</v>
          </cell>
          <cell r="I2945">
            <v>0</v>
          </cell>
          <cell r="J2945">
            <v>0</v>
          </cell>
          <cell r="K2945">
            <v>0</v>
          </cell>
          <cell r="L2945">
            <v>0</v>
          </cell>
          <cell r="M2945">
            <v>1146000</v>
          </cell>
          <cell r="N2945">
            <v>1212000</v>
          </cell>
          <cell r="O2945">
            <v>1230000</v>
          </cell>
        </row>
        <row r="2946">
          <cell r="A2946" t="str">
            <v>Mail ServicesRENTAL - FURNITURE/EQUIP</v>
          </cell>
          <cell r="B2946">
            <v>4876.3100000000004</v>
          </cell>
          <cell r="C2946">
            <v>4662.96</v>
          </cell>
          <cell r="D2946">
            <v>4662.3500000000004</v>
          </cell>
          <cell r="E2946">
            <v>3338.27</v>
          </cell>
          <cell r="F2946">
            <v>17539.89</v>
          </cell>
          <cell r="G2946">
            <v>0</v>
          </cell>
          <cell r="H2946">
            <v>0</v>
          </cell>
          <cell r="I2946">
            <v>0</v>
          </cell>
          <cell r="J2946">
            <v>0</v>
          </cell>
          <cell r="K2946">
            <v>0</v>
          </cell>
          <cell r="L2946">
            <v>0</v>
          </cell>
          <cell r="M2946">
            <v>19000</v>
          </cell>
          <cell r="N2946">
            <v>19000</v>
          </cell>
          <cell r="O2946">
            <v>20000</v>
          </cell>
        </row>
        <row r="2947">
          <cell r="A2947" t="str">
            <v>Mail ServicesRENTAL - COMPUTERS</v>
          </cell>
          <cell r="B2947">
            <v>0</v>
          </cell>
          <cell r="C2947">
            <v>0</v>
          </cell>
          <cell r="D2947">
            <v>0</v>
          </cell>
          <cell r="E2947">
            <v>0</v>
          </cell>
          <cell r="F2947">
            <v>0</v>
          </cell>
          <cell r="G2947">
            <v>0</v>
          </cell>
          <cell r="H2947">
            <v>0</v>
          </cell>
          <cell r="I2947">
            <v>0</v>
          </cell>
          <cell r="J2947">
            <v>0</v>
          </cell>
          <cell r="K2947">
            <v>0</v>
          </cell>
          <cell r="L2947">
            <v>0</v>
          </cell>
          <cell r="M2947">
            <v>0</v>
          </cell>
          <cell r="N2947">
            <v>0</v>
          </cell>
          <cell r="O2947">
            <v>0</v>
          </cell>
        </row>
        <row r="2948">
          <cell r="A2948" t="str">
            <v>Mail ServicesLEASE IN - LEASE OUT</v>
          </cell>
          <cell r="B2948">
            <v>0</v>
          </cell>
          <cell r="C2948">
            <v>0</v>
          </cell>
          <cell r="D2948">
            <v>0</v>
          </cell>
          <cell r="E2948">
            <v>0</v>
          </cell>
          <cell r="F2948">
            <v>0</v>
          </cell>
          <cell r="G2948">
            <v>0</v>
          </cell>
          <cell r="H2948">
            <v>0</v>
          </cell>
          <cell r="I2948">
            <v>0</v>
          </cell>
          <cell r="J2948">
            <v>0</v>
          </cell>
          <cell r="K2948">
            <v>0</v>
          </cell>
          <cell r="L2948">
            <v>0</v>
          </cell>
          <cell r="M2948">
            <v>0</v>
          </cell>
          <cell r="N2948">
            <v>0</v>
          </cell>
          <cell r="O2948">
            <v>0</v>
          </cell>
        </row>
        <row r="2949">
          <cell r="A2949" t="str">
            <v>Mail ServicesFURNITURE / EQUIPMENT / COMPUTER EXP</v>
          </cell>
          <cell r="B2949">
            <v>223959.52</v>
          </cell>
          <cell r="C2949">
            <v>319659.46000000002</v>
          </cell>
          <cell r="D2949">
            <v>212603.57</v>
          </cell>
          <cell r="E2949">
            <v>84321.51</v>
          </cell>
          <cell r="F2949">
            <v>840544.06</v>
          </cell>
          <cell r="G2949">
            <v>0</v>
          </cell>
          <cell r="H2949">
            <v>0</v>
          </cell>
          <cell r="I2949">
            <v>0</v>
          </cell>
          <cell r="J2949">
            <v>0</v>
          </cell>
          <cell r="K2949">
            <v>0</v>
          </cell>
          <cell r="L2949">
            <v>-0.01</v>
          </cell>
          <cell r="M2949">
            <v>1174000</v>
          </cell>
          <cell r="N2949">
            <v>1221000</v>
          </cell>
          <cell r="O2949">
            <v>1270000</v>
          </cell>
        </row>
        <row r="2950">
          <cell r="A2950" t="str">
            <v>Mail ServicesSOFTWARE EXPENSE</v>
          </cell>
          <cell r="B2950">
            <v>0</v>
          </cell>
          <cell r="C2950">
            <v>0</v>
          </cell>
          <cell r="D2950">
            <v>0</v>
          </cell>
          <cell r="E2950">
            <v>0</v>
          </cell>
          <cell r="F2950">
            <v>0</v>
          </cell>
          <cell r="G2950">
            <v>0</v>
          </cell>
          <cell r="H2950">
            <v>0</v>
          </cell>
          <cell r="I2950">
            <v>0</v>
          </cell>
          <cell r="J2950">
            <v>0</v>
          </cell>
          <cell r="K2950">
            <v>0</v>
          </cell>
          <cell r="L2950">
            <v>0</v>
          </cell>
          <cell r="M2950">
            <v>0</v>
          </cell>
          <cell r="N2950">
            <v>0</v>
          </cell>
          <cell r="O2950">
            <v>0</v>
          </cell>
        </row>
        <row r="2951">
          <cell r="A2951" t="str">
            <v>Mail ServicesAMORTIZATION OF INTANGIBLES</v>
          </cell>
          <cell r="B2951">
            <v>0</v>
          </cell>
          <cell r="C2951">
            <v>0</v>
          </cell>
          <cell r="D2951">
            <v>0</v>
          </cell>
          <cell r="E2951">
            <v>0</v>
          </cell>
          <cell r="F2951">
            <v>0</v>
          </cell>
          <cell r="G2951">
            <v>0</v>
          </cell>
          <cell r="H2951">
            <v>0</v>
          </cell>
          <cell r="I2951">
            <v>0</v>
          </cell>
          <cell r="J2951">
            <v>0</v>
          </cell>
          <cell r="K2951">
            <v>0</v>
          </cell>
          <cell r="L2951">
            <v>0</v>
          </cell>
          <cell r="M2951">
            <v>0</v>
          </cell>
          <cell r="N2951">
            <v>0</v>
          </cell>
          <cell r="O2951">
            <v>0</v>
          </cell>
        </row>
        <row r="2952">
          <cell r="A2952" t="str">
            <v>Mail ServicesELTO MAINTENANCE</v>
          </cell>
          <cell r="B2952">
            <v>0</v>
          </cell>
          <cell r="C2952">
            <v>0</v>
          </cell>
          <cell r="D2952">
            <v>0</v>
          </cell>
          <cell r="E2952">
            <v>0</v>
          </cell>
          <cell r="F2952">
            <v>0</v>
          </cell>
          <cell r="G2952">
            <v>0</v>
          </cell>
          <cell r="H2952">
            <v>0</v>
          </cell>
          <cell r="I2952">
            <v>0</v>
          </cell>
          <cell r="J2952">
            <v>0</v>
          </cell>
          <cell r="K2952">
            <v>0</v>
          </cell>
          <cell r="L2952">
            <v>0</v>
          </cell>
          <cell r="M2952">
            <v>0</v>
          </cell>
          <cell r="N2952">
            <v>0</v>
          </cell>
          <cell r="O2952">
            <v>0</v>
          </cell>
        </row>
        <row r="2953">
          <cell r="A2953" t="str">
            <v>Mail ServicesELTO OTHER</v>
          </cell>
          <cell r="B2953">
            <v>0</v>
          </cell>
          <cell r="C2953">
            <v>0</v>
          </cell>
          <cell r="D2953">
            <v>0</v>
          </cell>
          <cell r="E2953">
            <v>0</v>
          </cell>
          <cell r="F2953">
            <v>0</v>
          </cell>
          <cell r="G2953">
            <v>0</v>
          </cell>
          <cell r="H2953">
            <v>0</v>
          </cell>
          <cell r="I2953">
            <v>0</v>
          </cell>
          <cell r="J2953">
            <v>0</v>
          </cell>
          <cell r="K2953">
            <v>0</v>
          </cell>
          <cell r="L2953">
            <v>0</v>
          </cell>
          <cell r="M2953">
            <v>0</v>
          </cell>
          <cell r="N2953">
            <v>0</v>
          </cell>
          <cell r="O2953">
            <v>0</v>
          </cell>
        </row>
        <row r="2954">
          <cell r="A2954" t="str">
            <v>Mail ServicesLEGAL</v>
          </cell>
          <cell r="B2954">
            <v>0</v>
          </cell>
          <cell r="C2954">
            <v>0</v>
          </cell>
          <cell r="D2954">
            <v>0</v>
          </cell>
          <cell r="E2954">
            <v>0</v>
          </cell>
          <cell r="F2954">
            <v>0</v>
          </cell>
          <cell r="G2954">
            <v>0</v>
          </cell>
          <cell r="H2954">
            <v>0</v>
          </cell>
          <cell r="I2954">
            <v>0</v>
          </cell>
          <cell r="J2954">
            <v>0</v>
          </cell>
          <cell r="K2954">
            <v>0</v>
          </cell>
          <cell r="L2954">
            <v>0</v>
          </cell>
          <cell r="M2954">
            <v>0</v>
          </cell>
          <cell r="N2954">
            <v>0</v>
          </cell>
          <cell r="O2954">
            <v>0</v>
          </cell>
        </row>
        <row r="2955">
          <cell r="A2955" t="str">
            <v>Mail ServicesADVERTISING</v>
          </cell>
          <cell r="B2955">
            <v>0</v>
          </cell>
          <cell r="C2955">
            <v>0</v>
          </cell>
          <cell r="D2955">
            <v>0</v>
          </cell>
          <cell r="E2955">
            <v>0</v>
          </cell>
          <cell r="F2955">
            <v>0</v>
          </cell>
          <cell r="G2955">
            <v>0</v>
          </cell>
          <cell r="H2955">
            <v>0</v>
          </cell>
          <cell r="I2955">
            <v>0</v>
          </cell>
          <cell r="J2955">
            <v>0</v>
          </cell>
          <cell r="K2955">
            <v>0</v>
          </cell>
          <cell r="L2955">
            <v>0</v>
          </cell>
          <cell r="M2955">
            <v>0</v>
          </cell>
          <cell r="N2955">
            <v>0</v>
          </cell>
          <cell r="O2955">
            <v>0</v>
          </cell>
        </row>
        <row r="2956">
          <cell r="A2956" t="str">
            <v>Mail ServicesSALES PROMOTIONS</v>
          </cell>
          <cell r="B2956">
            <v>0</v>
          </cell>
          <cell r="C2956">
            <v>0</v>
          </cell>
          <cell r="D2956">
            <v>0</v>
          </cell>
          <cell r="E2956">
            <v>0</v>
          </cell>
          <cell r="F2956">
            <v>0</v>
          </cell>
          <cell r="G2956">
            <v>0</v>
          </cell>
          <cell r="H2956">
            <v>0</v>
          </cell>
          <cell r="I2956">
            <v>0</v>
          </cell>
          <cell r="J2956">
            <v>0</v>
          </cell>
          <cell r="K2956">
            <v>0</v>
          </cell>
          <cell r="L2956">
            <v>0</v>
          </cell>
          <cell r="M2956">
            <v>0</v>
          </cell>
          <cell r="N2956">
            <v>0</v>
          </cell>
          <cell r="O2956">
            <v>0</v>
          </cell>
        </row>
        <row r="2957">
          <cell r="A2957" t="str">
            <v>Mail ServicesDIRECT MAIL</v>
          </cell>
          <cell r="B2957">
            <v>0</v>
          </cell>
          <cell r="C2957">
            <v>0</v>
          </cell>
          <cell r="D2957">
            <v>0</v>
          </cell>
          <cell r="E2957">
            <v>0</v>
          </cell>
          <cell r="F2957">
            <v>0</v>
          </cell>
          <cell r="G2957">
            <v>0</v>
          </cell>
          <cell r="H2957">
            <v>0</v>
          </cell>
          <cell r="I2957">
            <v>0</v>
          </cell>
          <cell r="J2957">
            <v>0</v>
          </cell>
          <cell r="K2957">
            <v>0</v>
          </cell>
          <cell r="L2957">
            <v>0</v>
          </cell>
          <cell r="M2957">
            <v>0</v>
          </cell>
          <cell r="N2957">
            <v>0</v>
          </cell>
          <cell r="O2957">
            <v>0</v>
          </cell>
        </row>
        <row r="2958">
          <cell r="A2958" t="str">
            <v>Mail ServicesDATA PROCESSING</v>
          </cell>
          <cell r="B2958">
            <v>0</v>
          </cell>
          <cell r="C2958">
            <v>0</v>
          </cell>
          <cell r="D2958">
            <v>0</v>
          </cell>
          <cell r="E2958">
            <v>0</v>
          </cell>
          <cell r="F2958">
            <v>0</v>
          </cell>
          <cell r="G2958">
            <v>0</v>
          </cell>
          <cell r="H2958">
            <v>0</v>
          </cell>
          <cell r="I2958">
            <v>0</v>
          </cell>
          <cell r="J2958">
            <v>0</v>
          </cell>
          <cell r="K2958">
            <v>0</v>
          </cell>
          <cell r="L2958">
            <v>0</v>
          </cell>
          <cell r="M2958">
            <v>0</v>
          </cell>
          <cell r="N2958">
            <v>0</v>
          </cell>
          <cell r="O2958">
            <v>0</v>
          </cell>
        </row>
        <row r="2959">
          <cell r="A2959" t="str">
            <v>Mail ServicesCONSULTING</v>
          </cell>
          <cell r="B2959">
            <v>0</v>
          </cell>
          <cell r="C2959">
            <v>0</v>
          </cell>
          <cell r="D2959">
            <v>0</v>
          </cell>
          <cell r="E2959">
            <v>0</v>
          </cell>
          <cell r="F2959">
            <v>0</v>
          </cell>
          <cell r="G2959">
            <v>0</v>
          </cell>
          <cell r="H2959">
            <v>0</v>
          </cell>
          <cell r="I2959">
            <v>0</v>
          </cell>
          <cell r="J2959">
            <v>0</v>
          </cell>
          <cell r="K2959">
            <v>0</v>
          </cell>
          <cell r="L2959">
            <v>0</v>
          </cell>
          <cell r="M2959">
            <v>0</v>
          </cell>
          <cell r="N2959">
            <v>0</v>
          </cell>
          <cell r="O2959">
            <v>0</v>
          </cell>
        </row>
        <row r="2960">
          <cell r="A2960" t="str">
            <v>Mail ServicesTEMP SERVICES</v>
          </cell>
          <cell r="B2960">
            <v>4382.3999999999996</v>
          </cell>
          <cell r="C2960">
            <v>4321.5</v>
          </cell>
          <cell r="D2960">
            <v>3256.74</v>
          </cell>
          <cell r="E2960">
            <v>8810.9</v>
          </cell>
          <cell r="F2960">
            <v>20771.54</v>
          </cell>
          <cell r="G2960">
            <v>0</v>
          </cell>
          <cell r="H2960">
            <v>0</v>
          </cell>
          <cell r="I2960">
            <v>0</v>
          </cell>
          <cell r="J2960">
            <v>0</v>
          </cell>
          <cell r="K2960">
            <v>0</v>
          </cell>
          <cell r="L2960">
            <v>0</v>
          </cell>
          <cell r="M2960">
            <v>0</v>
          </cell>
          <cell r="N2960">
            <v>0</v>
          </cell>
          <cell r="O2960">
            <v>0</v>
          </cell>
        </row>
        <row r="2961">
          <cell r="A2961" t="str">
            <v>Mail ServicesGDC CHARGES</v>
          </cell>
          <cell r="B2961">
            <v>0</v>
          </cell>
          <cell r="C2961">
            <v>0</v>
          </cell>
          <cell r="D2961">
            <v>0</v>
          </cell>
          <cell r="E2961">
            <v>0</v>
          </cell>
          <cell r="F2961">
            <v>0</v>
          </cell>
          <cell r="G2961">
            <v>0</v>
          </cell>
          <cell r="H2961">
            <v>0</v>
          </cell>
          <cell r="I2961">
            <v>0</v>
          </cell>
          <cell r="J2961">
            <v>0</v>
          </cell>
          <cell r="K2961">
            <v>0</v>
          </cell>
          <cell r="L2961">
            <v>0</v>
          </cell>
          <cell r="M2961">
            <v>0</v>
          </cell>
          <cell r="N2961">
            <v>0</v>
          </cell>
          <cell r="O2961">
            <v>0</v>
          </cell>
        </row>
        <row r="2962">
          <cell r="A2962" t="str">
            <v>Mail ServicesTRAINING AND EDUCATION</v>
          </cell>
          <cell r="B2962">
            <v>0</v>
          </cell>
          <cell r="C2962">
            <v>0</v>
          </cell>
          <cell r="D2962">
            <v>0</v>
          </cell>
          <cell r="E2962">
            <v>0</v>
          </cell>
          <cell r="F2962">
            <v>0</v>
          </cell>
          <cell r="G2962">
            <v>0</v>
          </cell>
          <cell r="H2962">
            <v>0</v>
          </cell>
          <cell r="I2962">
            <v>0</v>
          </cell>
          <cell r="J2962">
            <v>0</v>
          </cell>
          <cell r="K2962">
            <v>0</v>
          </cell>
          <cell r="L2962">
            <v>0</v>
          </cell>
          <cell r="M2962">
            <v>0</v>
          </cell>
          <cell r="N2962">
            <v>0</v>
          </cell>
          <cell r="O2962">
            <v>0</v>
          </cell>
        </row>
        <row r="2963">
          <cell r="A2963" t="str">
            <v>Mail ServicesOUTSIDE SERVICES  AND FEES</v>
          </cell>
          <cell r="B2963">
            <v>15629.97</v>
          </cell>
          <cell r="C2963">
            <v>29904.78</v>
          </cell>
          <cell r="D2963">
            <v>33074.44</v>
          </cell>
          <cell r="E2963">
            <v>81616.95</v>
          </cell>
          <cell r="F2963">
            <v>160226.14000000001</v>
          </cell>
          <cell r="G2963">
            <v>0</v>
          </cell>
          <cell r="H2963">
            <v>0</v>
          </cell>
          <cell r="I2963">
            <v>0</v>
          </cell>
          <cell r="J2963">
            <v>0</v>
          </cell>
          <cell r="K2963">
            <v>0</v>
          </cell>
          <cell r="L2963">
            <v>0</v>
          </cell>
          <cell r="M2963">
            <v>0</v>
          </cell>
          <cell r="N2963">
            <v>0</v>
          </cell>
          <cell r="O2963">
            <v>0</v>
          </cell>
        </row>
        <row r="2964">
          <cell r="A2964" t="str">
            <v>Mail ServicesSTATE, FOREIGN, LOCAL TAXES</v>
          </cell>
          <cell r="B2964">
            <v>103213.44</v>
          </cell>
          <cell r="C2964">
            <v>105628.62</v>
          </cell>
          <cell r="D2964">
            <v>89304.95</v>
          </cell>
          <cell r="E2964">
            <v>94626.08</v>
          </cell>
          <cell r="F2964">
            <v>392773.09</v>
          </cell>
          <cell r="G2964">
            <v>0</v>
          </cell>
          <cell r="H2964">
            <v>0</v>
          </cell>
          <cell r="I2964">
            <v>0</v>
          </cell>
          <cell r="J2964">
            <v>0</v>
          </cell>
          <cell r="K2964">
            <v>0</v>
          </cell>
          <cell r="L2964">
            <v>518.92999999999995</v>
          </cell>
          <cell r="M2964">
            <v>629000</v>
          </cell>
          <cell r="N2964">
            <v>631000</v>
          </cell>
          <cell r="O2964">
            <v>647000</v>
          </cell>
        </row>
        <row r="2965">
          <cell r="A2965" t="str">
            <v>Mail ServicesS/L TAX - INSURANCE PREMIUMS</v>
          </cell>
          <cell r="B2965">
            <v>0</v>
          </cell>
          <cell r="C2965">
            <v>0</v>
          </cell>
          <cell r="D2965">
            <v>0</v>
          </cell>
          <cell r="E2965">
            <v>0</v>
          </cell>
          <cell r="F2965">
            <v>0</v>
          </cell>
          <cell r="G2965">
            <v>0</v>
          </cell>
          <cell r="H2965">
            <v>0</v>
          </cell>
          <cell r="I2965">
            <v>0</v>
          </cell>
          <cell r="J2965">
            <v>0</v>
          </cell>
          <cell r="K2965">
            <v>0</v>
          </cell>
          <cell r="L2965">
            <v>0</v>
          </cell>
          <cell r="M2965">
            <v>0</v>
          </cell>
          <cell r="N2965">
            <v>0</v>
          </cell>
          <cell r="O2965">
            <v>0</v>
          </cell>
        </row>
        <row r="2966">
          <cell r="A2966" t="str">
            <v>Mail ServicesSATELLITE LEASE EXPENSE</v>
          </cell>
          <cell r="B2966">
            <v>0</v>
          </cell>
          <cell r="C2966">
            <v>0</v>
          </cell>
          <cell r="D2966">
            <v>0</v>
          </cell>
          <cell r="E2966">
            <v>0</v>
          </cell>
          <cell r="F2966">
            <v>0</v>
          </cell>
          <cell r="G2966">
            <v>0</v>
          </cell>
          <cell r="H2966">
            <v>0</v>
          </cell>
          <cell r="I2966">
            <v>0</v>
          </cell>
          <cell r="J2966">
            <v>0</v>
          </cell>
          <cell r="K2966">
            <v>0</v>
          </cell>
          <cell r="L2966">
            <v>0</v>
          </cell>
          <cell r="M2966">
            <v>0</v>
          </cell>
          <cell r="N2966">
            <v>0</v>
          </cell>
          <cell r="O2966">
            <v>0</v>
          </cell>
        </row>
        <row r="2967">
          <cell r="A2967" t="str">
            <v>Mail ServicesBUSINESS SHARE EXPENSE</v>
          </cell>
          <cell r="B2967">
            <v>0</v>
          </cell>
          <cell r="C2967">
            <v>0</v>
          </cell>
          <cell r="D2967">
            <v>0</v>
          </cell>
          <cell r="E2967">
            <v>0</v>
          </cell>
          <cell r="F2967">
            <v>0</v>
          </cell>
          <cell r="G2967">
            <v>0</v>
          </cell>
          <cell r="H2967">
            <v>0</v>
          </cell>
          <cell r="I2967">
            <v>0</v>
          </cell>
          <cell r="J2967">
            <v>0</v>
          </cell>
          <cell r="K2967">
            <v>0</v>
          </cell>
          <cell r="L2967">
            <v>0</v>
          </cell>
          <cell r="M2967">
            <v>0</v>
          </cell>
          <cell r="N2967">
            <v>0</v>
          </cell>
          <cell r="O2967">
            <v>0</v>
          </cell>
        </row>
        <row r="2968">
          <cell r="A2968" t="str">
            <v>Mail ServicesINSURANCE AFFILIATE EXPENSE</v>
          </cell>
          <cell r="B2968">
            <v>0</v>
          </cell>
          <cell r="C2968">
            <v>0</v>
          </cell>
          <cell r="D2968">
            <v>0</v>
          </cell>
          <cell r="E2968">
            <v>0</v>
          </cell>
          <cell r="F2968">
            <v>0</v>
          </cell>
          <cell r="G2968">
            <v>0</v>
          </cell>
          <cell r="H2968">
            <v>0</v>
          </cell>
          <cell r="I2968">
            <v>0</v>
          </cell>
          <cell r="J2968">
            <v>0</v>
          </cell>
          <cell r="K2968">
            <v>0</v>
          </cell>
          <cell r="L2968">
            <v>0</v>
          </cell>
          <cell r="M2968">
            <v>0</v>
          </cell>
          <cell r="N2968">
            <v>0</v>
          </cell>
          <cell r="O2968">
            <v>0</v>
          </cell>
        </row>
        <row r="2969">
          <cell r="A2969" t="str">
            <v>Mail ServicesOTHER FACILITY EXPENSE</v>
          </cell>
          <cell r="B2969">
            <v>141616.44</v>
          </cell>
          <cell r="C2969">
            <v>141184.46</v>
          </cell>
          <cell r="D2969">
            <v>125703.19</v>
          </cell>
          <cell r="E2969">
            <v>153860.34</v>
          </cell>
          <cell r="F2969">
            <v>562364.43000000005</v>
          </cell>
          <cell r="G2969">
            <v>0</v>
          </cell>
          <cell r="H2969">
            <v>0</v>
          </cell>
          <cell r="I2969">
            <v>0</v>
          </cell>
          <cell r="J2969">
            <v>0</v>
          </cell>
          <cell r="K2969">
            <v>0</v>
          </cell>
          <cell r="L2969">
            <v>0</v>
          </cell>
          <cell r="M2969">
            <v>0</v>
          </cell>
          <cell r="N2969">
            <v>0</v>
          </cell>
          <cell r="O2969">
            <v>0</v>
          </cell>
        </row>
        <row r="2970">
          <cell r="A2970" t="str">
            <v>Mail ServicesGROSS OP &amp; ADMIN BUS SHARE</v>
          </cell>
          <cell r="B2970">
            <v>0</v>
          </cell>
          <cell r="C2970">
            <v>0</v>
          </cell>
          <cell r="D2970">
            <v>0</v>
          </cell>
          <cell r="E2970">
            <v>0</v>
          </cell>
          <cell r="F2970">
            <v>0</v>
          </cell>
          <cell r="G2970">
            <v>0</v>
          </cell>
          <cell r="H2970">
            <v>0</v>
          </cell>
          <cell r="I2970">
            <v>0</v>
          </cell>
          <cell r="J2970">
            <v>0</v>
          </cell>
          <cell r="K2970">
            <v>0</v>
          </cell>
          <cell r="L2970">
            <v>0</v>
          </cell>
          <cell r="M2970">
            <v>0</v>
          </cell>
          <cell r="N2970">
            <v>0</v>
          </cell>
          <cell r="O2970">
            <v>0</v>
          </cell>
        </row>
        <row r="2971">
          <cell r="A2971" t="str">
            <v>Mail ServicesOTHER EXPENSE</v>
          </cell>
          <cell r="B2971">
            <v>-307.76</v>
          </cell>
          <cell r="C2971">
            <v>-1469.24</v>
          </cell>
          <cell r="D2971">
            <v>1662.79</v>
          </cell>
          <cell r="E2971">
            <v>188994.58</v>
          </cell>
          <cell r="F2971">
            <v>188880.37</v>
          </cell>
          <cell r="G2971">
            <v>0</v>
          </cell>
          <cell r="H2971">
            <v>0</v>
          </cell>
          <cell r="I2971">
            <v>0</v>
          </cell>
          <cell r="J2971">
            <v>0</v>
          </cell>
          <cell r="K2971">
            <v>0</v>
          </cell>
          <cell r="L2971">
            <v>1337.39</v>
          </cell>
          <cell r="M2971">
            <v>179000</v>
          </cell>
          <cell r="N2971">
            <v>192000</v>
          </cell>
          <cell r="O2971">
            <v>209000</v>
          </cell>
        </row>
        <row r="2972">
          <cell r="A2972" t="str">
            <v>Mail ServicesGECC INTERCO EXPENSES EXCL GECIS</v>
          </cell>
          <cell r="B2972">
            <v>0</v>
          </cell>
          <cell r="C2972">
            <v>0</v>
          </cell>
          <cell r="D2972">
            <v>0</v>
          </cell>
          <cell r="E2972">
            <v>0</v>
          </cell>
          <cell r="F2972">
            <v>0</v>
          </cell>
          <cell r="G2972">
            <v>0</v>
          </cell>
          <cell r="H2972">
            <v>0</v>
          </cell>
          <cell r="I2972">
            <v>0</v>
          </cell>
          <cell r="J2972">
            <v>0</v>
          </cell>
          <cell r="K2972">
            <v>0</v>
          </cell>
          <cell r="L2972">
            <v>0</v>
          </cell>
          <cell r="M2972">
            <v>0</v>
          </cell>
          <cell r="N2972">
            <v>0</v>
          </cell>
          <cell r="O2972">
            <v>0</v>
          </cell>
        </row>
        <row r="2973">
          <cell r="A2973" t="str">
            <v>Mail ServicesGECIS INTERCO CHARGES</v>
          </cell>
          <cell r="B2973">
            <v>0</v>
          </cell>
          <cell r="C2973">
            <v>0</v>
          </cell>
          <cell r="D2973">
            <v>0</v>
          </cell>
          <cell r="E2973">
            <v>0</v>
          </cell>
          <cell r="F2973">
            <v>0</v>
          </cell>
          <cell r="G2973">
            <v>0</v>
          </cell>
          <cell r="H2973">
            <v>0</v>
          </cell>
          <cell r="I2973">
            <v>0</v>
          </cell>
          <cell r="J2973">
            <v>0</v>
          </cell>
          <cell r="K2973">
            <v>0</v>
          </cell>
          <cell r="L2973">
            <v>0</v>
          </cell>
          <cell r="M2973">
            <v>0</v>
          </cell>
          <cell r="N2973">
            <v>0</v>
          </cell>
          <cell r="O2973">
            <v>0</v>
          </cell>
        </row>
        <row r="2974">
          <cell r="A2974" t="str">
            <v>Mail ServicesLOSS ADJUSTED EXPENSE</v>
          </cell>
          <cell r="B2974">
            <v>0</v>
          </cell>
          <cell r="C2974">
            <v>0</v>
          </cell>
          <cell r="D2974">
            <v>0</v>
          </cell>
          <cell r="E2974">
            <v>0</v>
          </cell>
          <cell r="F2974">
            <v>0</v>
          </cell>
          <cell r="G2974">
            <v>0</v>
          </cell>
          <cell r="H2974">
            <v>0</v>
          </cell>
          <cell r="I2974">
            <v>0</v>
          </cell>
          <cell r="J2974">
            <v>0</v>
          </cell>
          <cell r="K2974">
            <v>0</v>
          </cell>
          <cell r="L2974">
            <v>0</v>
          </cell>
          <cell r="M2974">
            <v>0</v>
          </cell>
          <cell r="N2974">
            <v>0</v>
          </cell>
          <cell r="O2974">
            <v>0</v>
          </cell>
        </row>
        <row r="2975">
          <cell r="A2975" t="str">
            <v>Mail ServicesALL OTHER EXPENSES</v>
          </cell>
          <cell r="B2975">
            <v>0</v>
          </cell>
          <cell r="C2975">
            <v>0</v>
          </cell>
          <cell r="D2975">
            <v>0</v>
          </cell>
          <cell r="E2975">
            <v>0</v>
          </cell>
          <cell r="F2975">
            <v>0</v>
          </cell>
          <cell r="G2975">
            <v>0</v>
          </cell>
          <cell r="H2975">
            <v>0</v>
          </cell>
          <cell r="I2975">
            <v>0</v>
          </cell>
          <cell r="J2975">
            <v>0</v>
          </cell>
          <cell r="K2975">
            <v>0</v>
          </cell>
          <cell r="L2975">
            <v>0</v>
          </cell>
          <cell r="M2975">
            <v>0</v>
          </cell>
          <cell r="N2975">
            <v>0</v>
          </cell>
          <cell r="O2975">
            <v>0</v>
          </cell>
        </row>
        <row r="2976">
          <cell r="A2976" t="str">
            <v>Mail ServicesASSESSMENTS</v>
          </cell>
          <cell r="B2976">
            <v>-1623710.58</v>
          </cell>
          <cell r="C2976">
            <v>-1933270.71</v>
          </cell>
          <cell r="D2976">
            <v>-1700152.05</v>
          </cell>
          <cell r="E2976">
            <v>-1847307.41</v>
          </cell>
          <cell r="F2976">
            <v>-7104440.75</v>
          </cell>
          <cell r="G2976">
            <v>0</v>
          </cell>
          <cell r="H2976">
            <v>0</v>
          </cell>
          <cell r="I2976">
            <v>0</v>
          </cell>
          <cell r="J2976">
            <v>0</v>
          </cell>
          <cell r="K2976">
            <v>0</v>
          </cell>
          <cell r="L2976">
            <v>1389.31</v>
          </cell>
          <cell r="M2976">
            <v>-7888000</v>
          </cell>
          <cell r="N2976">
            <v>-7939000</v>
          </cell>
          <cell r="O2976">
            <v>-7993000</v>
          </cell>
        </row>
        <row r="2977">
          <cell r="A2977" t="str">
            <v>Mail ServicesFAS 91</v>
          </cell>
          <cell r="B2977">
            <v>0</v>
          </cell>
          <cell r="C2977">
            <v>0</v>
          </cell>
          <cell r="D2977">
            <v>0</v>
          </cell>
          <cell r="E2977">
            <v>0</v>
          </cell>
          <cell r="F2977">
            <v>0</v>
          </cell>
          <cell r="G2977">
            <v>0</v>
          </cell>
          <cell r="H2977">
            <v>0</v>
          </cell>
          <cell r="I2977">
            <v>0</v>
          </cell>
          <cell r="J2977">
            <v>0</v>
          </cell>
          <cell r="K2977">
            <v>0</v>
          </cell>
          <cell r="L2977">
            <v>0</v>
          </cell>
          <cell r="M2977">
            <v>0</v>
          </cell>
          <cell r="N2977">
            <v>0</v>
          </cell>
          <cell r="O2977">
            <v>0</v>
          </cell>
        </row>
        <row r="2978">
          <cell r="A2978" t="str">
            <v>Mail ServicesGOODWILL AMORTIZATION</v>
          </cell>
          <cell r="B2978">
            <v>0</v>
          </cell>
          <cell r="C2978">
            <v>0</v>
          </cell>
          <cell r="D2978">
            <v>0</v>
          </cell>
          <cell r="E2978">
            <v>0</v>
          </cell>
          <cell r="F2978">
            <v>0</v>
          </cell>
          <cell r="G2978">
            <v>0</v>
          </cell>
          <cell r="H2978">
            <v>0</v>
          </cell>
          <cell r="I2978">
            <v>0</v>
          </cell>
          <cell r="J2978">
            <v>0</v>
          </cell>
          <cell r="K2978">
            <v>0</v>
          </cell>
          <cell r="L2978">
            <v>0</v>
          </cell>
          <cell r="M2978">
            <v>0</v>
          </cell>
          <cell r="N2978">
            <v>0</v>
          </cell>
          <cell r="O2978">
            <v>0</v>
          </cell>
        </row>
        <row r="2979">
          <cell r="A2979" t="str">
            <v>Mail ServicesDEPRECIATION EXPENSE</v>
          </cell>
          <cell r="B2979">
            <v>289564.95</v>
          </cell>
          <cell r="C2979">
            <v>288982.67</v>
          </cell>
          <cell r="D2979">
            <v>292154.09000000003</v>
          </cell>
          <cell r="E2979">
            <v>318845.84999999998</v>
          </cell>
          <cell r="F2979">
            <v>1189547.56</v>
          </cell>
          <cell r="G2979">
            <v>0</v>
          </cell>
          <cell r="H2979">
            <v>0</v>
          </cell>
          <cell r="I2979">
            <v>0</v>
          </cell>
          <cell r="J2979">
            <v>0</v>
          </cell>
          <cell r="K2979">
            <v>0</v>
          </cell>
          <cell r="L2979">
            <v>0</v>
          </cell>
          <cell r="M2979">
            <v>953000</v>
          </cell>
          <cell r="N2979">
            <v>839000</v>
          </cell>
          <cell r="O2979">
            <v>851000</v>
          </cell>
        </row>
        <row r="2980">
          <cell r="A2980" t="str">
            <v>Mail ServicesELTO AMORTIZATION</v>
          </cell>
          <cell r="B2980">
            <v>0</v>
          </cell>
          <cell r="C2980">
            <v>0</v>
          </cell>
          <cell r="D2980">
            <v>0</v>
          </cell>
          <cell r="E2980">
            <v>0</v>
          </cell>
          <cell r="F2980">
            <v>0</v>
          </cell>
          <cell r="G2980">
            <v>0</v>
          </cell>
          <cell r="H2980">
            <v>0</v>
          </cell>
          <cell r="I2980">
            <v>0</v>
          </cell>
          <cell r="J2980">
            <v>0</v>
          </cell>
          <cell r="K2980">
            <v>0</v>
          </cell>
          <cell r="L2980">
            <v>0</v>
          </cell>
          <cell r="M2980">
            <v>0</v>
          </cell>
          <cell r="N2980">
            <v>0</v>
          </cell>
          <cell r="O2980">
            <v>0</v>
          </cell>
        </row>
        <row r="2981">
          <cell r="A2981" t="str">
            <v>Mail ServicesINSURANCE LOSSES AND BENEFITS</v>
          </cell>
          <cell r="B2981">
            <v>0</v>
          </cell>
          <cell r="C2981">
            <v>0</v>
          </cell>
          <cell r="D2981">
            <v>0</v>
          </cell>
          <cell r="E2981">
            <v>0</v>
          </cell>
          <cell r="F2981">
            <v>0</v>
          </cell>
          <cell r="G2981">
            <v>0</v>
          </cell>
          <cell r="H2981">
            <v>0</v>
          </cell>
          <cell r="I2981">
            <v>0</v>
          </cell>
          <cell r="J2981">
            <v>0</v>
          </cell>
          <cell r="K2981">
            <v>0</v>
          </cell>
          <cell r="L2981">
            <v>0</v>
          </cell>
          <cell r="M2981">
            <v>0</v>
          </cell>
          <cell r="N2981">
            <v>0</v>
          </cell>
          <cell r="O2981">
            <v>0</v>
          </cell>
        </row>
        <row r="2982">
          <cell r="A2982" t="str">
            <v>Mail ServicesWRITE OFFS</v>
          </cell>
          <cell r="B2982">
            <v>0</v>
          </cell>
          <cell r="C2982">
            <v>0</v>
          </cell>
          <cell r="D2982">
            <v>-20.02</v>
          </cell>
          <cell r="E2982">
            <v>0</v>
          </cell>
          <cell r="F2982">
            <v>-20.02</v>
          </cell>
          <cell r="G2982">
            <v>0</v>
          </cell>
          <cell r="H2982">
            <v>0</v>
          </cell>
          <cell r="I2982">
            <v>0</v>
          </cell>
          <cell r="J2982">
            <v>0</v>
          </cell>
          <cell r="K2982">
            <v>0</v>
          </cell>
          <cell r="L2982">
            <v>0</v>
          </cell>
          <cell r="M2982">
            <v>0</v>
          </cell>
          <cell r="N2982">
            <v>0</v>
          </cell>
          <cell r="O2982">
            <v>0</v>
          </cell>
        </row>
        <row r="2983">
          <cell r="A2983" t="str">
            <v>Mail ServicesRESERVE CHANGE</v>
          </cell>
          <cell r="B2983">
            <v>0</v>
          </cell>
          <cell r="C2983">
            <v>0</v>
          </cell>
          <cell r="D2983">
            <v>0</v>
          </cell>
          <cell r="E2983">
            <v>0</v>
          </cell>
          <cell r="F2983">
            <v>0</v>
          </cell>
          <cell r="G2983">
            <v>0</v>
          </cell>
          <cell r="H2983">
            <v>0</v>
          </cell>
          <cell r="I2983">
            <v>0</v>
          </cell>
          <cell r="J2983">
            <v>0</v>
          </cell>
          <cell r="K2983">
            <v>0</v>
          </cell>
          <cell r="L2983">
            <v>0</v>
          </cell>
          <cell r="M2983">
            <v>0</v>
          </cell>
          <cell r="N2983">
            <v>0</v>
          </cell>
          <cell r="O2983">
            <v>0</v>
          </cell>
        </row>
        <row r="2984">
          <cell r="A2984" t="str">
            <v>Mail ServicesMINORITY INTEREST</v>
          </cell>
          <cell r="B2984">
            <v>0</v>
          </cell>
          <cell r="C2984">
            <v>0</v>
          </cell>
          <cell r="D2984">
            <v>0</v>
          </cell>
          <cell r="E2984">
            <v>0</v>
          </cell>
          <cell r="F2984">
            <v>0</v>
          </cell>
          <cell r="G2984">
            <v>0</v>
          </cell>
          <cell r="H2984">
            <v>0</v>
          </cell>
          <cell r="I2984">
            <v>0</v>
          </cell>
          <cell r="J2984">
            <v>0</v>
          </cell>
          <cell r="K2984">
            <v>0</v>
          </cell>
          <cell r="L2984">
            <v>0</v>
          </cell>
          <cell r="M2984">
            <v>0</v>
          </cell>
          <cell r="N2984">
            <v>0</v>
          </cell>
          <cell r="O2984">
            <v>0</v>
          </cell>
        </row>
        <row r="2985">
          <cell r="A2985" t="str">
            <v>Mail ServicesINCOME TAXES</v>
          </cell>
          <cell r="B2985">
            <v>-34249.050000000003</v>
          </cell>
          <cell r="C2985">
            <v>76041.399999999994</v>
          </cell>
          <cell r="D2985">
            <v>5359.82</v>
          </cell>
          <cell r="E2985">
            <v>-198259.22</v>
          </cell>
          <cell r="F2985">
            <v>-151107.04999999999</v>
          </cell>
          <cell r="G2985">
            <v>0</v>
          </cell>
          <cell r="H2985">
            <v>0</v>
          </cell>
          <cell r="I2985">
            <v>0</v>
          </cell>
          <cell r="J2985">
            <v>0</v>
          </cell>
          <cell r="K2985">
            <v>0</v>
          </cell>
          <cell r="L2985">
            <v>-7163.47</v>
          </cell>
          <cell r="M2985">
            <v>16000</v>
          </cell>
          <cell r="N2985">
            <v>-10000</v>
          </cell>
          <cell r="O2985">
            <v>-76000</v>
          </cell>
        </row>
        <row r="2986">
          <cell r="A2986" t="str">
            <v>Mail ServicesCUMULATIVE TRANSITION ADJUSTMENT</v>
          </cell>
          <cell r="B2986">
            <v>0</v>
          </cell>
          <cell r="C2986">
            <v>0</v>
          </cell>
          <cell r="D2986">
            <v>0</v>
          </cell>
          <cell r="E2986">
            <v>0</v>
          </cell>
          <cell r="F2986">
            <v>0</v>
          </cell>
          <cell r="G2986">
            <v>0</v>
          </cell>
          <cell r="H2986">
            <v>0</v>
          </cell>
          <cell r="I2986">
            <v>0</v>
          </cell>
          <cell r="J2986">
            <v>0</v>
          </cell>
          <cell r="K2986">
            <v>0</v>
          </cell>
          <cell r="L2986">
            <v>0</v>
          </cell>
          <cell r="M2986">
            <v>0</v>
          </cell>
          <cell r="N2986">
            <v>0</v>
          </cell>
          <cell r="O2986">
            <v>0</v>
          </cell>
        </row>
        <row r="2987">
          <cell r="A2987" t="str">
            <v>Mail ServicesASIA PACIFIC NI DIVIDEND</v>
          </cell>
          <cell r="B2987">
            <v>0</v>
          </cell>
          <cell r="C2987">
            <v>0</v>
          </cell>
          <cell r="D2987">
            <v>0</v>
          </cell>
          <cell r="E2987">
            <v>0</v>
          </cell>
          <cell r="F2987">
            <v>0</v>
          </cell>
          <cell r="G2987">
            <v>0</v>
          </cell>
          <cell r="H2987">
            <v>0</v>
          </cell>
          <cell r="I2987">
            <v>0</v>
          </cell>
          <cell r="J2987">
            <v>0</v>
          </cell>
          <cell r="K2987">
            <v>0</v>
          </cell>
          <cell r="L2987">
            <v>0</v>
          </cell>
          <cell r="M2987">
            <v>0</v>
          </cell>
          <cell r="N2987">
            <v>0</v>
          </cell>
          <cell r="O2987">
            <v>0</v>
          </cell>
        </row>
        <row r="2988">
          <cell r="A2988" t="str">
            <v>Mail ServicesNet Income</v>
          </cell>
          <cell r="B2988">
            <v>-49241.57</v>
          </cell>
          <cell r="C2988">
            <v>-6552.3</v>
          </cell>
          <cell r="D2988">
            <v>-14140.31</v>
          </cell>
          <cell r="E2988">
            <v>-95160.41</v>
          </cell>
          <cell r="F2988">
            <v>-165094.59</v>
          </cell>
          <cell r="G2988">
            <v>0</v>
          </cell>
          <cell r="H2988">
            <v>0</v>
          </cell>
          <cell r="I2988">
            <v>0</v>
          </cell>
          <cell r="J2988">
            <v>0</v>
          </cell>
          <cell r="K2988">
            <v>0</v>
          </cell>
          <cell r="L2988">
            <v>71588.27</v>
          </cell>
          <cell r="M2988">
            <v>-23000</v>
          </cell>
          <cell r="N2988">
            <v>15000</v>
          </cell>
          <cell r="O2988">
            <v>109000</v>
          </cell>
        </row>
        <row r="2989">
          <cell r="A2989" t="str">
            <v>Mail ServicesSubPart F</v>
          </cell>
          <cell r="B2989">
            <v>0</v>
          </cell>
          <cell r="C2989">
            <v>0</v>
          </cell>
          <cell r="D2989">
            <v>0</v>
          </cell>
          <cell r="E2989">
            <v>0</v>
          </cell>
          <cell r="F2989">
            <v>0</v>
          </cell>
          <cell r="G2989">
            <v>0</v>
          </cell>
          <cell r="H2989">
            <v>0</v>
          </cell>
          <cell r="I2989">
            <v>0</v>
          </cell>
          <cell r="J2989">
            <v>0</v>
          </cell>
          <cell r="K2989">
            <v>0</v>
          </cell>
          <cell r="L2989">
            <v>0</v>
          </cell>
          <cell r="M2989">
            <v>0</v>
          </cell>
          <cell r="N2989">
            <v>0</v>
          </cell>
          <cell r="O2989">
            <v>0</v>
          </cell>
        </row>
        <row r="2990">
          <cell r="A2990" t="str">
            <v>Mail ServicesAssets</v>
          </cell>
          <cell r="B2990">
            <v>5766778.6200000001</v>
          </cell>
          <cell r="C2990">
            <v>7962528.3099999996</v>
          </cell>
          <cell r="D2990">
            <v>4783263.08</v>
          </cell>
          <cell r="E2990">
            <v>5019098.91</v>
          </cell>
          <cell r="F2990">
            <v>5019098.91</v>
          </cell>
          <cell r="G2990">
            <v>0</v>
          </cell>
          <cell r="H2990">
            <v>0</v>
          </cell>
          <cell r="I2990">
            <v>0</v>
          </cell>
          <cell r="J2990">
            <v>0</v>
          </cell>
          <cell r="K2990">
            <v>0</v>
          </cell>
          <cell r="L2990">
            <v>426164.47</v>
          </cell>
          <cell r="M2990">
            <v>0</v>
          </cell>
          <cell r="N2990">
            <v>0</v>
          </cell>
          <cell r="O2990">
            <v>0</v>
          </cell>
        </row>
        <row r="2991">
          <cell r="A2991" t="str">
            <v>Mail ServicesEnding Net Investment (ENI) incl Asia</v>
          </cell>
          <cell r="B2991">
            <v>7533150.9000000004</v>
          </cell>
          <cell r="C2991">
            <v>8089817.0300000003</v>
          </cell>
          <cell r="D2991">
            <v>5794375.9900000002</v>
          </cell>
          <cell r="E2991">
            <v>6181151.7999999998</v>
          </cell>
          <cell r="F2991">
            <v>6181151.7999999998</v>
          </cell>
          <cell r="G2991">
            <v>0</v>
          </cell>
          <cell r="H2991">
            <v>0</v>
          </cell>
          <cell r="I2991">
            <v>0</v>
          </cell>
          <cell r="J2991">
            <v>0</v>
          </cell>
          <cell r="K2991">
            <v>0</v>
          </cell>
          <cell r="L2991">
            <v>1760099.31</v>
          </cell>
          <cell r="M2991">
            <v>0</v>
          </cell>
          <cell r="N2991">
            <v>0</v>
          </cell>
          <cell r="O2991">
            <v>0</v>
          </cell>
        </row>
        <row r="2992">
          <cell r="A2992" t="str">
            <v>Mail ServicesANR YTD</v>
          </cell>
          <cell r="B2992">
            <v>0</v>
          </cell>
          <cell r="C2992">
            <v>0</v>
          </cell>
          <cell r="D2992">
            <v>0</v>
          </cell>
          <cell r="E2992">
            <v>0</v>
          </cell>
          <cell r="F2992">
            <v>0</v>
          </cell>
          <cell r="G2992">
            <v>0</v>
          </cell>
          <cell r="H2992">
            <v>0</v>
          </cell>
          <cell r="I2992">
            <v>0</v>
          </cell>
          <cell r="J2992">
            <v>0</v>
          </cell>
          <cell r="K2992">
            <v>0</v>
          </cell>
          <cell r="L2992">
            <v>0</v>
          </cell>
          <cell r="M2992">
            <v>0</v>
          </cell>
          <cell r="N2992">
            <v>0</v>
          </cell>
          <cell r="O2992">
            <v>0</v>
          </cell>
        </row>
        <row r="2993">
          <cell r="A2993" t="str">
            <v>Mail ServicesASA YTD</v>
          </cell>
          <cell r="B2993">
            <v>0</v>
          </cell>
          <cell r="C2993">
            <v>0</v>
          </cell>
          <cell r="D2993">
            <v>0</v>
          </cell>
          <cell r="E2993">
            <v>0</v>
          </cell>
          <cell r="F2993">
            <v>0</v>
          </cell>
          <cell r="G2993">
            <v>0</v>
          </cell>
          <cell r="H2993">
            <v>0</v>
          </cell>
          <cell r="I2993">
            <v>0</v>
          </cell>
          <cell r="J2993">
            <v>0</v>
          </cell>
          <cell r="K2993">
            <v>0</v>
          </cell>
          <cell r="L2993">
            <v>0</v>
          </cell>
          <cell r="M2993">
            <v>0</v>
          </cell>
          <cell r="N2993">
            <v>0</v>
          </cell>
          <cell r="O2993">
            <v>0</v>
          </cell>
        </row>
        <row r="2994">
          <cell r="A2994" t="str">
            <v>Mail ServicesANI YTD incl Asia - 5 pt</v>
          </cell>
          <cell r="B2994">
            <v>6999172.9450000003</v>
          </cell>
          <cell r="C2994">
            <v>7362720.9733330002</v>
          </cell>
          <cell r="D2994">
            <v>6970634.7275</v>
          </cell>
          <cell r="E2994">
            <v>6812738.142</v>
          </cell>
          <cell r="F2994">
            <v>6812738.142</v>
          </cell>
          <cell r="G2994">
            <v>3090575.9</v>
          </cell>
          <cell r="H2994">
            <v>2060383.9333329999</v>
          </cell>
          <cell r="I2994">
            <v>1545287.95</v>
          </cell>
          <cell r="J2994">
            <v>1236230.3600000001</v>
          </cell>
          <cell r="K2994">
            <v>1236230.3600000001</v>
          </cell>
          <cell r="L2994">
            <v>3970625.5550000002</v>
          </cell>
          <cell r="M2994">
            <v>1564400</v>
          </cell>
          <cell r="N2994">
            <v>0</v>
          </cell>
          <cell r="O2994">
            <v>0</v>
          </cell>
        </row>
        <row r="2995">
          <cell r="A2995" t="str">
            <v>Mail ServicesOff Balance Sheet Assets</v>
          </cell>
          <cell r="B2995">
            <v>0</v>
          </cell>
          <cell r="C2995">
            <v>0</v>
          </cell>
          <cell r="D2995">
            <v>0</v>
          </cell>
          <cell r="E2995">
            <v>0</v>
          </cell>
          <cell r="F2995">
            <v>0</v>
          </cell>
          <cell r="G2995">
            <v>0</v>
          </cell>
          <cell r="H2995">
            <v>0</v>
          </cell>
          <cell r="I2995">
            <v>0</v>
          </cell>
          <cell r="J2995">
            <v>0</v>
          </cell>
          <cell r="K2995">
            <v>0</v>
          </cell>
          <cell r="L2995">
            <v>0</v>
          </cell>
          <cell r="M2995">
            <v>0</v>
          </cell>
          <cell r="N2995">
            <v>0</v>
          </cell>
          <cell r="O2995">
            <v>0</v>
          </cell>
        </row>
        <row r="2996">
          <cell r="A2996" t="str">
            <v>Mail ServicesJV Receivables</v>
          </cell>
          <cell r="B2996">
            <v>0</v>
          </cell>
          <cell r="C2996">
            <v>0</v>
          </cell>
          <cell r="D2996">
            <v>0</v>
          </cell>
          <cell r="E2996">
            <v>0</v>
          </cell>
          <cell r="F2996">
            <v>0</v>
          </cell>
          <cell r="G2996">
            <v>0</v>
          </cell>
          <cell r="H2996">
            <v>0</v>
          </cell>
          <cell r="I2996">
            <v>0</v>
          </cell>
          <cell r="J2996">
            <v>0</v>
          </cell>
          <cell r="K2996">
            <v>0</v>
          </cell>
          <cell r="L2996">
            <v>0</v>
          </cell>
          <cell r="M2996">
            <v>0</v>
          </cell>
          <cell r="N2996">
            <v>0</v>
          </cell>
          <cell r="O2996">
            <v>0</v>
          </cell>
        </row>
        <row r="2997">
          <cell r="A2997" t="str">
            <v>Mail Services30+ DELINQUENCY $</v>
          </cell>
          <cell r="B2997">
            <v>0</v>
          </cell>
          <cell r="C2997">
            <v>0</v>
          </cell>
          <cell r="D2997">
            <v>0</v>
          </cell>
          <cell r="E2997">
            <v>0</v>
          </cell>
          <cell r="F2997">
            <v>0</v>
          </cell>
          <cell r="G2997">
            <v>0</v>
          </cell>
          <cell r="H2997">
            <v>0</v>
          </cell>
          <cell r="I2997">
            <v>0</v>
          </cell>
          <cell r="J2997">
            <v>0</v>
          </cell>
          <cell r="K2997">
            <v>0</v>
          </cell>
          <cell r="L2997">
            <v>0</v>
          </cell>
          <cell r="M2997">
            <v>0</v>
          </cell>
          <cell r="N2997">
            <v>0</v>
          </cell>
          <cell r="O2997">
            <v>0</v>
          </cell>
        </row>
        <row r="2998">
          <cell r="A2998" t="str">
            <v>Mail Services90+ DELINQUENCY $</v>
          </cell>
          <cell r="B2998">
            <v>0</v>
          </cell>
          <cell r="C2998">
            <v>0</v>
          </cell>
          <cell r="D2998">
            <v>0</v>
          </cell>
          <cell r="E2998">
            <v>0</v>
          </cell>
          <cell r="F2998">
            <v>0</v>
          </cell>
          <cell r="G2998">
            <v>0</v>
          </cell>
          <cell r="H2998">
            <v>0</v>
          </cell>
          <cell r="I2998">
            <v>0</v>
          </cell>
          <cell r="J2998">
            <v>0</v>
          </cell>
          <cell r="K2998">
            <v>0</v>
          </cell>
          <cell r="L2998">
            <v>0</v>
          </cell>
          <cell r="M2998">
            <v>0</v>
          </cell>
          <cell r="N2998">
            <v>0</v>
          </cell>
          <cell r="O2998">
            <v>0</v>
          </cell>
        </row>
        <row r="2999">
          <cell r="A2999" t="str">
            <v>Mail ServicesTemporary Staff</v>
          </cell>
          <cell r="B2999">
            <v>0</v>
          </cell>
          <cell r="C2999">
            <v>2</v>
          </cell>
          <cell r="D2999">
            <v>3</v>
          </cell>
          <cell r="E2999">
            <v>0</v>
          </cell>
          <cell r="F2999">
            <v>0</v>
          </cell>
          <cell r="G2999">
            <v>0</v>
          </cell>
          <cell r="H2999">
            <v>0</v>
          </cell>
          <cell r="I2999">
            <v>0</v>
          </cell>
          <cell r="J2999">
            <v>0</v>
          </cell>
          <cell r="K2999">
            <v>0</v>
          </cell>
          <cell r="L2999">
            <v>0</v>
          </cell>
          <cell r="M2999">
            <v>0</v>
          </cell>
          <cell r="N2999">
            <v>0</v>
          </cell>
          <cell r="O2999">
            <v>0</v>
          </cell>
        </row>
        <row r="3000">
          <cell r="A3000" t="str">
            <v>Mail ServicesContractors</v>
          </cell>
          <cell r="B3000">
            <v>0</v>
          </cell>
          <cell r="C3000">
            <v>1</v>
          </cell>
          <cell r="D3000">
            <v>1</v>
          </cell>
          <cell r="E3000">
            <v>0</v>
          </cell>
          <cell r="F3000">
            <v>0</v>
          </cell>
          <cell r="G3000">
            <v>0</v>
          </cell>
          <cell r="H3000">
            <v>0</v>
          </cell>
          <cell r="I3000">
            <v>0</v>
          </cell>
          <cell r="J3000">
            <v>0</v>
          </cell>
          <cell r="K3000">
            <v>0</v>
          </cell>
          <cell r="L3000">
            <v>0</v>
          </cell>
          <cell r="M3000">
            <v>0</v>
          </cell>
          <cell r="N3000">
            <v>0</v>
          </cell>
          <cell r="O3000">
            <v>0</v>
          </cell>
        </row>
        <row r="3001">
          <cell r="A3001" t="str">
            <v>Mail ServicesOutsourced to LCC</v>
          </cell>
          <cell r="B3001">
            <v>0</v>
          </cell>
          <cell r="C3001">
            <v>0</v>
          </cell>
          <cell r="D3001">
            <v>0</v>
          </cell>
          <cell r="E3001">
            <v>0</v>
          </cell>
          <cell r="F3001">
            <v>0</v>
          </cell>
          <cell r="G3001">
            <v>0</v>
          </cell>
          <cell r="H3001">
            <v>0</v>
          </cell>
          <cell r="I3001">
            <v>0</v>
          </cell>
          <cell r="J3001">
            <v>0</v>
          </cell>
          <cell r="K3001">
            <v>0</v>
          </cell>
          <cell r="L3001">
            <v>0</v>
          </cell>
          <cell r="M3001">
            <v>0</v>
          </cell>
          <cell r="N3001">
            <v>0</v>
          </cell>
          <cell r="O3001">
            <v>0</v>
          </cell>
        </row>
        <row r="3002">
          <cell r="A3002" t="str">
            <v>Mail ServicesTotal Headcount</v>
          </cell>
          <cell r="B3002">
            <v>94.5</v>
          </cell>
          <cell r="C3002">
            <v>88</v>
          </cell>
          <cell r="D3002">
            <v>90.5</v>
          </cell>
          <cell r="E3002">
            <v>87</v>
          </cell>
          <cell r="F3002">
            <v>87</v>
          </cell>
          <cell r="G3002">
            <v>0</v>
          </cell>
          <cell r="H3002">
            <v>0</v>
          </cell>
          <cell r="I3002">
            <v>0</v>
          </cell>
          <cell r="J3002">
            <v>0</v>
          </cell>
          <cell r="K3002">
            <v>0</v>
          </cell>
          <cell r="L3002">
            <v>0</v>
          </cell>
          <cell r="M3002">
            <v>96.6</v>
          </cell>
          <cell r="N3002">
            <v>96.6</v>
          </cell>
          <cell r="O3002">
            <v>97.6</v>
          </cell>
        </row>
        <row r="3003">
          <cell r="A3003" t="str">
            <v>Mail ServicesTotal Workforce</v>
          </cell>
          <cell r="B3003">
            <v>94.5</v>
          </cell>
          <cell r="C3003">
            <v>91</v>
          </cell>
          <cell r="D3003">
            <v>94.5</v>
          </cell>
          <cell r="E3003">
            <v>87</v>
          </cell>
          <cell r="F3003">
            <v>87</v>
          </cell>
          <cell r="G3003">
            <v>0</v>
          </cell>
          <cell r="H3003">
            <v>0</v>
          </cell>
          <cell r="I3003">
            <v>0</v>
          </cell>
          <cell r="J3003">
            <v>0</v>
          </cell>
          <cell r="K3003">
            <v>0</v>
          </cell>
          <cell r="L3003">
            <v>0</v>
          </cell>
          <cell r="M3003">
            <v>96.6</v>
          </cell>
          <cell r="N3003">
            <v>96.6</v>
          </cell>
          <cell r="O3003">
            <v>97.6</v>
          </cell>
        </row>
        <row r="3004">
          <cell r="A3004" t="str">
            <v>Mail ServicesTotal Earned Revenue</v>
          </cell>
          <cell r="B3004">
            <v>-277276.61</v>
          </cell>
          <cell r="C3004">
            <v>-148869.26999999999</v>
          </cell>
          <cell r="D3004">
            <v>-186282.53</v>
          </cell>
          <cell r="E3004">
            <v>-189709.77</v>
          </cell>
          <cell r="F3004">
            <v>-802138.18</v>
          </cell>
          <cell r="G3004">
            <v>0</v>
          </cell>
          <cell r="H3004">
            <v>0</v>
          </cell>
          <cell r="I3004">
            <v>0</v>
          </cell>
          <cell r="J3004">
            <v>0</v>
          </cell>
          <cell r="K3004">
            <v>0</v>
          </cell>
          <cell r="L3004">
            <v>-29261.64</v>
          </cell>
          <cell r="M3004">
            <v>0</v>
          </cell>
          <cell r="N3004">
            <v>0</v>
          </cell>
          <cell r="O3004">
            <v>0</v>
          </cell>
        </row>
        <row r="3005">
          <cell r="A3005" t="str">
            <v>Mail ServicesOrdinary Gains - PreTax</v>
          </cell>
          <cell r="B3005">
            <v>0</v>
          </cell>
          <cell r="C3005">
            <v>0</v>
          </cell>
          <cell r="D3005">
            <v>0</v>
          </cell>
          <cell r="E3005">
            <v>0</v>
          </cell>
          <cell r="F3005">
            <v>0</v>
          </cell>
          <cell r="G3005">
            <v>0</v>
          </cell>
          <cell r="H3005">
            <v>0</v>
          </cell>
          <cell r="I3005">
            <v>0</v>
          </cell>
          <cell r="J3005">
            <v>0</v>
          </cell>
          <cell r="K3005">
            <v>0</v>
          </cell>
          <cell r="L3005">
            <v>0</v>
          </cell>
          <cell r="M3005">
            <v>0</v>
          </cell>
          <cell r="N3005">
            <v>0</v>
          </cell>
          <cell r="O3005">
            <v>0</v>
          </cell>
        </row>
        <row r="3006">
          <cell r="A3006" t="str">
            <v>Mail ServicesOrdinary Gains - AfterTax</v>
          </cell>
          <cell r="B3006">
            <v>0</v>
          </cell>
          <cell r="C3006">
            <v>0</v>
          </cell>
          <cell r="D3006">
            <v>0</v>
          </cell>
          <cell r="E3006">
            <v>0</v>
          </cell>
          <cell r="F3006">
            <v>0</v>
          </cell>
          <cell r="G3006">
            <v>0</v>
          </cell>
          <cell r="H3006">
            <v>0</v>
          </cell>
          <cell r="I3006">
            <v>0</v>
          </cell>
          <cell r="J3006">
            <v>0</v>
          </cell>
          <cell r="K3006">
            <v>0</v>
          </cell>
          <cell r="L3006">
            <v>0</v>
          </cell>
          <cell r="M3006">
            <v>0</v>
          </cell>
          <cell r="N3006">
            <v>0</v>
          </cell>
          <cell r="O3006">
            <v>0</v>
          </cell>
        </row>
        <row r="3007">
          <cell r="A3007" t="str">
            <v>Mail ServicesTotal Volume</v>
          </cell>
          <cell r="B3007">
            <v>0</v>
          </cell>
          <cell r="C3007">
            <v>0</v>
          </cell>
          <cell r="D3007">
            <v>0</v>
          </cell>
          <cell r="E3007">
            <v>0</v>
          </cell>
          <cell r="F3007">
            <v>0</v>
          </cell>
          <cell r="G3007">
            <v>0</v>
          </cell>
          <cell r="H3007">
            <v>0</v>
          </cell>
          <cell r="I3007">
            <v>0</v>
          </cell>
          <cell r="J3007">
            <v>0</v>
          </cell>
          <cell r="K3007">
            <v>0</v>
          </cell>
          <cell r="L3007">
            <v>0</v>
          </cell>
          <cell r="M3007">
            <v>0</v>
          </cell>
          <cell r="N3007">
            <v>0</v>
          </cell>
          <cell r="O3007">
            <v>0</v>
          </cell>
        </row>
        <row r="3008">
          <cell r="A3008" t="str">
            <v>Mail ServicesTOTAL # ACTIVE ACCOUNTS</v>
          </cell>
          <cell r="B3008">
            <v>0</v>
          </cell>
          <cell r="C3008">
            <v>0</v>
          </cell>
          <cell r="D3008">
            <v>0</v>
          </cell>
          <cell r="E3008">
            <v>0</v>
          </cell>
          <cell r="F3008">
            <v>0</v>
          </cell>
          <cell r="G3008">
            <v>0</v>
          </cell>
          <cell r="H3008">
            <v>0</v>
          </cell>
          <cell r="I3008">
            <v>0</v>
          </cell>
          <cell r="J3008">
            <v>0</v>
          </cell>
          <cell r="K3008">
            <v>0</v>
          </cell>
          <cell r="L3008">
            <v>0</v>
          </cell>
          <cell r="M3008">
            <v>0</v>
          </cell>
          <cell r="N3008">
            <v>0</v>
          </cell>
          <cell r="O3008">
            <v>0</v>
          </cell>
        </row>
        <row r="3009">
          <cell r="A3009" t="str">
            <v>MalaysiaTOTAL FINANCING RECEIVABLES</v>
          </cell>
          <cell r="B3009">
            <v>0</v>
          </cell>
          <cell r="C3009">
            <v>0</v>
          </cell>
          <cell r="D3009">
            <v>0</v>
          </cell>
          <cell r="E3009">
            <v>0</v>
          </cell>
          <cell r="F3009">
            <v>0</v>
          </cell>
          <cell r="G3009">
            <v>0</v>
          </cell>
          <cell r="H3009">
            <v>0</v>
          </cell>
          <cell r="I3009">
            <v>0</v>
          </cell>
          <cell r="J3009">
            <v>0</v>
          </cell>
          <cell r="K3009">
            <v>0</v>
          </cell>
          <cell r="L3009">
            <v>0</v>
          </cell>
          <cell r="M3009">
            <v>0</v>
          </cell>
          <cell r="N3009">
            <v>0</v>
          </cell>
          <cell r="O3009">
            <v>0</v>
          </cell>
        </row>
        <row r="3010">
          <cell r="A3010" t="str">
            <v>MalaysiaRECEIVABLE RESERVES</v>
          </cell>
          <cell r="B3010">
            <v>0</v>
          </cell>
          <cell r="C3010">
            <v>0</v>
          </cell>
          <cell r="D3010">
            <v>0</v>
          </cell>
          <cell r="E3010">
            <v>0</v>
          </cell>
          <cell r="F3010">
            <v>0</v>
          </cell>
          <cell r="G3010">
            <v>0</v>
          </cell>
          <cell r="H3010">
            <v>0</v>
          </cell>
          <cell r="I3010">
            <v>0</v>
          </cell>
          <cell r="J3010">
            <v>0</v>
          </cell>
          <cell r="K3010">
            <v>0</v>
          </cell>
          <cell r="L3010">
            <v>0</v>
          </cell>
          <cell r="M3010">
            <v>0</v>
          </cell>
          <cell r="N3010">
            <v>0</v>
          </cell>
          <cell r="O3010">
            <v>0</v>
          </cell>
        </row>
        <row r="3011">
          <cell r="A3011" t="str">
            <v>MalaysiaCASH</v>
          </cell>
          <cell r="B3011">
            <v>0</v>
          </cell>
          <cell r="C3011">
            <v>0</v>
          </cell>
          <cell r="D3011">
            <v>0</v>
          </cell>
          <cell r="E3011">
            <v>0</v>
          </cell>
          <cell r="F3011">
            <v>0</v>
          </cell>
          <cell r="G3011">
            <v>0</v>
          </cell>
          <cell r="H3011">
            <v>0</v>
          </cell>
          <cell r="I3011">
            <v>0</v>
          </cell>
          <cell r="J3011">
            <v>0</v>
          </cell>
          <cell r="K3011">
            <v>0</v>
          </cell>
          <cell r="L3011">
            <v>0</v>
          </cell>
          <cell r="M3011">
            <v>0</v>
          </cell>
          <cell r="N3011">
            <v>0</v>
          </cell>
          <cell r="O3011">
            <v>0</v>
          </cell>
        </row>
        <row r="3012">
          <cell r="A3012" t="str">
            <v>MalaysiaINVESTMENT SECURITIES</v>
          </cell>
          <cell r="B3012">
            <v>0</v>
          </cell>
          <cell r="C3012">
            <v>0</v>
          </cell>
          <cell r="D3012">
            <v>0</v>
          </cell>
          <cell r="E3012">
            <v>0</v>
          </cell>
          <cell r="F3012">
            <v>0</v>
          </cell>
          <cell r="G3012">
            <v>0</v>
          </cell>
          <cell r="H3012">
            <v>0</v>
          </cell>
          <cell r="I3012">
            <v>0</v>
          </cell>
          <cell r="J3012">
            <v>0</v>
          </cell>
          <cell r="K3012">
            <v>0</v>
          </cell>
          <cell r="L3012">
            <v>0</v>
          </cell>
          <cell r="M3012">
            <v>0</v>
          </cell>
          <cell r="N3012">
            <v>0</v>
          </cell>
          <cell r="O3012">
            <v>0</v>
          </cell>
        </row>
        <row r="3013">
          <cell r="A3013" t="str">
            <v>MalaysiaINV IN NON CONSOL AFFILIATES</v>
          </cell>
          <cell r="B3013">
            <v>9208527.4700000007</v>
          </cell>
          <cell r="C3013">
            <v>9587321.1899999995</v>
          </cell>
          <cell r="D3013">
            <v>9912698.5999999996</v>
          </cell>
          <cell r="E3013">
            <v>0</v>
          </cell>
          <cell r="F3013">
            <v>0</v>
          </cell>
          <cell r="G3013">
            <v>0</v>
          </cell>
          <cell r="H3013">
            <v>0</v>
          </cell>
          <cell r="I3013">
            <v>0</v>
          </cell>
          <cell r="J3013">
            <v>0</v>
          </cell>
          <cell r="K3013">
            <v>0</v>
          </cell>
          <cell r="L3013">
            <v>0</v>
          </cell>
          <cell r="M3013">
            <v>0</v>
          </cell>
          <cell r="N3013">
            <v>0</v>
          </cell>
          <cell r="O3013">
            <v>0</v>
          </cell>
        </row>
        <row r="3014">
          <cell r="A3014" t="str">
            <v>MalaysiaINVESTMENT IN JOINT VENTURE</v>
          </cell>
          <cell r="B3014">
            <v>0</v>
          </cell>
          <cell r="C3014">
            <v>0</v>
          </cell>
          <cell r="D3014">
            <v>0</v>
          </cell>
          <cell r="E3014">
            <v>0</v>
          </cell>
          <cell r="F3014">
            <v>0</v>
          </cell>
          <cell r="G3014">
            <v>0</v>
          </cell>
          <cell r="H3014">
            <v>0</v>
          </cell>
          <cell r="I3014">
            <v>0</v>
          </cell>
          <cell r="J3014">
            <v>0</v>
          </cell>
          <cell r="K3014">
            <v>0</v>
          </cell>
          <cell r="L3014">
            <v>0</v>
          </cell>
          <cell r="M3014">
            <v>0</v>
          </cell>
          <cell r="N3014">
            <v>0</v>
          </cell>
          <cell r="O3014">
            <v>0</v>
          </cell>
        </row>
        <row r="3015">
          <cell r="A3015" t="str">
            <v>MalaysiaALL OTHER RECEIVABLES (NON-FINANCING)</v>
          </cell>
          <cell r="B3015">
            <v>0</v>
          </cell>
          <cell r="C3015">
            <v>0</v>
          </cell>
          <cell r="D3015">
            <v>0</v>
          </cell>
          <cell r="E3015">
            <v>0</v>
          </cell>
          <cell r="F3015">
            <v>0</v>
          </cell>
          <cell r="G3015">
            <v>0</v>
          </cell>
          <cell r="H3015">
            <v>0</v>
          </cell>
          <cell r="I3015">
            <v>0</v>
          </cell>
          <cell r="J3015">
            <v>0</v>
          </cell>
          <cell r="K3015">
            <v>0</v>
          </cell>
          <cell r="L3015">
            <v>0</v>
          </cell>
          <cell r="M3015">
            <v>0</v>
          </cell>
          <cell r="N3015">
            <v>0</v>
          </cell>
          <cell r="O3015">
            <v>0</v>
          </cell>
        </row>
        <row r="3016">
          <cell r="A3016" t="str">
            <v>MalaysiaELTO (NET)</v>
          </cell>
          <cell r="B3016">
            <v>0</v>
          </cell>
          <cell r="C3016">
            <v>0</v>
          </cell>
          <cell r="D3016">
            <v>0</v>
          </cell>
          <cell r="E3016">
            <v>0</v>
          </cell>
          <cell r="F3016">
            <v>0</v>
          </cell>
          <cell r="G3016">
            <v>0</v>
          </cell>
          <cell r="H3016">
            <v>0</v>
          </cell>
          <cell r="I3016">
            <v>0</v>
          </cell>
          <cell r="J3016">
            <v>0</v>
          </cell>
          <cell r="K3016">
            <v>0</v>
          </cell>
          <cell r="L3016">
            <v>0</v>
          </cell>
          <cell r="M3016">
            <v>0</v>
          </cell>
          <cell r="N3016">
            <v>0</v>
          </cell>
          <cell r="O3016">
            <v>0</v>
          </cell>
        </row>
        <row r="3017">
          <cell r="A3017" t="str">
            <v>MalaysiaGOODWILL</v>
          </cell>
          <cell r="B3017">
            <v>0</v>
          </cell>
          <cell r="C3017">
            <v>0</v>
          </cell>
          <cell r="D3017">
            <v>0</v>
          </cell>
          <cell r="E3017">
            <v>0</v>
          </cell>
          <cell r="F3017">
            <v>0</v>
          </cell>
          <cell r="G3017">
            <v>0</v>
          </cell>
          <cell r="H3017">
            <v>0</v>
          </cell>
          <cell r="I3017">
            <v>0</v>
          </cell>
          <cell r="J3017">
            <v>0</v>
          </cell>
          <cell r="K3017">
            <v>0</v>
          </cell>
          <cell r="L3017">
            <v>0</v>
          </cell>
          <cell r="M3017">
            <v>0</v>
          </cell>
          <cell r="N3017">
            <v>0</v>
          </cell>
          <cell r="O3017">
            <v>0</v>
          </cell>
        </row>
        <row r="3018">
          <cell r="A3018" t="str">
            <v>MalaysiaOTHER ASSETS</v>
          </cell>
          <cell r="B3018">
            <v>96310.59</v>
          </cell>
          <cell r="C3018">
            <v>84272.04</v>
          </cell>
          <cell r="D3018">
            <v>72233.490000000005</v>
          </cell>
          <cell r="E3018">
            <v>0</v>
          </cell>
          <cell r="F3018">
            <v>0</v>
          </cell>
          <cell r="G3018">
            <v>0</v>
          </cell>
          <cell r="H3018">
            <v>0</v>
          </cell>
          <cell r="I3018">
            <v>0</v>
          </cell>
          <cell r="J3018">
            <v>0</v>
          </cell>
          <cell r="K3018">
            <v>0</v>
          </cell>
          <cell r="L3018">
            <v>0</v>
          </cell>
          <cell r="M3018">
            <v>0</v>
          </cell>
          <cell r="N3018">
            <v>0</v>
          </cell>
          <cell r="O3018">
            <v>0</v>
          </cell>
        </row>
        <row r="3019">
          <cell r="A3019" t="str">
            <v>MalaysiaACCOUNTS PAYABLE</v>
          </cell>
          <cell r="B3019">
            <v>900255.05</v>
          </cell>
          <cell r="C3019">
            <v>1005471.05</v>
          </cell>
          <cell r="D3019">
            <v>1062980.05</v>
          </cell>
          <cell r="E3019">
            <v>455404.11</v>
          </cell>
          <cell r="F3019">
            <v>455404.11</v>
          </cell>
          <cell r="G3019">
            <v>0</v>
          </cell>
          <cell r="H3019">
            <v>0</v>
          </cell>
          <cell r="I3019">
            <v>0</v>
          </cell>
          <cell r="J3019">
            <v>0</v>
          </cell>
          <cell r="K3019">
            <v>0</v>
          </cell>
          <cell r="L3019">
            <v>233371.11</v>
          </cell>
          <cell r="M3019">
            <v>0</v>
          </cell>
          <cell r="N3019">
            <v>0</v>
          </cell>
          <cell r="O3019">
            <v>0</v>
          </cell>
        </row>
        <row r="3020">
          <cell r="A3020" t="str">
            <v>MalaysiaDEFERRED INCOME TAXES</v>
          </cell>
          <cell r="B3020">
            <v>-329573.56</v>
          </cell>
          <cell r="C3020">
            <v>-445127.57</v>
          </cell>
          <cell r="D3020">
            <v>-537746.56999999995</v>
          </cell>
          <cell r="E3020">
            <v>-630457.52</v>
          </cell>
          <cell r="F3020">
            <v>-630457.52</v>
          </cell>
          <cell r="G3020">
            <v>0</v>
          </cell>
          <cell r="H3020">
            <v>0</v>
          </cell>
          <cell r="I3020">
            <v>0</v>
          </cell>
          <cell r="J3020">
            <v>0</v>
          </cell>
          <cell r="K3020">
            <v>0</v>
          </cell>
          <cell r="L3020">
            <v>-630457.52</v>
          </cell>
          <cell r="M3020">
            <v>0</v>
          </cell>
          <cell r="N3020">
            <v>0</v>
          </cell>
          <cell r="O3020">
            <v>0</v>
          </cell>
        </row>
        <row r="3021">
          <cell r="A3021" t="str">
            <v>MalaysiaWRITE-OFF (MEMO)</v>
          </cell>
          <cell r="B3021">
            <v>0</v>
          </cell>
          <cell r="C3021">
            <v>0</v>
          </cell>
          <cell r="D3021">
            <v>0</v>
          </cell>
          <cell r="E3021">
            <v>0</v>
          </cell>
          <cell r="F3021">
            <v>0</v>
          </cell>
          <cell r="G3021">
            <v>0</v>
          </cell>
          <cell r="H3021">
            <v>0</v>
          </cell>
          <cell r="I3021">
            <v>0</v>
          </cell>
          <cell r="J3021">
            <v>0</v>
          </cell>
          <cell r="K3021">
            <v>0</v>
          </cell>
          <cell r="L3021">
            <v>0</v>
          </cell>
          <cell r="M3021">
            <v>0</v>
          </cell>
          <cell r="N3021">
            <v>0</v>
          </cell>
          <cell r="O3021">
            <v>0</v>
          </cell>
        </row>
        <row r="3022">
          <cell r="A3022" t="str">
            <v>MalaysiaINSURANCE RESERVES AND ANNUITY BENEFITS</v>
          </cell>
          <cell r="B3022">
            <v>0</v>
          </cell>
          <cell r="C3022">
            <v>0</v>
          </cell>
          <cell r="D3022">
            <v>0</v>
          </cell>
          <cell r="E3022">
            <v>0</v>
          </cell>
          <cell r="F3022">
            <v>0</v>
          </cell>
          <cell r="G3022">
            <v>0</v>
          </cell>
          <cell r="H3022">
            <v>0</v>
          </cell>
          <cell r="I3022">
            <v>0</v>
          </cell>
          <cell r="J3022">
            <v>0</v>
          </cell>
          <cell r="K3022">
            <v>0</v>
          </cell>
          <cell r="L3022">
            <v>0</v>
          </cell>
          <cell r="M3022">
            <v>0</v>
          </cell>
          <cell r="N3022">
            <v>0</v>
          </cell>
          <cell r="O3022">
            <v>0</v>
          </cell>
        </row>
        <row r="3023">
          <cell r="A3023" t="str">
            <v>MalaysiaALL OTHER NON DEBT LIABILITIES</v>
          </cell>
          <cell r="B3023">
            <v>-370280.96000000002</v>
          </cell>
          <cell r="C3023">
            <v>-370280.96000000002</v>
          </cell>
          <cell r="D3023">
            <v>-370280.96000000002</v>
          </cell>
          <cell r="E3023">
            <v>-397130.34</v>
          </cell>
          <cell r="F3023">
            <v>-397130.34</v>
          </cell>
          <cell r="G3023">
            <v>0</v>
          </cell>
          <cell r="H3023">
            <v>0</v>
          </cell>
          <cell r="I3023">
            <v>0</v>
          </cell>
          <cell r="J3023">
            <v>0</v>
          </cell>
          <cell r="K3023">
            <v>0</v>
          </cell>
          <cell r="L3023">
            <v>-397130.34</v>
          </cell>
          <cell r="M3023">
            <v>0</v>
          </cell>
          <cell r="N3023">
            <v>0</v>
          </cell>
          <cell r="O3023">
            <v>0</v>
          </cell>
        </row>
        <row r="3024">
          <cell r="A3024" t="str">
            <v>MalaysiaMINORITY INTEREST (BS)</v>
          </cell>
          <cell r="B3024">
            <v>0</v>
          </cell>
          <cell r="C3024">
            <v>0</v>
          </cell>
          <cell r="D3024">
            <v>0</v>
          </cell>
          <cell r="E3024">
            <v>0</v>
          </cell>
          <cell r="F3024">
            <v>0</v>
          </cell>
          <cell r="G3024">
            <v>0</v>
          </cell>
          <cell r="H3024">
            <v>0</v>
          </cell>
          <cell r="I3024">
            <v>0</v>
          </cell>
          <cell r="J3024">
            <v>0</v>
          </cell>
          <cell r="K3024">
            <v>0</v>
          </cell>
          <cell r="L3024">
            <v>0</v>
          </cell>
          <cell r="M3024">
            <v>0</v>
          </cell>
          <cell r="N3024">
            <v>0</v>
          </cell>
          <cell r="O3024">
            <v>0</v>
          </cell>
        </row>
        <row r="3025">
          <cell r="A3025" t="str">
            <v>MalaysiaASIA PACIFIC ENI DIVIDEND</v>
          </cell>
          <cell r="B3025">
            <v>0</v>
          </cell>
          <cell r="C3025">
            <v>0</v>
          </cell>
          <cell r="D3025">
            <v>0</v>
          </cell>
          <cell r="E3025">
            <v>0</v>
          </cell>
          <cell r="F3025">
            <v>0</v>
          </cell>
          <cell r="G3025">
            <v>0</v>
          </cell>
          <cell r="H3025">
            <v>0</v>
          </cell>
          <cell r="I3025">
            <v>0</v>
          </cell>
          <cell r="J3025">
            <v>0</v>
          </cell>
          <cell r="K3025">
            <v>0</v>
          </cell>
          <cell r="L3025">
            <v>0</v>
          </cell>
          <cell r="M3025">
            <v>0</v>
          </cell>
          <cell r="N3025">
            <v>0</v>
          </cell>
          <cell r="O3025">
            <v>0</v>
          </cell>
        </row>
        <row r="3026">
          <cell r="A3026" t="str">
            <v>MalaysiaFINANCING INCOME</v>
          </cell>
          <cell r="B3026">
            <v>0</v>
          </cell>
          <cell r="C3026">
            <v>0</v>
          </cell>
          <cell r="D3026">
            <v>0</v>
          </cell>
          <cell r="E3026">
            <v>0</v>
          </cell>
          <cell r="F3026">
            <v>0</v>
          </cell>
          <cell r="G3026">
            <v>0</v>
          </cell>
          <cell r="H3026">
            <v>0</v>
          </cell>
          <cell r="I3026">
            <v>0</v>
          </cell>
          <cell r="J3026">
            <v>0</v>
          </cell>
          <cell r="K3026">
            <v>0</v>
          </cell>
          <cell r="L3026">
            <v>0</v>
          </cell>
          <cell r="M3026">
            <v>0</v>
          </cell>
          <cell r="N3026">
            <v>0</v>
          </cell>
          <cell r="O3026">
            <v>0</v>
          </cell>
        </row>
        <row r="3027">
          <cell r="A3027" t="str">
            <v>MalaysiaINSURANCE PREMIUM INCOME</v>
          </cell>
          <cell r="B3027">
            <v>0</v>
          </cell>
          <cell r="C3027">
            <v>0</v>
          </cell>
          <cell r="D3027">
            <v>0</v>
          </cell>
          <cell r="E3027">
            <v>0</v>
          </cell>
          <cell r="F3027">
            <v>0</v>
          </cell>
          <cell r="G3027">
            <v>0</v>
          </cell>
          <cell r="H3027">
            <v>0</v>
          </cell>
          <cell r="I3027">
            <v>0</v>
          </cell>
          <cell r="J3027">
            <v>0</v>
          </cell>
          <cell r="K3027">
            <v>0</v>
          </cell>
          <cell r="L3027">
            <v>0</v>
          </cell>
          <cell r="M3027">
            <v>0</v>
          </cell>
          <cell r="N3027">
            <v>0</v>
          </cell>
          <cell r="O3027">
            <v>0</v>
          </cell>
        </row>
        <row r="3028">
          <cell r="A3028" t="str">
            <v>MalaysiaINSURANCE INCOME (COMMISSIONS)</v>
          </cell>
          <cell r="B3028">
            <v>0</v>
          </cell>
          <cell r="C3028">
            <v>0</v>
          </cell>
          <cell r="D3028">
            <v>0</v>
          </cell>
          <cell r="E3028">
            <v>0</v>
          </cell>
          <cell r="F3028">
            <v>0</v>
          </cell>
          <cell r="G3028">
            <v>0</v>
          </cell>
          <cell r="H3028">
            <v>0</v>
          </cell>
          <cell r="I3028">
            <v>0</v>
          </cell>
          <cell r="J3028">
            <v>0</v>
          </cell>
          <cell r="K3028">
            <v>0</v>
          </cell>
          <cell r="L3028">
            <v>0</v>
          </cell>
          <cell r="M3028">
            <v>0</v>
          </cell>
          <cell r="N3028">
            <v>0</v>
          </cell>
          <cell r="O3028">
            <v>0</v>
          </cell>
        </row>
        <row r="3029">
          <cell r="A3029" t="str">
            <v>MalaysiaSUNDRY INCOME</v>
          </cell>
          <cell r="B3029">
            <v>-368555.82</v>
          </cell>
          <cell r="C3029">
            <v>-405315.37</v>
          </cell>
          <cell r="D3029">
            <v>-356228.46</v>
          </cell>
          <cell r="E3029">
            <v>-3302856.57</v>
          </cell>
          <cell r="F3029">
            <v>-4432956.22</v>
          </cell>
          <cell r="G3029">
            <v>0</v>
          </cell>
          <cell r="H3029">
            <v>0</v>
          </cell>
          <cell r="I3029">
            <v>0</v>
          </cell>
          <cell r="J3029">
            <v>0</v>
          </cell>
          <cell r="K3029">
            <v>0</v>
          </cell>
          <cell r="L3029">
            <v>41094.47</v>
          </cell>
          <cell r="M3029">
            <v>0</v>
          </cell>
          <cell r="N3029">
            <v>0</v>
          </cell>
          <cell r="O3029">
            <v>0</v>
          </cell>
        </row>
        <row r="3030">
          <cell r="A3030" t="str">
            <v>MalaysiaINTEREST EXPENSE</v>
          </cell>
          <cell r="B3030">
            <v>283381.39</v>
          </cell>
          <cell r="C3030">
            <v>151953.34</v>
          </cell>
          <cell r="D3030">
            <v>157383.06</v>
          </cell>
          <cell r="E3030">
            <v>41661.879999999997</v>
          </cell>
          <cell r="F3030">
            <v>634379.67000000004</v>
          </cell>
          <cell r="G3030">
            <v>0</v>
          </cell>
          <cell r="H3030">
            <v>0</v>
          </cell>
          <cell r="I3030">
            <v>0</v>
          </cell>
          <cell r="J3030">
            <v>0</v>
          </cell>
          <cell r="K3030">
            <v>0</v>
          </cell>
          <cell r="L3030">
            <v>0</v>
          </cell>
          <cell r="M3030">
            <v>0</v>
          </cell>
          <cell r="N3030">
            <v>0</v>
          </cell>
          <cell r="O3030">
            <v>0</v>
          </cell>
        </row>
        <row r="3031">
          <cell r="A3031" t="str">
            <v>MalaysiaINTEREST EXPENSE REDUCTIONS / BUS SHARING</v>
          </cell>
          <cell r="B3031">
            <v>0</v>
          </cell>
          <cell r="C3031">
            <v>0</v>
          </cell>
          <cell r="D3031">
            <v>0</v>
          </cell>
          <cell r="E3031">
            <v>0</v>
          </cell>
          <cell r="F3031">
            <v>0</v>
          </cell>
          <cell r="G3031">
            <v>0</v>
          </cell>
          <cell r="H3031">
            <v>0</v>
          </cell>
          <cell r="I3031">
            <v>0</v>
          </cell>
          <cell r="J3031">
            <v>0</v>
          </cell>
          <cell r="K3031">
            <v>0</v>
          </cell>
          <cell r="L3031">
            <v>0</v>
          </cell>
          <cell r="M3031">
            <v>0</v>
          </cell>
          <cell r="N3031">
            <v>0</v>
          </cell>
          <cell r="O3031">
            <v>0</v>
          </cell>
        </row>
        <row r="3032">
          <cell r="A3032" t="str">
            <v>MalaysiaALLOCATED COST OF PREFERRED EQUITY</v>
          </cell>
          <cell r="B3032">
            <v>1236.6400000000001</v>
          </cell>
          <cell r="C3032">
            <v>1053</v>
          </cell>
          <cell r="D3032">
            <v>854.87</v>
          </cell>
          <cell r="E3032">
            <v>503.31</v>
          </cell>
          <cell r="F3032">
            <v>3647.82</v>
          </cell>
          <cell r="G3032">
            <v>0</v>
          </cell>
          <cell r="H3032">
            <v>0</v>
          </cell>
          <cell r="I3032">
            <v>0</v>
          </cell>
          <cell r="J3032">
            <v>0</v>
          </cell>
          <cell r="K3032">
            <v>0</v>
          </cell>
          <cell r="L3032">
            <v>0</v>
          </cell>
          <cell r="M3032">
            <v>0</v>
          </cell>
          <cell r="N3032">
            <v>0</v>
          </cell>
          <cell r="O3032">
            <v>0</v>
          </cell>
        </row>
        <row r="3033">
          <cell r="A3033" t="str">
            <v>MalaysiaSALARIES &amp; BENEFITS</v>
          </cell>
          <cell r="B3033">
            <v>1998</v>
          </cell>
          <cell r="C3033">
            <v>1998</v>
          </cell>
          <cell r="D3033">
            <v>1998</v>
          </cell>
          <cell r="E3033">
            <v>0</v>
          </cell>
          <cell r="F3033">
            <v>5994</v>
          </cell>
          <cell r="G3033">
            <v>0</v>
          </cell>
          <cell r="H3033">
            <v>0</v>
          </cell>
          <cell r="I3033">
            <v>0</v>
          </cell>
          <cell r="J3033">
            <v>0</v>
          </cell>
          <cell r="K3033">
            <v>0</v>
          </cell>
          <cell r="L3033">
            <v>0</v>
          </cell>
          <cell r="M3033">
            <v>0</v>
          </cell>
          <cell r="N3033">
            <v>0</v>
          </cell>
          <cell r="O3033">
            <v>0</v>
          </cell>
        </row>
        <row r="3034">
          <cell r="A3034" t="str">
            <v>MalaysiaLOSSES ON OTHER ASSETS</v>
          </cell>
          <cell r="B3034">
            <v>0</v>
          </cell>
          <cell r="C3034">
            <v>0</v>
          </cell>
          <cell r="D3034">
            <v>0</v>
          </cell>
          <cell r="E3034">
            <v>247130.34</v>
          </cell>
          <cell r="F3034">
            <v>247130.34</v>
          </cell>
          <cell r="G3034">
            <v>0</v>
          </cell>
          <cell r="H3034">
            <v>0</v>
          </cell>
          <cell r="I3034">
            <v>0</v>
          </cell>
          <cell r="J3034">
            <v>0</v>
          </cell>
          <cell r="K3034">
            <v>0</v>
          </cell>
          <cell r="L3034">
            <v>0</v>
          </cell>
          <cell r="M3034">
            <v>0</v>
          </cell>
          <cell r="N3034">
            <v>0</v>
          </cell>
          <cell r="O3034">
            <v>0</v>
          </cell>
        </row>
        <row r="3035">
          <cell r="A3035" t="str">
            <v>MalaysiaCOST OF GOODS SOLD</v>
          </cell>
          <cell r="B3035">
            <v>0</v>
          </cell>
          <cell r="C3035">
            <v>0</v>
          </cell>
          <cell r="D3035">
            <v>0</v>
          </cell>
          <cell r="E3035">
            <v>0</v>
          </cell>
          <cell r="F3035">
            <v>0</v>
          </cell>
          <cell r="G3035">
            <v>0</v>
          </cell>
          <cell r="H3035">
            <v>0</v>
          </cell>
          <cell r="I3035">
            <v>0</v>
          </cell>
          <cell r="J3035">
            <v>0</v>
          </cell>
          <cell r="K3035">
            <v>0</v>
          </cell>
          <cell r="L3035">
            <v>0</v>
          </cell>
          <cell r="M3035">
            <v>0</v>
          </cell>
          <cell r="N3035">
            <v>0</v>
          </cell>
          <cell r="O3035">
            <v>0</v>
          </cell>
        </row>
        <row r="3036">
          <cell r="A3036" t="str">
            <v>MalaysiaCOST OF GOODS SOLD - DISTRIBUTION</v>
          </cell>
          <cell r="B3036">
            <v>0</v>
          </cell>
          <cell r="C3036">
            <v>0</v>
          </cell>
          <cell r="D3036">
            <v>0</v>
          </cell>
          <cell r="E3036">
            <v>0</v>
          </cell>
          <cell r="F3036">
            <v>0</v>
          </cell>
          <cell r="G3036">
            <v>0</v>
          </cell>
          <cell r="H3036">
            <v>0</v>
          </cell>
          <cell r="I3036">
            <v>0</v>
          </cell>
          <cell r="J3036">
            <v>0</v>
          </cell>
          <cell r="K3036">
            <v>0</v>
          </cell>
          <cell r="L3036">
            <v>0</v>
          </cell>
          <cell r="M3036">
            <v>0</v>
          </cell>
          <cell r="N3036">
            <v>0</v>
          </cell>
          <cell r="O3036">
            <v>0</v>
          </cell>
        </row>
        <row r="3037">
          <cell r="A3037" t="str">
            <v>MalaysiaPOSTAGE</v>
          </cell>
          <cell r="B3037">
            <v>0</v>
          </cell>
          <cell r="C3037">
            <v>0</v>
          </cell>
          <cell r="D3037">
            <v>0</v>
          </cell>
          <cell r="E3037">
            <v>0</v>
          </cell>
          <cell r="F3037">
            <v>0</v>
          </cell>
          <cell r="G3037">
            <v>0</v>
          </cell>
          <cell r="H3037">
            <v>0</v>
          </cell>
          <cell r="I3037">
            <v>0</v>
          </cell>
          <cell r="J3037">
            <v>0</v>
          </cell>
          <cell r="K3037">
            <v>0</v>
          </cell>
          <cell r="L3037">
            <v>0</v>
          </cell>
          <cell r="M3037">
            <v>0</v>
          </cell>
          <cell r="N3037">
            <v>0</v>
          </cell>
          <cell r="O3037">
            <v>0</v>
          </cell>
        </row>
        <row r="3038">
          <cell r="A3038" t="str">
            <v>MalaysiaTELEPHONE</v>
          </cell>
          <cell r="B3038">
            <v>0</v>
          </cell>
          <cell r="C3038">
            <v>0</v>
          </cell>
          <cell r="D3038">
            <v>0</v>
          </cell>
          <cell r="E3038">
            <v>0</v>
          </cell>
          <cell r="F3038">
            <v>0</v>
          </cell>
          <cell r="G3038">
            <v>0</v>
          </cell>
          <cell r="H3038">
            <v>0</v>
          </cell>
          <cell r="I3038">
            <v>0</v>
          </cell>
          <cell r="J3038">
            <v>0</v>
          </cell>
          <cell r="K3038">
            <v>0</v>
          </cell>
          <cell r="L3038">
            <v>0</v>
          </cell>
          <cell r="M3038">
            <v>0</v>
          </cell>
          <cell r="N3038">
            <v>0</v>
          </cell>
          <cell r="O3038">
            <v>0</v>
          </cell>
        </row>
        <row r="3039">
          <cell r="A3039" t="str">
            <v>MalaysiaCUSTOMER SERVICE / COLLECTIONS</v>
          </cell>
          <cell r="B3039">
            <v>0</v>
          </cell>
          <cell r="C3039">
            <v>0</v>
          </cell>
          <cell r="D3039">
            <v>0</v>
          </cell>
          <cell r="E3039">
            <v>0</v>
          </cell>
          <cell r="F3039">
            <v>0</v>
          </cell>
          <cell r="G3039">
            <v>0</v>
          </cell>
          <cell r="H3039">
            <v>0</v>
          </cell>
          <cell r="I3039">
            <v>0</v>
          </cell>
          <cell r="J3039">
            <v>0</v>
          </cell>
          <cell r="K3039">
            <v>0</v>
          </cell>
          <cell r="L3039">
            <v>0</v>
          </cell>
          <cell r="M3039">
            <v>0</v>
          </cell>
          <cell r="N3039">
            <v>0</v>
          </cell>
          <cell r="O3039">
            <v>0</v>
          </cell>
        </row>
        <row r="3040">
          <cell r="A3040" t="str">
            <v>MalaysiaSTATIONARY - OFFICE SUPPLIES</v>
          </cell>
          <cell r="B3040">
            <v>0</v>
          </cell>
          <cell r="C3040">
            <v>0</v>
          </cell>
          <cell r="D3040">
            <v>0</v>
          </cell>
          <cell r="E3040">
            <v>0</v>
          </cell>
          <cell r="F3040">
            <v>0</v>
          </cell>
          <cell r="G3040">
            <v>0</v>
          </cell>
          <cell r="H3040">
            <v>0</v>
          </cell>
          <cell r="I3040">
            <v>0</v>
          </cell>
          <cell r="J3040">
            <v>0</v>
          </cell>
          <cell r="K3040">
            <v>0</v>
          </cell>
          <cell r="L3040">
            <v>0</v>
          </cell>
          <cell r="M3040">
            <v>0</v>
          </cell>
          <cell r="N3040">
            <v>0</v>
          </cell>
          <cell r="O3040">
            <v>0</v>
          </cell>
        </row>
        <row r="3041">
          <cell r="A3041" t="str">
            <v>MalaysiaT&amp;L</v>
          </cell>
          <cell r="B3041">
            <v>0</v>
          </cell>
          <cell r="C3041">
            <v>0</v>
          </cell>
          <cell r="D3041">
            <v>0</v>
          </cell>
          <cell r="E3041">
            <v>0</v>
          </cell>
          <cell r="F3041">
            <v>0</v>
          </cell>
          <cell r="G3041">
            <v>0</v>
          </cell>
          <cell r="H3041">
            <v>0</v>
          </cell>
          <cell r="I3041">
            <v>0</v>
          </cell>
          <cell r="J3041">
            <v>0</v>
          </cell>
          <cell r="K3041">
            <v>0</v>
          </cell>
          <cell r="L3041">
            <v>0</v>
          </cell>
          <cell r="M3041">
            <v>0</v>
          </cell>
          <cell r="N3041">
            <v>0</v>
          </cell>
          <cell r="O3041">
            <v>0</v>
          </cell>
        </row>
        <row r="3042">
          <cell r="A3042" t="str">
            <v>MalaysiaRENTAL - BLDG/FACILITIES</v>
          </cell>
          <cell r="B3042">
            <v>0</v>
          </cell>
          <cell r="C3042">
            <v>0</v>
          </cell>
          <cell r="D3042">
            <v>0</v>
          </cell>
          <cell r="E3042">
            <v>0</v>
          </cell>
          <cell r="F3042">
            <v>0</v>
          </cell>
          <cell r="G3042">
            <v>0</v>
          </cell>
          <cell r="H3042">
            <v>0</v>
          </cell>
          <cell r="I3042">
            <v>0</v>
          </cell>
          <cell r="J3042">
            <v>0</v>
          </cell>
          <cell r="K3042">
            <v>0</v>
          </cell>
          <cell r="L3042">
            <v>0</v>
          </cell>
          <cell r="M3042">
            <v>0</v>
          </cell>
          <cell r="N3042">
            <v>0</v>
          </cell>
          <cell r="O3042">
            <v>0</v>
          </cell>
        </row>
        <row r="3043">
          <cell r="A3043" t="str">
            <v>MalaysiaRENTAL - FURNITURE/EQUIP</v>
          </cell>
          <cell r="B3043">
            <v>0</v>
          </cell>
          <cell r="C3043">
            <v>0</v>
          </cell>
          <cell r="D3043">
            <v>0</v>
          </cell>
          <cell r="E3043">
            <v>0</v>
          </cell>
          <cell r="F3043">
            <v>0</v>
          </cell>
          <cell r="G3043">
            <v>0</v>
          </cell>
          <cell r="H3043">
            <v>0</v>
          </cell>
          <cell r="I3043">
            <v>0</v>
          </cell>
          <cell r="J3043">
            <v>0</v>
          </cell>
          <cell r="K3043">
            <v>0</v>
          </cell>
          <cell r="L3043">
            <v>0</v>
          </cell>
          <cell r="M3043">
            <v>0</v>
          </cell>
          <cell r="N3043">
            <v>0</v>
          </cell>
          <cell r="O3043">
            <v>0</v>
          </cell>
        </row>
        <row r="3044">
          <cell r="A3044" t="str">
            <v>MalaysiaRENTAL - COMPUTERS</v>
          </cell>
          <cell r="B3044">
            <v>0</v>
          </cell>
          <cell r="C3044">
            <v>0</v>
          </cell>
          <cell r="D3044">
            <v>0</v>
          </cell>
          <cell r="E3044">
            <v>0</v>
          </cell>
          <cell r="F3044">
            <v>0</v>
          </cell>
          <cell r="G3044">
            <v>0</v>
          </cell>
          <cell r="H3044">
            <v>0</v>
          </cell>
          <cell r="I3044">
            <v>0</v>
          </cell>
          <cell r="J3044">
            <v>0</v>
          </cell>
          <cell r="K3044">
            <v>0</v>
          </cell>
          <cell r="L3044">
            <v>0</v>
          </cell>
          <cell r="M3044">
            <v>0</v>
          </cell>
          <cell r="N3044">
            <v>0</v>
          </cell>
          <cell r="O3044">
            <v>0</v>
          </cell>
        </row>
        <row r="3045">
          <cell r="A3045" t="str">
            <v>MalaysiaLEASE IN - LEASE OUT</v>
          </cell>
          <cell r="B3045">
            <v>0</v>
          </cell>
          <cell r="C3045">
            <v>0</v>
          </cell>
          <cell r="D3045">
            <v>0</v>
          </cell>
          <cell r="E3045">
            <v>0</v>
          </cell>
          <cell r="F3045">
            <v>0</v>
          </cell>
          <cell r="G3045">
            <v>0</v>
          </cell>
          <cell r="H3045">
            <v>0</v>
          </cell>
          <cell r="I3045">
            <v>0</v>
          </cell>
          <cell r="J3045">
            <v>0</v>
          </cell>
          <cell r="K3045">
            <v>0</v>
          </cell>
          <cell r="L3045">
            <v>0</v>
          </cell>
          <cell r="M3045">
            <v>0</v>
          </cell>
          <cell r="N3045">
            <v>0</v>
          </cell>
          <cell r="O3045">
            <v>0</v>
          </cell>
        </row>
        <row r="3046">
          <cell r="A3046" t="str">
            <v>MalaysiaFURNITURE / EQUIPMENT / COMPUTER EXP</v>
          </cell>
          <cell r="B3046">
            <v>0</v>
          </cell>
          <cell r="C3046">
            <v>0</v>
          </cell>
          <cell r="D3046">
            <v>0</v>
          </cell>
          <cell r="E3046">
            <v>0</v>
          </cell>
          <cell r="F3046">
            <v>0</v>
          </cell>
          <cell r="G3046">
            <v>0</v>
          </cell>
          <cell r="H3046">
            <v>0</v>
          </cell>
          <cell r="I3046">
            <v>0</v>
          </cell>
          <cell r="J3046">
            <v>0</v>
          </cell>
          <cell r="K3046">
            <v>0</v>
          </cell>
          <cell r="L3046">
            <v>0</v>
          </cell>
          <cell r="M3046">
            <v>0</v>
          </cell>
          <cell r="N3046">
            <v>0</v>
          </cell>
          <cell r="O3046">
            <v>0</v>
          </cell>
        </row>
        <row r="3047">
          <cell r="A3047" t="str">
            <v>MalaysiaSOFTWARE EXPENSE</v>
          </cell>
          <cell r="B3047">
            <v>0</v>
          </cell>
          <cell r="C3047">
            <v>0</v>
          </cell>
          <cell r="D3047">
            <v>0</v>
          </cell>
          <cell r="E3047">
            <v>0</v>
          </cell>
          <cell r="F3047">
            <v>0</v>
          </cell>
          <cell r="G3047">
            <v>0</v>
          </cell>
          <cell r="H3047">
            <v>0</v>
          </cell>
          <cell r="I3047">
            <v>0</v>
          </cell>
          <cell r="J3047">
            <v>0</v>
          </cell>
          <cell r="K3047">
            <v>0</v>
          </cell>
          <cell r="L3047">
            <v>0</v>
          </cell>
          <cell r="M3047">
            <v>0</v>
          </cell>
          <cell r="N3047">
            <v>0</v>
          </cell>
          <cell r="O3047">
            <v>0</v>
          </cell>
        </row>
        <row r="3048">
          <cell r="A3048" t="str">
            <v>MalaysiaAMORTIZATION OF INTANGIBLES</v>
          </cell>
          <cell r="B3048">
            <v>8025.7</v>
          </cell>
          <cell r="C3048">
            <v>12038.55</v>
          </cell>
          <cell r="D3048">
            <v>12038.55</v>
          </cell>
          <cell r="E3048">
            <v>12038.55</v>
          </cell>
          <cell r="F3048">
            <v>44141.35</v>
          </cell>
          <cell r="G3048">
            <v>0</v>
          </cell>
          <cell r="H3048">
            <v>0</v>
          </cell>
          <cell r="I3048">
            <v>0</v>
          </cell>
          <cell r="J3048">
            <v>0</v>
          </cell>
          <cell r="K3048">
            <v>0</v>
          </cell>
          <cell r="L3048">
            <v>0</v>
          </cell>
          <cell r="M3048">
            <v>0</v>
          </cell>
          <cell r="N3048">
            <v>0</v>
          </cell>
          <cell r="O3048">
            <v>0</v>
          </cell>
        </row>
        <row r="3049">
          <cell r="A3049" t="str">
            <v>MalaysiaELTO MAINTENANCE</v>
          </cell>
          <cell r="B3049">
            <v>0</v>
          </cell>
          <cell r="C3049">
            <v>0</v>
          </cell>
          <cell r="D3049">
            <v>0</v>
          </cell>
          <cell r="E3049">
            <v>0</v>
          </cell>
          <cell r="F3049">
            <v>0</v>
          </cell>
          <cell r="G3049">
            <v>0</v>
          </cell>
          <cell r="H3049">
            <v>0</v>
          </cell>
          <cell r="I3049">
            <v>0</v>
          </cell>
          <cell r="J3049">
            <v>0</v>
          </cell>
          <cell r="K3049">
            <v>0</v>
          </cell>
          <cell r="L3049">
            <v>0</v>
          </cell>
          <cell r="M3049">
            <v>0</v>
          </cell>
          <cell r="N3049">
            <v>0</v>
          </cell>
          <cell r="O3049">
            <v>0</v>
          </cell>
        </row>
        <row r="3050">
          <cell r="A3050" t="str">
            <v>MalaysiaELTO OTHER</v>
          </cell>
          <cell r="B3050">
            <v>0</v>
          </cell>
          <cell r="C3050">
            <v>0</v>
          </cell>
          <cell r="D3050">
            <v>0</v>
          </cell>
          <cell r="E3050">
            <v>0</v>
          </cell>
          <cell r="F3050">
            <v>0</v>
          </cell>
          <cell r="G3050">
            <v>0</v>
          </cell>
          <cell r="H3050">
            <v>0</v>
          </cell>
          <cell r="I3050">
            <v>0</v>
          </cell>
          <cell r="J3050">
            <v>0</v>
          </cell>
          <cell r="K3050">
            <v>0</v>
          </cell>
          <cell r="L3050">
            <v>0</v>
          </cell>
          <cell r="M3050">
            <v>0</v>
          </cell>
          <cell r="N3050">
            <v>0</v>
          </cell>
          <cell r="O3050">
            <v>0</v>
          </cell>
        </row>
        <row r="3051">
          <cell r="A3051" t="str">
            <v>MalaysiaLEGAL</v>
          </cell>
          <cell r="B3051">
            <v>0</v>
          </cell>
          <cell r="C3051">
            <v>0</v>
          </cell>
          <cell r="D3051">
            <v>0</v>
          </cell>
          <cell r="E3051">
            <v>95000</v>
          </cell>
          <cell r="F3051">
            <v>95000</v>
          </cell>
          <cell r="G3051">
            <v>0</v>
          </cell>
          <cell r="H3051">
            <v>0</v>
          </cell>
          <cell r="I3051">
            <v>0</v>
          </cell>
          <cell r="J3051">
            <v>0</v>
          </cell>
          <cell r="K3051">
            <v>0</v>
          </cell>
          <cell r="L3051">
            <v>0</v>
          </cell>
          <cell r="M3051">
            <v>0</v>
          </cell>
          <cell r="N3051">
            <v>0</v>
          </cell>
          <cell r="O3051">
            <v>0</v>
          </cell>
        </row>
        <row r="3052">
          <cell r="A3052" t="str">
            <v>MalaysiaADVERTISING</v>
          </cell>
          <cell r="B3052">
            <v>0</v>
          </cell>
          <cell r="C3052">
            <v>0</v>
          </cell>
          <cell r="D3052">
            <v>0</v>
          </cell>
          <cell r="E3052">
            <v>0</v>
          </cell>
          <cell r="F3052">
            <v>0</v>
          </cell>
          <cell r="G3052">
            <v>0</v>
          </cell>
          <cell r="H3052">
            <v>0</v>
          </cell>
          <cell r="I3052">
            <v>0</v>
          </cell>
          <cell r="J3052">
            <v>0</v>
          </cell>
          <cell r="K3052">
            <v>0</v>
          </cell>
          <cell r="L3052">
            <v>0</v>
          </cell>
          <cell r="M3052">
            <v>0</v>
          </cell>
          <cell r="N3052">
            <v>0</v>
          </cell>
          <cell r="O3052">
            <v>0</v>
          </cell>
        </row>
        <row r="3053">
          <cell r="A3053" t="str">
            <v>MalaysiaSALES PROMOTIONS</v>
          </cell>
          <cell r="B3053">
            <v>0</v>
          </cell>
          <cell r="C3053">
            <v>0</v>
          </cell>
          <cell r="D3053">
            <v>0</v>
          </cell>
          <cell r="E3053">
            <v>0</v>
          </cell>
          <cell r="F3053">
            <v>0</v>
          </cell>
          <cell r="G3053">
            <v>0</v>
          </cell>
          <cell r="H3053">
            <v>0</v>
          </cell>
          <cell r="I3053">
            <v>0</v>
          </cell>
          <cell r="J3053">
            <v>0</v>
          </cell>
          <cell r="K3053">
            <v>0</v>
          </cell>
          <cell r="L3053">
            <v>0</v>
          </cell>
          <cell r="M3053">
            <v>0</v>
          </cell>
          <cell r="N3053">
            <v>0</v>
          </cell>
          <cell r="O3053">
            <v>0</v>
          </cell>
        </row>
        <row r="3054">
          <cell r="A3054" t="str">
            <v>MalaysiaDIRECT MAIL</v>
          </cell>
          <cell r="B3054">
            <v>0</v>
          </cell>
          <cell r="C3054">
            <v>0</v>
          </cell>
          <cell r="D3054">
            <v>0</v>
          </cell>
          <cell r="E3054">
            <v>0</v>
          </cell>
          <cell r="F3054">
            <v>0</v>
          </cell>
          <cell r="G3054">
            <v>0</v>
          </cell>
          <cell r="H3054">
            <v>0</v>
          </cell>
          <cell r="I3054">
            <v>0</v>
          </cell>
          <cell r="J3054">
            <v>0</v>
          </cell>
          <cell r="K3054">
            <v>0</v>
          </cell>
          <cell r="L3054">
            <v>0</v>
          </cell>
          <cell r="M3054">
            <v>0</v>
          </cell>
          <cell r="N3054">
            <v>0</v>
          </cell>
          <cell r="O3054">
            <v>0</v>
          </cell>
        </row>
        <row r="3055">
          <cell r="A3055" t="str">
            <v>MalaysiaDATA PROCESSING</v>
          </cell>
          <cell r="B3055">
            <v>0</v>
          </cell>
          <cell r="C3055">
            <v>0</v>
          </cell>
          <cell r="D3055">
            <v>0</v>
          </cell>
          <cell r="E3055">
            <v>0</v>
          </cell>
          <cell r="F3055">
            <v>0</v>
          </cell>
          <cell r="G3055">
            <v>0</v>
          </cell>
          <cell r="H3055">
            <v>0</v>
          </cell>
          <cell r="I3055">
            <v>0</v>
          </cell>
          <cell r="J3055">
            <v>0</v>
          </cell>
          <cell r="K3055">
            <v>0</v>
          </cell>
          <cell r="L3055">
            <v>0</v>
          </cell>
          <cell r="M3055">
            <v>0</v>
          </cell>
          <cell r="N3055">
            <v>0</v>
          </cell>
          <cell r="O3055">
            <v>0</v>
          </cell>
        </row>
        <row r="3056">
          <cell r="A3056" t="str">
            <v>MalaysiaCONSULTING</v>
          </cell>
          <cell r="B3056">
            <v>0</v>
          </cell>
          <cell r="C3056">
            <v>0</v>
          </cell>
          <cell r="D3056">
            <v>0</v>
          </cell>
          <cell r="E3056">
            <v>0</v>
          </cell>
          <cell r="F3056">
            <v>0</v>
          </cell>
          <cell r="G3056">
            <v>0</v>
          </cell>
          <cell r="H3056">
            <v>0</v>
          </cell>
          <cell r="I3056">
            <v>0</v>
          </cell>
          <cell r="J3056">
            <v>0</v>
          </cell>
          <cell r="K3056">
            <v>0</v>
          </cell>
          <cell r="L3056">
            <v>0</v>
          </cell>
          <cell r="M3056">
            <v>0</v>
          </cell>
          <cell r="N3056">
            <v>0</v>
          </cell>
          <cell r="O3056">
            <v>0</v>
          </cell>
        </row>
        <row r="3057">
          <cell r="A3057" t="str">
            <v>MalaysiaTEMP SERVICES</v>
          </cell>
          <cell r="B3057">
            <v>128.43</v>
          </cell>
          <cell r="C3057">
            <v>0</v>
          </cell>
          <cell r="D3057">
            <v>675</v>
          </cell>
          <cell r="E3057">
            <v>22500</v>
          </cell>
          <cell r="F3057">
            <v>23303.43</v>
          </cell>
          <cell r="G3057">
            <v>0</v>
          </cell>
          <cell r="H3057">
            <v>0</v>
          </cell>
          <cell r="I3057">
            <v>0</v>
          </cell>
          <cell r="J3057">
            <v>0</v>
          </cell>
          <cell r="K3057">
            <v>0</v>
          </cell>
          <cell r="L3057">
            <v>0</v>
          </cell>
          <cell r="M3057">
            <v>0</v>
          </cell>
          <cell r="N3057">
            <v>0</v>
          </cell>
          <cell r="O3057">
            <v>0</v>
          </cell>
        </row>
        <row r="3058">
          <cell r="A3058" t="str">
            <v>MalaysiaGDC CHARGES</v>
          </cell>
          <cell r="B3058">
            <v>0</v>
          </cell>
          <cell r="C3058">
            <v>0</v>
          </cell>
          <cell r="D3058">
            <v>0</v>
          </cell>
          <cell r="E3058">
            <v>0</v>
          </cell>
          <cell r="F3058">
            <v>0</v>
          </cell>
          <cell r="G3058">
            <v>0</v>
          </cell>
          <cell r="H3058">
            <v>0</v>
          </cell>
          <cell r="I3058">
            <v>0</v>
          </cell>
          <cell r="J3058">
            <v>0</v>
          </cell>
          <cell r="K3058">
            <v>0</v>
          </cell>
          <cell r="L3058">
            <v>0</v>
          </cell>
          <cell r="M3058">
            <v>0</v>
          </cell>
          <cell r="N3058">
            <v>0</v>
          </cell>
          <cell r="O3058">
            <v>0</v>
          </cell>
        </row>
        <row r="3059">
          <cell r="A3059" t="str">
            <v>MalaysiaTRAINING AND EDUCATION</v>
          </cell>
          <cell r="B3059">
            <v>0</v>
          </cell>
          <cell r="C3059">
            <v>0</v>
          </cell>
          <cell r="D3059">
            <v>0</v>
          </cell>
          <cell r="E3059">
            <v>0</v>
          </cell>
          <cell r="F3059">
            <v>0</v>
          </cell>
          <cell r="G3059">
            <v>0</v>
          </cell>
          <cell r="H3059">
            <v>0</v>
          </cell>
          <cell r="I3059">
            <v>0</v>
          </cell>
          <cell r="J3059">
            <v>0</v>
          </cell>
          <cell r="K3059">
            <v>0</v>
          </cell>
          <cell r="L3059">
            <v>0</v>
          </cell>
          <cell r="M3059">
            <v>0</v>
          </cell>
          <cell r="N3059">
            <v>0</v>
          </cell>
          <cell r="O3059">
            <v>0</v>
          </cell>
        </row>
        <row r="3060">
          <cell r="A3060" t="str">
            <v>MalaysiaOUTSIDE SERVICES  AND FEES</v>
          </cell>
          <cell r="B3060">
            <v>0</v>
          </cell>
          <cell r="C3060">
            <v>0</v>
          </cell>
          <cell r="D3060">
            <v>0</v>
          </cell>
          <cell r="E3060">
            <v>0</v>
          </cell>
          <cell r="F3060">
            <v>0</v>
          </cell>
          <cell r="G3060">
            <v>0</v>
          </cell>
          <cell r="H3060">
            <v>0</v>
          </cell>
          <cell r="I3060">
            <v>0</v>
          </cell>
          <cell r="J3060">
            <v>0</v>
          </cell>
          <cell r="K3060">
            <v>0</v>
          </cell>
          <cell r="L3060">
            <v>0</v>
          </cell>
          <cell r="M3060">
            <v>0</v>
          </cell>
          <cell r="N3060">
            <v>0</v>
          </cell>
          <cell r="O3060">
            <v>0</v>
          </cell>
        </row>
        <row r="3061">
          <cell r="A3061" t="str">
            <v>MalaysiaSTATE, FOREIGN, LOCAL TAXES</v>
          </cell>
          <cell r="B3061">
            <v>0</v>
          </cell>
          <cell r="C3061">
            <v>614</v>
          </cell>
          <cell r="D3061">
            <v>307</v>
          </cell>
          <cell r="E3061">
            <v>0</v>
          </cell>
          <cell r="F3061">
            <v>921</v>
          </cell>
          <cell r="G3061">
            <v>0</v>
          </cell>
          <cell r="H3061">
            <v>0</v>
          </cell>
          <cell r="I3061">
            <v>0</v>
          </cell>
          <cell r="J3061">
            <v>0</v>
          </cell>
          <cell r="K3061">
            <v>0</v>
          </cell>
          <cell r="L3061">
            <v>0</v>
          </cell>
          <cell r="M3061">
            <v>0</v>
          </cell>
          <cell r="N3061">
            <v>0</v>
          </cell>
          <cell r="O3061">
            <v>0</v>
          </cell>
        </row>
        <row r="3062">
          <cell r="A3062" t="str">
            <v>MalaysiaS/L TAX - INSURANCE PREMIUMS</v>
          </cell>
          <cell r="B3062">
            <v>0</v>
          </cell>
          <cell r="C3062">
            <v>0</v>
          </cell>
          <cell r="D3062">
            <v>0</v>
          </cell>
          <cell r="E3062">
            <v>0</v>
          </cell>
          <cell r="F3062">
            <v>0</v>
          </cell>
          <cell r="G3062">
            <v>0</v>
          </cell>
          <cell r="H3062">
            <v>0</v>
          </cell>
          <cell r="I3062">
            <v>0</v>
          </cell>
          <cell r="J3062">
            <v>0</v>
          </cell>
          <cell r="K3062">
            <v>0</v>
          </cell>
          <cell r="L3062">
            <v>0</v>
          </cell>
          <cell r="M3062">
            <v>0</v>
          </cell>
          <cell r="N3062">
            <v>0</v>
          </cell>
          <cell r="O3062">
            <v>0</v>
          </cell>
        </row>
        <row r="3063">
          <cell r="A3063" t="str">
            <v>MalaysiaSATELLITE LEASE EXPENSE</v>
          </cell>
          <cell r="B3063">
            <v>0</v>
          </cell>
          <cell r="C3063">
            <v>0</v>
          </cell>
          <cell r="D3063">
            <v>0</v>
          </cell>
          <cell r="E3063">
            <v>0</v>
          </cell>
          <cell r="F3063">
            <v>0</v>
          </cell>
          <cell r="G3063">
            <v>0</v>
          </cell>
          <cell r="H3063">
            <v>0</v>
          </cell>
          <cell r="I3063">
            <v>0</v>
          </cell>
          <cell r="J3063">
            <v>0</v>
          </cell>
          <cell r="K3063">
            <v>0</v>
          </cell>
          <cell r="L3063">
            <v>0</v>
          </cell>
          <cell r="M3063">
            <v>0</v>
          </cell>
          <cell r="N3063">
            <v>0</v>
          </cell>
          <cell r="O3063">
            <v>0</v>
          </cell>
        </row>
        <row r="3064">
          <cell r="A3064" t="str">
            <v>MalaysiaBUSINESS SHARE EXPENSE</v>
          </cell>
          <cell r="B3064">
            <v>0</v>
          </cell>
          <cell r="C3064">
            <v>0</v>
          </cell>
          <cell r="D3064">
            <v>0</v>
          </cell>
          <cell r="E3064">
            <v>0</v>
          </cell>
          <cell r="F3064">
            <v>0</v>
          </cell>
          <cell r="G3064">
            <v>0</v>
          </cell>
          <cell r="H3064">
            <v>0</v>
          </cell>
          <cell r="I3064">
            <v>0</v>
          </cell>
          <cell r="J3064">
            <v>0</v>
          </cell>
          <cell r="K3064">
            <v>0</v>
          </cell>
          <cell r="L3064">
            <v>0</v>
          </cell>
          <cell r="M3064">
            <v>0</v>
          </cell>
          <cell r="N3064">
            <v>0</v>
          </cell>
          <cell r="O3064">
            <v>0</v>
          </cell>
        </row>
        <row r="3065">
          <cell r="A3065" t="str">
            <v>MalaysiaINSURANCE AFFILIATE EXPENSE</v>
          </cell>
          <cell r="B3065">
            <v>0</v>
          </cell>
          <cell r="C3065">
            <v>0</v>
          </cell>
          <cell r="D3065">
            <v>0</v>
          </cell>
          <cell r="E3065">
            <v>0</v>
          </cell>
          <cell r="F3065">
            <v>0</v>
          </cell>
          <cell r="G3065">
            <v>0</v>
          </cell>
          <cell r="H3065">
            <v>0</v>
          </cell>
          <cell r="I3065">
            <v>0</v>
          </cell>
          <cell r="J3065">
            <v>0</v>
          </cell>
          <cell r="K3065">
            <v>0</v>
          </cell>
          <cell r="L3065">
            <v>0</v>
          </cell>
          <cell r="M3065">
            <v>0</v>
          </cell>
          <cell r="N3065">
            <v>0</v>
          </cell>
          <cell r="O3065">
            <v>0</v>
          </cell>
        </row>
        <row r="3066">
          <cell r="A3066" t="str">
            <v>MalaysiaOTHER FACILITY EXPENSE</v>
          </cell>
          <cell r="B3066">
            <v>0</v>
          </cell>
          <cell r="C3066">
            <v>0</v>
          </cell>
          <cell r="D3066">
            <v>0</v>
          </cell>
          <cell r="E3066">
            <v>0</v>
          </cell>
          <cell r="F3066">
            <v>0</v>
          </cell>
          <cell r="G3066">
            <v>0</v>
          </cell>
          <cell r="H3066">
            <v>0</v>
          </cell>
          <cell r="I3066">
            <v>0</v>
          </cell>
          <cell r="J3066">
            <v>0</v>
          </cell>
          <cell r="K3066">
            <v>0</v>
          </cell>
          <cell r="L3066">
            <v>0</v>
          </cell>
          <cell r="M3066">
            <v>0</v>
          </cell>
          <cell r="N3066">
            <v>0</v>
          </cell>
          <cell r="O3066">
            <v>0</v>
          </cell>
        </row>
        <row r="3067">
          <cell r="A3067" t="str">
            <v>MalaysiaGROSS OP &amp; ADMIN BUS SHARE</v>
          </cell>
          <cell r="B3067">
            <v>0</v>
          </cell>
          <cell r="C3067">
            <v>0</v>
          </cell>
          <cell r="D3067">
            <v>0</v>
          </cell>
          <cell r="E3067">
            <v>0</v>
          </cell>
          <cell r="F3067">
            <v>0</v>
          </cell>
          <cell r="G3067">
            <v>0</v>
          </cell>
          <cell r="H3067">
            <v>0</v>
          </cell>
          <cell r="I3067">
            <v>0</v>
          </cell>
          <cell r="J3067">
            <v>0</v>
          </cell>
          <cell r="K3067">
            <v>0</v>
          </cell>
          <cell r="L3067">
            <v>0</v>
          </cell>
          <cell r="M3067">
            <v>0</v>
          </cell>
          <cell r="N3067">
            <v>0</v>
          </cell>
          <cell r="O3067">
            <v>0</v>
          </cell>
        </row>
        <row r="3068">
          <cell r="A3068" t="str">
            <v>MalaysiaOTHER EXPENSE</v>
          </cell>
          <cell r="B3068">
            <v>30000</v>
          </cell>
          <cell r="C3068">
            <v>0</v>
          </cell>
          <cell r="D3068">
            <v>5000</v>
          </cell>
          <cell r="E3068">
            <v>-27518.06</v>
          </cell>
          <cell r="F3068">
            <v>7481.94</v>
          </cell>
          <cell r="G3068">
            <v>0</v>
          </cell>
          <cell r="H3068">
            <v>0</v>
          </cell>
          <cell r="I3068">
            <v>0</v>
          </cell>
          <cell r="J3068">
            <v>0</v>
          </cell>
          <cell r="K3068">
            <v>0</v>
          </cell>
          <cell r="L3068">
            <v>0</v>
          </cell>
          <cell r="M3068">
            <v>0</v>
          </cell>
          <cell r="N3068">
            <v>0</v>
          </cell>
          <cell r="O3068">
            <v>0</v>
          </cell>
        </row>
        <row r="3069">
          <cell r="A3069" t="str">
            <v>MalaysiaGECC INTERCO EXPENSES EXCL GECIS</v>
          </cell>
          <cell r="B3069">
            <v>0</v>
          </cell>
          <cell r="C3069">
            <v>0</v>
          </cell>
          <cell r="D3069">
            <v>0</v>
          </cell>
          <cell r="E3069">
            <v>0</v>
          </cell>
          <cell r="F3069">
            <v>0</v>
          </cell>
          <cell r="G3069">
            <v>0</v>
          </cell>
          <cell r="H3069">
            <v>0</v>
          </cell>
          <cell r="I3069">
            <v>0</v>
          </cell>
          <cell r="J3069">
            <v>0</v>
          </cell>
          <cell r="K3069">
            <v>0</v>
          </cell>
          <cell r="L3069">
            <v>0</v>
          </cell>
          <cell r="M3069">
            <v>0</v>
          </cell>
          <cell r="N3069">
            <v>0</v>
          </cell>
          <cell r="O3069">
            <v>0</v>
          </cell>
        </row>
        <row r="3070">
          <cell r="A3070" t="str">
            <v>MalaysiaGECIS INTERCO CHARGES</v>
          </cell>
          <cell r="B3070">
            <v>0</v>
          </cell>
          <cell r="C3070">
            <v>0</v>
          </cell>
          <cell r="D3070">
            <v>0</v>
          </cell>
          <cell r="E3070">
            <v>0</v>
          </cell>
          <cell r="F3070">
            <v>0</v>
          </cell>
          <cell r="G3070">
            <v>0</v>
          </cell>
          <cell r="H3070">
            <v>0</v>
          </cell>
          <cell r="I3070">
            <v>0</v>
          </cell>
          <cell r="J3070">
            <v>0</v>
          </cell>
          <cell r="K3070">
            <v>0</v>
          </cell>
          <cell r="L3070">
            <v>0</v>
          </cell>
          <cell r="M3070">
            <v>0</v>
          </cell>
          <cell r="N3070">
            <v>0</v>
          </cell>
          <cell r="O3070">
            <v>0</v>
          </cell>
        </row>
        <row r="3071">
          <cell r="A3071" t="str">
            <v>MalaysiaLOSS ADJUSTED EXPENSE</v>
          </cell>
          <cell r="B3071">
            <v>0</v>
          </cell>
          <cell r="C3071">
            <v>0</v>
          </cell>
          <cell r="D3071">
            <v>0</v>
          </cell>
          <cell r="E3071">
            <v>0</v>
          </cell>
          <cell r="F3071">
            <v>0</v>
          </cell>
          <cell r="G3071">
            <v>0</v>
          </cell>
          <cell r="H3071">
            <v>0</v>
          </cell>
          <cell r="I3071">
            <v>0</v>
          </cell>
          <cell r="J3071">
            <v>0</v>
          </cell>
          <cell r="K3071">
            <v>0</v>
          </cell>
          <cell r="L3071">
            <v>0</v>
          </cell>
          <cell r="M3071">
            <v>0</v>
          </cell>
          <cell r="N3071">
            <v>0</v>
          </cell>
          <cell r="O3071">
            <v>0</v>
          </cell>
        </row>
        <row r="3072">
          <cell r="A3072" t="str">
            <v>MalaysiaALL OTHER EXPENSES</v>
          </cell>
          <cell r="B3072">
            <v>0</v>
          </cell>
          <cell r="C3072">
            <v>0.01</v>
          </cell>
          <cell r="D3072">
            <v>-0.01</v>
          </cell>
          <cell r="E3072">
            <v>0.69</v>
          </cell>
          <cell r="F3072">
            <v>0.69</v>
          </cell>
          <cell r="G3072">
            <v>0</v>
          </cell>
          <cell r="H3072">
            <v>0</v>
          </cell>
          <cell r="I3072">
            <v>0</v>
          </cell>
          <cell r="J3072">
            <v>0</v>
          </cell>
          <cell r="K3072">
            <v>0</v>
          </cell>
          <cell r="L3072">
            <v>0</v>
          </cell>
          <cell r="M3072">
            <v>0</v>
          </cell>
          <cell r="N3072">
            <v>0</v>
          </cell>
          <cell r="O3072">
            <v>0</v>
          </cell>
        </row>
        <row r="3073">
          <cell r="A3073" t="str">
            <v>MalaysiaASSESSMENTS</v>
          </cell>
          <cell r="B3073">
            <v>0</v>
          </cell>
          <cell r="C3073">
            <v>0</v>
          </cell>
          <cell r="D3073">
            <v>0</v>
          </cell>
          <cell r="E3073">
            <v>0</v>
          </cell>
          <cell r="F3073">
            <v>0</v>
          </cell>
          <cell r="G3073">
            <v>0</v>
          </cell>
          <cell r="H3073">
            <v>0</v>
          </cell>
          <cell r="I3073">
            <v>0</v>
          </cell>
          <cell r="J3073">
            <v>0</v>
          </cell>
          <cell r="K3073">
            <v>0</v>
          </cell>
          <cell r="L3073">
            <v>0</v>
          </cell>
          <cell r="M3073">
            <v>0</v>
          </cell>
          <cell r="N3073">
            <v>0</v>
          </cell>
          <cell r="O3073">
            <v>0</v>
          </cell>
        </row>
        <row r="3074">
          <cell r="A3074" t="str">
            <v>MalaysiaFAS 91</v>
          </cell>
          <cell r="B3074">
            <v>0</v>
          </cell>
          <cell r="C3074">
            <v>0</v>
          </cell>
          <cell r="D3074">
            <v>0</v>
          </cell>
          <cell r="E3074">
            <v>0</v>
          </cell>
          <cell r="F3074">
            <v>0</v>
          </cell>
          <cell r="G3074">
            <v>0</v>
          </cell>
          <cell r="H3074">
            <v>0</v>
          </cell>
          <cell r="I3074">
            <v>0</v>
          </cell>
          <cell r="J3074">
            <v>0</v>
          </cell>
          <cell r="K3074">
            <v>0</v>
          </cell>
          <cell r="L3074">
            <v>0</v>
          </cell>
          <cell r="M3074">
            <v>0</v>
          </cell>
          <cell r="N3074">
            <v>0</v>
          </cell>
          <cell r="O3074">
            <v>0</v>
          </cell>
        </row>
        <row r="3075">
          <cell r="A3075" t="str">
            <v>MalaysiaGOODWILL AMORTIZATION</v>
          </cell>
          <cell r="B3075">
            <v>0</v>
          </cell>
          <cell r="C3075">
            <v>0</v>
          </cell>
          <cell r="D3075">
            <v>0</v>
          </cell>
          <cell r="E3075">
            <v>0</v>
          </cell>
          <cell r="F3075">
            <v>0</v>
          </cell>
          <cell r="G3075">
            <v>0</v>
          </cell>
          <cell r="H3075">
            <v>0</v>
          </cell>
          <cell r="I3075">
            <v>0</v>
          </cell>
          <cell r="J3075">
            <v>0</v>
          </cell>
          <cell r="K3075">
            <v>0</v>
          </cell>
          <cell r="L3075">
            <v>0</v>
          </cell>
          <cell r="M3075">
            <v>0</v>
          </cell>
          <cell r="N3075">
            <v>0</v>
          </cell>
          <cell r="O3075">
            <v>0</v>
          </cell>
        </row>
        <row r="3076">
          <cell r="A3076" t="str">
            <v>MalaysiaDEPRECIATION EXPENSE</v>
          </cell>
          <cell r="B3076">
            <v>0</v>
          </cell>
          <cell r="C3076">
            <v>0</v>
          </cell>
          <cell r="D3076">
            <v>0</v>
          </cell>
          <cell r="E3076">
            <v>0</v>
          </cell>
          <cell r="F3076">
            <v>0</v>
          </cell>
          <cell r="G3076">
            <v>0</v>
          </cell>
          <cell r="H3076">
            <v>0</v>
          </cell>
          <cell r="I3076">
            <v>0</v>
          </cell>
          <cell r="J3076">
            <v>0</v>
          </cell>
          <cell r="K3076">
            <v>0</v>
          </cell>
          <cell r="L3076">
            <v>0</v>
          </cell>
          <cell r="M3076">
            <v>0</v>
          </cell>
          <cell r="N3076">
            <v>0</v>
          </cell>
          <cell r="O3076">
            <v>0</v>
          </cell>
        </row>
        <row r="3077">
          <cell r="A3077" t="str">
            <v>MalaysiaELTO AMORTIZATION</v>
          </cell>
          <cell r="B3077">
            <v>0</v>
          </cell>
          <cell r="C3077">
            <v>0</v>
          </cell>
          <cell r="D3077">
            <v>0</v>
          </cell>
          <cell r="E3077">
            <v>0</v>
          </cell>
          <cell r="F3077">
            <v>0</v>
          </cell>
          <cell r="G3077">
            <v>0</v>
          </cell>
          <cell r="H3077">
            <v>0</v>
          </cell>
          <cell r="I3077">
            <v>0</v>
          </cell>
          <cell r="J3077">
            <v>0</v>
          </cell>
          <cell r="K3077">
            <v>0</v>
          </cell>
          <cell r="L3077">
            <v>0</v>
          </cell>
          <cell r="M3077">
            <v>0</v>
          </cell>
          <cell r="N3077">
            <v>0</v>
          </cell>
          <cell r="O3077">
            <v>0</v>
          </cell>
        </row>
        <row r="3078">
          <cell r="A3078" t="str">
            <v>MalaysiaINSURANCE LOSSES AND BENEFITS</v>
          </cell>
          <cell r="B3078">
            <v>0</v>
          </cell>
          <cell r="C3078">
            <v>0</v>
          </cell>
          <cell r="D3078">
            <v>0</v>
          </cell>
          <cell r="E3078">
            <v>0</v>
          </cell>
          <cell r="F3078">
            <v>0</v>
          </cell>
          <cell r="G3078">
            <v>0</v>
          </cell>
          <cell r="H3078">
            <v>0</v>
          </cell>
          <cell r="I3078">
            <v>0</v>
          </cell>
          <cell r="J3078">
            <v>0</v>
          </cell>
          <cell r="K3078">
            <v>0</v>
          </cell>
          <cell r="L3078">
            <v>0</v>
          </cell>
          <cell r="M3078">
            <v>0</v>
          </cell>
          <cell r="N3078">
            <v>0</v>
          </cell>
          <cell r="O3078">
            <v>0</v>
          </cell>
        </row>
        <row r="3079">
          <cell r="A3079" t="str">
            <v>MalaysiaWRITE OFFS</v>
          </cell>
          <cell r="B3079">
            <v>0</v>
          </cell>
          <cell r="C3079">
            <v>0</v>
          </cell>
          <cell r="D3079">
            <v>0</v>
          </cell>
          <cell r="E3079">
            <v>0</v>
          </cell>
          <cell r="F3079">
            <v>0</v>
          </cell>
          <cell r="G3079">
            <v>0</v>
          </cell>
          <cell r="H3079">
            <v>0</v>
          </cell>
          <cell r="I3079">
            <v>0</v>
          </cell>
          <cell r="J3079">
            <v>0</v>
          </cell>
          <cell r="K3079">
            <v>0</v>
          </cell>
          <cell r="L3079">
            <v>0</v>
          </cell>
          <cell r="M3079">
            <v>0</v>
          </cell>
          <cell r="N3079">
            <v>0</v>
          </cell>
          <cell r="O3079">
            <v>0</v>
          </cell>
        </row>
        <row r="3080">
          <cell r="A3080" t="str">
            <v>MalaysiaRESERVE CHANGE</v>
          </cell>
          <cell r="B3080">
            <v>0</v>
          </cell>
          <cell r="C3080">
            <v>0</v>
          </cell>
          <cell r="D3080">
            <v>0</v>
          </cell>
          <cell r="E3080">
            <v>0</v>
          </cell>
          <cell r="F3080">
            <v>0</v>
          </cell>
          <cell r="G3080">
            <v>0</v>
          </cell>
          <cell r="H3080">
            <v>0</v>
          </cell>
          <cell r="I3080">
            <v>0</v>
          </cell>
          <cell r="J3080">
            <v>0</v>
          </cell>
          <cell r="K3080">
            <v>0</v>
          </cell>
          <cell r="L3080">
            <v>0</v>
          </cell>
          <cell r="M3080">
            <v>0</v>
          </cell>
          <cell r="N3080">
            <v>0</v>
          </cell>
          <cell r="O3080">
            <v>0</v>
          </cell>
        </row>
        <row r="3081">
          <cell r="A3081" t="str">
            <v>MalaysiaMINORITY INTEREST</v>
          </cell>
          <cell r="B3081">
            <v>0</v>
          </cell>
          <cell r="C3081">
            <v>0</v>
          </cell>
          <cell r="D3081">
            <v>0</v>
          </cell>
          <cell r="E3081">
            <v>0</v>
          </cell>
          <cell r="F3081">
            <v>0</v>
          </cell>
          <cell r="G3081">
            <v>0</v>
          </cell>
          <cell r="H3081">
            <v>0</v>
          </cell>
          <cell r="I3081">
            <v>0</v>
          </cell>
          <cell r="J3081">
            <v>0</v>
          </cell>
          <cell r="K3081">
            <v>0</v>
          </cell>
          <cell r="L3081">
            <v>0</v>
          </cell>
          <cell r="M3081">
            <v>0</v>
          </cell>
          <cell r="N3081">
            <v>0</v>
          </cell>
          <cell r="O3081">
            <v>0</v>
          </cell>
        </row>
        <row r="3082">
          <cell r="A3082" t="str">
            <v>MalaysiaINCOME TAXES</v>
          </cell>
          <cell r="B3082">
            <v>69306.570000000007</v>
          </cell>
          <cell r="C3082">
            <v>36859.660000000003</v>
          </cell>
          <cell r="D3082">
            <v>65961.05</v>
          </cell>
          <cell r="E3082">
            <v>568974.55000000005</v>
          </cell>
          <cell r="F3082">
            <v>741101.83</v>
          </cell>
          <cell r="G3082">
            <v>0</v>
          </cell>
          <cell r="H3082">
            <v>0</v>
          </cell>
          <cell r="I3082">
            <v>0</v>
          </cell>
          <cell r="J3082">
            <v>0</v>
          </cell>
          <cell r="K3082">
            <v>0</v>
          </cell>
          <cell r="L3082">
            <v>0</v>
          </cell>
          <cell r="M3082">
            <v>0</v>
          </cell>
          <cell r="N3082">
            <v>0</v>
          </cell>
          <cell r="O3082">
            <v>0</v>
          </cell>
        </row>
        <row r="3083">
          <cell r="A3083" t="str">
            <v>MalaysiaCUMULATIVE TRANSITION ADJUSTMENT</v>
          </cell>
          <cell r="B3083">
            <v>0</v>
          </cell>
          <cell r="C3083">
            <v>0</v>
          </cell>
          <cell r="D3083">
            <v>0</v>
          </cell>
          <cell r="E3083">
            <v>0</v>
          </cell>
          <cell r="F3083">
            <v>0</v>
          </cell>
          <cell r="G3083">
            <v>0</v>
          </cell>
          <cell r="H3083">
            <v>0</v>
          </cell>
          <cell r="I3083">
            <v>0</v>
          </cell>
          <cell r="J3083">
            <v>0</v>
          </cell>
          <cell r="K3083">
            <v>0</v>
          </cell>
          <cell r="L3083">
            <v>0</v>
          </cell>
          <cell r="M3083">
            <v>0</v>
          </cell>
          <cell r="N3083">
            <v>0</v>
          </cell>
          <cell r="O3083">
            <v>0</v>
          </cell>
        </row>
        <row r="3084">
          <cell r="A3084" t="str">
            <v>MalaysiaASIA PACIFIC NI DIVIDEND</v>
          </cell>
          <cell r="B3084">
            <v>0</v>
          </cell>
          <cell r="C3084">
            <v>0</v>
          </cell>
          <cell r="D3084">
            <v>0</v>
          </cell>
          <cell r="E3084">
            <v>0</v>
          </cell>
          <cell r="F3084">
            <v>0</v>
          </cell>
          <cell r="G3084">
            <v>0</v>
          </cell>
          <cell r="H3084">
            <v>0</v>
          </cell>
          <cell r="I3084">
            <v>0</v>
          </cell>
          <cell r="J3084">
            <v>0</v>
          </cell>
          <cell r="K3084">
            <v>0</v>
          </cell>
          <cell r="L3084">
            <v>0</v>
          </cell>
          <cell r="M3084">
            <v>0</v>
          </cell>
          <cell r="N3084">
            <v>0</v>
          </cell>
          <cell r="O3084">
            <v>0</v>
          </cell>
        </row>
        <row r="3085">
          <cell r="A3085" t="str">
            <v>MalaysiaNet Income</v>
          </cell>
          <cell r="B3085">
            <v>25520.91</v>
          </cell>
          <cell r="C3085">
            <v>-200798.81</v>
          </cell>
          <cell r="D3085">
            <v>-112010.94</v>
          </cell>
          <cell r="E3085">
            <v>-2342565.31</v>
          </cell>
          <cell r="F3085">
            <v>-2629854.15</v>
          </cell>
          <cell r="G3085">
            <v>0</v>
          </cell>
          <cell r="H3085">
            <v>0</v>
          </cell>
          <cell r="I3085">
            <v>0</v>
          </cell>
          <cell r="J3085">
            <v>0</v>
          </cell>
          <cell r="K3085">
            <v>0</v>
          </cell>
          <cell r="L3085">
            <v>41094.47</v>
          </cell>
          <cell r="M3085">
            <v>0</v>
          </cell>
          <cell r="N3085">
            <v>0</v>
          </cell>
          <cell r="O3085">
            <v>0</v>
          </cell>
        </row>
        <row r="3086">
          <cell r="A3086" t="str">
            <v>MalaysiaSubPart F</v>
          </cell>
          <cell r="B3086">
            <v>0</v>
          </cell>
          <cell r="C3086">
            <v>0</v>
          </cell>
          <cell r="D3086">
            <v>0</v>
          </cell>
          <cell r="E3086">
            <v>0</v>
          </cell>
          <cell r="F3086">
            <v>0</v>
          </cell>
          <cell r="G3086">
            <v>0</v>
          </cell>
          <cell r="H3086">
            <v>0</v>
          </cell>
          <cell r="I3086">
            <v>0</v>
          </cell>
          <cell r="J3086">
            <v>0</v>
          </cell>
          <cell r="K3086">
            <v>0</v>
          </cell>
          <cell r="L3086">
            <v>0</v>
          </cell>
          <cell r="M3086">
            <v>0</v>
          </cell>
          <cell r="N3086">
            <v>0</v>
          </cell>
          <cell r="O3086">
            <v>0</v>
          </cell>
        </row>
        <row r="3087">
          <cell r="A3087" t="str">
            <v>MalaysiaAssets</v>
          </cell>
          <cell r="B3087">
            <v>9304838.0600000005</v>
          </cell>
          <cell r="C3087">
            <v>9671593.2300000004</v>
          </cell>
          <cell r="D3087">
            <v>9984932.0899999999</v>
          </cell>
          <cell r="E3087">
            <v>0</v>
          </cell>
          <cell r="F3087">
            <v>0</v>
          </cell>
          <cell r="G3087">
            <v>0</v>
          </cell>
          <cell r="H3087">
            <v>0</v>
          </cell>
          <cell r="I3087">
            <v>0</v>
          </cell>
          <cell r="J3087">
            <v>0</v>
          </cell>
          <cell r="K3087">
            <v>0</v>
          </cell>
          <cell r="L3087">
            <v>0</v>
          </cell>
          <cell r="M3087">
            <v>0</v>
          </cell>
          <cell r="N3087">
            <v>0</v>
          </cell>
          <cell r="O3087">
            <v>0</v>
          </cell>
        </row>
        <row r="3088">
          <cell r="A3088" t="str">
            <v>MalaysiaEnding Net Investment (ENI) incl Asia</v>
          </cell>
          <cell r="B3088">
            <v>9505238.5899999999</v>
          </cell>
          <cell r="C3088">
            <v>9861655.75</v>
          </cell>
          <cell r="D3088">
            <v>10139884.609999999</v>
          </cell>
          <cell r="E3088">
            <v>-572183.75</v>
          </cell>
          <cell r="F3088">
            <v>-572183.75</v>
          </cell>
          <cell r="G3088">
            <v>0</v>
          </cell>
          <cell r="H3088">
            <v>0</v>
          </cell>
          <cell r="I3088">
            <v>0</v>
          </cell>
          <cell r="J3088">
            <v>0</v>
          </cell>
          <cell r="K3088">
            <v>0</v>
          </cell>
          <cell r="L3088">
            <v>-794216.75</v>
          </cell>
          <cell r="M3088">
            <v>0</v>
          </cell>
          <cell r="N3088">
            <v>0</v>
          </cell>
          <cell r="O3088">
            <v>0</v>
          </cell>
        </row>
        <row r="3089">
          <cell r="A3089" t="str">
            <v>MalaysiaANR YTD</v>
          </cell>
          <cell r="B3089">
            <v>0</v>
          </cell>
          <cell r="C3089">
            <v>0</v>
          </cell>
          <cell r="D3089">
            <v>0</v>
          </cell>
          <cell r="E3089">
            <v>0</v>
          </cell>
          <cell r="F3089">
            <v>0</v>
          </cell>
          <cell r="G3089">
            <v>0</v>
          </cell>
          <cell r="H3089">
            <v>0</v>
          </cell>
          <cell r="I3089">
            <v>0</v>
          </cell>
          <cell r="J3089">
            <v>0</v>
          </cell>
          <cell r="K3089">
            <v>0</v>
          </cell>
          <cell r="L3089">
            <v>0</v>
          </cell>
          <cell r="M3089">
            <v>0</v>
          </cell>
          <cell r="N3089">
            <v>0</v>
          </cell>
          <cell r="O3089">
            <v>0</v>
          </cell>
        </row>
        <row r="3090">
          <cell r="A3090" t="str">
            <v>MalaysiaASA YTD</v>
          </cell>
          <cell r="B3090">
            <v>0</v>
          </cell>
          <cell r="C3090">
            <v>0</v>
          </cell>
          <cell r="D3090">
            <v>0</v>
          </cell>
          <cell r="E3090">
            <v>0</v>
          </cell>
          <cell r="F3090">
            <v>0</v>
          </cell>
          <cell r="G3090">
            <v>0</v>
          </cell>
          <cell r="H3090">
            <v>0</v>
          </cell>
          <cell r="I3090">
            <v>0</v>
          </cell>
          <cell r="J3090">
            <v>0</v>
          </cell>
          <cell r="K3090">
            <v>0</v>
          </cell>
          <cell r="L3090">
            <v>0</v>
          </cell>
          <cell r="M3090">
            <v>0</v>
          </cell>
          <cell r="N3090">
            <v>0</v>
          </cell>
          <cell r="O3090">
            <v>0</v>
          </cell>
        </row>
        <row r="3091">
          <cell r="A3091" t="str">
            <v>MalaysiaANI YTD incl Asia - 5 pt</v>
          </cell>
          <cell r="B3091">
            <v>9472864.3149999995</v>
          </cell>
          <cell r="C3091">
            <v>9602461.4600000009</v>
          </cell>
          <cell r="D3091">
            <v>9736817.2475000005</v>
          </cell>
          <cell r="E3091">
            <v>7675017.0480000004</v>
          </cell>
          <cell r="F3091">
            <v>7675017.0480000004</v>
          </cell>
          <cell r="G3091">
            <v>0</v>
          </cell>
          <cell r="H3091">
            <v>0</v>
          </cell>
          <cell r="I3091">
            <v>0</v>
          </cell>
          <cell r="J3091">
            <v>0</v>
          </cell>
          <cell r="K3091">
            <v>0</v>
          </cell>
          <cell r="L3091">
            <v>-683200.25</v>
          </cell>
          <cell r="M3091">
            <v>0</v>
          </cell>
          <cell r="N3091">
            <v>0</v>
          </cell>
          <cell r="O3091">
            <v>0</v>
          </cell>
        </row>
        <row r="3092">
          <cell r="A3092" t="str">
            <v>MalaysiaOff Balance Sheet Assets</v>
          </cell>
          <cell r="B3092">
            <v>0</v>
          </cell>
          <cell r="C3092">
            <v>0</v>
          </cell>
          <cell r="D3092">
            <v>0</v>
          </cell>
          <cell r="E3092">
            <v>0</v>
          </cell>
          <cell r="F3092">
            <v>0</v>
          </cell>
          <cell r="G3092">
            <v>0</v>
          </cell>
          <cell r="H3092">
            <v>0</v>
          </cell>
          <cell r="I3092">
            <v>0</v>
          </cell>
          <cell r="J3092">
            <v>0</v>
          </cell>
          <cell r="K3092">
            <v>0</v>
          </cell>
          <cell r="L3092">
            <v>0</v>
          </cell>
          <cell r="M3092">
            <v>0</v>
          </cell>
          <cell r="N3092">
            <v>0</v>
          </cell>
          <cell r="O3092">
            <v>0</v>
          </cell>
        </row>
        <row r="3093">
          <cell r="A3093" t="str">
            <v>MalaysiaJV Receivables</v>
          </cell>
          <cell r="B3093">
            <v>0</v>
          </cell>
          <cell r="C3093">
            <v>0</v>
          </cell>
          <cell r="D3093">
            <v>0</v>
          </cell>
          <cell r="E3093">
            <v>0</v>
          </cell>
          <cell r="F3093">
            <v>0</v>
          </cell>
          <cell r="G3093">
            <v>0</v>
          </cell>
          <cell r="H3093">
            <v>0</v>
          </cell>
          <cell r="I3093">
            <v>0</v>
          </cell>
          <cell r="J3093">
            <v>0</v>
          </cell>
          <cell r="K3093">
            <v>0</v>
          </cell>
          <cell r="L3093">
            <v>0</v>
          </cell>
          <cell r="M3093">
            <v>0</v>
          </cell>
          <cell r="N3093">
            <v>0</v>
          </cell>
          <cell r="O3093">
            <v>0</v>
          </cell>
        </row>
        <row r="3094">
          <cell r="A3094" t="str">
            <v>Malaysia30+ DELINQUENCY $</v>
          </cell>
          <cell r="B3094">
            <v>0</v>
          </cell>
          <cell r="C3094">
            <v>0</v>
          </cell>
          <cell r="D3094">
            <v>0</v>
          </cell>
          <cell r="E3094">
            <v>0</v>
          </cell>
          <cell r="F3094">
            <v>0</v>
          </cell>
          <cell r="G3094">
            <v>0</v>
          </cell>
          <cell r="H3094">
            <v>0</v>
          </cell>
          <cell r="I3094">
            <v>0</v>
          </cell>
          <cell r="J3094">
            <v>0</v>
          </cell>
          <cell r="K3094">
            <v>0</v>
          </cell>
          <cell r="L3094">
            <v>0</v>
          </cell>
          <cell r="M3094">
            <v>0</v>
          </cell>
          <cell r="N3094">
            <v>0</v>
          </cell>
          <cell r="O3094">
            <v>0</v>
          </cell>
        </row>
        <row r="3095">
          <cell r="A3095" t="str">
            <v>Malaysia90+ DELINQUENCY $</v>
          </cell>
          <cell r="B3095">
            <v>0</v>
          </cell>
          <cell r="C3095">
            <v>0</v>
          </cell>
          <cell r="D3095">
            <v>0</v>
          </cell>
          <cell r="E3095">
            <v>0</v>
          </cell>
          <cell r="F3095">
            <v>0</v>
          </cell>
          <cell r="G3095">
            <v>0</v>
          </cell>
          <cell r="H3095">
            <v>0</v>
          </cell>
          <cell r="I3095">
            <v>0</v>
          </cell>
          <cell r="J3095">
            <v>0</v>
          </cell>
          <cell r="K3095">
            <v>0</v>
          </cell>
          <cell r="L3095">
            <v>0</v>
          </cell>
          <cell r="M3095">
            <v>0</v>
          </cell>
          <cell r="N3095">
            <v>0</v>
          </cell>
          <cell r="O3095">
            <v>0</v>
          </cell>
        </row>
        <row r="3096">
          <cell r="A3096" t="str">
            <v>MalaysiaTemporary Staff</v>
          </cell>
          <cell r="B3096">
            <v>0</v>
          </cell>
          <cell r="C3096">
            <v>0</v>
          </cell>
          <cell r="D3096">
            <v>0</v>
          </cell>
          <cell r="E3096">
            <v>0</v>
          </cell>
          <cell r="F3096">
            <v>0</v>
          </cell>
          <cell r="G3096">
            <v>0</v>
          </cell>
          <cell r="H3096">
            <v>0</v>
          </cell>
          <cell r="I3096">
            <v>0</v>
          </cell>
          <cell r="J3096">
            <v>0</v>
          </cell>
          <cell r="K3096">
            <v>0</v>
          </cell>
          <cell r="L3096">
            <v>0</v>
          </cell>
          <cell r="M3096">
            <v>0</v>
          </cell>
          <cell r="N3096">
            <v>0</v>
          </cell>
          <cell r="O3096">
            <v>0</v>
          </cell>
        </row>
        <row r="3097">
          <cell r="A3097" t="str">
            <v>MalaysiaContractors</v>
          </cell>
          <cell r="B3097">
            <v>0</v>
          </cell>
          <cell r="C3097">
            <v>0</v>
          </cell>
          <cell r="D3097">
            <v>0</v>
          </cell>
          <cell r="E3097">
            <v>0</v>
          </cell>
          <cell r="F3097">
            <v>0</v>
          </cell>
          <cell r="G3097">
            <v>0</v>
          </cell>
          <cell r="H3097">
            <v>0</v>
          </cell>
          <cell r="I3097">
            <v>0</v>
          </cell>
          <cell r="J3097">
            <v>0</v>
          </cell>
          <cell r="K3097">
            <v>0</v>
          </cell>
          <cell r="L3097">
            <v>0</v>
          </cell>
          <cell r="M3097">
            <v>0</v>
          </cell>
          <cell r="N3097">
            <v>0</v>
          </cell>
          <cell r="O3097">
            <v>0</v>
          </cell>
        </row>
        <row r="3098">
          <cell r="A3098" t="str">
            <v>MalaysiaOutsourced to LCC</v>
          </cell>
          <cell r="B3098">
            <v>0</v>
          </cell>
          <cell r="C3098">
            <v>0</v>
          </cell>
          <cell r="D3098">
            <v>0</v>
          </cell>
          <cell r="E3098">
            <v>0</v>
          </cell>
          <cell r="F3098">
            <v>0</v>
          </cell>
          <cell r="G3098">
            <v>0</v>
          </cell>
          <cell r="H3098">
            <v>0</v>
          </cell>
          <cell r="I3098">
            <v>0</v>
          </cell>
          <cell r="J3098">
            <v>0</v>
          </cell>
          <cell r="K3098">
            <v>0</v>
          </cell>
          <cell r="L3098">
            <v>0</v>
          </cell>
          <cell r="M3098">
            <v>0</v>
          </cell>
          <cell r="N3098">
            <v>0</v>
          </cell>
          <cell r="O3098">
            <v>0</v>
          </cell>
        </row>
        <row r="3099">
          <cell r="A3099" t="str">
            <v>MalaysiaTotal Headcount</v>
          </cell>
          <cell r="B3099">
            <v>0</v>
          </cell>
          <cell r="C3099">
            <v>0</v>
          </cell>
          <cell r="D3099">
            <v>0</v>
          </cell>
          <cell r="E3099">
            <v>0</v>
          </cell>
          <cell r="F3099">
            <v>0</v>
          </cell>
          <cell r="G3099">
            <v>0</v>
          </cell>
          <cell r="H3099">
            <v>0</v>
          </cell>
          <cell r="I3099">
            <v>0</v>
          </cell>
          <cell r="J3099">
            <v>0</v>
          </cell>
          <cell r="K3099">
            <v>0</v>
          </cell>
          <cell r="L3099">
            <v>0</v>
          </cell>
          <cell r="M3099">
            <v>0</v>
          </cell>
          <cell r="N3099">
            <v>0</v>
          </cell>
          <cell r="O3099">
            <v>0</v>
          </cell>
        </row>
        <row r="3100">
          <cell r="A3100" t="str">
            <v>MalaysiaTotal Workforce</v>
          </cell>
          <cell r="B3100">
            <v>0</v>
          </cell>
          <cell r="C3100">
            <v>0</v>
          </cell>
          <cell r="D3100">
            <v>0</v>
          </cell>
          <cell r="E3100">
            <v>0</v>
          </cell>
          <cell r="F3100">
            <v>0</v>
          </cell>
          <cell r="G3100">
            <v>0</v>
          </cell>
          <cell r="H3100">
            <v>0</v>
          </cell>
          <cell r="I3100">
            <v>0</v>
          </cell>
          <cell r="J3100">
            <v>0</v>
          </cell>
          <cell r="K3100">
            <v>0</v>
          </cell>
          <cell r="L3100">
            <v>0</v>
          </cell>
          <cell r="M3100">
            <v>0</v>
          </cell>
          <cell r="N3100">
            <v>0</v>
          </cell>
          <cell r="O3100">
            <v>0</v>
          </cell>
        </row>
        <row r="3101">
          <cell r="A3101" t="str">
            <v>MalaysiaTotal Earned Revenue</v>
          </cell>
          <cell r="B3101">
            <v>-368555.82</v>
          </cell>
          <cell r="C3101">
            <v>-405315.37</v>
          </cell>
          <cell r="D3101">
            <v>-356228.46</v>
          </cell>
          <cell r="E3101">
            <v>-3302856.57</v>
          </cell>
          <cell r="F3101">
            <v>-4432956.22</v>
          </cell>
          <cell r="G3101">
            <v>0</v>
          </cell>
          <cell r="H3101">
            <v>0</v>
          </cell>
          <cell r="I3101">
            <v>0</v>
          </cell>
          <cell r="J3101">
            <v>0</v>
          </cell>
          <cell r="K3101">
            <v>0</v>
          </cell>
          <cell r="L3101">
            <v>41094.47</v>
          </cell>
          <cell r="M3101">
            <v>0</v>
          </cell>
          <cell r="N3101">
            <v>0</v>
          </cell>
          <cell r="O3101">
            <v>0</v>
          </cell>
        </row>
        <row r="3102">
          <cell r="A3102" t="str">
            <v>MalaysiaOrdinary Gains - PreTax</v>
          </cell>
          <cell r="B3102">
            <v>0</v>
          </cell>
          <cell r="C3102">
            <v>0</v>
          </cell>
          <cell r="D3102">
            <v>0</v>
          </cell>
          <cell r="E3102">
            <v>0</v>
          </cell>
          <cell r="F3102">
            <v>0</v>
          </cell>
          <cell r="G3102">
            <v>0</v>
          </cell>
          <cell r="H3102">
            <v>0</v>
          </cell>
          <cell r="I3102">
            <v>0</v>
          </cell>
          <cell r="J3102">
            <v>0</v>
          </cell>
          <cell r="K3102">
            <v>0</v>
          </cell>
          <cell r="L3102">
            <v>0</v>
          </cell>
          <cell r="M3102">
            <v>0</v>
          </cell>
          <cell r="N3102">
            <v>0</v>
          </cell>
          <cell r="O3102">
            <v>0</v>
          </cell>
        </row>
        <row r="3103">
          <cell r="A3103" t="str">
            <v>MalaysiaOrdinary Gains - AfterTax</v>
          </cell>
          <cell r="B3103">
            <v>0</v>
          </cell>
          <cell r="C3103">
            <v>0</v>
          </cell>
          <cell r="D3103">
            <v>0</v>
          </cell>
          <cell r="E3103">
            <v>0</v>
          </cell>
          <cell r="F3103">
            <v>0</v>
          </cell>
          <cell r="G3103">
            <v>0</v>
          </cell>
          <cell r="H3103">
            <v>0</v>
          </cell>
          <cell r="I3103">
            <v>0</v>
          </cell>
          <cell r="J3103">
            <v>0</v>
          </cell>
          <cell r="K3103">
            <v>0</v>
          </cell>
          <cell r="L3103">
            <v>0</v>
          </cell>
          <cell r="M3103">
            <v>0</v>
          </cell>
          <cell r="N3103">
            <v>0</v>
          </cell>
          <cell r="O3103">
            <v>0</v>
          </cell>
        </row>
        <row r="3104">
          <cell r="A3104" t="str">
            <v>MalaysiaTotal Volume</v>
          </cell>
          <cell r="B3104">
            <v>0</v>
          </cell>
          <cell r="C3104">
            <v>0</v>
          </cell>
          <cell r="D3104">
            <v>0</v>
          </cell>
          <cell r="E3104">
            <v>0</v>
          </cell>
          <cell r="F3104">
            <v>0</v>
          </cell>
          <cell r="G3104">
            <v>0</v>
          </cell>
          <cell r="H3104">
            <v>0</v>
          </cell>
          <cell r="I3104">
            <v>0</v>
          </cell>
          <cell r="J3104">
            <v>0</v>
          </cell>
          <cell r="K3104">
            <v>0</v>
          </cell>
          <cell r="L3104">
            <v>0</v>
          </cell>
          <cell r="M3104">
            <v>0</v>
          </cell>
          <cell r="N3104">
            <v>0</v>
          </cell>
          <cell r="O3104">
            <v>0</v>
          </cell>
        </row>
        <row r="3105">
          <cell r="A3105" t="str">
            <v>MalaysiaTOTAL # ACTIVE ACCOUNTS</v>
          </cell>
          <cell r="B3105">
            <v>0</v>
          </cell>
          <cell r="C3105">
            <v>0</v>
          </cell>
          <cell r="D3105">
            <v>0</v>
          </cell>
          <cell r="E3105">
            <v>0</v>
          </cell>
          <cell r="F3105">
            <v>0</v>
          </cell>
          <cell r="G3105">
            <v>0</v>
          </cell>
          <cell r="H3105">
            <v>0</v>
          </cell>
          <cell r="I3105">
            <v>0</v>
          </cell>
          <cell r="J3105">
            <v>0</v>
          </cell>
          <cell r="K3105">
            <v>0</v>
          </cell>
          <cell r="L3105">
            <v>0</v>
          </cell>
          <cell r="M3105">
            <v>0</v>
          </cell>
          <cell r="N3105">
            <v>0</v>
          </cell>
          <cell r="O3105">
            <v>0</v>
          </cell>
        </row>
        <row r="3106">
          <cell r="A3106" t="str">
            <v>MexicoTOTAL FINANCING RECEIVABLES</v>
          </cell>
          <cell r="B3106">
            <v>0</v>
          </cell>
          <cell r="C3106">
            <v>10762605.23</v>
          </cell>
          <cell r="D3106">
            <v>10201124.43</v>
          </cell>
          <cell r="E3106">
            <v>11111527.109999999</v>
          </cell>
          <cell r="F3106">
            <v>11111527.109999999</v>
          </cell>
          <cell r="G3106">
            <v>47665107.366775997</v>
          </cell>
          <cell r="H3106">
            <v>65614606.248746999</v>
          </cell>
          <cell r="I3106">
            <v>81409593.345996007</v>
          </cell>
          <cell r="J3106">
            <v>91685540.990124002</v>
          </cell>
          <cell r="K3106">
            <v>91685540.990124002</v>
          </cell>
          <cell r="L3106">
            <v>33967979.710000001</v>
          </cell>
          <cell r="M3106">
            <v>56826891.828656003</v>
          </cell>
          <cell r="N3106">
            <v>77055682.762280002</v>
          </cell>
          <cell r="O3106">
            <v>85909668.439640999</v>
          </cell>
        </row>
        <row r="3107">
          <cell r="A3107" t="str">
            <v>MexicoRECEIVABLE RESERVES</v>
          </cell>
          <cell r="B3107">
            <v>0</v>
          </cell>
          <cell r="C3107">
            <v>-75105.009999999995</v>
          </cell>
          <cell r="D3107">
            <v>-71298.44</v>
          </cell>
          <cell r="E3107">
            <v>-101667.03</v>
          </cell>
          <cell r="F3107">
            <v>-101667.03</v>
          </cell>
          <cell r="G3107">
            <v>-2207739.8046940002</v>
          </cell>
          <cell r="H3107">
            <v>-4055405.0985960001</v>
          </cell>
          <cell r="I3107">
            <v>-5454462.3149429997</v>
          </cell>
          <cell r="J3107">
            <v>-6175762.0709199999</v>
          </cell>
          <cell r="K3107">
            <v>-6175762.0709199999</v>
          </cell>
          <cell r="L3107">
            <v>-848308.49</v>
          </cell>
          <cell r="M3107">
            <v>-6994186.0015979996</v>
          </cell>
          <cell r="N3107">
            <v>-10100568.165464999</v>
          </cell>
          <cell r="O3107">
            <v>-11296927.007168001</v>
          </cell>
        </row>
        <row r="3108">
          <cell r="A3108" t="str">
            <v>MexicoCASH</v>
          </cell>
          <cell r="B3108">
            <v>0</v>
          </cell>
          <cell r="C3108">
            <v>0</v>
          </cell>
          <cell r="D3108">
            <v>0</v>
          </cell>
          <cell r="E3108">
            <v>314889.69</v>
          </cell>
          <cell r="F3108">
            <v>314889.69</v>
          </cell>
          <cell r="G3108">
            <v>1000000</v>
          </cell>
          <cell r="H3108">
            <v>1000000</v>
          </cell>
          <cell r="I3108">
            <v>1000000</v>
          </cell>
          <cell r="J3108">
            <v>1000000</v>
          </cell>
          <cell r="K3108">
            <v>1000000</v>
          </cell>
          <cell r="L3108">
            <v>50270.26</v>
          </cell>
          <cell r="M3108">
            <v>1000000</v>
          </cell>
          <cell r="N3108">
            <v>1000000</v>
          </cell>
          <cell r="O3108">
            <v>1000000</v>
          </cell>
        </row>
        <row r="3109">
          <cell r="A3109" t="str">
            <v>MexicoINVESTMENT SECURITIES</v>
          </cell>
          <cell r="B3109">
            <v>0</v>
          </cell>
          <cell r="C3109">
            <v>0</v>
          </cell>
          <cell r="D3109">
            <v>0</v>
          </cell>
          <cell r="E3109">
            <v>0</v>
          </cell>
          <cell r="F3109">
            <v>0</v>
          </cell>
          <cell r="G3109">
            <v>0</v>
          </cell>
          <cell r="H3109">
            <v>0</v>
          </cell>
          <cell r="I3109">
            <v>0</v>
          </cell>
          <cell r="J3109">
            <v>0</v>
          </cell>
          <cell r="K3109">
            <v>0</v>
          </cell>
          <cell r="L3109">
            <v>0</v>
          </cell>
          <cell r="M3109">
            <v>0</v>
          </cell>
          <cell r="N3109">
            <v>0</v>
          </cell>
          <cell r="O3109">
            <v>0</v>
          </cell>
        </row>
        <row r="3110">
          <cell r="A3110" t="str">
            <v>MexicoINV IN NON CONSOL AFFILIATES</v>
          </cell>
          <cell r="B3110">
            <v>0</v>
          </cell>
          <cell r="C3110">
            <v>0</v>
          </cell>
          <cell r="D3110">
            <v>0</v>
          </cell>
          <cell r="E3110">
            <v>0</v>
          </cell>
          <cell r="F3110">
            <v>0</v>
          </cell>
          <cell r="G3110">
            <v>0</v>
          </cell>
          <cell r="H3110">
            <v>0</v>
          </cell>
          <cell r="I3110">
            <v>0</v>
          </cell>
          <cell r="J3110">
            <v>0</v>
          </cell>
          <cell r="K3110">
            <v>0</v>
          </cell>
          <cell r="L3110">
            <v>0</v>
          </cell>
          <cell r="M3110">
            <v>0</v>
          </cell>
          <cell r="N3110">
            <v>0</v>
          </cell>
          <cell r="O3110">
            <v>0</v>
          </cell>
        </row>
        <row r="3111">
          <cell r="A3111" t="str">
            <v>MexicoINVESTMENT IN JOINT VENTURE</v>
          </cell>
          <cell r="B3111">
            <v>0</v>
          </cell>
          <cell r="C3111">
            <v>0</v>
          </cell>
          <cell r="D3111">
            <v>0</v>
          </cell>
          <cell r="E3111">
            <v>0</v>
          </cell>
          <cell r="F3111">
            <v>0</v>
          </cell>
          <cell r="G3111">
            <v>0</v>
          </cell>
          <cell r="H3111">
            <v>0</v>
          </cell>
          <cell r="I3111">
            <v>0</v>
          </cell>
          <cell r="J3111">
            <v>0</v>
          </cell>
          <cell r="K3111">
            <v>0</v>
          </cell>
          <cell r="L3111">
            <v>0</v>
          </cell>
          <cell r="M3111">
            <v>0</v>
          </cell>
          <cell r="N3111">
            <v>0</v>
          </cell>
          <cell r="O3111">
            <v>0</v>
          </cell>
        </row>
        <row r="3112">
          <cell r="A3112" t="str">
            <v>MexicoALL OTHER RECEIVABLES (NON-FINANCING)</v>
          </cell>
          <cell r="B3112">
            <v>0</v>
          </cell>
          <cell r="C3112">
            <v>0</v>
          </cell>
          <cell r="D3112">
            <v>0</v>
          </cell>
          <cell r="E3112">
            <v>747798.97</v>
          </cell>
          <cell r="F3112">
            <v>747798.97</v>
          </cell>
          <cell r="G3112">
            <v>0</v>
          </cell>
          <cell r="H3112">
            <v>0</v>
          </cell>
          <cell r="I3112">
            <v>0</v>
          </cell>
          <cell r="J3112">
            <v>0</v>
          </cell>
          <cell r="K3112">
            <v>0</v>
          </cell>
          <cell r="L3112">
            <v>1621116.45</v>
          </cell>
          <cell r="M3112">
            <v>0</v>
          </cell>
          <cell r="N3112">
            <v>0</v>
          </cell>
          <cell r="O3112">
            <v>0</v>
          </cell>
        </row>
        <row r="3113">
          <cell r="A3113" t="str">
            <v>MexicoELTO (NET)</v>
          </cell>
          <cell r="B3113">
            <v>0</v>
          </cell>
          <cell r="C3113">
            <v>0</v>
          </cell>
          <cell r="D3113">
            <v>0</v>
          </cell>
          <cell r="E3113">
            <v>0</v>
          </cell>
          <cell r="F3113">
            <v>0</v>
          </cell>
          <cell r="G3113">
            <v>0</v>
          </cell>
          <cell r="H3113">
            <v>0</v>
          </cell>
          <cell r="I3113">
            <v>0</v>
          </cell>
          <cell r="J3113">
            <v>0</v>
          </cell>
          <cell r="K3113">
            <v>0</v>
          </cell>
          <cell r="L3113">
            <v>0</v>
          </cell>
          <cell r="M3113">
            <v>0</v>
          </cell>
          <cell r="N3113">
            <v>0</v>
          </cell>
          <cell r="O3113">
            <v>0</v>
          </cell>
        </row>
        <row r="3114">
          <cell r="A3114" t="str">
            <v>MexicoGOODWILL</v>
          </cell>
          <cell r="B3114">
            <v>0</v>
          </cell>
          <cell r="C3114">
            <v>0</v>
          </cell>
          <cell r="D3114">
            <v>0</v>
          </cell>
          <cell r="E3114">
            <v>0</v>
          </cell>
          <cell r="F3114">
            <v>0</v>
          </cell>
          <cell r="G3114">
            <v>0</v>
          </cell>
          <cell r="H3114">
            <v>0</v>
          </cell>
          <cell r="I3114">
            <v>0</v>
          </cell>
          <cell r="J3114">
            <v>0</v>
          </cell>
          <cell r="K3114">
            <v>0</v>
          </cell>
          <cell r="L3114">
            <v>0</v>
          </cell>
          <cell r="M3114">
            <v>0</v>
          </cell>
          <cell r="N3114">
            <v>0</v>
          </cell>
          <cell r="O3114">
            <v>0</v>
          </cell>
        </row>
        <row r="3115">
          <cell r="A3115" t="str">
            <v>MexicoOTHER ASSETS</v>
          </cell>
          <cell r="B3115">
            <v>0</v>
          </cell>
          <cell r="C3115">
            <v>0</v>
          </cell>
          <cell r="D3115">
            <v>97357.55</v>
          </cell>
          <cell r="E3115">
            <v>6510380.3300000001</v>
          </cell>
          <cell r="F3115">
            <v>6510380.3300000001</v>
          </cell>
          <cell r="G3115">
            <v>9723633.2701520007</v>
          </cell>
          <cell r="H3115">
            <v>10804000.27276</v>
          </cell>
          <cell r="I3115">
            <v>11165102.385656999</v>
          </cell>
          <cell r="J3115">
            <v>11045273.729193</v>
          </cell>
          <cell r="K3115">
            <v>11045273.729193</v>
          </cell>
          <cell r="L3115">
            <v>8035480.2800000003</v>
          </cell>
          <cell r="M3115">
            <v>4188121.5537069999</v>
          </cell>
          <cell r="N3115">
            <v>2920514.2080359999</v>
          </cell>
          <cell r="O3115">
            <v>1720879.778492</v>
          </cell>
        </row>
        <row r="3116">
          <cell r="A3116" t="str">
            <v>MexicoACCOUNTS PAYABLE</v>
          </cell>
          <cell r="B3116">
            <v>0</v>
          </cell>
          <cell r="C3116">
            <v>132591</v>
          </cell>
          <cell r="D3116">
            <v>-432222.2</v>
          </cell>
          <cell r="E3116">
            <v>-2011751.86</v>
          </cell>
          <cell r="F3116">
            <v>-2011751.86</v>
          </cell>
          <cell r="G3116">
            <v>0</v>
          </cell>
          <cell r="H3116">
            <v>0</v>
          </cell>
          <cell r="I3116">
            <v>0</v>
          </cell>
          <cell r="J3116">
            <v>0</v>
          </cell>
          <cell r="K3116">
            <v>0</v>
          </cell>
          <cell r="L3116">
            <v>-1358976.16</v>
          </cell>
          <cell r="M3116">
            <v>0</v>
          </cell>
          <cell r="N3116">
            <v>0</v>
          </cell>
          <cell r="O3116">
            <v>0</v>
          </cell>
        </row>
        <row r="3117">
          <cell r="A3117" t="str">
            <v>MexicoDEFERRED INCOME TAXES</v>
          </cell>
          <cell r="B3117">
            <v>0</v>
          </cell>
          <cell r="C3117">
            <v>-28652.880000000001</v>
          </cell>
          <cell r="D3117">
            <v>0</v>
          </cell>
          <cell r="E3117">
            <v>0</v>
          </cell>
          <cell r="F3117">
            <v>0</v>
          </cell>
          <cell r="G3117">
            <v>0</v>
          </cell>
          <cell r="H3117">
            <v>0</v>
          </cell>
          <cell r="I3117">
            <v>0</v>
          </cell>
          <cell r="J3117">
            <v>0</v>
          </cell>
          <cell r="K3117">
            <v>0</v>
          </cell>
          <cell r="L3117">
            <v>0</v>
          </cell>
          <cell r="M3117">
            <v>0</v>
          </cell>
          <cell r="N3117">
            <v>0</v>
          </cell>
          <cell r="O3117">
            <v>0</v>
          </cell>
        </row>
        <row r="3118">
          <cell r="A3118" t="str">
            <v>MexicoWRITE-OFF (MEMO)</v>
          </cell>
          <cell r="B3118">
            <v>0</v>
          </cell>
          <cell r="C3118">
            <v>0</v>
          </cell>
          <cell r="D3118">
            <v>0</v>
          </cell>
          <cell r="E3118">
            <v>0</v>
          </cell>
          <cell r="F3118">
            <v>0</v>
          </cell>
          <cell r="G3118">
            <v>0</v>
          </cell>
          <cell r="H3118">
            <v>223000</v>
          </cell>
          <cell r="I3118">
            <v>730000</v>
          </cell>
          <cell r="J3118">
            <v>1423000</v>
          </cell>
          <cell r="K3118">
            <v>1423000</v>
          </cell>
          <cell r="L3118">
            <v>0</v>
          </cell>
          <cell r="M3118">
            <v>3219094.134505</v>
          </cell>
          <cell r="N3118">
            <v>10420647.836134</v>
          </cell>
          <cell r="O3118">
            <v>11052488.99443</v>
          </cell>
        </row>
        <row r="3119">
          <cell r="A3119" t="str">
            <v>MexicoINSURANCE RESERVES AND ANNUITY BENEFITS</v>
          </cell>
          <cell r="B3119">
            <v>0</v>
          </cell>
          <cell r="C3119">
            <v>0</v>
          </cell>
          <cell r="D3119">
            <v>0</v>
          </cell>
          <cell r="E3119">
            <v>0</v>
          </cell>
          <cell r="F3119">
            <v>0</v>
          </cell>
          <cell r="G3119">
            <v>0</v>
          </cell>
          <cell r="H3119">
            <v>0</v>
          </cell>
          <cell r="I3119">
            <v>0</v>
          </cell>
          <cell r="J3119">
            <v>0</v>
          </cell>
          <cell r="K3119">
            <v>0</v>
          </cell>
          <cell r="L3119">
            <v>0</v>
          </cell>
          <cell r="M3119">
            <v>0</v>
          </cell>
          <cell r="N3119">
            <v>0</v>
          </cell>
          <cell r="O3119">
            <v>0</v>
          </cell>
        </row>
        <row r="3120">
          <cell r="A3120" t="str">
            <v>MexicoALL OTHER NON DEBT LIABILITIES</v>
          </cell>
          <cell r="B3120">
            <v>0</v>
          </cell>
          <cell r="C3120">
            <v>-75331.05</v>
          </cell>
          <cell r="D3120">
            <v>-67652</v>
          </cell>
          <cell r="E3120">
            <v>-516794.39</v>
          </cell>
          <cell r="F3120">
            <v>-516794.39</v>
          </cell>
          <cell r="G3120">
            <v>-58042.253197999999</v>
          </cell>
          <cell r="H3120">
            <v>-54387.430863000001</v>
          </cell>
          <cell r="I3120">
            <v>-50732.608527999997</v>
          </cell>
          <cell r="J3120">
            <v>-47077.786193</v>
          </cell>
          <cell r="K3120">
            <v>-47077.786193</v>
          </cell>
          <cell r="L3120">
            <v>-455579.34</v>
          </cell>
          <cell r="M3120">
            <v>0</v>
          </cell>
          <cell r="N3120">
            <v>0</v>
          </cell>
          <cell r="O3120">
            <v>0</v>
          </cell>
        </row>
        <row r="3121">
          <cell r="A3121" t="str">
            <v>MexicoMINORITY INTEREST (BS)</v>
          </cell>
          <cell r="B3121">
            <v>0</v>
          </cell>
          <cell r="C3121">
            <v>0</v>
          </cell>
          <cell r="D3121">
            <v>0</v>
          </cell>
          <cell r="E3121">
            <v>0</v>
          </cell>
          <cell r="F3121">
            <v>0</v>
          </cell>
          <cell r="G3121">
            <v>0</v>
          </cell>
          <cell r="H3121">
            <v>0</v>
          </cell>
          <cell r="I3121">
            <v>0</v>
          </cell>
          <cell r="J3121">
            <v>0</v>
          </cell>
          <cell r="K3121">
            <v>0</v>
          </cell>
          <cell r="L3121">
            <v>0</v>
          </cell>
          <cell r="M3121">
            <v>0</v>
          </cell>
          <cell r="N3121">
            <v>0</v>
          </cell>
          <cell r="O3121">
            <v>0</v>
          </cell>
        </row>
        <row r="3122">
          <cell r="A3122" t="str">
            <v>MexicoASIA PACIFIC ENI DIVIDEND</v>
          </cell>
          <cell r="B3122">
            <v>0</v>
          </cell>
          <cell r="C3122">
            <v>0</v>
          </cell>
          <cell r="D3122">
            <v>0</v>
          </cell>
          <cell r="E3122">
            <v>0</v>
          </cell>
          <cell r="F3122">
            <v>0</v>
          </cell>
          <cell r="G3122">
            <v>0</v>
          </cell>
          <cell r="H3122">
            <v>0</v>
          </cell>
          <cell r="I3122">
            <v>0</v>
          </cell>
          <cell r="J3122">
            <v>0</v>
          </cell>
          <cell r="K3122">
            <v>0</v>
          </cell>
          <cell r="L3122">
            <v>0</v>
          </cell>
          <cell r="M3122">
            <v>0</v>
          </cell>
          <cell r="N3122">
            <v>0</v>
          </cell>
          <cell r="O3122">
            <v>0</v>
          </cell>
        </row>
        <row r="3123">
          <cell r="A3123" t="str">
            <v>MexicoFINANCING INCOME</v>
          </cell>
          <cell r="B3123">
            <v>0</v>
          </cell>
          <cell r="C3123">
            <v>-507292.58</v>
          </cell>
          <cell r="D3123">
            <v>-340326.76</v>
          </cell>
          <cell r="E3123">
            <v>-329172.39</v>
          </cell>
          <cell r="F3123">
            <v>-1176791.73</v>
          </cell>
          <cell r="G3123">
            <v>-3138639.1417439999</v>
          </cell>
          <cell r="H3123">
            <v>-6620599.2899979996</v>
          </cell>
          <cell r="I3123">
            <v>-9777305.5466680005</v>
          </cell>
          <cell r="J3123">
            <v>-12141047.072954999</v>
          </cell>
          <cell r="K3123">
            <v>-31677591.051366001</v>
          </cell>
          <cell r="L3123">
            <v>-1547461.41</v>
          </cell>
          <cell r="M3123">
            <v>-26950995.474516999</v>
          </cell>
          <cell r="N3123">
            <v>-48257895.443515003</v>
          </cell>
          <cell r="O3123">
            <v>-57843495.610570997</v>
          </cell>
        </row>
        <row r="3124">
          <cell r="A3124" t="str">
            <v>MexicoINSURANCE PREMIUM INCOME</v>
          </cell>
          <cell r="B3124">
            <v>0</v>
          </cell>
          <cell r="C3124">
            <v>0</v>
          </cell>
          <cell r="D3124">
            <v>0</v>
          </cell>
          <cell r="E3124">
            <v>0</v>
          </cell>
          <cell r="F3124">
            <v>0</v>
          </cell>
          <cell r="G3124">
            <v>0</v>
          </cell>
          <cell r="H3124">
            <v>0</v>
          </cell>
          <cell r="I3124">
            <v>0</v>
          </cell>
          <cell r="J3124">
            <v>0</v>
          </cell>
          <cell r="K3124">
            <v>0</v>
          </cell>
          <cell r="L3124">
            <v>0</v>
          </cell>
          <cell r="M3124">
            <v>0</v>
          </cell>
          <cell r="N3124">
            <v>0</v>
          </cell>
          <cell r="O3124">
            <v>0</v>
          </cell>
        </row>
        <row r="3125">
          <cell r="A3125" t="str">
            <v>MexicoINSURANCE INCOME (COMMISSIONS)</v>
          </cell>
          <cell r="B3125">
            <v>0</v>
          </cell>
          <cell r="C3125">
            <v>0</v>
          </cell>
          <cell r="D3125">
            <v>0</v>
          </cell>
          <cell r="E3125">
            <v>0</v>
          </cell>
          <cell r="F3125">
            <v>0</v>
          </cell>
          <cell r="G3125">
            <v>0</v>
          </cell>
          <cell r="H3125">
            <v>0</v>
          </cell>
          <cell r="I3125">
            <v>0</v>
          </cell>
          <cell r="J3125">
            <v>0</v>
          </cell>
          <cell r="K3125">
            <v>0</v>
          </cell>
          <cell r="L3125">
            <v>0</v>
          </cell>
          <cell r="M3125">
            <v>0</v>
          </cell>
          <cell r="N3125">
            <v>0</v>
          </cell>
          <cell r="O3125">
            <v>0</v>
          </cell>
        </row>
        <row r="3126">
          <cell r="A3126" t="str">
            <v>MexicoSUNDRY INCOME</v>
          </cell>
          <cell r="B3126">
            <v>0</v>
          </cell>
          <cell r="C3126">
            <v>-4304.5</v>
          </cell>
          <cell r="D3126">
            <v>-5987.04</v>
          </cell>
          <cell r="E3126">
            <v>-203807.03</v>
          </cell>
          <cell r="F3126">
            <v>-214098.57</v>
          </cell>
          <cell r="G3126">
            <v>-62011.076694000003</v>
          </cell>
          <cell r="H3126">
            <v>-62011.076694000003</v>
          </cell>
          <cell r="I3126">
            <v>-62011.076694000003</v>
          </cell>
          <cell r="J3126">
            <v>-62011.076694000003</v>
          </cell>
          <cell r="K3126">
            <v>-248044.30677699999</v>
          </cell>
          <cell r="L3126">
            <v>-489488.3</v>
          </cell>
          <cell r="M3126">
            <v>0</v>
          </cell>
          <cell r="N3126">
            <v>0</v>
          </cell>
          <cell r="O3126">
            <v>0</v>
          </cell>
        </row>
        <row r="3127">
          <cell r="A3127" t="str">
            <v>MexicoINTEREST EXPENSE</v>
          </cell>
          <cell r="B3127">
            <v>0</v>
          </cell>
          <cell r="C3127">
            <v>378831.43</v>
          </cell>
          <cell r="D3127">
            <v>305516.01</v>
          </cell>
          <cell r="E3127">
            <v>284611.36</v>
          </cell>
          <cell r="F3127">
            <v>968958.8</v>
          </cell>
          <cell r="G3127">
            <v>847126.69295399997</v>
          </cell>
          <cell r="H3127">
            <v>1775756.967614</v>
          </cell>
          <cell r="I3127">
            <v>2201710.8640029998</v>
          </cell>
          <cell r="J3127">
            <v>2474366.3422719999</v>
          </cell>
          <cell r="K3127">
            <v>7298960.8668440003</v>
          </cell>
          <cell r="L3127">
            <v>510707.06</v>
          </cell>
          <cell r="M3127">
            <v>3774883.2629809999</v>
          </cell>
          <cell r="N3127">
            <v>7072583.1386050005</v>
          </cell>
          <cell r="O3127">
            <v>8326066.3119999999</v>
          </cell>
        </row>
        <row r="3128">
          <cell r="A3128" t="str">
            <v>MexicoINTEREST EXPENSE REDUCTIONS / BUS SHARING</v>
          </cell>
          <cell r="B3128">
            <v>0</v>
          </cell>
          <cell r="C3128">
            <v>0</v>
          </cell>
          <cell r="D3128">
            <v>0</v>
          </cell>
          <cell r="E3128">
            <v>0</v>
          </cell>
          <cell r="F3128">
            <v>0</v>
          </cell>
          <cell r="G3128">
            <v>0</v>
          </cell>
          <cell r="H3128">
            <v>0</v>
          </cell>
          <cell r="I3128">
            <v>0</v>
          </cell>
          <cell r="J3128">
            <v>0</v>
          </cell>
          <cell r="K3128">
            <v>0</v>
          </cell>
          <cell r="L3128">
            <v>0</v>
          </cell>
          <cell r="M3128">
            <v>0</v>
          </cell>
          <cell r="N3128">
            <v>0</v>
          </cell>
          <cell r="O3128">
            <v>0</v>
          </cell>
        </row>
        <row r="3129">
          <cell r="A3129" t="str">
            <v>MexicoALLOCATED COST OF PREFERRED EQUITY</v>
          </cell>
          <cell r="B3129">
            <v>0</v>
          </cell>
          <cell r="C3129">
            <v>1163.8699999999999</v>
          </cell>
          <cell r="D3129">
            <v>0</v>
          </cell>
          <cell r="E3129">
            <v>586.17999999999995</v>
          </cell>
          <cell r="F3129">
            <v>1750.05</v>
          </cell>
          <cell r="G3129">
            <v>26869.572485000001</v>
          </cell>
          <cell r="H3129">
            <v>46919.017556999999</v>
          </cell>
          <cell r="I3129">
            <v>58499.639114999998</v>
          </cell>
          <cell r="J3129">
            <v>67271.834931000005</v>
          </cell>
          <cell r="K3129">
            <v>199560.06408800001</v>
          </cell>
          <cell r="L3129">
            <v>1626.11</v>
          </cell>
          <cell r="M3129">
            <v>0</v>
          </cell>
          <cell r="N3129">
            <v>0</v>
          </cell>
          <cell r="O3129">
            <v>0</v>
          </cell>
        </row>
        <row r="3130">
          <cell r="A3130" t="str">
            <v>MexicoSALARIES &amp; BENEFITS</v>
          </cell>
          <cell r="B3130">
            <v>0</v>
          </cell>
          <cell r="C3130">
            <v>100000</v>
          </cell>
          <cell r="D3130">
            <v>200059.98</v>
          </cell>
          <cell r="E3130">
            <v>852272.73</v>
          </cell>
          <cell r="F3130">
            <v>1152332.71</v>
          </cell>
          <cell r="G3130">
            <v>1015431.693742</v>
          </cell>
          <cell r="H3130">
            <v>1194410.186215</v>
          </cell>
          <cell r="I3130">
            <v>1208883.1130969999</v>
          </cell>
          <cell r="J3130">
            <v>1206157.258258</v>
          </cell>
          <cell r="K3130">
            <v>4624882.2513119997</v>
          </cell>
          <cell r="L3130">
            <v>864610.16</v>
          </cell>
          <cell r="M3130">
            <v>3366680.04</v>
          </cell>
          <cell r="N3130">
            <v>3546630.3529759999</v>
          </cell>
          <cell r="O3130">
            <v>3716135.2877090001</v>
          </cell>
        </row>
        <row r="3131">
          <cell r="A3131" t="str">
            <v>MexicoLOSSES ON OTHER ASSETS</v>
          </cell>
          <cell r="B3131">
            <v>0</v>
          </cell>
          <cell r="C3131">
            <v>0</v>
          </cell>
          <cell r="D3131">
            <v>0</v>
          </cell>
          <cell r="E3131">
            <v>0</v>
          </cell>
          <cell r="F3131">
            <v>0</v>
          </cell>
          <cell r="G3131">
            <v>0</v>
          </cell>
          <cell r="H3131">
            <v>0</v>
          </cell>
          <cell r="I3131">
            <v>0</v>
          </cell>
          <cell r="J3131">
            <v>0</v>
          </cell>
          <cell r="K3131">
            <v>0</v>
          </cell>
          <cell r="L3131">
            <v>0</v>
          </cell>
          <cell r="M3131">
            <v>0</v>
          </cell>
          <cell r="N3131">
            <v>0</v>
          </cell>
          <cell r="O3131">
            <v>0</v>
          </cell>
        </row>
        <row r="3132">
          <cell r="A3132" t="str">
            <v>MexicoCOST OF GOODS SOLD</v>
          </cell>
          <cell r="B3132">
            <v>0</v>
          </cell>
          <cell r="C3132">
            <v>0</v>
          </cell>
          <cell r="D3132">
            <v>0</v>
          </cell>
          <cell r="E3132">
            <v>0</v>
          </cell>
          <cell r="F3132">
            <v>0</v>
          </cell>
          <cell r="G3132">
            <v>0</v>
          </cell>
          <cell r="H3132">
            <v>0</v>
          </cell>
          <cell r="I3132">
            <v>0</v>
          </cell>
          <cell r="J3132">
            <v>0</v>
          </cell>
          <cell r="K3132">
            <v>0</v>
          </cell>
          <cell r="L3132">
            <v>0</v>
          </cell>
          <cell r="M3132">
            <v>0</v>
          </cell>
          <cell r="N3132">
            <v>0</v>
          </cell>
          <cell r="O3132">
            <v>0</v>
          </cell>
        </row>
        <row r="3133">
          <cell r="A3133" t="str">
            <v>MexicoCOST OF GOODS SOLD - DISTRIBUTION</v>
          </cell>
          <cell r="B3133">
            <v>0</v>
          </cell>
          <cell r="C3133">
            <v>0</v>
          </cell>
          <cell r="D3133">
            <v>0</v>
          </cell>
          <cell r="E3133">
            <v>0</v>
          </cell>
          <cell r="F3133">
            <v>0</v>
          </cell>
          <cell r="G3133">
            <v>0</v>
          </cell>
          <cell r="H3133">
            <v>0</v>
          </cell>
          <cell r="I3133">
            <v>0</v>
          </cell>
          <cell r="J3133">
            <v>0</v>
          </cell>
          <cell r="K3133">
            <v>0</v>
          </cell>
          <cell r="L3133">
            <v>0</v>
          </cell>
          <cell r="M3133">
            <v>0</v>
          </cell>
          <cell r="N3133">
            <v>0</v>
          </cell>
          <cell r="O3133">
            <v>0</v>
          </cell>
        </row>
        <row r="3134">
          <cell r="A3134" t="str">
            <v>MexicoPOSTAGE</v>
          </cell>
          <cell r="B3134">
            <v>0</v>
          </cell>
          <cell r="C3134">
            <v>0</v>
          </cell>
          <cell r="D3134">
            <v>0</v>
          </cell>
          <cell r="E3134">
            <v>8.17</v>
          </cell>
          <cell r="F3134">
            <v>8.17</v>
          </cell>
          <cell r="G3134">
            <v>161776.78529599999</v>
          </cell>
          <cell r="H3134">
            <v>335367.21467399999</v>
          </cell>
          <cell r="I3134">
            <v>513470.48352900002</v>
          </cell>
          <cell r="J3134">
            <v>743940.33120500005</v>
          </cell>
          <cell r="K3134">
            <v>1754554.814704</v>
          </cell>
          <cell r="L3134">
            <v>16875.09</v>
          </cell>
          <cell r="M3134">
            <v>2344480.6532660001</v>
          </cell>
          <cell r="N3134">
            <v>4419727.2560980003</v>
          </cell>
          <cell r="O3134">
            <v>6116676.1241960004</v>
          </cell>
        </row>
        <row r="3135">
          <cell r="A3135" t="str">
            <v>MexicoTELEPHONE</v>
          </cell>
          <cell r="B3135">
            <v>0</v>
          </cell>
          <cell r="C3135">
            <v>0</v>
          </cell>
          <cell r="D3135">
            <v>10000</v>
          </cell>
          <cell r="E3135">
            <v>192738.01</v>
          </cell>
          <cell r="F3135">
            <v>202738.01</v>
          </cell>
          <cell r="G3135">
            <v>100340.879676</v>
          </cell>
          <cell r="H3135">
            <v>149340.99447100001</v>
          </cell>
          <cell r="I3135">
            <v>199755.24701600001</v>
          </cell>
          <cell r="J3135">
            <v>264890.98694600002</v>
          </cell>
          <cell r="K3135">
            <v>714328.10810800001</v>
          </cell>
          <cell r="L3135">
            <v>104018.98</v>
          </cell>
          <cell r="M3135">
            <v>497012.55846500001</v>
          </cell>
          <cell r="N3135">
            <v>495001.733114</v>
          </cell>
          <cell r="O3135">
            <v>496060.42000099999</v>
          </cell>
        </row>
        <row r="3136">
          <cell r="A3136" t="str">
            <v>MexicoCUSTOMER SERVICE / COLLECTIONS</v>
          </cell>
          <cell r="B3136">
            <v>0</v>
          </cell>
          <cell r="C3136">
            <v>0</v>
          </cell>
          <cell r="D3136">
            <v>0</v>
          </cell>
          <cell r="E3136">
            <v>0</v>
          </cell>
          <cell r="F3136">
            <v>0</v>
          </cell>
          <cell r="G3136">
            <v>240939.29246200001</v>
          </cell>
          <cell r="H3136">
            <v>510022.16601599997</v>
          </cell>
          <cell r="I3136">
            <v>787144.814747</v>
          </cell>
          <cell r="J3136">
            <v>1146991.7348450001</v>
          </cell>
          <cell r="K3136">
            <v>2685098.00807</v>
          </cell>
          <cell r="L3136">
            <v>90898.51</v>
          </cell>
          <cell r="M3136">
            <v>5097933.6690199999</v>
          </cell>
          <cell r="N3136">
            <v>9066970.0093660001</v>
          </cell>
          <cell r="O3136">
            <v>12703750.488883</v>
          </cell>
        </row>
        <row r="3137">
          <cell r="A3137" t="str">
            <v>MexicoSTATIONARY - OFFICE SUPPLIES</v>
          </cell>
          <cell r="B3137">
            <v>0</v>
          </cell>
          <cell r="C3137">
            <v>0</v>
          </cell>
          <cell r="D3137">
            <v>14000</v>
          </cell>
          <cell r="E3137">
            <v>18151.61</v>
          </cell>
          <cell r="F3137">
            <v>32151.61</v>
          </cell>
          <cell r="G3137">
            <v>9750</v>
          </cell>
          <cell r="H3137">
            <v>9750</v>
          </cell>
          <cell r="I3137">
            <v>10750</v>
          </cell>
          <cell r="J3137">
            <v>15750</v>
          </cell>
          <cell r="K3137">
            <v>46000</v>
          </cell>
          <cell r="L3137">
            <v>55294.239999999998</v>
          </cell>
          <cell r="M3137">
            <v>15687</v>
          </cell>
          <cell r="N3137">
            <v>16669.8</v>
          </cell>
          <cell r="O3137">
            <v>17503.29</v>
          </cell>
        </row>
        <row r="3138">
          <cell r="A3138" t="str">
            <v>MexicoT&amp;L</v>
          </cell>
          <cell r="B3138">
            <v>0</v>
          </cell>
          <cell r="C3138">
            <v>0</v>
          </cell>
          <cell r="D3138">
            <v>206317.25</v>
          </cell>
          <cell r="E3138">
            <v>269894</v>
          </cell>
          <cell r="F3138">
            <v>476211.25</v>
          </cell>
          <cell r="G3138">
            <v>97608</v>
          </cell>
          <cell r="H3138">
            <v>104008</v>
          </cell>
          <cell r="I3138">
            <v>97608</v>
          </cell>
          <cell r="J3138">
            <v>104008</v>
          </cell>
          <cell r="K3138">
            <v>403232</v>
          </cell>
          <cell r="L3138">
            <v>20225.86</v>
          </cell>
          <cell r="M3138">
            <v>153600</v>
          </cell>
          <cell r="N3138">
            <v>161280</v>
          </cell>
          <cell r="O3138">
            <v>169344</v>
          </cell>
        </row>
        <row r="3139">
          <cell r="A3139" t="str">
            <v>MexicoRENTAL - BLDG/FACILITIES</v>
          </cell>
          <cell r="B3139">
            <v>0</v>
          </cell>
          <cell r="C3139">
            <v>0</v>
          </cell>
          <cell r="D3139">
            <v>39999.99</v>
          </cell>
          <cell r="E3139">
            <v>84611.88</v>
          </cell>
          <cell r="F3139">
            <v>124611.87</v>
          </cell>
          <cell r="G3139">
            <v>150500</v>
          </cell>
          <cell r="H3139">
            <v>199500</v>
          </cell>
          <cell r="I3139">
            <v>266000</v>
          </cell>
          <cell r="J3139">
            <v>232500</v>
          </cell>
          <cell r="K3139">
            <v>848500</v>
          </cell>
          <cell r="L3139">
            <v>89656.5</v>
          </cell>
          <cell r="M3139">
            <v>274272.59999999998</v>
          </cell>
          <cell r="N3139">
            <v>287986.23</v>
          </cell>
          <cell r="O3139">
            <v>302385.54149999999</v>
          </cell>
        </row>
        <row r="3140">
          <cell r="A3140" t="str">
            <v>MexicoRENTAL - FURNITURE/EQUIP</v>
          </cell>
          <cell r="B3140">
            <v>0</v>
          </cell>
          <cell r="C3140">
            <v>0</v>
          </cell>
          <cell r="D3140">
            <v>0</v>
          </cell>
          <cell r="E3140">
            <v>432.8</v>
          </cell>
          <cell r="F3140">
            <v>432.8</v>
          </cell>
          <cell r="G3140">
            <v>0</v>
          </cell>
          <cell r="H3140">
            <v>0</v>
          </cell>
          <cell r="I3140">
            <v>0</v>
          </cell>
          <cell r="J3140">
            <v>0</v>
          </cell>
          <cell r="K3140">
            <v>0</v>
          </cell>
          <cell r="L3140">
            <v>0</v>
          </cell>
          <cell r="M3140">
            <v>0</v>
          </cell>
          <cell r="N3140">
            <v>0</v>
          </cell>
          <cell r="O3140">
            <v>0</v>
          </cell>
        </row>
        <row r="3141">
          <cell r="A3141" t="str">
            <v>MexicoRENTAL - COMPUTERS</v>
          </cell>
          <cell r="B3141">
            <v>0</v>
          </cell>
          <cell r="C3141">
            <v>0</v>
          </cell>
          <cell r="D3141">
            <v>0</v>
          </cell>
          <cell r="E3141">
            <v>196.44</v>
          </cell>
          <cell r="F3141">
            <v>196.44</v>
          </cell>
          <cell r="G3141">
            <v>0</v>
          </cell>
          <cell r="H3141">
            <v>0</v>
          </cell>
          <cell r="I3141">
            <v>0</v>
          </cell>
          <cell r="J3141">
            <v>0</v>
          </cell>
          <cell r="K3141">
            <v>0</v>
          </cell>
          <cell r="L3141">
            <v>0</v>
          </cell>
          <cell r="M3141">
            <v>0</v>
          </cell>
          <cell r="N3141">
            <v>0</v>
          </cell>
          <cell r="O3141">
            <v>0</v>
          </cell>
        </row>
        <row r="3142">
          <cell r="A3142" t="str">
            <v>MexicoLEASE IN - LEASE OUT</v>
          </cell>
          <cell r="B3142">
            <v>0</v>
          </cell>
          <cell r="C3142">
            <v>0</v>
          </cell>
          <cell r="D3142">
            <v>0</v>
          </cell>
          <cell r="E3142">
            <v>0</v>
          </cell>
          <cell r="F3142">
            <v>0</v>
          </cell>
          <cell r="G3142">
            <v>0</v>
          </cell>
          <cell r="H3142">
            <v>0</v>
          </cell>
          <cell r="I3142">
            <v>0</v>
          </cell>
          <cell r="J3142">
            <v>0</v>
          </cell>
          <cell r="K3142">
            <v>0</v>
          </cell>
          <cell r="L3142">
            <v>0</v>
          </cell>
          <cell r="M3142">
            <v>0</v>
          </cell>
          <cell r="N3142">
            <v>0</v>
          </cell>
          <cell r="O3142">
            <v>0</v>
          </cell>
        </row>
        <row r="3143">
          <cell r="A3143" t="str">
            <v>MexicoFURNITURE / EQUIPMENT / COMPUTER EXP</v>
          </cell>
          <cell r="B3143">
            <v>0</v>
          </cell>
          <cell r="C3143">
            <v>0</v>
          </cell>
          <cell r="D3143">
            <v>0</v>
          </cell>
          <cell r="E3143">
            <v>2255.8000000000002</v>
          </cell>
          <cell r="F3143">
            <v>2255.8000000000002</v>
          </cell>
          <cell r="G3143">
            <v>278373.66249999998</v>
          </cell>
          <cell r="H3143">
            <v>335540.16249999998</v>
          </cell>
          <cell r="I3143">
            <v>315373.41249999998</v>
          </cell>
          <cell r="J3143">
            <v>315373.41249999998</v>
          </cell>
          <cell r="K3143">
            <v>1244660.6499999999</v>
          </cell>
          <cell r="L3143">
            <v>1638.62</v>
          </cell>
          <cell r="M3143">
            <v>392450</v>
          </cell>
          <cell r="N3143">
            <v>616017.5</v>
          </cell>
          <cell r="O3143">
            <v>646818.375</v>
          </cell>
        </row>
        <row r="3144">
          <cell r="A3144" t="str">
            <v>MexicoSOFTWARE EXPENSE</v>
          </cell>
          <cell r="B3144">
            <v>0</v>
          </cell>
          <cell r="C3144">
            <v>0</v>
          </cell>
          <cell r="D3144">
            <v>0</v>
          </cell>
          <cell r="E3144">
            <v>0</v>
          </cell>
          <cell r="F3144">
            <v>0</v>
          </cell>
          <cell r="G3144">
            <v>0</v>
          </cell>
          <cell r="H3144">
            <v>0</v>
          </cell>
          <cell r="I3144">
            <v>0</v>
          </cell>
          <cell r="J3144">
            <v>0</v>
          </cell>
          <cell r="K3144">
            <v>0</v>
          </cell>
          <cell r="L3144">
            <v>0</v>
          </cell>
          <cell r="M3144">
            <v>405000</v>
          </cell>
          <cell r="N3144">
            <v>430000</v>
          </cell>
          <cell r="O3144">
            <v>430000</v>
          </cell>
        </row>
        <row r="3145">
          <cell r="A3145" t="str">
            <v>MexicoAMORTIZATION OF INTANGIBLES</v>
          </cell>
          <cell r="B3145">
            <v>0</v>
          </cell>
          <cell r="C3145">
            <v>0</v>
          </cell>
          <cell r="D3145">
            <v>0</v>
          </cell>
          <cell r="E3145">
            <v>6766.51</v>
          </cell>
          <cell r="F3145">
            <v>6766.51</v>
          </cell>
          <cell r="G3145">
            <v>262018.390805</v>
          </cell>
          <cell r="H3145">
            <v>262018.390805</v>
          </cell>
          <cell r="I3145">
            <v>262018.390805</v>
          </cell>
          <cell r="J3145">
            <v>262018.390805</v>
          </cell>
          <cell r="K3145">
            <v>1048073.563219</v>
          </cell>
          <cell r="L3145">
            <v>98367.93</v>
          </cell>
          <cell r="M3145">
            <v>463819.095477</v>
          </cell>
          <cell r="N3145">
            <v>450243.90243900003</v>
          </cell>
          <cell r="O3145">
            <v>445176.84887500003</v>
          </cell>
        </row>
        <row r="3146">
          <cell r="A3146" t="str">
            <v>MexicoELTO MAINTENANCE</v>
          </cell>
          <cell r="B3146">
            <v>0</v>
          </cell>
          <cell r="C3146">
            <v>0</v>
          </cell>
          <cell r="D3146">
            <v>0</v>
          </cell>
          <cell r="E3146">
            <v>0</v>
          </cell>
          <cell r="F3146">
            <v>0</v>
          </cell>
          <cell r="G3146">
            <v>0</v>
          </cell>
          <cell r="H3146">
            <v>0</v>
          </cell>
          <cell r="I3146">
            <v>0</v>
          </cell>
          <cell r="J3146">
            <v>0</v>
          </cell>
          <cell r="K3146">
            <v>0</v>
          </cell>
          <cell r="L3146">
            <v>0</v>
          </cell>
          <cell r="M3146">
            <v>0</v>
          </cell>
          <cell r="N3146">
            <v>0</v>
          </cell>
          <cell r="O3146">
            <v>0</v>
          </cell>
        </row>
        <row r="3147">
          <cell r="A3147" t="str">
            <v>MexicoELTO OTHER</v>
          </cell>
          <cell r="B3147">
            <v>0</v>
          </cell>
          <cell r="C3147">
            <v>0</v>
          </cell>
          <cell r="D3147">
            <v>0</v>
          </cell>
          <cell r="E3147">
            <v>0</v>
          </cell>
          <cell r="F3147">
            <v>0</v>
          </cell>
          <cell r="G3147">
            <v>0</v>
          </cell>
          <cell r="H3147">
            <v>0</v>
          </cell>
          <cell r="I3147">
            <v>0</v>
          </cell>
          <cell r="J3147">
            <v>0</v>
          </cell>
          <cell r="K3147">
            <v>0</v>
          </cell>
          <cell r="L3147">
            <v>0</v>
          </cell>
          <cell r="M3147">
            <v>0</v>
          </cell>
          <cell r="N3147">
            <v>0</v>
          </cell>
          <cell r="O3147">
            <v>0</v>
          </cell>
        </row>
        <row r="3148">
          <cell r="A3148" t="str">
            <v>MexicoLEGAL</v>
          </cell>
          <cell r="B3148">
            <v>0</v>
          </cell>
          <cell r="C3148">
            <v>0</v>
          </cell>
          <cell r="D3148">
            <v>29999.99</v>
          </cell>
          <cell r="E3148">
            <v>121494.86</v>
          </cell>
          <cell r="F3148">
            <v>151494.85</v>
          </cell>
          <cell r="G3148">
            <v>31702</v>
          </cell>
          <cell r="H3148">
            <v>21702</v>
          </cell>
          <cell r="I3148">
            <v>75702</v>
          </cell>
          <cell r="J3148">
            <v>81185.870968000003</v>
          </cell>
          <cell r="K3148">
            <v>210291.870968</v>
          </cell>
          <cell r="L3148">
            <v>6705.99</v>
          </cell>
          <cell r="M3148">
            <v>102060</v>
          </cell>
          <cell r="N3148">
            <v>61323</v>
          </cell>
          <cell r="O3148">
            <v>64389.15</v>
          </cell>
        </row>
        <row r="3149">
          <cell r="A3149" t="str">
            <v>MexicoADVERTISING</v>
          </cell>
          <cell r="B3149">
            <v>0</v>
          </cell>
          <cell r="C3149">
            <v>0</v>
          </cell>
          <cell r="D3149">
            <v>0</v>
          </cell>
          <cell r="E3149">
            <v>17315.7</v>
          </cell>
          <cell r="F3149">
            <v>17315.7</v>
          </cell>
          <cell r="G3149">
            <v>77343.263688000006</v>
          </cell>
          <cell r="H3149">
            <v>88621.775544999997</v>
          </cell>
          <cell r="I3149">
            <v>86676.633092999997</v>
          </cell>
          <cell r="J3149">
            <v>90386.251329000006</v>
          </cell>
          <cell r="K3149">
            <v>343027.92365499999</v>
          </cell>
          <cell r="L3149">
            <v>0</v>
          </cell>
          <cell r="M3149">
            <v>357992</v>
          </cell>
          <cell r="N3149">
            <v>505122</v>
          </cell>
          <cell r="O3149">
            <v>572263.5</v>
          </cell>
        </row>
        <row r="3150">
          <cell r="A3150" t="str">
            <v>MexicoSALES PROMOTIONS</v>
          </cell>
          <cell r="B3150">
            <v>0</v>
          </cell>
          <cell r="C3150">
            <v>0</v>
          </cell>
          <cell r="D3150">
            <v>0</v>
          </cell>
          <cell r="E3150">
            <v>11.2</v>
          </cell>
          <cell r="F3150">
            <v>11.2</v>
          </cell>
          <cell r="G3150">
            <v>0</v>
          </cell>
          <cell r="H3150">
            <v>0</v>
          </cell>
          <cell r="I3150">
            <v>0</v>
          </cell>
          <cell r="J3150">
            <v>0</v>
          </cell>
          <cell r="K3150">
            <v>0</v>
          </cell>
          <cell r="L3150">
            <v>13123.44</v>
          </cell>
          <cell r="M3150">
            <v>0</v>
          </cell>
          <cell r="N3150">
            <v>0</v>
          </cell>
          <cell r="O3150">
            <v>0</v>
          </cell>
        </row>
        <row r="3151">
          <cell r="A3151" t="str">
            <v>MexicoDIRECT MAIL</v>
          </cell>
          <cell r="B3151">
            <v>0</v>
          </cell>
          <cell r="C3151">
            <v>0</v>
          </cell>
          <cell r="D3151">
            <v>0</v>
          </cell>
          <cell r="E3151">
            <v>0</v>
          </cell>
          <cell r="F3151">
            <v>0</v>
          </cell>
          <cell r="G3151">
            <v>0</v>
          </cell>
          <cell r="H3151">
            <v>0</v>
          </cell>
          <cell r="I3151">
            <v>0</v>
          </cell>
          <cell r="J3151">
            <v>0</v>
          </cell>
          <cell r="K3151">
            <v>0</v>
          </cell>
          <cell r="L3151">
            <v>0</v>
          </cell>
          <cell r="M3151">
            <v>0</v>
          </cell>
          <cell r="N3151">
            <v>0</v>
          </cell>
          <cell r="O3151">
            <v>0</v>
          </cell>
        </row>
        <row r="3152">
          <cell r="A3152" t="str">
            <v>MexicoDATA PROCESSING</v>
          </cell>
          <cell r="B3152">
            <v>0</v>
          </cell>
          <cell r="C3152">
            <v>0</v>
          </cell>
          <cell r="D3152">
            <v>0</v>
          </cell>
          <cell r="E3152">
            <v>0</v>
          </cell>
          <cell r="F3152">
            <v>0</v>
          </cell>
          <cell r="G3152">
            <v>111296.477483</v>
          </cell>
          <cell r="H3152">
            <v>237033.00943100001</v>
          </cell>
          <cell r="I3152">
            <v>368966.183777</v>
          </cell>
          <cell r="J3152">
            <v>541924.10303999996</v>
          </cell>
          <cell r="K3152">
            <v>1259219.773731</v>
          </cell>
          <cell r="L3152">
            <v>143329.96</v>
          </cell>
          <cell r="M3152">
            <v>1417008.939698</v>
          </cell>
          <cell r="N3152">
            <v>2765164</v>
          </cell>
          <cell r="O3152">
            <v>3821350.0651130001</v>
          </cell>
        </row>
        <row r="3153">
          <cell r="A3153" t="str">
            <v>MexicoCONSULTING</v>
          </cell>
          <cell r="B3153">
            <v>0</v>
          </cell>
          <cell r="C3153">
            <v>0</v>
          </cell>
          <cell r="D3153">
            <v>7000</v>
          </cell>
          <cell r="E3153">
            <v>22626.2</v>
          </cell>
          <cell r="F3153">
            <v>29626.2</v>
          </cell>
          <cell r="G3153">
            <v>48002</v>
          </cell>
          <cell r="H3153">
            <v>57502</v>
          </cell>
          <cell r="I3153">
            <v>17502</v>
          </cell>
          <cell r="J3153">
            <v>17502</v>
          </cell>
          <cell r="K3153">
            <v>140508</v>
          </cell>
          <cell r="L3153">
            <v>0</v>
          </cell>
          <cell r="M3153">
            <v>37800</v>
          </cell>
          <cell r="N3153">
            <v>39690</v>
          </cell>
          <cell r="O3153">
            <v>41674.5</v>
          </cell>
        </row>
        <row r="3154">
          <cell r="A3154" t="str">
            <v>MexicoTEMP SERVICES</v>
          </cell>
          <cell r="B3154">
            <v>0</v>
          </cell>
          <cell r="C3154">
            <v>0</v>
          </cell>
          <cell r="D3154">
            <v>15000</v>
          </cell>
          <cell r="E3154">
            <v>990353.88</v>
          </cell>
          <cell r="F3154">
            <v>1005353.88</v>
          </cell>
          <cell r="G3154">
            <v>559333.95405599999</v>
          </cell>
          <cell r="H3154">
            <v>1192440.6929309999</v>
          </cell>
          <cell r="I3154">
            <v>1857964.1746129999</v>
          </cell>
          <cell r="J3154">
            <v>2720572.5732999998</v>
          </cell>
          <cell r="K3154">
            <v>6330311.3948990004</v>
          </cell>
          <cell r="L3154">
            <v>1001769.87</v>
          </cell>
          <cell r="M3154">
            <v>4246910.8040199997</v>
          </cell>
          <cell r="N3154">
            <v>4707391.4634149997</v>
          </cell>
          <cell r="O3154">
            <v>4654414.389068</v>
          </cell>
        </row>
        <row r="3155">
          <cell r="A3155" t="str">
            <v>MexicoGDC CHARGES</v>
          </cell>
          <cell r="B3155">
            <v>0</v>
          </cell>
          <cell r="C3155">
            <v>0</v>
          </cell>
          <cell r="D3155">
            <v>0</v>
          </cell>
          <cell r="E3155">
            <v>0</v>
          </cell>
          <cell r="F3155">
            <v>0</v>
          </cell>
          <cell r="G3155">
            <v>0</v>
          </cell>
          <cell r="H3155">
            <v>0</v>
          </cell>
          <cell r="I3155">
            <v>0</v>
          </cell>
          <cell r="J3155">
            <v>0</v>
          </cell>
          <cell r="K3155">
            <v>0</v>
          </cell>
          <cell r="L3155">
            <v>0</v>
          </cell>
          <cell r="M3155">
            <v>0</v>
          </cell>
          <cell r="N3155">
            <v>0</v>
          </cell>
          <cell r="O3155">
            <v>0</v>
          </cell>
        </row>
        <row r="3156">
          <cell r="A3156" t="str">
            <v>MexicoTRAINING AND EDUCATION</v>
          </cell>
          <cell r="B3156">
            <v>0</v>
          </cell>
          <cell r="C3156">
            <v>0</v>
          </cell>
          <cell r="D3156">
            <v>0</v>
          </cell>
          <cell r="E3156">
            <v>16606.419999999998</v>
          </cell>
          <cell r="F3156">
            <v>16606.419999999998</v>
          </cell>
          <cell r="G3156">
            <v>23252</v>
          </cell>
          <cell r="H3156">
            <v>23252</v>
          </cell>
          <cell r="I3156">
            <v>48252</v>
          </cell>
          <cell r="J3156">
            <v>48252</v>
          </cell>
          <cell r="K3156">
            <v>143008</v>
          </cell>
          <cell r="L3156">
            <v>7695.51</v>
          </cell>
          <cell r="M3156">
            <v>87350</v>
          </cell>
          <cell r="N3156">
            <v>92190</v>
          </cell>
          <cell r="O3156">
            <v>96799.5</v>
          </cell>
        </row>
        <row r="3157">
          <cell r="A3157" t="str">
            <v>MexicoOUTSIDE SERVICES  AND FEES</v>
          </cell>
          <cell r="B3157">
            <v>0</v>
          </cell>
          <cell r="C3157">
            <v>0</v>
          </cell>
          <cell r="D3157">
            <v>100229.45</v>
          </cell>
          <cell r="E3157">
            <v>78807.259999999995</v>
          </cell>
          <cell r="F3157">
            <v>179036.71</v>
          </cell>
          <cell r="G3157">
            <v>725412.98789600004</v>
          </cell>
          <cell r="H3157">
            <v>1335810.206242</v>
          </cell>
          <cell r="I3157">
            <v>1982595.4489180001</v>
          </cell>
          <cell r="J3157">
            <v>2855246.0982840001</v>
          </cell>
          <cell r="K3157">
            <v>6899064.7413400002</v>
          </cell>
          <cell r="L3157">
            <v>559904.81999999995</v>
          </cell>
          <cell r="M3157">
            <v>1857144.1128720001</v>
          </cell>
          <cell r="N3157">
            <v>1591130.0797369999</v>
          </cell>
          <cell r="O3157">
            <v>1608119.424901</v>
          </cell>
        </row>
        <row r="3158">
          <cell r="A3158" t="str">
            <v>MexicoSTATE, FOREIGN, LOCAL TAXES</v>
          </cell>
          <cell r="B3158">
            <v>0</v>
          </cell>
          <cell r="C3158">
            <v>0</v>
          </cell>
          <cell r="D3158">
            <v>64999.98</v>
          </cell>
          <cell r="E3158">
            <v>-6627.05</v>
          </cell>
          <cell r="F3158">
            <v>58372.93</v>
          </cell>
          <cell r="G3158">
            <v>219244.73396099999</v>
          </cell>
          <cell r="H3158">
            <v>363922.31409</v>
          </cell>
          <cell r="I3158">
            <v>504229.67256199999</v>
          </cell>
          <cell r="J3158">
            <v>681802.45984200004</v>
          </cell>
          <cell r="K3158">
            <v>1769199.1804549999</v>
          </cell>
          <cell r="L3158">
            <v>100927.71</v>
          </cell>
          <cell r="M3158">
            <v>64701.1008</v>
          </cell>
          <cell r="N3158">
            <v>68377.155840000007</v>
          </cell>
          <cell r="O3158">
            <v>71796.013632000002</v>
          </cell>
        </row>
        <row r="3159">
          <cell r="A3159" t="str">
            <v>MexicoS/L TAX - INSURANCE PREMIUMS</v>
          </cell>
          <cell r="B3159">
            <v>0</v>
          </cell>
          <cell r="C3159">
            <v>0</v>
          </cell>
          <cell r="D3159">
            <v>0</v>
          </cell>
          <cell r="E3159">
            <v>0</v>
          </cell>
          <cell r="F3159">
            <v>0</v>
          </cell>
          <cell r="G3159">
            <v>0</v>
          </cell>
          <cell r="H3159">
            <v>0</v>
          </cell>
          <cell r="I3159">
            <v>0</v>
          </cell>
          <cell r="J3159">
            <v>0</v>
          </cell>
          <cell r="K3159">
            <v>0</v>
          </cell>
          <cell r="L3159">
            <v>0</v>
          </cell>
          <cell r="M3159">
            <v>0</v>
          </cell>
          <cell r="N3159">
            <v>0</v>
          </cell>
          <cell r="O3159">
            <v>0</v>
          </cell>
        </row>
        <row r="3160">
          <cell r="A3160" t="str">
            <v>MexicoSATELLITE LEASE EXPENSE</v>
          </cell>
          <cell r="B3160">
            <v>0</v>
          </cell>
          <cell r="C3160">
            <v>0</v>
          </cell>
          <cell r="D3160">
            <v>0</v>
          </cell>
          <cell r="E3160">
            <v>0</v>
          </cell>
          <cell r="F3160">
            <v>0</v>
          </cell>
          <cell r="G3160">
            <v>0</v>
          </cell>
          <cell r="H3160">
            <v>0</v>
          </cell>
          <cell r="I3160">
            <v>0</v>
          </cell>
          <cell r="J3160">
            <v>0</v>
          </cell>
          <cell r="K3160">
            <v>0</v>
          </cell>
          <cell r="L3160">
            <v>0</v>
          </cell>
          <cell r="M3160">
            <v>0</v>
          </cell>
          <cell r="N3160">
            <v>0</v>
          </cell>
          <cell r="O3160">
            <v>0</v>
          </cell>
        </row>
        <row r="3161">
          <cell r="A3161" t="str">
            <v>MexicoBUSINESS SHARE EXPENSE</v>
          </cell>
          <cell r="B3161">
            <v>0</v>
          </cell>
          <cell r="C3161">
            <v>0</v>
          </cell>
          <cell r="D3161">
            <v>0</v>
          </cell>
          <cell r="E3161">
            <v>0</v>
          </cell>
          <cell r="F3161">
            <v>0</v>
          </cell>
          <cell r="G3161">
            <v>0</v>
          </cell>
          <cell r="H3161">
            <v>0</v>
          </cell>
          <cell r="I3161">
            <v>0</v>
          </cell>
          <cell r="J3161">
            <v>0</v>
          </cell>
          <cell r="K3161">
            <v>0</v>
          </cell>
          <cell r="L3161">
            <v>0</v>
          </cell>
          <cell r="M3161">
            <v>0</v>
          </cell>
          <cell r="N3161">
            <v>0</v>
          </cell>
          <cell r="O3161">
            <v>0</v>
          </cell>
        </row>
        <row r="3162">
          <cell r="A3162" t="str">
            <v>MexicoINSURANCE AFFILIATE EXPENSE</v>
          </cell>
          <cell r="B3162">
            <v>0</v>
          </cell>
          <cell r="C3162">
            <v>0</v>
          </cell>
          <cell r="D3162">
            <v>0</v>
          </cell>
          <cell r="E3162">
            <v>0</v>
          </cell>
          <cell r="F3162">
            <v>0</v>
          </cell>
          <cell r="G3162">
            <v>0</v>
          </cell>
          <cell r="H3162">
            <v>0</v>
          </cell>
          <cell r="I3162">
            <v>0</v>
          </cell>
          <cell r="J3162">
            <v>0</v>
          </cell>
          <cell r="K3162">
            <v>0</v>
          </cell>
          <cell r="L3162">
            <v>0</v>
          </cell>
          <cell r="M3162">
            <v>0</v>
          </cell>
          <cell r="N3162">
            <v>0</v>
          </cell>
          <cell r="O3162">
            <v>0</v>
          </cell>
        </row>
        <row r="3163">
          <cell r="A3163" t="str">
            <v>MexicoOTHER FACILITY EXPENSE</v>
          </cell>
          <cell r="B3163">
            <v>0</v>
          </cell>
          <cell r="C3163">
            <v>0</v>
          </cell>
          <cell r="D3163">
            <v>0</v>
          </cell>
          <cell r="E3163">
            <v>93214.21</v>
          </cell>
          <cell r="F3163">
            <v>93214.21</v>
          </cell>
          <cell r="G3163">
            <v>0</v>
          </cell>
          <cell r="H3163">
            <v>0</v>
          </cell>
          <cell r="I3163">
            <v>0</v>
          </cell>
          <cell r="J3163">
            <v>0</v>
          </cell>
          <cell r="K3163">
            <v>0</v>
          </cell>
          <cell r="L3163">
            <v>35114.76</v>
          </cell>
          <cell r="M3163">
            <v>0</v>
          </cell>
          <cell r="N3163">
            <v>0</v>
          </cell>
          <cell r="O3163">
            <v>0</v>
          </cell>
        </row>
        <row r="3164">
          <cell r="A3164" t="str">
            <v>MexicoGROSS OP &amp; ADMIN BUS SHARE</v>
          </cell>
          <cell r="B3164">
            <v>0</v>
          </cell>
          <cell r="C3164">
            <v>0</v>
          </cell>
          <cell r="D3164">
            <v>0</v>
          </cell>
          <cell r="E3164">
            <v>0</v>
          </cell>
          <cell r="F3164">
            <v>0</v>
          </cell>
          <cell r="G3164">
            <v>0</v>
          </cell>
          <cell r="H3164">
            <v>0</v>
          </cell>
          <cell r="I3164">
            <v>0</v>
          </cell>
          <cell r="J3164">
            <v>0</v>
          </cell>
          <cell r="K3164">
            <v>0</v>
          </cell>
          <cell r="L3164">
            <v>0</v>
          </cell>
          <cell r="M3164">
            <v>0</v>
          </cell>
          <cell r="N3164">
            <v>0</v>
          </cell>
          <cell r="O3164">
            <v>0</v>
          </cell>
        </row>
        <row r="3165">
          <cell r="A3165" t="str">
            <v>MexicoOTHER EXPENSE</v>
          </cell>
          <cell r="B3165">
            <v>0</v>
          </cell>
          <cell r="C3165">
            <v>0</v>
          </cell>
          <cell r="D3165">
            <v>99999.97</v>
          </cell>
          <cell r="E3165">
            <v>823060.81</v>
          </cell>
          <cell r="F3165">
            <v>923060.78</v>
          </cell>
          <cell r="G3165">
            <v>-371080.55494900001</v>
          </cell>
          <cell r="H3165">
            <v>-360330.55494900001</v>
          </cell>
          <cell r="I3165">
            <v>-349830.55494900001</v>
          </cell>
          <cell r="J3165">
            <v>-326880.55494900001</v>
          </cell>
          <cell r="K3165">
            <v>-1408122.2197970001</v>
          </cell>
          <cell r="L3165">
            <v>852112.17</v>
          </cell>
          <cell r="M3165">
            <v>1398729</v>
          </cell>
          <cell r="N3165">
            <v>-909366</v>
          </cell>
          <cell r="O3165">
            <v>-798832.2</v>
          </cell>
        </row>
        <row r="3166">
          <cell r="A3166" t="str">
            <v>MexicoGECC INTERCO EXPENSES EXCL GECIS</v>
          </cell>
          <cell r="B3166">
            <v>0</v>
          </cell>
          <cell r="C3166">
            <v>0</v>
          </cell>
          <cell r="D3166">
            <v>0</v>
          </cell>
          <cell r="E3166">
            <v>0</v>
          </cell>
          <cell r="F3166">
            <v>0</v>
          </cell>
          <cell r="G3166">
            <v>0</v>
          </cell>
          <cell r="H3166">
            <v>0</v>
          </cell>
          <cell r="I3166">
            <v>0</v>
          </cell>
          <cell r="J3166">
            <v>0</v>
          </cell>
          <cell r="K3166">
            <v>0</v>
          </cell>
          <cell r="L3166">
            <v>0</v>
          </cell>
          <cell r="M3166">
            <v>0</v>
          </cell>
          <cell r="N3166">
            <v>0</v>
          </cell>
          <cell r="O3166">
            <v>0</v>
          </cell>
        </row>
        <row r="3167">
          <cell r="A3167" t="str">
            <v>MexicoGECIS INTERCO CHARGES</v>
          </cell>
          <cell r="B3167">
            <v>0</v>
          </cell>
          <cell r="C3167">
            <v>0</v>
          </cell>
          <cell r="D3167">
            <v>0</v>
          </cell>
          <cell r="E3167">
            <v>0</v>
          </cell>
          <cell r="F3167">
            <v>0</v>
          </cell>
          <cell r="G3167">
            <v>0</v>
          </cell>
          <cell r="H3167">
            <v>0</v>
          </cell>
          <cell r="I3167">
            <v>0</v>
          </cell>
          <cell r="J3167">
            <v>0</v>
          </cell>
          <cell r="K3167">
            <v>0</v>
          </cell>
          <cell r="L3167">
            <v>0</v>
          </cell>
          <cell r="M3167">
            <v>0</v>
          </cell>
          <cell r="N3167">
            <v>0</v>
          </cell>
          <cell r="O3167">
            <v>0</v>
          </cell>
        </row>
        <row r="3168">
          <cell r="A3168" t="str">
            <v>MexicoLOSS ADJUSTED EXPENSE</v>
          </cell>
          <cell r="B3168">
            <v>0</v>
          </cell>
          <cell r="C3168">
            <v>0</v>
          </cell>
          <cell r="D3168">
            <v>0</v>
          </cell>
          <cell r="E3168">
            <v>0</v>
          </cell>
          <cell r="F3168">
            <v>0</v>
          </cell>
          <cell r="G3168">
            <v>0</v>
          </cell>
          <cell r="H3168">
            <v>0</v>
          </cell>
          <cell r="I3168">
            <v>0</v>
          </cell>
          <cell r="J3168">
            <v>0</v>
          </cell>
          <cell r="K3168">
            <v>0</v>
          </cell>
          <cell r="L3168">
            <v>0</v>
          </cell>
          <cell r="M3168">
            <v>0</v>
          </cell>
          <cell r="N3168">
            <v>0</v>
          </cell>
          <cell r="O3168">
            <v>0</v>
          </cell>
        </row>
        <row r="3169">
          <cell r="A3169" t="str">
            <v>MexicoALL OTHER EXPENSES</v>
          </cell>
          <cell r="B3169">
            <v>0</v>
          </cell>
          <cell r="C3169">
            <v>0</v>
          </cell>
          <cell r="D3169">
            <v>0</v>
          </cell>
          <cell r="E3169">
            <v>0.01</v>
          </cell>
          <cell r="F3169">
            <v>0.01</v>
          </cell>
          <cell r="G3169">
            <v>0</v>
          </cell>
          <cell r="H3169">
            <v>0</v>
          </cell>
          <cell r="I3169">
            <v>0</v>
          </cell>
          <cell r="J3169">
            <v>0</v>
          </cell>
          <cell r="K3169">
            <v>0</v>
          </cell>
          <cell r="L3169">
            <v>0.01</v>
          </cell>
          <cell r="M3169">
            <v>0</v>
          </cell>
          <cell r="N3169">
            <v>0</v>
          </cell>
          <cell r="O3169">
            <v>0</v>
          </cell>
        </row>
        <row r="3170">
          <cell r="A3170" t="str">
            <v>MexicoASSESSMENTS</v>
          </cell>
          <cell r="B3170">
            <v>0</v>
          </cell>
          <cell r="C3170">
            <v>0</v>
          </cell>
          <cell r="D3170">
            <v>0</v>
          </cell>
          <cell r="E3170">
            <v>0</v>
          </cell>
          <cell r="F3170">
            <v>0</v>
          </cell>
          <cell r="G3170">
            <v>23332.989799999999</v>
          </cell>
          <cell r="H3170">
            <v>36728.663906000002</v>
          </cell>
          <cell r="I3170">
            <v>49014.872490000002</v>
          </cell>
          <cell r="J3170">
            <v>58124.283108000003</v>
          </cell>
          <cell r="K3170">
            <v>167200.80930399999</v>
          </cell>
          <cell r="L3170">
            <v>0</v>
          </cell>
          <cell r="M3170">
            <v>95360.491917000007</v>
          </cell>
          <cell r="N3170">
            <v>197770.73071199999</v>
          </cell>
          <cell r="O3170">
            <v>227821.126755</v>
          </cell>
        </row>
        <row r="3171">
          <cell r="A3171" t="str">
            <v>MexicoFAS 91</v>
          </cell>
          <cell r="B3171">
            <v>0</v>
          </cell>
          <cell r="C3171">
            <v>0</v>
          </cell>
          <cell r="D3171">
            <v>0</v>
          </cell>
          <cell r="E3171">
            <v>-336305.91</v>
          </cell>
          <cell r="F3171">
            <v>-336305.91</v>
          </cell>
          <cell r="G3171">
            <v>-658641.81601800001</v>
          </cell>
          <cell r="H3171">
            <v>-1400143.5084200001</v>
          </cell>
          <cell r="I3171">
            <v>-2172905.5209610001</v>
          </cell>
          <cell r="J3171">
            <v>-3169982.1023539999</v>
          </cell>
          <cell r="K3171">
            <v>-7401672.9477530001</v>
          </cell>
          <cell r="L3171">
            <v>-164270.9</v>
          </cell>
          <cell r="M3171">
            <v>-3856115.2897819998</v>
          </cell>
          <cell r="N3171">
            <v>-4146542.1951219998</v>
          </cell>
          <cell r="O3171">
            <v>-4104722.4598070001</v>
          </cell>
        </row>
        <row r="3172">
          <cell r="A3172" t="str">
            <v>MexicoGOODWILL AMORTIZATION</v>
          </cell>
          <cell r="B3172">
            <v>0</v>
          </cell>
          <cell r="C3172">
            <v>0</v>
          </cell>
          <cell r="D3172">
            <v>0</v>
          </cell>
          <cell r="E3172">
            <v>0</v>
          </cell>
          <cell r="F3172">
            <v>0</v>
          </cell>
          <cell r="G3172">
            <v>0</v>
          </cell>
          <cell r="H3172">
            <v>0</v>
          </cell>
          <cell r="I3172">
            <v>0</v>
          </cell>
          <cell r="J3172">
            <v>0</v>
          </cell>
          <cell r="K3172">
            <v>0</v>
          </cell>
          <cell r="L3172">
            <v>0</v>
          </cell>
          <cell r="M3172">
            <v>0</v>
          </cell>
          <cell r="N3172">
            <v>0</v>
          </cell>
          <cell r="O3172">
            <v>0</v>
          </cell>
        </row>
        <row r="3173">
          <cell r="A3173" t="str">
            <v>MexicoDEPRECIATION EXPENSE</v>
          </cell>
          <cell r="B3173">
            <v>0</v>
          </cell>
          <cell r="C3173">
            <v>0</v>
          </cell>
          <cell r="D3173">
            <v>0</v>
          </cell>
          <cell r="E3173">
            <v>4609.58</v>
          </cell>
          <cell r="F3173">
            <v>4609.58</v>
          </cell>
          <cell r="G3173">
            <v>237331.17327200001</v>
          </cell>
          <cell r="H3173">
            <v>268880.15243900003</v>
          </cell>
          <cell r="I3173">
            <v>288034.03160500003</v>
          </cell>
          <cell r="J3173">
            <v>296077.91077199997</v>
          </cell>
          <cell r="K3173">
            <v>1090323.2680879999</v>
          </cell>
          <cell r="L3173">
            <v>106349.35</v>
          </cell>
          <cell r="M3173">
            <v>359667.29201600002</v>
          </cell>
          <cell r="N3173">
            <v>381945.20325199998</v>
          </cell>
          <cell r="O3173">
            <v>356720.92890300002</v>
          </cell>
        </row>
        <row r="3174">
          <cell r="A3174" t="str">
            <v>MexicoELTO AMORTIZATION</v>
          </cell>
          <cell r="B3174">
            <v>0</v>
          </cell>
          <cell r="C3174">
            <v>0</v>
          </cell>
          <cell r="D3174">
            <v>0</v>
          </cell>
          <cell r="E3174">
            <v>0</v>
          </cell>
          <cell r="F3174">
            <v>0</v>
          </cell>
          <cell r="G3174">
            <v>0</v>
          </cell>
          <cell r="H3174">
            <v>0</v>
          </cell>
          <cell r="I3174">
            <v>0</v>
          </cell>
          <cell r="J3174">
            <v>0</v>
          </cell>
          <cell r="K3174">
            <v>0</v>
          </cell>
          <cell r="L3174">
            <v>0</v>
          </cell>
          <cell r="M3174">
            <v>0</v>
          </cell>
          <cell r="N3174">
            <v>0</v>
          </cell>
          <cell r="O3174">
            <v>0</v>
          </cell>
        </row>
        <row r="3175">
          <cell r="A3175" t="str">
            <v>MexicoINSURANCE LOSSES AND BENEFITS</v>
          </cell>
          <cell r="B3175">
            <v>0</v>
          </cell>
          <cell r="C3175">
            <v>0</v>
          </cell>
          <cell r="D3175">
            <v>0</v>
          </cell>
          <cell r="E3175">
            <v>0</v>
          </cell>
          <cell r="F3175">
            <v>0</v>
          </cell>
          <cell r="G3175">
            <v>0</v>
          </cell>
          <cell r="H3175">
            <v>0</v>
          </cell>
          <cell r="I3175">
            <v>0</v>
          </cell>
          <cell r="J3175">
            <v>0</v>
          </cell>
          <cell r="K3175">
            <v>0</v>
          </cell>
          <cell r="L3175">
            <v>0</v>
          </cell>
          <cell r="M3175">
            <v>0</v>
          </cell>
          <cell r="N3175">
            <v>0</v>
          </cell>
          <cell r="O3175">
            <v>0</v>
          </cell>
        </row>
        <row r="3176">
          <cell r="A3176" t="str">
            <v>MexicoWRITE OFFS</v>
          </cell>
          <cell r="B3176">
            <v>0</v>
          </cell>
          <cell r="C3176">
            <v>73128.56</v>
          </cell>
          <cell r="D3176">
            <v>1958.15</v>
          </cell>
          <cell r="E3176">
            <v>24694.47</v>
          </cell>
          <cell r="F3176">
            <v>99781.18</v>
          </cell>
          <cell r="G3176">
            <v>1990557.8517169999</v>
          </cell>
          <cell r="H3176">
            <v>2069556.0781930001</v>
          </cell>
          <cell r="I3176">
            <v>2129228.9727179999</v>
          </cell>
          <cell r="J3176">
            <v>2145090.9837290002</v>
          </cell>
          <cell r="K3176">
            <v>8334433.8863570001</v>
          </cell>
          <cell r="L3176">
            <v>738835</v>
          </cell>
          <cell r="M3176">
            <v>9498280</v>
          </cell>
          <cell r="N3176">
            <v>13527030</v>
          </cell>
          <cell r="O3176">
            <v>15355230</v>
          </cell>
        </row>
        <row r="3177">
          <cell r="A3177" t="str">
            <v>MexicoRESERVE CHANGE</v>
          </cell>
          <cell r="B3177">
            <v>0</v>
          </cell>
          <cell r="C3177">
            <v>0</v>
          </cell>
          <cell r="D3177">
            <v>0</v>
          </cell>
          <cell r="E3177">
            <v>0</v>
          </cell>
          <cell r="F3177">
            <v>0</v>
          </cell>
          <cell r="G3177">
            <v>0</v>
          </cell>
          <cell r="H3177">
            <v>0</v>
          </cell>
          <cell r="I3177">
            <v>0</v>
          </cell>
          <cell r="J3177">
            <v>0</v>
          </cell>
          <cell r="K3177">
            <v>0</v>
          </cell>
          <cell r="L3177">
            <v>0</v>
          </cell>
          <cell r="M3177">
            <v>0</v>
          </cell>
          <cell r="N3177">
            <v>0</v>
          </cell>
          <cell r="O3177">
            <v>0</v>
          </cell>
        </row>
        <row r="3178">
          <cell r="A3178" t="str">
            <v>MexicoMINORITY INTEREST</v>
          </cell>
          <cell r="B3178">
            <v>0</v>
          </cell>
          <cell r="C3178">
            <v>0</v>
          </cell>
          <cell r="D3178">
            <v>0</v>
          </cell>
          <cell r="E3178">
            <v>0</v>
          </cell>
          <cell r="F3178">
            <v>0</v>
          </cell>
          <cell r="G3178">
            <v>0</v>
          </cell>
          <cell r="H3178">
            <v>0</v>
          </cell>
          <cell r="I3178">
            <v>0</v>
          </cell>
          <cell r="J3178">
            <v>0</v>
          </cell>
          <cell r="K3178">
            <v>0</v>
          </cell>
          <cell r="L3178">
            <v>0</v>
          </cell>
          <cell r="M3178">
            <v>0</v>
          </cell>
          <cell r="N3178">
            <v>0</v>
          </cell>
          <cell r="O3178">
            <v>0</v>
          </cell>
        </row>
        <row r="3179">
          <cell r="A3179" t="str">
            <v>MexicoINCOME TAXES</v>
          </cell>
          <cell r="B3179">
            <v>0</v>
          </cell>
          <cell r="C3179">
            <v>-104692.14</v>
          </cell>
          <cell r="D3179">
            <v>-134829.46</v>
          </cell>
          <cell r="E3179">
            <v>-79660.94</v>
          </cell>
          <cell r="F3179">
            <v>-319182.53999999998</v>
          </cell>
          <cell r="G3179">
            <v>130560.67911700001</v>
          </cell>
          <cell r="H3179">
            <v>154625.615322</v>
          </cell>
          <cell r="I3179">
            <v>164292.08927999999</v>
          </cell>
          <cell r="J3179">
            <v>231512.96683300001</v>
          </cell>
          <cell r="K3179">
            <v>680991.35055199999</v>
          </cell>
          <cell r="L3179">
            <v>-75577.2</v>
          </cell>
          <cell r="M3179">
            <v>-1321209.1420430001</v>
          </cell>
          <cell r="N3179">
            <v>990161.63940500002</v>
          </cell>
          <cell r="O3179">
            <v>883067.63915099995</v>
          </cell>
        </row>
        <row r="3180">
          <cell r="A3180" t="str">
            <v>MexicoCUMULATIVE TRANSITION ADJUSTMENT</v>
          </cell>
          <cell r="B3180">
            <v>0</v>
          </cell>
          <cell r="C3180">
            <v>0</v>
          </cell>
          <cell r="D3180">
            <v>0</v>
          </cell>
          <cell r="E3180">
            <v>0</v>
          </cell>
          <cell r="F3180">
            <v>0</v>
          </cell>
          <cell r="G3180">
            <v>0</v>
          </cell>
          <cell r="H3180">
            <v>0</v>
          </cell>
          <cell r="I3180">
            <v>0</v>
          </cell>
          <cell r="J3180">
            <v>0</v>
          </cell>
          <cell r="K3180">
            <v>0</v>
          </cell>
          <cell r="L3180">
            <v>0</v>
          </cell>
          <cell r="M3180">
            <v>0</v>
          </cell>
          <cell r="N3180">
            <v>0</v>
          </cell>
          <cell r="O3180">
            <v>0</v>
          </cell>
        </row>
        <row r="3181">
          <cell r="A3181" t="str">
            <v>MexicoASIA PACIFIC NI DIVIDEND</v>
          </cell>
          <cell r="B3181">
            <v>0</v>
          </cell>
          <cell r="C3181">
            <v>0</v>
          </cell>
          <cell r="D3181">
            <v>0</v>
          </cell>
          <cell r="E3181">
            <v>0</v>
          </cell>
          <cell r="F3181">
            <v>0</v>
          </cell>
          <cell r="G3181">
            <v>0</v>
          </cell>
          <cell r="H3181">
            <v>0</v>
          </cell>
          <cell r="I3181">
            <v>0</v>
          </cell>
          <cell r="J3181">
            <v>0</v>
          </cell>
          <cell r="K3181">
            <v>0</v>
          </cell>
          <cell r="L3181">
            <v>0</v>
          </cell>
          <cell r="M3181">
            <v>0</v>
          </cell>
          <cell r="N3181">
            <v>0</v>
          </cell>
          <cell r="O3181">
            <v>0</v>
          </cell>
        </row>
        <row r="3182">
          <cell r="A3182" t="str">
            <v>MexicoNet Income</v>
          </cell>
          <cell r="B3182">
            <v>0</v>
          </cell>
          <cell r="C3182">
            <v>-63165.36</v>
          </cell>
          <cell r="D3182">
            <v>613937.51</v>
          </cell>
          <cell r="E3182">
            <v>2949746.77</v>
          </cell>
          <cell r="F3182">
            <v>3500518.92</v>
          </cell>
          <cell r="G3182">
            <v>3137732.4915049998</v>
          </cell>
          <cell r="H3182">
            <v>2329623.1778890002</v>
          </cell>
          <cell r="I3182">
            <v>1131619.3445939999</v>
          </cell>
          <cell r="J3182">
            <v>901024.98601200001</v>
          </cell>
          <cell r="K3182">
            <v>7500000</v>
          </cell>
          <cell r="L3182">
            <v>3142989.84</v>
          </cell>
          <cell r="M3182">
            <v>4180502.714191</v>
          </cell>
          <cell r="N3182">
            <v>-1823398.443678</v>
          </cell>
          <cell r="O3182">
            <v>-1623487.344692</v>
          </cell>
        </row>
        <row r="3183">
          <cell r="A3183" t="str">
            <v>MexicoSubPart F</v>
          </cell>
          <cell r="B3183">
            <v>0</v>
          </cell>
          <cell r="C3183">
            <v>0</v>
          </cell>
          <cell r="D3183">
            <v>0</v>
          </cell>
          <cell r="E3183">
            <v>0</v>
          </cell>
          <cell r="F3183">
            <v>0</v>
          </cell>
          <cell r="G3183">
            <v>0</v>
          </cell>
          <cell r="H3183">
            <v>0</v>
          </cell>
          <cell r="I3183">
            <v>0</v>
          </cell>
          <cell r="J3183">
            <v>0</v>
          </cell>
          <cell r="K3183">
            <v>0</v>
          </cell>
          <cell r="L3183">
            <v>0</v>
          </cell>
          <cell r="M3183">
            <v>0</v>
          </cell>
          <cell r="N3183">
            <v>0</v>
          </cell>
          <cell r="O3183">
            <v>0</v>
          </cell>
        </row>
        <row r="3184">
          <cell r="A3184" t="str">
            <v>MexicoAssets</v>
          </cell>
          <cell r="B3184">
            <v>0</v>
          </cell>
          <cell r="C3184">
            <v>10687500.220000001</v>
          </cell>
          <cell r="D3184">
            <v>10227183.539999999</v>
          </cell>
          <cell r="E3184">
            <v>18582929.07</v>
          </cell>
          <cell r="F3184">
            <v>18582929.07</v>
          </cell>
          <cell r="G3184">
            <v>56181000.832232997</v>
          </cell>
          <cell r="H3184">
            <v>73363201.422911003</v>
          </cell>
          <cell r="I3184">
            <v>88120233.416710004</v>
          </cell>
          <cell r="J3184">
            <v>97555052.648396999</v>
          </cell>
          <cell r="K3184">
            <v>97555052.648396999</v>
          </cell>
          <cell r="L3184">
            <v>42826538.210000001</v>
          </cell>
          <cell r="M3184">
            <v>55020827.380764998</v>
          </cell>
          <cell r="N3184">
            <v>70875628.804850996</v>
          </cell>
          <cell r="O3184">
            <v>77333621.210964993</v>
          </cell>
        </row>
        <row r="3185">
          <cell r="A3185" t="str">
            <v>MexicoEnding Net Investment (ENI) incl Asia</v>
          </cell>
          <cell r="B3185">
            <v>0</v>
          </cell>
          <cell r="C3185">
            <v>10716107.289999999</v>
          </cell>
          <cell r="D3185">
            <v>9727309.3399999999</v>
          </cell>
          <cell r="E3185">
            <v>16054382.82</v>
          </cell>
          <cell r="F3185">
            <v>16054382.82</v>
          </cell>
          <cell r="G3185">
            <v>56122958.579034999</v>
          </cell>
          <cell r="H3185">
            <v>73308813.992047995</v>
          </cell>
          <cell r="I3185">
            <v>88069500.808182001</v>
          </cell>
          <cell r="J3185">
            <v>97507974.862204</v>
          </cell>
          <cell r="K3185">
            <v>97507974.862204</v>
          </cell>
          <cell r="L3185">
            <v>41011982.710000001</v>
          </cell>
          <cell r="M3185">
            <v>55020827.380764998</v>
          </cell>
          <cell r="N3185">
            <v>70875628.804850996</v>
          </cell>
          <cell r="O3185">
            <v>77333621.210964993</v>
          </cell>
        </row>
        <row r="3186">
          <cell r="A3186" t="str">
            <v>MexicoANR YTD</v>
          </cell>
          <cell r="B3186">
            <v>0</v>
          </cell>
          <cell r="C3186">
            <v>3587535.0766670001</v>
          </cell>
          <cell r="D3186">
            <v>5240932.415</v>
          </cell>
          <cell r="E3186">
            <v>6415051.3540000003</v>
          </cell>
          <cell r="F3186">
            <v>6415051.3540000003</v>
          </cell>
          <cell r="G3186">
            <v>29388317.238387998</v>
          </cell>
          <cell r="H3186">
            <v>41463746.908508003</v>
          </cell>
          <cell r="I3186">
            <v>51450208.51788</v>
          </cell>
          <cell r="J3186">
            <v>59497275.012328997</v>
          </cell>
          <cell r="K3186">
            <v>59497275.012328997</v>
          </cell>
          <cell r="L3186">
            <v>22539753.41</v>
          </cell>
          <cell r="M3186">
            <v>12672898.018011</v>
          </cell>
          <cell r="N3186">
            <v>26776514.918187</v>
          </cell>
          <cell r="O3186">
            <v>32593070.240384001</v>
          </cell>
        </row>
        <row r="3187">
          <cell r="A3187" t="str">
            <v>MexicoASA YTD</v>
          </cell>
          <cell r="B3187">
            <v>0</v>
          </cell>
          <cell r="C3187">
            <v>3587535.0766670001</v>
          </cell>
          <cell r="D3187">
            <v>5240932.415</v>
          </cell>
          <cell r="E3187">
            <v>6415051.3540000003</v>
          </cell>
          <cell r="F3187">
            <v>6415051.3540000003</v>
          </cell>
          <cell r="G3187">
            <v>29388317.238387998</v>
          </cell>
          <cell r="H3187">
            <v>41463746.908508003</v>
          </cell>
          <cell r="I3187">
            <v>51450208.51788</v>
          </cell>
          <cell r="J3187">
            <v>59497275.012328997</v>
          </cell>
          <cell r="K3187">
            <v>59497275.012328997</v>
          </cell>
          <cell r="L3187">
            <v>22539753.41</v>
          </cell>
          <cell r="M3187">
            <v>12672898.018011</v>
          </cell>
          <cell r="N3187">
            <v>26776514.918187</v>
          </cell>
          <cell r="O3187">
            <v>32593070.240384001</v>
          </cell>
        </row>
        <row r="3188">
          <cell r="A3188" t="str">
            <v>MexicoANI YTD incl Asia - 5 pt</v>
          </cell>
          <cell r="B3188">
            <v>0</v>
          </cell>
          <cell r="C3188">
            <v>3572035.7633329998</v>
          </cell>
          <cell r="D3188">
            <v>5110854.1574999997</v>
          </cell>
          <cell r="E3188">
            <v>7299559.8899999997</v>
          </cell>
          <cell r="F3188">
            <v>7299559.8899999997</v>
          </cell>
          <cell r="G3188">
            <v>36088670.699518003</v>
          </cell>
          <cell r="H3188">
            <v>48495385.130360998</v>
          </cell>
          <cell r="I3188">
            <v>58388914.049815997</v>
          </cell>
          <cell r="J3188">
            <v>66212726.212293997</v>
          </cell>
          <cell r="K3188">
            <v>66212726.212293997</v>
          </cell>
          <cell r="L3188">
            <v>28533182.765000001</v>
          </cell>
          <cell r="M3188">
            <v>13439231.849538</v>
          </cell>
          <cell r="N3188">
            <v>25179291.237123001</v>
          </cell>
          <cell r="O3188">
            <v>29641850.003162999</v>
          </cell>
        </row>
        <row r="3189">
          <cell r="A3189" t="str">
            <v>MexicoOff Balance Sheet Assets</v>
          </cell>
          <cell r="B3189">
            <v>0</v>
          </cell>
          <cell r="C3189">
            <v>0</v>
          </cell>
          <cell r="D3189">
            <v>0</v>
          </cell>
          <cell r="E3189">
            <v>0</v>
          </cell>
          <cell r="F3189">
            <v>0</v>
          </cell>
          <cell r="G3189">
            <v>0</v>
          </cell>
          <cell r="H3189">
            <v>0</v>
          </cell>
          <cell r="I3189">
            <v>0</v>
          </cell>
          <cell r="J3189">
            <v>0</v>
          </cell>
          <cell r="K3189">
            <v>0</v>
          </cell>
          <cell r="L3189">
            <v>0</v>
          </cell>
          <cell r="M3189">
            <v>0</v>
          </cell>
          <cell r="N3189">
            <v>0</v>
          </cell>
          <cell r="O3189">
            <v>0</v>
          </cell>
        </row>
        <row r="3190">
          <cell r="A3190" t="str">
            <v>MexicoJV Receivables</v>
          </cell>
          <cell r="B3190">
            <v>0</v>
          </cell>
          <cell r="C3190">
            <v>0</v>
          </cell>
          <cell r="D3190">
            <v>0</v>
          </cell>
          <cell r="E3190">
            <v>0</v>
          </cell>
          <cell r="F3190">
            <v>0</v>
          </cell>
          <cell r="G3190">
            <v>0</v>
          </cell>
          <cell r="H3190">
            <v>0</v>
          </cell>
          <cell r="I3190">
            <v>0</v>
          </cell>
          <cell r="J3190">
            <v>0</v>
          </cell>
          <cell r="K3190">
            <v>0</v>
          </cell>
          <cell r="L3190">
            <v>0</v>
          </cell>
          <cell r="M3190">
            <v>0</v>
          </cell>
          <cell r="N3190">
            <v>0</v>
          </cell>
          <cell r="O3190">
            <v>0</v>
          </cell>
        </row>
        <row r="3191">
          <cell r="A3191" t="str">
            <v>Mexico30+ DELINQUENCY $</v>
          </cell>
          <cell r="B3191">
            <v>0</v>
          </cell>
          <cell r="C3191">
            <v>0</v>
          </cell>
          <cell r="D3191">
            <v>0</v>
          </cell>
          <cell r="E3191">
            <v>3024</v>
          </cell>
          <cell r="F3191">
            <v>3024</v>
          </cell>
          <cell r="G3191">
            <v>161944</v>
          </cell>
          <cell r="H3191">
            <v>3729976</v>
          </cell>
          <cell r="I3191">
            <v>6275448</v>
          </cell>
          <cell r="J3191">
            <v>9241919</v>
          </cell>
          <cell r="K3191">
            <v>9241919</v>
          </cell>
          <cell r="L3191">
            <v>0</v>
          </cell>
          <cell r="M3191">
            <v>15343260.793737</v>
          </cell>
          <cell r="N3191">
            <v>20805034.345816001</v>
          </cell>
          <cell r="O3191">
            <v>23195610.478703</v>
          </cell>
        </row>
        <row r="3192">
          <cell r="A3192" t="str">
            <v>Mexico90+ DELINQUENCY $</v>
          </cell>
          <cell r="B3192">
            <v>0</v>
          </cell>
          <cell r="C3192">
            <v>0</v>
          </cell>
          <cell r="D3192">
            <v>0</v>
          </cell>
          <cell r="E3192">
            <v>0</v>
          </cell>
          <cell r="F3192">
            <v>0</v>
          </cell>
          <cell r="G3192">
            <v>0</v>
          </cell>
          <cell r="H3192">
            <v>278125</v>
          </cell>
          <cell r="I3192">
            <v>2414281</v>
          </cell>
          <cell r="J3192">
            <v>5178908</v>
          </cell>
          <cell r="K3192">
            <v>5178908</v>
          </cell>
          <cell r="L3192">
            <v>0</v>
          </cell>
          <cell r="M3192">
            <v>5682689.1828659996</v>
          </cell>
          <cell r="N3192">
            <v>7705568.2762280004</v>
          </cell>
          <cell r="O3192">
            <v>8590966.8439639993</v>
          </cell>
        </row>
        <row r="3193">
          <cell r="A3193" t="str">
            <v>MexicoTemporary Staff</v>
          </cell>
          <cell r="B3193">
            <v>0</v>
          </cell>
          <cell r="C3193">
            <v>0</v>
          </cell>
          <cell r="D3193">
            <v>0</v>
          </cell>
          <cell r="E3193">
            <v>589</v>
          </cell>
          <cell r="F3193">
            <v>589</v>
          </cell>
          <cell r="G3193">
            <v>653.25</v>
          </cell>
          <cell r="H3193">
            <v>717.5</v>
          </cell>
          <cell r="I3193">
            <v>781.75</v>
          </cell>
          <cell r="J3193">
            <v>846</v>
          </cell>
          <cell r="K3193">
            <v>846</v>
          </cell>
          <cell r="L3193">
            <v>514</v>
          </cell>
          <cell r="M3193">
            <v>584</v>
          </cell>
          <cell r="N3193">
            <v>681</v>
          </cell>
          <cell r="O3193">
            <v>800</v>
          </cell>
        </row>
        <row r="3194">
          <cell r="A3194" t="str">
            <v>MexicoContractors</v>
          </cell>
          <cell r="B3194">
            <v>0</v>
          </cell>
          <cell r="C3194">
            <v>0</v>
          </cell>
          <cell r="D3194">
            <v>3</v>
          </cell>
          <cell r="E3194">
            <v>3</v>
          </cell>
          <cell r="F3194">
            <v>3</v>
          </cell>
          <cell r="G3194">
            <v>5</v>
          </cell>
          <cell r="H3194">
            <v>6</v>
          </cell>
          <cell r="I3194">
            <v>8</v>
          </cell>
          <cell r="J3194">
            <v>8</v>
          </cell>
          <cell r="K3194">
            <v>8</v>
          </cell>
          <cell r="L3194">
            <v>4</v>
          </cell>
          <cell r="M3194">
            <v>0</v>
          </cell>
          <cell r="N3194">
            <v>0</v>
          </cell>
          <cell r="O3194">
            <v>0</v>
          </cell>
        </row>
        <row r="3195">
          <cell r="A3195" t="str">
            <v>MexicoOutsourced to LCC</v>
          </cell>
          <cell r="B3195">
            <v>0</v>
          </cell>
          <cell r="C3195">
            <v>0</v>
          </cell>
          <cell r="D3195">
            <v>0</v>
          </cell>
          <cell r="E3195">
            <v>0</v>
          </cell>
          <cell r="F3195">
            <v>0</v>
          </cell>
          <cell r="G3195">
            <v>0</v>
          </cell>
          <cell r="H3195">
            <v>0</v>
          </cell>
          <cell r="I3195">
            <v>0</v>
          </cell>
          <cell r="J3195">
            <v>0</v>
          </cell>
          <cell r="K3195">
            <v>0</v>
          </cell>
          <cell r="L3195">
            <v>0</v>
          </cell>
          <cell r="M3195">
            <v>0</v>
          </cell>
          <cell r="N3195">
            <v>0</v>
          </cell>
          <cell r="O3195">
            <v>0</v>
          </cell>
        </row>
        <row r="3196">
          <cell r="A3196" t="str">
            <v>MexicoTotal Headcount</v>
          </cell>
          <cell r="B3196">
            <v>0</v>
          </cell>
          <cell r="C3196">
            <v>0</v>
          </cell>
          <cell r="D3196">
            <v>10.5</v>
          </cell>
          <cell r="E3196">
            <v>33</v>
          </cell>
          <cell r="F3196">
            <v>33</v>
          </cell>
          <cell r="G3196">
            <v>38</v>
          </cell>
          <cell r="H3196">
            <v>38</v>
          </cell>
          <cell r="I3196">
            <v>39</v>
          </cell>
          <cell r="J3196">
            <v>39</v>
          </cell>
          <cell r="K3196">
            <v>39</v>
          </cell>
          <cell r="L3196">
            <v>37</v>
          </cell>
          <cell r="M3196">
            <v>22</v>
          </cell>
          <cell r="N3196">
            <v>22</v>
          </cell>
          <cell r="O3196">
            <v>22</v>
          </cell>
        </row>
        <row r="3197">
          <cell r="A3197" t="str">
            <v>MexicoTotal Workforce</v>
          </cell>
          <cell r="B3197">
            <v>0</v>
          </cell>
          <cell r="C3197">
            <v>0</v>
          </cell>
          <cell r="D3197">
            <v>13.5</v>
          </cell>
          <cell r="E3197">
            <v>625</v>
          </cell>
          <cell r="F3197">
            <v>625</v>
          </cell>
          <cell r="G3197">
            <v>696.25</v>
          </cell>
          <cell r="H3197">
            <v>761.5</v>
          </cell>
          <cell r="I3197">
            <v>828.75</v>
          </cell>
          <cell r="J3197">
            <v>893</v>
          </cell>
          <cell r="K3197">
            <v>893</v>
          </cell>
          <cell r="L3197">
            <v>555</v>
          </cell>
          <cell r="M3197">
            <v>606</v>
          </cell>
          <cell r="N3197">
            <v>703</v>
          </cell>
          <cell r="O3197">
            <v>822</v>
          </cell>
        </row>
        <row r="3198">
          <cell r="A3198" t="str">
            <v>MexicoTotal Earned Revenue</v>
          </cell>
          <cell r="B3198">
            <v>0</v>
          </cell>
          <cell r="C3198">
            <v>-511597.08</v>
          </cell>
          <cell r="D3198">
            <v>-346313.8</v>
          </cell>
          <cell r="E3198">
            <v>-532979.42000000004</v>
          </cell>
          <cell r="F3198">
            <v>-1390890.3</v>
          </cell>
          <cell r="G3198">
            <v>-3200650.218438</v>
          </cell>
          <cell r="H3198">
            <v>-6682610.3666930003</v>
          </cell>
          <cell r="I3198">
            <v>-9839316.6233629994</v>
          </cell>
          <cell r="J3198">
            <v>-12203058.14965</v>
          </cell>
          <cell r="K3198">
            <v>-31925635.358143002</v>
          </cell>
          <cell r="L3198">
            <v>-2036949.71</v>
          </cell>
          <cell r="M3198">
            <v>-26950995.474516999</v>
          </cell>
          <cell r="N3198">
            <v>-48257895.443515003</v>
          </cell>
          <cell r="O3198">
            <v>-57843495.610570997</v>
          </cell>
        </row>
        <row r="3199">
          <cell r="A3199" t="str">
            <v>MexicoOrdinary Gains - PreTax</v>
          </cell>
          <cell r="B3199">
            <v>0</v>
          </cell>
          <cell r="C3199">
            <v>0</v>
          </cell>
          <cell r="D3199">
            <v>0</v>
          </cell>
          <cell r="E3199">
            <v>0</v>
          </cell>
          <cell r="F3199">
            <v>0</v>
          </cell>
          <cell r="G3199">
            <v>0</v>
          </cell>
          <cell r="H3199">
            <v>0</v>
          </cell>
          <cell r="I3199">
            <v>0</v>
          </cell>
          <cell r="J3199">
            <v>0</v>
          </cell>
          <cell r="K3199">
            <v>0</v>
          </cell>
          <cell r="L3199">
            <v>0</v>
          </cell>
          <cell r="M3199">
            <v>0</v>
          </cell>
          <cell r="N3199">
            <v>0</v>
          </cell>
          <cell r="O3199">
            <v>0</v>
          </cell>
        </row>
        <row r="3200">
          <cell r="A3200" t="str">
            <v>MexicoOrdinary Gains - AfterTax</v>
          </cell>
          <cell r="B3200">
            <v>0</v>
          </cell>
          <cell r="C3200">
            <v>0</v>
          </cell>
          <cell r="D3200">
            <v>0</v>
          </cell>
          <cell r="E3200">
            <v>0</v>
          </cell>
          <cell r="F3200">
            <v>0</v>
          </cell>
          <cell r="G3200">
            <v>0</v>
          </cell>
          <cell r="H3200">
            <v>0</v>
          </cell>
          <cell r="I3200">
            <v>0</v>
          </cell>
          <cell r="J3200">
            <v>0</v>
          </cell>
          <cell r="K3200">
            <v>0</v>
          </cell>
          <cell r="L3200">
            <v>0</v>
          </cell>
          <cell r="M3200">
            <v>0</v>
          </cell>
          <cell r="N3200">
            <v>0</v>
          </cell>
          <cell r="O3200">
            <v>0</v>
          </cell>
        </row>
        <row r="3201">
          <cell r="A3201" t="str">
            <v>MexicoTotal Volume</v>
          </cell>
          <cell r="B3201">
            <v>0</v>
          </cell>
          <cell r="C3201">
            <v>0</v>
          </cell>
          <cell r="D3201">
            <v>10549450.550000001</v>
          </cell>
          <cell r="E3201">
            <v>18900.45</v>
          </cell>
          <cell r="F3201">
            <v>10568351</v>
          </cell>
          <cell r="G3201">
            <v>43853000</v>
          </cell>
          <cell r="H3201">
            <v>27079000</v>
          </cell>
          <cell r="I3201">
            <v>29918000</v>
          </cell>
          <cell r="J3201">
            <v>31248000</v>
          </cell>
          <cell r="K3201">
            <v>132098000</v>
          </cell>
          <cell r="L3201">
            <v>24273300</v>
          </cell>
          <cell r="M3201">
            <v>86348000</v>
          </cell>
          <cell r="N3201">
            <v>122973000</v>
          </cell>
          <cell r="O3201">
            <v>139593000</v>
          </cell>
        </row>
        <row r="3202">
          <cell r="A3202" t="str">
            <v>MexicoTOTAL # ACTIVE ACCOUNTS</v>
          </cell>
          <cell r="B3202">
            <v>0</v>
          </cell>
          <cell r="C3202">
            <v>1</v>
          </cell>
          <cell r="D3202">
            <v>1</v>
          </cell>
          <cell r="E3202">
            <v>1201</v>
          </cell>
          <cell r="F3202">
            <v>1201</v>
          </cell>
          <cell r="G3202">
            <v>67807</v>
          </cell>
          <cell r="H3202">
            <v>143118</v>
          </cell>
          <cell r="I3202">
            <v>220091</v>
          </cell>
          <cell r="J3202">
            <v>296859</v>
          </cell>
          <cell r="K3202">
            <v>296859</v>
          </cell>
          <cell r="L3202">
            <v>0</v>
          </cell>
          <cell r="M3202">
            <v>300800</v>
          </cell>
          <cell r="N3202">
            <v>474720</v>
          </cell>
          <cell r="O3202">
            <v>641020</v>
          </cell>
        </row>
        <row r="3203">
          <cell r="A3203" t="str">
            <v>NorwayTOTAL FINANCING RECEIVABLES</v>
          </cell>
          <cell r="B3203">
            <v>400742463.08999997</v>
          </cell>
          <cell r="C3203">
            <v>419749169.92000002</v>
          </cell>
          <cell r="D3203">
            <v>466585157.38999999</v>
          </cell>
          <cell r="E3203">
            <v>471338021.30000001</v>
          </cell>
          <cell r="F3203">
            <v>471338021.30000001</v>
          </cell>
          <cell r="G3203">
            <v>475420336.47444999</v>
          </cell>
          <cell r="H3203">
            <v>499549525.819686</v>
          </cell>
          <cell r="I3203">
            <v>508914492.32311797</v>
          </cell>
          <cell r="J3203">
            <v>540411244.70617604</v>
          </cell>
          <cell r="K3203">
            <v>540411244.70617604</v>
          </cell>
          <cell r="L3203">
            <v>491937054.37</v>
          </cell>
          <cell r="M3203">
            <v>555705513.38872194</v>
          </cell>
          <cell r="N3203">
            <v>635785303.70848298</v>
          </cell>
          <cell r="O3203">
            <v>712567260.10647404</v>
          </cell>
        </row>
        <row r="3204">
          <cell r="A3204" t="str">
            <v>NorwayRECEIVABLE RESERVES</v>
          </cell>
          <cell r="B3204">
            <v>-24079231.399999999</v>
          </cell>
          <cell r="C3204">
            <v>-25281555.829999998</v>
          </cell>
          <cell r="D3204">
            <v>-25856444.629999999</v>
          </cell>
          <cell r="E3204">
            <v>-24323249.129999999</v>
          </cell>
          <cell r="F3204">
            <v>-24323249.129999999</v>
          </cell>
          <cell r="G3204">
            <v>-24446297.451804001</v>
          </cell>
          <cell r="H3204">
            <v>-25693460.406500001</v>
          </cell>
          <cell r="I3204">
            <v>-26170667.801188</v>
          </cell>
          <cell r="J3204">
            <v>-27803056.54036</v>
          </cell>
          <cell r="K3204">
            <v>-27803056.54036</v>
          </cell>
          <cell r="L3204">
            <v>-25506133.829999998</v>
          </cell>
          <cell r="M3204">
            <v>-33342330.803314999</v>
          </cell>
          <cell r="N3204">
            <v>-40054474.134347998</v>
          </cell>
          <cell r="O3204">
            <v>-47385722.797192998</v>
          </cell>
        </row>
        <row r="3205">
          <cell r="A3205" t="str">
            <v>NorwayCASH</v>
          </cell>
          <cell r="B3205">
            <v>4256631.47</v>
          </cell>
          <cell r="C3205">
            <v>3376706.89</v>
          </cell>
          <cell r="D3205">
            <v>1492515.31</v>
          </cell>
          <cell r="E3205">
            <v>4873559.95</v>
          </cell>
          <cell r="F3205">
            <v>4873559.95</v>
          </cell>
          <cell r="G3205">
            <v>4717840.5903540002</v>
          </cell>
          <cell r="H3205">
            <v>4717840.5903540002</v>
          </cell>
          <cell r="I3205">
            <v>4717840.5903540002</v>
          </cell>
          <cell r="J3205">
            <v>4717840.5903540002</v>
          </cell>
          <cell r="K3205">
            <v>4717840.5903540002</v>
          </cell>
          <cell r="L3205">
            <v>3680361.92</v>
          </cell>
          <cell r="M3205">
            <v>4240564.9145999998</v>
          </cell>
          <cell r="N3205">
            <v>4240564.9145999998</v>
          </cell>
          <cell r="O3205">
            <v>4240564.9145999998</v>
          </cell>
        </row>
        <row r="3206">
          <cell r="A3206" t="str">
            <v>NorwayINVESTMENT SECURITIES</v>
          </cell>
          <cell r="B3206">
            <v>0</v>
          </cell>
          <cell r="C3206">
            <v>0</v>
          </cell>
          <cell r="D3206">
            <v>0</v>
          </cell>
          <cell r="E3206">
            <v>0</v>
          </cell>
          <cell r="F3206">
            <v>0</v>
          </cell>
          <cell r="G3206">
            <v>0</v>
          </cell>
          <cell r="H3206">
            <v>0</v>
          </cell>
          <cell r="I3206">
            <v>0</v>
          </cell>
          <cell r="J3206">
            <v>0</v>
          </cell>
          <cell r="K3206">
            <v>0</v>
          </cell>
          <cell r="L3206">
            <v>0</v>
          </cell>
          <cell r="M3206">
            <v>0</v>
          </cell>
          <cell r="N3206">
            <v>0</v>
          </cell>
          <cell r="O3206">
            <v>0</v>
          </cell>
        </row>
        <row r="3207">
          <cell r="A3207" t="str">
            <v>NorwayINV IN NON CONSOL AFFILIATES</v>
          </cell>
          <cell r="B3207">
            <v>44900.01</v>
          </cell>
          <cell r="C3207">
            <v>44313.3</v>
          </cell>
          <cell r="D3207">
            <v>47089.07</v>
          </cell>
          <cell r="E3207">
            <v>46186.78</v>
          </cell>
          <cell r="F3207">
            <v>46186.78</v>
          </cell>
          <cell r="G3207">
            <v>0</v>
          </cell>
          <cell r="H3207">
            <v>0</v>
          </cell>
          <cell r="I3207">
            <v>0</v>
          </cell>
          <cell r="J3207">
            <v>0</v>
          </cell>
          <cell r="K3207">
            <v>0</v>
          </cell>
          <cell r="L3207">
            <v>46609.46</v>
          </cell>
          <cell r="M3207">
            <v>0</v>
          </cell>
          <cell r="N3207">
            <v>0</v>
          </cell>
          <cell r="O3207">
            <v>0</v>
          </cell>
        </row>
        <row r="3208">
          <cell r="A3208" t="str">
            <v>NorwayINVESTMENT IN JOINT VENTURE</v>
          </cell>
          <cell r="B3208">
            <v>0</v>
          </cell>
          <cell r="C3208">
            <v>0</v>
          </cell>
          <cell r="D3208">
            <v>0</v>
          </cell>
          <cell r="E3208">
            <v>0</v>
          </cell>
          <cell r="F3208">
            <v>0</v>
          </cell>
          <cell r="G3208">
            <v>0</v>
          </cell>
          <cell r="H3208">
            <v>0</v>
          </cell>
          <cell r="I3208">
            <v>0</v>
          </cell>
          <cell r="J3208">
            <v>0</v>
          </cell>
          <cell r="K3208">
            <v>0</v>
          </cell>
          <cell r="L3208">
            <v>0</v>
          </cell>
          <cell r="M3208">
            <v>0</v>
          </cell>
          <cell r="N3208">
            <v>0</v>
          </cell>
          <cell r="O3208">
            <v>0</v>
          </cell>
        </row>
        <row r="3209">
          <cell r="A3209" t="str">
            <v>NorwayALL OTHER RECEIVABLES (NON-FINANCING)</v>
          </cell>
          <cell r="B3209">
            <v>242860.71</v>
          </cell>
          <cell r="C3209">
            <v>-402262.39</v>
          </cell>
          <cell r="D3209">
            <v>1346790.02</v>
          </cell>
          <cell r="E3209">
            <v>806322.44</v>
          </cell>
          <cell r="F3209">
            <v>806322.44</v>
          </cell>
          <cell r="G3209">
            <v>416479</v>
          </cell>
          <cell r="H3209">
            <v>416479</v>
          </cell>
          <cell r="I3209">
            <v>416479</v>
          </cell>
          <cell r="J3209">
            <v>416479</v>
          </cell>
          <cell r="K3209">
            <v>416479</v>
          </cell>
          <cell r="L3209">
            <v>-452068.24</v>
          </cell>
          <cell r="M3209">
            <v>10258410.213012001</v>
          </cell>
          <cell r="N3209">
            <v>11377572.449123999</v>
          </cell>
          <cell r="O3209">
            <v>12496734.685236</v>
          </cell>
        </row>
        <row r="3210">
          <cell r="A3210" t="str">
            <v>NorwayELTO (NET)</v>
          </cell>
          <cell r="B3210">
            <v>0</v>
          </cell>
          <cell r="C3210">
            <v>0</v>
          </cell>
          <cell r="D3210">
            <v>0</v>
          </cell>
          <cell r="E3210">
            <v>0</v>
          </cell>
          <cell r="F3210">
            <v>0</v>
          </cell>
          <cell r="G3210">
            <v>0</v>
          </cell>
          <cell r="H3210">
            <v>0</v>
          </cell>
          <cell r="I3210">
            <v>0</v>
          </cell>
          <cell r="J3210">
            <v>0</v>
          </cell>
          <cell r="K3210">
            <v>0</v>
          </cell>
          <cell r="L3210">
            <v>0</v>
          </cell>
          <cell r="M3210">
            <v>0</v>
          </cell>
          <cell r="N3210">
            <v>0</v>
          </cell>
          <cell r="O3210">
            <v>0</v>
          </cell>
        </row>
        <row r="3211">
          <cell r="A3211" t="str">
            <v>NorwayGOODWILL</v>
          </cell>
          <cell r="B3211">
            <v>8104264.0099999998</v>
          </cell>
          <cell r="C3211">
            <v>7510179.2999999998</v>
          </cell>
          <cell r="D3211">
            <v>7353770.8200000003</v>
          </cell>
          <cell r="E3211">
            <v>7038027.6299999999</v>
          </cell>
          <cell r="F3211">
            <v>7038027.6299999999</v>
          </cell>
          <cell r="G3211">
            <v>7038028</v>
          </cell>
          <cell r="H3211">
            <v>7038028</v>
          </cell>
          <cell r="I3211">
            <v>7038028</v>
          </cell>
          <cell r="J3211">
            <v>7038028</v>
          </cell>
          <cell r="K3211">
            <v>7038028</v>
          </cell>
          <cell r="L3211">
            <v>7178888.96</v>
          </cell>
          <cell r="M3211">
            <v>7448971.107504</v>
          </cell>
          <cell r="N3211">
            <v>6329808.8713919995</v>
          </cell>
          <cell r="O3211">
            <v>5210646.63528</v>
          </cell>
        </row>
        <row r="3212">
          <cell r="A3212" t="str">
            <v>NorwayOTHER ASSETS</v>
          </cell>
          <cell r="B3212">
            <v>10658592.189999999</v>
          </cell>
          <cell r="C3212">
            <v>11431207.369999999</v>
          </cell>
          <cell r="D3212">
            <v>7966523.7599999998</v>
          </cell>
          <cell r="E3212">
            <v>8672174.5099999998</v>
          </cell>
          <cell r="F3212">
            <v>8672174.5099999998</v>
          </cell>
          <cell r="G3212">
            <v>8146072.5231299996</v>
          </cell>
          <cell r="H3212">
            <v>7804221.5613270001</v>
          </cell>
          <cell r="I3212">
            <v>7462370.5995230004</v>
          </cell>
          <cell r="J3212">
            <v>7120519.63772</v>
          </cell>
          <cell r="K3212">
            <v>7120519.63772</v>
          </cell>
          <cell r="L3212">
            <v>7508007.3899999997</v>
          </cell>
          <cell r="M3212">
            <v>428593.24040000001</v>
          </cell>
          <cell r="N3212">
            <v>428593.24040000001</v>
          </cell>
          <cell r="O3212">
            <v>428593.24040000001</v>
          </cell>
        </row>
        <row r="3213">
          <cell r="A3213" t="str">
            <v>NorwayACCOUNTS PAYABLE</v>
          </cell>
          <cell r="B3213">
            <v>-7504915.1500000004</v>
          </cell>
          <cell r="C3213">
            <v>-4691288.3099999996</v>
          </cell>
          <cell r="D3213">
            <v>-5425307.9299999997</v>
          </cell>
          <cell r="E3213">
            <v>-13414030.77</v>
          </cell>
          <cell r="F3213">
            <v>-13414030.77</v>
          </cell>
          <cell r="G3213">
            <v>-10161979</v>
          </cell>
          <cell r="H3213">
            <v>-10161979</v>
          </cell>
          <cell r="I3213">
            <v>-10161979</v>
          </cell>
          <cell r="J3213">
            <v>-10161979</v>
          </cell>
          <cell r="K3213">
            <v>-10161979</v>
          </cell>
          <cell r="L3213">
            <v>-14908974.460000001</v>
          </cell>
          <cell r="M3213">
            <v>-4850457.1529000001</v>
          </cell>
          <cell r="N3213">
            <v>-4850457.1529000001</v>
          </cell>
          <cell r="O3213">
            <v>-4850457.1529000001</v>
          </cell>
        </row>
        <row r="3214">
          <cell r="A3214" t="str">
            <v>NorwayDEFERRED INCOME TAXES</v>
          </cell>
          <cell r="B3214">
            <v>2654098.21</v>
          </cell>
          <cell r="C3214">
            <v>998387.64</v>
          </cell>
          <cell r="D3214">
            <v>-2579134.89</v>
          </cell>
          <cell r="E3214">
            <v>9362110.5800000001</v>
          </cell>
          <cell r="F3214">
            <v>9362110.5800000001</v>
          </cell>
          <cell r="G3214">
            <v>7943154</v>
          </cell>
          <cell r="H3214">
            <v>7943154</v>
          </cell>
          <cell r="I3214">
            <v>7943154</v>
          </cell>
          <cell r="J3214">
            <v>7943154</v>
          </cell>
          <cell r="K3214">
            <v>7943154</v>
          </cell>
          <cell r="L3214">
            <v>8787442.7200000007</v>
          </cell>
          <cell r="M3214">
            <v>-284262.12290000002</v>
          </cell>
          <cell r="N3214">
            <v>-284262.12290000002</v>
          </cell>
          <cell r="O3214">
            <v>-284262.12290000002</v>
          </cell>
        </row>
        <row r="3215">
          <cell r="A3215" t="str">
            <v>NorwayWRITE-OFF (MEMO)</v>
          </cell>
          <cell r="B3215">
            <v>1912962.12</v>
          </cell>
          <cell r="C3215">
            <v>5311011.7300000004</v>
          </cell>
          <cell r="D3215">
            <v>8485520.6500000004</v>
          </cell>
          <cell r="E3215">
            <v>11925222.720000001</v>
          </cell>
          <cell r="F3215">
            <v>11925222.720000001</v>
          </cell>
          <cell r="G3215">
            <v>2051276.3573720001</v>
          </cell>
          <cell r="H3215">
            <v>5483931.5403000005</v>
          </cell>
          <cell r="I3215">
            <v>8916267.8821750004</v>
          </cell>
          <cell r="J3215">
            <v>10280702.681646001</v>
          </cell>
          <cell r="K3215">
            <v>10280702.681646001</v>
          </cell>
          <cell r="L3215">
            <v>2550399.31</v>
          </cell>
          <cell r="M3215">
            <v>10880914.656787001</v>
          </cell>
          <cell r="N3215">
            <v>13560183.951351</v>
          </cell>
          <cell r="O3215">
            <v>15966501.025792001</v>
          </cell>
        </row>
        <row r="3216">
          <cell r="A3216" t="str">
            <v>NorwayINSURANCE RESERVES AND ANNUITY BENEFITS</v>
          </cell>
          <cell r="B3216">
            <v>0</v>
          </cell>
          <cell r="C3216">
            <v>0</v>
          </cell>
          <cell r="D3216">
            <v>0</v>
          </cell>
          <cell r="E3216">
            <v>0</v>
          </cell>
          <cell r="F3216">
            <v>0</v>
          </cell>
          <cell r="G3216">
            <v>0</v>
          </cell>
          <cell r="H3216">
            <v>0</v>
          </cell>
          <cell r="I3216">
            <v>0</v>
          </cell>
          <cell r="J3216">
            <v>0</v>
          </cell>
          <cell r="K3216">
            <v>0</v>
          </cell>
          <cell r="L3216">
            <v>0</v>
          </cell>
          <cell r="M3216">
            <v>0</v>
          </cell>
          <cell r="N3216">
            <v>0</v>
          </cell>
          <cell r="O3216">
            <v>0</v>
          </cell>
        </row>
        <row r="3217">
          <cell r="A3217" t="str">
            <v>NorwayALL OTHER NON DEBT LIABILITIES</v>
          </cell>
          <cell r="B3217">
            <v>-6518130.3499999996</v>
          </cell>
          <cell r="C3217">
            <v>-1457258.56</v>
          </cell>
          <cell r="D3217">
            <v>-8191537.6799999997</v>
          </cell>
          <cell r="E3217">
            <v>-6131613.1900000004</v>
          </cell>
          <cell r="F3217">
            <v>-6131613.1900000004</v>
          </cell>
          <cell r="G3217">
            <v>-9238629.2984030005</v>
          </cell>
          <cell r="H3217">
            <v>-9238629.2984030005</v>
          </cell>
          <cell r="I3217">
            <v>-9238629.2984030005</v>
          </cell>
          <cell r="J3217">
            <v>-9238629.2984030005</v>
          </cell>
          <cell r="K3217">
            <v>-9238629.2984030005</v>
          </cell>
          <cell r="L3217">
            <v>-5771165.0800000001</v>
          </cell>
          <cell r="M3217">
            <v>-6838668.9325000001</v>
          </cell>
          <cell r="N3217">
            <v>-6838668.9325000001</v>
          </cell>
          <cell r="O3217">
            <v>-6838668.9325000001</v>
          </cell>
        </row>
        <row r="3218">
          <cell r="A3218" t="str">
            <v>NorwayMINORITY INTEREST (BS)</v>
          </cell>
          <cell r="B3218">
            <v>0</v>
          </cell>
          <cell r="C3218">
            <v>0</v>
          </cell>
          <cell r="D3218">
            <v>0</v>
          </cell>
          <cell r="E3218">
            <v>0</v>
          </cell>
          <cell r="F3218">
            <v>0</v>
          </cell>
          <cell r="G3218">
            <v>0</v>
          </cell>
          <cell r="H3218">
            <v>0</v>
          </cell>
          <cell r="I3218">
            <v>0</v>
          </cell>
          <cell r="J3218">
            <v>0</v>
          </cell>
          <cell r="K3218">
            <v>0</v>
          </cell>
          <cell r="L3218">
            <v>0</v>
          </cell>
          <cell r="M3218">
            <v>0</v>
          </cell>
          <cell r="N3218">
            <v>0</v>
          </cell>
          <cell r="O3218">
            <v>0</v>
          </cell>
        </row>
        <row r="3219">
          <cell r="A3219" t="str">
            <v>NorwayASIA PACIFIC ENI DIVIDEND</v>
          </cell>
          <cell r="B3219">
            <v>0</v>
          </cell>
          <cell r="C3219">
            <v>0</v>
          </cell>
          <cell r="D3219">
            <v>0</v>
          </cell>
          <cell r="E3219">
            <v>0</v>
          </cell>
          <cell r="F3219">
            <v>0</v>
          </cell>
          <cell r="G3219">
            <v>0</v>
          </cell>
          <cell r="H3219">
            <v>0</v>
          </cell>
          <cell r="I3219">
            <v>0</v>
          </cell>
          <cell r="J3219">
            <v>0</v>
          </cell>
          <cell r="K3219">
            <v>0</v>
          </cell>
          <cell r="L3219">
            <v>0</v>
          </cell>
          <cell r="M3219">
            <v>0</v>
          </cell>
          <cell r="N3219">
            <v>0</v>
          </cell>
          <cell r="O3219">
            <v>0</v>
          </cell>
        </row>
        <row r="3220">
          <cell r="A3220" t="str">
            <v>NorwayFINANCING INCOME</v>
          </cell>
          <cell r="B3220">
            <v>-15761334.289999999</v>
          </cell>
          <cell r="C3220">
            <v>-16182300.32</v>
          </cell>
          <cell r="D3220">
            <v>-19161954.030000001</v>
          </cell>
          <cell r="E3220">
            <v>-18000730.469999999</v>
          </cell>
          <cell r="F3220">
            <v>-69106319.109999999</v>
          </cell>
          <cell r="G3220">
            <v>-17970427.725972999</v>
          </cell>
          <cell r="H3220">
            <v>-18817740.310623001</v>
          </cell>
          <cell r="I3220">
            <v>-19267948.703210998</v>
          </cell>
          <cell r="J3220">
            <v>-19791753.135279998</v>
          </cell>
          <cell r="K3220">
            <v>-75847869.875086993</v>
          </cell>
          <cell r="L3220">
            <v>-17984471.84</v>
          </cell>
          <cell r="M3220">
            <v>-78776572.349958003</v>
          </cell>
          <cell r="N3220">
            <v>-90987581.090335995</v>
          </cell>
          <cell r="O3220">
            <v>-103379087.525612</v>
          </cell>
        </row>
        <row r="3221">
          <cell r="A3221" t="str">
            <v>NorwayINSURANCE PREMIUM INCOME</v>
          </cell>
          <cell r="B3221">
            <v>0</v>
          </cell>
          <cell r="C3221">
            <v>0</v>
          </cell>
          <cell r="D3221">
            <v>0</v>
          </cell>
          <cell r="E3221">
            <v>0</v>
          </cell>
          <cell r="F3221">
            <v>0</v>
          </cell>
          <cell r="G3221">
            <v>0</v>
          </cell>
          <cell r="H3221">
            <v>0</v>
          </cell>
          <cell r="I3221">
            <v>0</v>
          </cell>
          <cell r="J3221">
            <v>0</v>
          </cell>
          <cell r="K3221">
            <v>0</v>
          </cell>
          <cell r="L3221">
            <v>0</v>
          </cell>
          <cell r="M3221">
            <v>0</v>
          </cell>
          <cell r="N3221">
            <v>0</v>
          </cell>
          <cell r="O3221">
            <v>0</v>
          </cell>
        </row>
        <row r="3222">
          <cell r="A3222" t="str">
            <v>NorwayINSURANCE INCOME (COMMISSIONS)</v>
          </cell>
          <cell r="B3222">
            <v>0</v>
          </cell>
          <cell r="C3222">
            <v>0</v>
          </cell>
          <cell r="D3222">
            <v>0</v>
          </cell>
          <cell r="E3222">
            <v>0</v>
          </cell>
          <cell r="F3222">
            <v>0</v>
          </cell>
          <cell r="G3222">
            <v>0</v>
          </cell>
          <cell r="H3222">
            <v>0</v>
          </cell>
          <cell r="I3222">
            <v>0</v>
          </cell>
          <cell r="J3222">
            <v>0</v>
          </cell>
          <cell r="K3222">
            <v>0</v>
          </cell>
          <cell r="L3222">
            <v>0</v>
          </cell>
          <cell r="M3222">
            <v>0</v>
          </cell>
          <cell r="N3222">
            <v>0</v>
          </cell>
          <cell r="O3222">
            <v>0</v>
          </cell>
        </row>
        <row r="3223">
          <cell r="A3223" t="str">
            <v>NorwaySUNDRY INCOME</v>
          </cell>
          <cell r="B3223">
            <v>-4736575.53</v>
          </cell>
          <cell r="C3223">
            <v>-4742052.4000000004</v>
          </cell>
          <cell r="D3223">
            <v>-1785831.45</v>
          </cell>
          <cell r="E3223">
            <v>-4257423.04</v>
          </cell>
          <cell r="F3223">
            <v>-15521882.42</v>
          </cell>
          <cell r="G3223">
            <v>-4454813.9809459997</v>
          </cell>
          <cell r="H3223">
            <v>-4691589.4745060001</v>
          </cell>
          <cell r="I3223">
            <v>-4749904.4048560001</v>
          </cell>
          <cell r="J3223">
            <v>-5103675.2181430003</v>
          </cell>
          <cell r="K3223">
            <v>-18999983.078451999</v>
          </cell>
          <cell r="L3223">
            <v>-4349351.08</v>
          </cell>
          <cell r="M3223">
            <v>-20493255.397707999</v>
          </cell>
          <cell r="N3223">
            <v>-24401531.960283</v>
          </cell>
          <cell r="O3223">
            <v>-27924162.383993998</v>
          </cell>
        </row>
        <row r="3224">
          <cell r="A3224" t="str">
            <v>NorwayINTEREST EXPENSE</v>
          </cell>
          <cell r="B3224">
            <v>5855256.4199999999</v>
          </cell>
          <cell r="C3224">
            <v>6613392.29</v>
          </cell>
          <cell r="D3224">
            <v>6541364.7999999998</v>
          </cell>
          <cell r="E3224">
            <v>6947648.96</v>
          </cell>
          <cell r="F3224">
            <v>25957662.469999999</v>
          </cell>
          <cell r="G3224">
            <v>6484358.5685350001</v>
          </cell>
          <cell r="H3224">
            <v>6799255.7187130004</v>
          </cell>
          <cell r="I3224">
            <v>6947061.1475790003</v>
          </cell>
          <cell r="J3224">
            <v>7309767.4777760003</v>
          </cell>
          <cell r="K3224">
            <v>27540442.912602998</v>
          </cell>
          <cell r="L3224">
            <v>6353831.29</v>
          </cell>
          <cell r="M3224">
            <v>31227049.365635</v>
          </cell>
          <cell r="N3224">
            <v>36286416.641108997</v>
          </cell>
          <cell r="O3224">
            <v>40785142.453342997</v>
          </cell>
        </row>
        <row r="3225">
          <cell r="A3225" t="str">
            <v>NorwayINTEREST EXPENSE REDUCTIONS / BUS SHARING</v>
          </cell>
          <cell r="B3225">
            <v>0</v>
          </cell>
          <cell r="C3225">
            <v>0</v>
          </cell>
          <cell r="D3225">
            <v>0</v>
          </cell>
          <cell r="E3225">
            <v>0</v>
          </cell>
          <cell r="F3225">
            <v>0</v>
          </cell>
          <cell r="G3225">
            <v>0</v>
          </cell>
          <cell r="H3225">
            <v>0</v>
          </cell>
          <cell r="I3225">
            <v>0</v>
          </cell>
          <cell r="J3225">
            <v>0</v>
          </cell>
          <cell r="K3225">
            <v>0</v>
          </cell>
          <cell r="L3225">
            <v>0</v>
          </cell>
          <cell r="M3225">
            <v>0</v>
          </cell>
          <cell r="N3225">
            <v>0</v>
          </cell>
          <cell r="O3225">
            <v>0</v>
          </cell>
        </row>
        <row r="3226">
          <cell r="A3226" t="str">
            <v>NorwayALLOCATED COST OF PREFERRED EQUITY</v>
          </cell>
          <cell r="B3226">
            <v>48178.22</v>
          </cell>
          <cell r="C3226">
            <v>42990.06</v>
          </cell>
          <cell r="D3226">
            <v>37443.99</v>
          </cell>
          <cell r="E3226">
            <v>37853.300000000003</v>
          </cell>
          <cell r="F3226">
            <v>166465.57</v>
          </cell>
          <cell r="G3226">
            <v>74749.515541999994</v>
          </cell>
          <cell r="H3226">
            <v>74749.515541999994</v>
          </cell>
          <cell r="I3226">
            <v>74749.515541999994</v>
          </cell>
          <cell r="J3226">
            <v>74749.515541999994</v>
          </cell>
          <cell r="K3226">
            <v>298998.06216700003</v>
          </cell>
          <cell r="L3226">
            <v>28366.11</v>
          </cell>
          <cell r="M3226">
            <v>302734.34120899998</v>
          </cell>
          <cell r="N3226">
            <v>352427.26733599999</v>
          </cell>
          <cell r="O3226">
            <v>396489.89318299998</v>
          </cell>
        </row>
        <row r="3227">
          <cell r="A3227" t="str">
            <v>NorwaySALARIES &amp; BENEFITS</v>
          </cell>
          <cell r="B3227">
            <v>1659602.27</v>
          </cell>
          <cell r="C3227">
            <v>1831349.84</v>
          </cell>
          <cell r="D3227">
            <v>1704688.32</v>
          </cell>
          <cell r="E3227">
            <v>2168515.88</v>
          </cell>
          <cell r="F3227">
            <v>7364156.3099999996</v>
          </cell>
          <cell r="G3227">
            <v>1960634</v>
          </cell>
          <cell r="H3227">
            <v>1973069</v>
          </cell>
          <cell r="I3227">
            <v>1792060</v>
          </cell>
          <cell r="J3227">
            <v>1892734</v>
          </cell>
          <cell r="K3227">
            <v>7618497</v>
          </cell>
          <cell r="L3227">
            <v>2085845.38</v>
          </cell>
          <cell r="M3227">
            <v>7697401.2228359999</v>
          </cell>
          <cell r="N3227">
            <v>8467141.3451199997</v>
          </cell>
          <cell r="O3227">
            <v>9082933.442946</v>
          </cell>
        </row>
        <row r="3228">
          <cell r="A3228" t="str">
            <v>NorwayLOSSES ON OTHER ASSETS</v>
          </cell>
          <cell r="B3228">
            <v>35687.730000000003</v>
          </cell>
          <cell r="C3228">
            <v>6871.94</v>
          </cell>
          <cell r="D3228">
            <v>13778.17</v>
          </cell>
          <cell r="E3228">
            <v>423.89</v>
          </cell>
          <cell r="F3228">
            <v>56761.73</v>
          </cell>
          <cell r="G3228">
            <v>1066.095965</v>
          </cell>
          <cell r="H3228">
            <v>8178.8440570000002</v>
          </cell>
          <cell r="I3228">
            <v>8178.8440570000002</v>
          </cell>
          <cell r="J3228">
            <v>8178.8440570000002</v>
          </cell>
          <cell r="K3228">
            <v>25602.628134999999</v>
          </cell>
          <cell r="L3228">
            <v>11223.95</v>
          </cell>
          <cell r="M3228">
            <v>26268.67251</v>
          </cell>
          <cell r="N3228">
            <v>28895.539761</v>
          </cell>
          <cell r="O3228">
            <v>30997.033562000001</v>
          </cell>
        </row>
        <row r="3229">
          <cell r="A3229" t="str">
            <v>NorwayCOST OF GOODS SOLD</v>
          </cell>
          <cell r="B3229">
            <v>0</v>
          </cell>
          <cell r="C3229">
            <v>0</v>
          </cell>
          <cell r="D3229">
            <v>0</v>
          </cell>
          <cell r="E3229">
            <v>0</v>
          </cell>
          <cell r="F3229">
            <v>0</v>
          </cell>
          <cell r="G3229">
            <v>0</v>
          </cell>
          <cell r="H3229">
            <v>0</v>
          </cell>
          <cell r="I3229">
            <v>0</v>
          </cell>
          <cell r="J3229">
            <v>0</v>
          </cell>
          <cell r="K3229">
            <v>0</v>
          </cell>
          <cell r="L3229">
            <v>0</v>
          </cell>
          <cell r="M3229">
            <v>0</v>
          </cell>
          <cell r="N3229">
            <v>0</v>
          </cell>
          <cell r="O3229">
            <v>0</v>
          </cell>
        </row>
        <row r="3230">
          <cell r="A3230" t="str">
            <v>NorwayCOST OF GOODS SOLD - DISTRIBUTION</v>
          </cell>
          <cell r="B3230">
            <v>0</v>
          </cell>
          <cell r="C3230">
            <v>0</v>
          </cell>
          <cell r="D3230">
            <v>0</v>
          </cell>
          <cell r="E3230">
            <v>0</v>
          </cell>
          <cell r="F3230">
            <v>0</v>
          </cell>
          <cell r="G3230">
            <v>0</v>
          </cell>
          <cell r="H3230">
            <v>0</v>
          </cell>
          <cell r="I3230">
            <v>0</v>
          </cell>
          <cell r="J3230">
            <v>0</v>
          </cell>
          <cell r="K3230">
            <v>0</v>
          </cell>
          <cell r="L3230">
            <v>0</v>
          </cell>
          <cell r="M3230">
            <v>0</v>
          </cell>
          <cell r="N3230">
            <v>0</v>
          </cell>
          <cell r="O3230">
            <v>0</v>
          </cell>
        </row>
        <row r="3231">
          <cell r="A3231" t="str">
            <v>NorwayPOSTAGE</v>
          </cell>
          <cell r="B3231">
            <v>297010.65000000002</v>
          </cell>
          <cell r="C3231">
            <v>346681.65</v>
          </cell>
          <cell r="D3231">
            <v>245642.86</v>
          </cell>
          <cell r="E3231">
            <v>1217237.9099999999</v>
          </cell>
          <cell r="F3231">
            <v>2106573.0699999998</v>
          </cell>
          <cell r="G3231">
            <v>436941.003272</v>
          </cell>
          <cell r="H3231">
            <v>327889.749182</v>
          </cell>
          <cell r="I3231">
            <v>328435.00545300002</v>
          </cell>
          <cell r="J3231">
            <v>328435.00545300002</v>
          </cell>
          <cell r="K3231">
            <v>1421700.763359</v>
          </cell>
          <cell r="L3231">
            <v>254059.9</v>
          </cell>
          <cell r="M3231">
            <v>1026006.948</v>
          </cell>
          <cell r="N3231">
            <v>1128607.6428</v>
          </cell>
          <cell r="O3231">
            <v>1210688.1986400001</v>
          </cell>
        </row>
        <row r="3232">
          <cell r="A3232" t="str">
            <v>NorwayTELEPHONE</v>
          </cell>
          <cell r="B3232">
            <v>66650.98</v>
          </cell>
          <cell r="C3232">
            <v>58245.52</v>
          </cell>
          <cell r="D3232">
            <v>44057.9</v>
          </cell>
          <cell r="E3232">
            <v>135761.57</v>
          </cell>
          <cell r="F3232">
            <v>304715.96999999997</v>
          </cell>
          <cell r="G3232">
            <v>81466.299526999996</v>
          </cell>
          <cell r="H3232">
            <v>81466.299526999996</v>
          </cell>
          <cell r="I3232">
            <v>81466.299526999996</v>
          </cell>
          <cell r="J3232">
            <v>81466.299526999996</v>
          </cell>
          <cell r="K3232">
            <v>325865.19811</v>
          </cell>
          <cell r="L3232">
            <v>61975.08</v>
          </cell>
          <cell r="M3232">
            <v>358439.44692000002</v>
          </cell>
          <cell r="N3232">
            <v>394283.391611</v>
          </cell>
          <cell r="O3232">
            <v>422958.54736500001</v>
          </cell>
        </row>
        <row r="3233">
          <cell r="A3233" t="str">
            <v>NorwayCUSTOMER SERVICE / COLLECTIONS</v>
          </cell>
          <cell r="B3233">
            <v>305977.90000000002</v>
          </cell>
          <cell r="C3233">
            <v>278375.15999999997</v>
          </cell>
          <cell r="D3233">
            <v>125510.32</v>
          </cell>
          <cell r="E3233">
            <v>304306.53999999998</v>
          </cell>
          <cell r="F3233">
            <v>1014169.92</v>
          </cell>
          <cell r="G3233">
            <v>235141.76663</v>
          </cell>
          <cell r="H3233">
            <v>235141.76663</v>
          </cell>
          <cell r="I3233">
            <v>235141.76663</v>
          </cell>
          <cell r="J3233">
            <v>235141.76663</v>
          </cell>
          <cell r="K3233">
            <v>940567.066521</v>
          </cell>
          <cell r="L3233">
            <v>262696.87</v>
          </cell>
          <cell r="M3233">
            <v>933105.02500000002</v>
          </cell>
          <cell r="N3233">
            <v>1026415.5275</v>
          </cell>
          <cell r="O3233">
            <v>1101063.9295000001</v>
          </cell>
        </row>
        <row r="3234">
          <cell r="A3234" t="str">
            <v>NorwaySTATIONARY - OFFICE SUPPLIES</v>
          </cell>
          <cell r="B3234">
            <v>66258.899999999994</v>
          </cell>
          <cell r="C3234">
            <v>69128.479999999996</v>
          </cell>
          <cell r="D3234">
            <v>131607.95000000001</v>
          </cell>
          <cell r="E3234">
            <v>41050.71</v>
          </cell>
          <cell r="F3234">
            <v>308046.03999999998</v>
          </cell>
          <cell r="G3234">
            <v>62908.069793000002</v>
          </cell>
          <cell r="H3234">
            <v>58258.015267000002</v>
          </cell>
          <cell r="I3234">
            <v>62884.841875999999</v>
          </cell>
          <cell r="J3234">
            <v>57529.880043999998</v>
          </cell>
          <cell r="K3234">
            <v>241580.80697899999</v>
          </cell>
          <cell r="L3234">
            <v>33386.239999999998</v>
          </cell>
          <cell r="M3234">
            <v>252837.5448</v>
          </cell>
          <cell r="N3234">
            <v>278121.29927999998</v>
          </cell>
          <cell r="O3234">
            <v>298348.30286400003</v>
          </cell>
        </row>
        <row r="3235">
          <cell r="A3235" t="str">
            <v>NorwayT&amp;L</v>
          </cell>
          <cell r="B3235">
            <v>189033.81</v>
          </cell>
          <cell r="C3235">
            <v>213391.13</v>
          </cell>
          <cell r="D3235">
            <v>168032.71</v>
          </cell>
          <cell r="E3235">
            <v>329469.8</v>
          </cell>
          <cell r="F3235">
            <v>899927.45</v>
          </cell>
          <cell r="G3235">
            <v>195647.00109100001</v>
          </cell>
          <cell r="H3235">
            <v>186915.26717599999</v>
          </cell>
          <cell r="I3235">
            <v>146799.236641</v>
          </cell>
          <cell r="J3235">
            <v>195834.78735</v>
          </cell>
          <cell r="K3235">
            <v>725196.29225699999</v>
          </cell>
          <cell r="L3235">
            <v>202105.09</v>
          </cell>
          <cell r="M3235">
            <v>865714.48585299996</v>
          </cell>
          <cell r="N3235">
            <v>952285.93443799997</v>
          </cell>
          <cell r="O3235">
            <v>1021543.093307</v>
          </cell>
        </row>
        <row r="3236">
          <cell r="A3236" t="str">
            <v>NorwayRENTAL - BLDG/FACILITIES</v>
          </cell>
          <cell r="B3236">
            <v>100758.86</v>
          </cell>
          <cell r="C3236">
            <v>99843.44</v>
          </cell>
          <cell r="D3236">
            <v>98828.76</v>
          </cell>
          <cell r="E3236">
            <v>98748.82</v>
          </cell>
          <cell r="F3236">
            <v>398179.88</v>
          </cell>
          <cell r="G3236">
            <v>128811.61395899999</v>
          </cell>
          <cell r="H3236">
            <v>128811.61395899999</v>
          </cell>
          <cell r="I3236">
            <v>128811.61395899999</v>
          </cell>
          <cell r="J3236">
            <v>128811.61395899999</v>
          </cell>
          <cell r="K3236">
            <v>515246.45583400002</v>
          </cell>
          <cell r="L3236">
            <v>149618.49</v>
          </cell>
          <cell r="M3236">
            <v>503714.7</v>
          </cell>
          <cell r="N3236">
            <v>554086.17000000004</v>
          </cell>
          <cell r="O3236">
            <v>594383.34600000002</v>
          </cell>
        </row>
        <row r="3237">
          <cell r="A3237" t="str">
            <v>NorwayRENTAL - FURNITURE/EQUIP</v>
          </cell>
          <cell r="B3237">
            <v>0</v>
          </cell>
          <cell r="C3237">
            <v>0</v>
          </cell>
          <cell r="D3237">
            <v>0</v>
          </cell>
          <cell r="E3237">
            <v>0</v>
          </cell>
          <cell r="F3237">
            <v>0</v>
          </cell>
          <cell r="G3237">
            <v>0</v>
          </cell>
          <cell r="H3237">
            <v>0</v>
          </cell>
          <cell r="I3237">
            <v>0</v>
          </cell>
          <cell r="J3237">
            <v>0</v>
          </cell>
          <cell r="K3237">
            <v>0</v>
          </cell>
          <cell r="L3237">
            <v>0</v>
          </cell>
          <cell r="M3237">
            <v>0</v>
          </cell>
          <cell r="N3237">
            <v>0</v>
          </cell>
          <cell r="O3237">
            <v>0</v>
          </cell>
        </row>
        <row r="3238">
          <cell r="A3238" t="str">
            <v>NorwayRENTAL - COMPUTERS</v>
          </cell>
          <cell r="B3238">
            <v>0</v>
          </cell>
          <cell r="C3238">
            <v>0</v>
          </cell>
          <cell r="D3238">
            <v>0</v>
          </cell>
          <cell r="E3238">
            <v>0</v>
          </cell>
          <cell r="F3238">
            <v>0</v>
          </cell>
          <cell r="G3238">
            <v>0</v>
          </cell>
          <cell r="H3238">
            <v>0</v>
          </cell>
          <cell r="I3238">
            <v>0</v>
          </cell>
          <cell r="J3238">
            <v>0</v>
          </cell>
          <cell r="K3238">
            <v>0</v>
          </cell>
          <cell r="L3238">
            <v>0</v>
          </cell>
          <cell r="M3238">
            <v>0</v>
          </cell>
          <cell r="N3238">
            <v>0</v>
          </cell>
          <cell r="O3238">
            <v>0</v>
          </cell>
        </row>
        <row r="3239">
          <cell r="A3239" t="str">
            <v>NorwayLEASE IN - LEASE OUT</v>
          </cell>
          <cell r="B3239">
            <v>0</v>
          </cell>
          <cell r="C3239">
            <v>0</v>
          </cell>
          <cell r="D3239">
            <v>0</v>
          </cell>
          <cell r="E3239">
            <v>0</v>
          </cell>
          <cell r="F3239">
            <v>0</v>
          </cell>
          <cell r="G3239">
            <v>0</v>
          </cell>
          <cell r="H3239">
            <v>0</v>
          </cell>
          <cell r="I3239">
            <v>0</v>
          </cell>
          <cell r="J3239">
            <v>0</v>
          </cell>
          <cell r="K3239">
            <v>0</v>
          </cell>
          <cell r="L3239">
            <v>0</v>
          </cell>
          <cell r="M3239">
            <v>0</v>
          </cell>
          <cell r="N3239">
            <v>0</v>
          </cell>
          <cell r="O3239">
            <v>0</v>
          </cell>
        </row>
        <row r="3240">
          <cell r="A3240" t="str">
            <v>NorwayFURNITURE / EQUIPMENT / COMPUTER EXP</v>
          </cell>
          <cell r="B3240">
            <v>26225.39</v>
          </cell>
          <cell r="C3240">
            <v>15399.99</v>
          </cell>
          <cell r="D3240">
            <v>40042</v>
          </cell>
          <cell r="E3240">
            <v>83589.42</v>
          </cell>
          <cell r="F3240">
            <v>165256.79999999999</v>
          </cell>
          <cell r="G3240">
            <v>67322.682660999999</v>
          </cell>
          <cell r="H3240">
            <v>64991.712104999999</v>
          </cell>
          <cell r="I3240">
            <v>58121.483096999997</v>
          </cell>
          <cell r="J3240">
            <v>39906.434024000002</v>
          </cell>
          <cell r="K3240">
            <v>230342.31188699999</v>
          </cell>
          <cell r="L3240">
            <v>70512.91</v>
          </cell>
          <cell r="M3240">
            <v>193605.29570300001</v>
          </cell>
          <cell r="N3240">
            <v>212965.82527299999</v>
          </cell>
          <cell r="O3240">
            <v>228454.24893</v>
          </cell>
        </row>
        <row r="3241">
          <cell r="A3241" t="str">
            <v>NorwaySOFTWARE EXPENSE</v>
          </cell>
          <cell r="B3241">
            <v>0</v>
          </cell>
          <cell r="C3241">
            <v>0</v>
          </cell>
          <cell r="D3241">
            <v>0</v>
          </cell>
          <cell r="E3241">
            <v>0</v>
          </cell>
          <cell r="F3241">
            <v>0</v>
          </cell>
          <cell r="G3241">
            <v>0</v>
          </cell>
          <cell r="H3241">
            <v>0</v>
          </cell>
          <cell r="I3241">
            <v>0</v>
          </cell>
          <cell r="J3241">
            <v>0</v>
          </cell>
          <cell r="K3241">
            <v>0</v>
          </cell>
          <cell r="L3241">
            <v>0</v>
          </cell>
          <cell r="M3241">
            <v>0</v>
          </cell>
          <cell r="N3241">
            <v>0</v>
          </cell>
          <cell r="O3241">
            <v>0</v>
          </cell>
        </row>
        <row r="3242">
          <cell r="A3242" t="str">
            <v>NorwayAMORTIZATION OF INTANGIBLES</v>
          </cell>
          <cell r="B3242">
            <v>97600.38</v>
          </cell>
          <cell r="C3242">
            <v>114175.91</v>
          </cell>
          <cell r="D3242">
            <v>76323.740000000005</v>
          </cell>
          <cell r="E3242">
            <v>98455.02</v>
          </cell>
          <cell r="F3242">
            <v>386555.05</v>
          </cell>
          <cell r="G3242">
            <v>88876.772083000003</v>
          </cell>
          <cell r="H3242">
            <v>88876.772083000003</v>
          </cell>
          <cell r="I3242">
            <v>88876.772083000003</v>
          </cell>
          <cell r="J3242">
            <v>88876.772083000003</v>
          </cell>
          <cell r="K3242">
            <v>355507.08833200001</v>
          </cell>
          <cell r="L3242">
            <v>95134.82</v>
          </cell>
          <cell r="M3242">
            <v>355666</v>
          </cell>
          <cell r="N3242">
            <v>391232.6</v>
          </cell>
          <cell r="O3242">
            <v>419685.88</v>
          </cell>
        </row>
        <row r="3243">
          <cell r="A3243" t="str">
            <v>NorwayELTO MAINTENANCE</v>
          </cell>
          <cell r="B3243">
            <v>0</v>
          </cell>
          <cell r="C3243">
            <v>0</v>
          </cell>
          <cell r="D3243">
            <v>0</v>
          </cell>
          <cell r="E3243">
            <v>0</v>
          </cell>
          <cell r="F3243">
            <v>0</v>
          </cell>
          <cell r="G3243">
            <v>0</v>
          </cell>
          <cell r="H3243">
            <v>0</v>
          </cell>
          <cell r="I3243">
            <v>0</v>
          </cell>
          <cell r="J3243">
            <v>0</v>
          </cell>
          <cell r="K3243">
            <v>0</v>
          </cell>
          <cell r="L3243">
            <v>0</v>
          </cell>
          <cell r="M3243">
            <v>0</v>
          </cell>
          <cell r="N3243">
            <v>0</v>
          </cell>
          <cell r="O3243">
            <v>0</v>
          </cell>
        </row>
        <row r="3244">
          <cell r="A3244" t="str">
            <v>NorwayELTO OTHER</v>
          </cell>
          <cell r="B3244">
            <v>0</v>
          </cell>
          <cell r="C3244">
            <v>0</v>
          </cell>
          <cell r="D3244">
            <v>0</v>
          </cell>
          <cell r="E3244">
            <v>0</v>
          </cell>
          <cell r="F3244">
            <v>0</v>
          </cell>
          <cell r="G3244">
            <v>0</v>
          </cell>
          <cell r="H3244">
            <v>0</v>
          </cell>
          <cell r="I3244">
            <v>0</v>
          </cell>
          <cell r="J3244">
            <v>0</v>
          </cell>
          <cell r="K3244">
            <v>0</v>
          </cell>
          <cell r="L3244">
            <v>0</v>
          </cell>
          <cell r="M3244">
            <v>0</v>
          </cell>
          <cell r="N3244">
            <v>0</v>
          </cell>
          <cell r="O3244">
            <v>0</v>
          </cell>
        </row>
        <row r="3245">
          <cell r="A3245" t="str">
            <v>NorwayLEGAL</v>
          </cell>
          <cell r="B3245">
            <v>33411.550000000003</v>
          </cell>
          <cell r="C3245">
            <v>33240.879999999997</v>
          </cell>
          <cell r="D3245">
            <v>40352.129999999997</v>
          </cell>
          <cell r="E3245">
            <v>42212.27</v>
          </cell>
          <cell r="F3245">
            <v>149216.82999999999</v>
          </cell>
          <cell r="G3245">
            <v>42189.749182</v>
          </cell>
          <cell r="H3245">
            <v>42189.749182</v>
          </cell>
          <cell r="I3245">
            <v>42189.749182</v>
          </cell>
          <cell r="J3245">
            <v>42189.749182</v>
          </cell>
          <cell r="K3245">
            <v>168758.996728</v>
          </cell>
          <cell r="L3245">
            <v>44259.44</v>
          </cell>
          <cell r="M3245">
            <v>168834.432</v>
          </cell>
          <cell r="N3245">
            <v>185717.87520000001</v>
          </cell>
          <cell r="O3245">
            <v>199224.62976000001</v>
          </cell>
        </row>
        <row r="3246">
          <cell r="A3246" t="str">
            <v>NorwayADVERTISING</v>
          </cell>
          <cell r="B3246">
            <v>322354.25</v>
          </cell>
          <cell r="C3246">
            <v>246572.79999999999</v>
          </cell>
          <cell r="D3246">
            <v>137902.60999999999</v>
          </cell>
          <cell r="E3246">
            <v>366519.03999999998</v>
          </cell>
          <cell r="F3246">
            <v>1073348.7</v>
          </cell>
          <cell r="G3246">
            <v>308505.99781899998</v>
          </cell>
          <cell r="H3246">
            <v>311341.33042499999</v>
          </cell>
          <cell r="I3246">
            <v>248278.08069800001</v>
          </cell>
          <cell r="J3246">
            <v>239149.400218</v>
          </cell>
          <cell r="K3246">
            <v>1107274.8091599999</v>
          </cell>
          <cell r="L3246">
            <v>302178.77</v>
          </cell>
          <cell r="M3246">
            <v>1222477.797207</v>
          </cell>
          <cell r="N3246">
            <v>1344725.576927</v>
          </cell>
          <cell r="O3246">
            <v>1442523.8007040001</v>
          </cell>
        </row>
        <row r="3247">
          <cell r="A3247" t="str">
            <v>NorwaySALES PROMOTIONS</v>
          </cell>
          <cell r="B3247">
            <v>462050.93</v>
          </cell>
          <cell r="C3247">
            <v>102599.39</v>
          </cell>
          <cell r="D3247">
            <v>293704.27</v>
          </cell>
          <cell r="E3247">
            <v>806160.26</v>
          </cell>
          <cell r="F3247">
            <v>1664514.85</v>
          </cell>
          <cell r="G3247">
            <v>562693.45692499995</v>
          </cell>
          <cell r="H3247">
            <v>272399.01853900001</v>
          </cell>
          <cell r="I3247">
            <v>351461.177754</v>
          </cell>
          <cell r="J3247">
            <v>452824.75463500002</v>
          </cell>
          <cell r="K3247">
            <v>1639378.4078520001</v>
          </cell>
          <cell r="L3247">
            <v>536466.78</v>
          </cell>
          <cell r="M3247">
            <v>2021898.4687719999</v>
          </cell>
          <cell r="N3247">
            <v>2224088.315649</v>
          </cell>
          <cell r="O3247">
            <v>2385840.193151</v>
          </cell>
        </row>
        <row r="3248">
          <cell r="A3248" t="str">
            <v>NorwayDIRECT MAIL</v>
          </cell>
          <cell r="B3248">
            <v>0</v>
          </cell>
          <cell r="C3248">
            <v>0</v>
          </cell>
          <cell r="D3248">
            <v>0</v>
          </cell>
          <cell r="E3248">
            <v>0</v>
          </cell>
          <cell r="F3248">
            <v>0</v>
          </cell>
          <cell r="G3248">
            <v>0</v>
          </cell>
          <cell r="H3248">
            <v>0</v>
          </cell>
          <cell r="I3248">
            <v>0</v>
          </cell>
          <cell r="J3248">
            <v>0</v>
          </cell>
          <cell r="K3248">
            <v>0</v>
          </cell>
          <cell r="L3248">
            <v>0</v>
          </cell>
          <cell r="M3248">
            <v>0</v>
          </cell>
          <cell r="N3248">
            <v>0</v>
          </cell>
          <cell r="O3248">
            <v>0</v>
          </cell>
        </row>
        <row r="3249">
          <cell r="A3249" t="str">
            <v>NorwayDATA PROCESSING</v>
          </cell>
          <cell r="B3249">
            <v>414879.32</v>
          </cell>
          <cell r="C3249">
            <v>302380.75</v>
          </cell>
          <cell r="D3249">
            <v>224871.35</v>
          </cell>
          <cell r="E3249">
            <v>694522.56</v>
          </cell>
          <cell r="F3249">
            <v>1636653.98</v>
          </cell>
          <cell r="G3249">
            <v>412183.96946599998</v>
          </cell>
          <cell r="H3249">
            <v>420921.37404600001</v>
          </cell>
          <cell r="I3249">
            <v>300483.860414</v>
          </cell>
          <cell r="J3249">
            <v>364996.83751400001</v>
          </cell>
          <cell r="K3249">
            <v>1498586.0414390001</v>
          </cell>
          <cell r="L3249">
            <v>367055.99</v>
          </cell>
          <cell r="M3249">
            <v>1817880.8229</v>
          </cell>
          <cell r="N3249">
            <v>1999668.9051900001</v>
          </cell>
          <cell r="O3249">
            <v>2145099.371022</v>
          </cell>
        </row>
        <row r="3250">
          <cell r="A3250" t="str">
            <v>NorwayCONSULTING</v>
          </cell>
          <cell r="B3250">
            <v>0</v>
          </cell>
          <cell r="C3250">
            <v>0</v>
          </cell>
          <cell r="D3250">
            <v>0</v>
          </cell>
          <cell r="E3250">
            <v>0</v>
          </cell>
          <cell r="F3250">
            <v>0</v>
          </cell>
          <cell r="G3250">
            <v>0</v>
          </cell>
          <cell r="H3250">
            <v>0</v>
          </cell>
          <cell r="I3250">
            <v>0</v>
          </cell>
          <cell r="J3250">
            <v>0</v>
          </cell>
          <cell r="K3250">
            <v>0</v>
          </cell>
          <cell r="L3250">
            <v>0</v>
          </cell>
          <cell r="M3250">
            <v>0</v>
          </cell>
          <cell r="N3250">
            <v>0</v>
          </cell>
          <cell r="O3250">
            <v>0</v>
          </cell>
        </row>
        <row r="3251">
          <cell r="A3251" t="str">
            <v>NorwayTEMP SERVICES</v>
          </cell>
          <cell r="B3251">
            <v>17702.509999999998</v>
          </cell>
          <cell r="C3251">
            <v>15652.96</v>
          </cell>
          <cell r="D3251">
            <v>30983.26</v>
          </cell>
          <cell r="E3251">
            <v>104029.25</v>
          </cell>
          <cell r="F3251">
            <v>168367.98</v>
          </cell>
          <cell r="G3251">
            <v>56405.452562999999</v>
          </cell>
          <cell r="H3251">
            <v>31323.664121999998</v>
          </cell>
          <cell r="I3251">
            <v>31323.664121999998</v>
          </cell>
          <cell r="J3251">
            <v>31323.664121999998</v>
          </cell>
          <cell r="K3251">
            <v>150376.44492899999</v>
          </cell>
          <cell r="L3251">
            <v>51720.6</v>
          </cell>
          <cell r="M3251">
            <v>116527.50618</v>
          </cell>
          <cell r="N3251">
            <v>128180.256798</v>
          </cell>
          <cell r="O3251">
            <v>137502.45729200001</v>
          </cell>
        </row>
        <row r="3252">
          <cell r="A3252" t="str">
            <v>NorwayGDC CHARGES</v>
          </cell>
          <cell r="B3252">
            <v>0</v>
          </cell>
          <cell r="C3252">
            <v>0</v>
          </cell>
          <cell r="D3252">
            <v>0</v>
          </cell>
          <cell r="E3252">
            <v>0</v>
          </cell>
          <cell r="F3252">
            <v>0</v>
          </cell>
          <cell r="G3252">
            <v>0</v>
          </cell>
          <cell r="H3252">
            <v>0</v>
          </cell>
          <cell r="I3252">
            <v>0</v>
          </cell>
          <cell r="J3252">
            <v>0</v>
          </cell>
          <cell r="K3252">
            <v>0</v>
          </cell>
          <cell r="L3252">
            <v>0</v>
          </cell>
          <cell r="M3252">
            <v>0</v>
          </cell>
          <cell r="N3252">
            <v>0</v>
          </cell>
          <cell r="O3252">
            <v>0</v>
          </cell>
        </row>
        <row r="3253">
          <cell r="A3253" t="str">
            <v>NorwayTRAINING AND EDUCATION</v>
          </cell>
          <cell r="B3253">
            <v>0</v>
          </cell>
          <cell r="C3253">
            <v>0</v>
          </cell>
          <cell r="D3253">
            <v>0</v>
          </cell>
          <cell r="E3253">
            <v>0</v>
          </cell>
          <cell r="F3253">
            <v>0</v>
          </cell>
          <cell r="G3253">
            <v>0</v>
          </cell>
          <cell r="H3253">
            <v>0</v>
          </cell>
          <cell r="I3253">
            <v>0</v>
          </cell>
          <cell r="J3253">
            <v>0</v>
          </cell>
          <cell r="K3253">
            <v>0</v>
          </cell>
          <cell r="L3253">
            <v>0</v>
          </cell>
          <cell r="M3253">
            <v>0</v>
          </cell>
          <cell r="N3253">
            <v>0</v>
          </cell>
          <cell r="O3253">
            <v>0</v>
          </cell>
        </row>
        <row r="3254">
          <cell r="A3254" t="str">
            <v>NorwayOUTSIDE SERVICES  AND FEES</v>
          </cell>
          <cell r="B3254">
            <v>0</v>
          </cell>
          <cell r="C3254">
            <v>0</v>
          </cell>
          <cell r="D3254">
            <v>0</v>
          </cell>
          <cell r="E3254">
            <v>0</v>
          </cell>
          <cell r="F3254">
            <v>0</v>
          </cell>
          <cell r="G3254">
            <v>0</v>
          </cell>
          <cell r="H3254">
            <v>0</v>
          </cell>
          <cell r="I3254">
            <v>0</v>
          </cell>
          <cell r="J3254">
            <v>0</v>
          </cell>
          <cell r="K3254">
            <v>0</v>
          </cell>
          <cell r="L3254">
            <v>0</v>
          </cell>
          <cell r="M3254">
            <v>0</v>
          </cell>
          <cell r="N3254">
            <v>0</v>
          </cell>
          <cell r="O3254">
            <v>0</v>
          </cell>
        </row>
        <row r="3255">
          <cell r="A3255" t="str">
            <v>NorwaySTATE, FOREIGN, LOCAL TAXES</v>
          </cell>
          <cell r="B3255">
            <v>0</v>
          </cell>
          <cell r="C3255">
            <v>0</v>
          </cell>
          <cell r="D3255">
            <v>27051.56</v>
          </cell>
          <cell r="E3255">
            <v>128595.11</v>
          </cell>
          <cell r="F3255">
            <v>155646.67000000001</v>
          </cell>
          <cell r="G3255">
            <v>0</v>
          </cell>
          <cell r="H3255">
            <v>0</v>
          </cell>
          <cell r="I3255">
            <v>0</v>
          </cell>
          <cell r="J3255">
            <v>0</v>
          </cell>
          <cell r="K3255">
            <v>0</v>
          </cell>
          <cell r="L3255">
            <v>96208.71</v>
          </cell>
          <cell r="M3255">
            <v>0</v>
          </cell>
          <cell r="N3255">
            <v>0</v>
          </cell>
          <cell r="O3255">
            <v>0</v>
          </cell>
        </row>
        <row r="3256">
          <cell r="A3256" t="str">
            <v>NorwayS/L TAX - INSURANCE PREMIUMS</v>
          </cell>
          <cell r="B3256">
            <v>0</v>
          </cell>
          <cell r="C3256">
            <v>0</v>
          </cell>
          <cell r="D3256">
            <v>0</v>
          </cell>
          <cell r="E3256">
            <v>0</v>
          </cell>
          <cell r="F3256">
            <v>0</v>
          </cell>
          <cell r="G3256">
            <v>0</v>
          </cell>
          <cell r="H3256">
            <v>0</v>
          </cell>
          <cell r="I3256">
            <v>0</v>
          </cell>
          <cell r="J3256">
            <v>0</v>
          </cell>
          <cell r="K3256">
            <v>0</v>
          </cell>
          <cell r="L3256">
            <v>0</v>
          </cell>
          <cell r="M3256">
            <v>0</v>
          </cell>
          <cell r="N3256">
            <v>0</v>
          </cell>
          <cell r="O3256">
            <v>0</v>
          </cell>
        </row>
        <row r="3257">
          <cell r="A3257" t="str">
            <v>NorwaySATELLITE LEASE EXPENSE</v>
          </cell>
          <cell r="B3257">
            <v>0</v>
          </cell>
          <cell r="C3257">
            <v>0</v>
          </cell>
          <cell r="D3257">
            <v>0</v>
          </cell>
          <cell r="E3257">
            <v>0</v>
          </cell>
          <cell r="F3257">
            <v>0</v>
          </cell>
          <cell r="G3257">
            <v>0</v>
          </cell>
          <cell r="H3257">
            <v>0</v>
          </cell>
          <cell r="I3257">
            <v>0</v>
          </cell>
          <cell r="J3257">
            <v>0</v>
          </cell>
          <cell r="K3257">
            <v>0</v>
          </cell>
          <cell r="L3257">
            <v>0</v>
          </cell>
          <cell r="M3257">
            <v>0</v>
          </cell>
          <cell r="N3257">
            <v>0</v>
          </cell>
          <cell r="O3257">
            <v>0</v>
          </cell>
        </row>
        <row r="3258">
          <cell r="A3258" t="str">
            <v>NorwayBUSINESS SHARE EXPENSE</v>
          </cell>
          <cell r="B3258">
            <v>0</v>
          </cell>
          <cell r="C3258">
            <v>0</v>
          </cell>
          <cell r="D3258">
            <v>0</v>
          </cell>
          <cell r="E3258">
            <v>0</v>
          </cell>
          <cell r="F3258">
            <v>0</v>
          </cell>
          <cell r="G3258">
            <v>0</v>
          </cell>
          <cell r="H3258">
            <v>0</v>
          </cell>
          <cell r="I3258">
            <v>0</v>
          </cell>
          <cell r="J3258">
            <v>0</v>
          </cell>
          <cell r="K3258">
            <v>0</v>
          </cell>
          <cell r="L3258">
            <v>0</v>
          </cell>
          <cell r="M3258">
            <v>0</v>
          </cell>
          <cell r="N3258">
            <v>0</v>
          </cell>
          <cell r="O3258">
            <v>0</v>
          </cell>
        </row>
        <row r="3259">
          <cell r="A3259" t="str">
            <v>NorwayINSURANCE AFFILIATE EXPENSE</v>
          </cell>
          <cell r="B3259">
            <v>0</v>
          </cell>
          <cell r="C3259">
            <v>0</v>
          </cell>
          <cell r="D3259">
            <v>0</v>
          </cell>
          <cell r="E3259">
            <v>0</v>
          </cell>
          <cell r="F3259">
            <v>0</v>
          </cell>
          <cell r="G3259">
            <v>0</v>
          </cell>
          <cell r="H3259">
            <v>0</v>
          </cell>
          <cell r="I3259">
            <v>0</v>
          </cell>
          <cell r="J3259">
            <v>0</v>
          </cell>
          <cell r="K3259">
            <v>0</v>
          </cell>
          <cell r="L3259">
            <v>0</v>
          </cell>
          <cell r="M3259">
            <v>0</v>
          </cell>
          <cell r="N3259">
            <v>0</v>
          </cell>
          <cell r="O3259">
            <v>0</v>
          </cell>
        </row>
        <row r="3260">
          <cell r="A3260" t="str">
            <v>NorwayOTHER FACILITY EXPENSE</v>
          </cell>
          <cell r="B3260">
            <v>110562.32</v>
          </cell>
          <cell r="C3260">
            <v>47617</v>
          </cell>
          <cell r="D3260">
            <v>78934.97</v>
          </cell>
          <cell r="E3260">
            <v>79365.2</v>
          </cell>
          <cell r="F3260">
            <v>316479.49</v>
          </cell>
          <cell r="G3260">
            <v>135391.19411099999</v>
          </cell>
          <cell r="H3260">
            <v>59600.572519000001</v>
          </cell>
          <cell r="I3260">
            <v>59600.572519000001</v>
          </cell>
          <cell r="J3260">
            <v>59600.572519000001</v>
          </cell>
          <cell r="K3260">
            <v>314192.91166799999</v>
          </cell>
          <cell r="L3260">
            <v>57534.29</v>
          </cell>
          <cell r="M3260">
            <v>253612.11439999999</v>
          </cell>
          <cell r="N3260">
            <v>278973.32584</v>
          </cell>
          <cell r="O3260">
            <v>299262.29499199998</v>
          </cell>
        </row>
        <row r="3261">
          <cell r="A3261" t="str">
            <v>NorwayGROSS OP &amp; ADMIN BUS SHARE</v>
          </cell>
          <cell r="B3261">
            <v>0</v>
          </cell>
          <cell r="C3261">
            <v>0</v>
          </cell>
          <cell r="D3261">
            <v>0</v>
          </cell>
          <cell r="E3261">
            <v>0</v>
          </cell>
          <cell r="F3261">
            <v>0</v>
          </cell>
          <cell r="G3261">
            <v>0</v>
          </cell>
          <cell r="H3261">
            <v>0</v>
          </cell>
          <cell r="I3261">
            <v>0</v>
          </cell>
          <cell r="J3261">
            <v>0</v>
          </cell>
          <cell r="K3261">
            <v>0</v>
          </cell>
          <cell r="L3261">
            <v>0</v>
          </cell>
          <cell r="M3261">
            <v>0</v>
          </cell>
          <cell r="N3261">
            <v>0</v>
          </cell>
          <cell r="O3261">
            <v>0</v>
          </cell>
        </row>
        <row r="3262">
          <cell r="A3262" t="str">
            <v>NorwayOTHER EXPENSE</v>
          </cell>
          <cell r="B3262">
            <v>-67185.100000000006</v>
          </cell>
          <cell r="C3262">
            <v>31076.05</v>
          </cell>
          <cell r="D3262">
            <v>126610.21</v>
          </cell>
          <cell r="E3262">
            <v>50904.33</v>
          </cell>
          <cell r="F3262">
            <v>141405.49</v>
          </cell>
          <cell r="G3262">
            <v>133375.278081</v>
          </cell>
          <cell r="H3262">
            <v>144280.40349</v>
          </cell>
          <cell r="I3262">
            <v>98146.379497999995</v>
          </cell>
          <cell r="J3262">
            <v>80531.930206999998</v>
          </cell>
          <cell r="K3262">
            <v>456333.99127599999</v>
          </cell>
          <cell r="L3262">
            <v>172957.62</v>
          </cell>
          <cell r="M3262">
            <v>493029.05861299997</v>
          </cell>
          <cell r="N3262">
            <v>542331.96447400004</v>
          </cell>
          <cell r="O3262">
            <v>581774.28916399996</v>
          </cell>
        </row>
        <row r="3263">
          <cell r="A3263" t="str">
            <v>NorwayGECC INTERCO EXPENSES EXCL GECIS</v>
          </cell>
          <cell r="B3263">
            <v>0</v>
          </cell>
          <cell r="C3263">
            <v>0</v>
          </cell>
          <cell r="D3263">
            <v>0</v>
          </cell>
          <cell r="E3263">
            <v>0</v>
          </cell>
          <cell r="F3263">
            <v>0</v>
          </cell>
          <cell r="G3263">
            <v>0</v>
          </cell>
          <cell r="H3263">
            <v>0</v>
          </cell>
          <cell r="I3263">
            <v>0</v>
          </cell>
          <cell r="J3263">
            <v>0</v>
          </cell>
          <cell r="K3263">
            <v>0</v>
          </cell>
          <cell r="L3263">
            <v>0</v>
          </cell>
          <cell r="M3263">
            <v>0</v>
          </cell>
          <cell r="N3263">
            <v>0</v>
          </cell>
          <cell r="O3263">
            <v>0</v>
          </cell>
        </row>
        <row r="3264">
          <cell r="A3264" t="str">
            <v>NorwayGECIS INTERCO CHARGES</v>
          </cell>
          <cell r="B3264">
            <v>0</v>
          </cell>
          <cell r="C3264">
            <v>0</v>
          </cell>
          <cell r="D3264">
            <v>0</v>
          </cell>
          <cell r="E3264">
            <v>0</v>
          </cell>
          <cell r="F3264">
            <v>0</v>
          </cell>
          <cell r="G3264">
            <v>0</v>
          </cell>
          <cell r="H3264">
            <v>0</v>
          </cell>
          <cell r="I3264">
            <v>0</v>
          </cell>
          <cell r="J3264">
            <v>0</v>
          </cell>
          <cell r="K3264">
            <v>0</v>
          </cell>
          <cell r="L3264">
            <v>0</v>
          </cell>
          <cell r="M3264">
            <v>0</v>
          </cell>
          <cell r="N3264">
            <v>0</v>
          </cell>
          <cell r="O3264">
            <v>0</v>
          </cell>
        </row>
        <row r="3265">
          <cell r="A3265" t="str">
            <v>NorwayLOSS ADJUSTED EXPENSE</v>
          </cell>
          <cell r="B3265">
            <v>0</v>
          </cell>
          <cell r="C3265">
            <v>0</v>
          </cell>
          <cell r="D3265">
            <v>0</v>
          </cell>
          <cell r="E3265">
            <v>0</v>
          </cell>
          <cell r="F3265">
            <v>0</v>
          </cell>
          <cell r="G3265">
            <v>0</v>
          </cell>
          <cell r="H3265">
            <v>0</v>
          </cell>
          <cell r="I3265">
            <v>0</v>
          </cell>
          <cell r="J3265">
            <v>0</v>
          </cell>
          <cell r="K3265">
            <v>0</v>
          </cell>
          <cell r="L3265">
            <v>0</v>
          </cell>
          <cell r="M3265">
            <v>0</v>
          </cell>
          <cell r="N3265">
            <v>0</v>
          </cell>
          <cell r="O3265">
            <v>0</v>
          </cell>
        </row>
        <row r="3266">
          <cell r="A3266" t="str">
            <v>NorwayALL OTHER EXPENSES</v>
          </cell>
          <cell r="B3266">
            <v>-0.01</v>
          </cell>
          <cell r="C3266">
            <v>0.01</v>
          </cell>
          <cell r="D3266">
            <v>0</v>
          </cell>
          <cell r="E3266">
            <v>0.01</v>
          </cell>
          <cell r="F3266">
            <v>0.01</v>
          </cell>
          <cell r="G3266">
            <v>0</v>
          </cell>
          <cell r="H3266">
            <v>0</v>
          </cell>
          <cell r="I3266">
            <v>0</v>
          </cell>
          <cell r="J3266">
            <v>0</v>
          </cell>
          <cell r="K3266">
            <v>0</v>
          </cell>
          <cell r="L3266">
            <v>0</v>
          </cell>
          <cell r="M3266">
            <v>0</v>
          </cell>
          <cell r="N3266">
            <v>0</v>
          </cell>
          <cell r="O3266">
            <v>0</v>
          </cell>
        </row>
        <row r="3267">
          <cell r="A3267" t="str">
            <v>NorwayASSESSMENTS</v>
          </cell>
          <cell r="B3267">
            <v>256355.75</v>
          </cell>
          <cell r="C3267">
            <v>251911.72</v>
          </cell>
          <cell r="D3267">
            <v>249046</v>
          </cell>
          <cell r="E3267">
            <v>157290.47</v>
          </cell>
          <cell r="F3267">
            <v>914603.94</v>
          </cell>
          <cell r="G3267">
            <v>322731.29771000001</v>
          </cell>
          <cell r="H3267">
            <v>322731.29771000001</v>
          </cell>
          <cell r="I3267">
            <v>322731.29771000001</v>
          </cell>
          <cell r="J3267">
            <v>322731.29771000001</v>
          </cell>
          <cell r="K3267">
            <v>1290925.1908400001</v>
          </cell>
          <cell r="L3267">
            <v>247904.64000000001</v>
          </cell>
          <cell r="M3267">
            <v>1485084</v>
          </cell>
          <cell r="N3267">
            <v>1707193.56</v>
          </cell>
          <cell r="O3267">
            <v>1907135.04</v>
          </cell>
        </row>
        <row r="3268">
          <cell r="A3268" t="str">
            <v>NorwayFAS 91</v>
          </cell>
          <cell r="B3268">
            <v>0</v>
          </cell>
          <cell r="C3268">
            <v>-170986.23999999999</v>
          </cell>
          <cell r="D3268">
            <v>-352394.23999999999</v>
          </cell>
          <cell r="E3268">
            <v>-186359.56</v>
          </cell>
          <cell r="F3268">
            <v>-709740.04</v>
          </cell>
          <cell r="G3268">
            <v>-200520.54750700001</v>
          </cell>
          <cell r="H3268">
            <v>-202672.015461</v>
          </cell>
          <cell r="I3268">
            <v>-193635.763274</v>
          </cell>
          <cell r="J3268">
            <v>-216701.416631</v>
          </cell>
          <cell r="K3268">
            <v>-813529.74287299998</v>
          </cell>
          <cell r="L3268">
            <v>-197443.22</v>
          </cell>
          <cell r="M3268">
            <v>-752912.68</v>
          </cell>
          <cell r="N3268">
            <v>-850233.06</v>
          </cell>
          <cell r="O3268">
            <v>-955639.22</v>
          </cell>
        </row>
        <row r="3269">
          <cell r="A3269" t="str">
            <v>NorwayGOODWILL AMORTIZATION</v>
          </cell>
          <cell r="B3269">
            <v>287559.86</v>
          </cell>
          <cell r="C3269">
            <v>275899.96999999997</v>
          </cell>
          <cell r="D3269">
            <v>261130.38</v>
          </cell>
          <cell r="E3269">
            <v>264474.33</v>
          </cell>
          <cell r="F3269">
            <v>1089064.54</v>
          </cell>
          <cell r="G3269">
            <v>0</v>
          </cell>
          <cell r="H3269">
            <v>0</v>
          </cell>
          <cell r="I3269">
            <v>0</v>
          </cell>
          <cell r="J3269">
            <v>0</v>
          </cell>
          <cell r="K3269">
            <v>0</v>
          </cell>
          <cell r="L3269">
            <v>0</v>
          </cell>
          <cell r="M3269">
            <v>1119162.24</v>
          </cell>
          <cell r="N3269">
            <v>1119162.24</v>
          </cell>
          <cell r="O3269">
            <v>1119162.24</v>
          </cell>
        </row>
        <row r="3270">
          <cell r="A3270" t="str">
            <v>NorwayDEPRECIATION EXPENSE</v>
          </cell>
          <cell r="B3270">
            <v>74499.78</v>
          </cell>
          <cell r="C3270">
            <v>60789.9</v>
          </cell>
          <cell r="D3270">
            <v>64281.81</v>
          </cell>
          <cell r="E3270">
            <v>67270.45</v>
          </cell>
          <cell r="F3270">
            <v>266841.94</v>
          </cell>
          <cell r="G3270">
            <v>111777.644493</v>
          </cell>
          <cell r="H3270">
            <v>111777.644493</v>
          </cell>
          <cell r="I3270">
            <v>111777.644493</v>
          </cell>
          <cell r="J3270">
            <v>111777.644493</v>
          </cell>
          <cell r="K3270">
            <v>447110.577972</v>
          </cell>
          <cell r="L3270">
            <v>43403.519999999997</v>
          </cell>
          <cell r="M3270">
            <v>414580.00436399999</v>
          </cell>
          <cell r="N3270">
            <v>456038.0048</v>
          </cell>
          <cell r="O3270">
            <v>489204.40515000001</v>
          </cell>
        </row>
        <row r="3271">
          <cell r="A3271" t="str">
            <v>NorwayELTO AMORTIZATION</v>
          </cell>
          <cell r="B3271">
            <v>0</v>
          </cell>
          <cell r="C3271">
            <v>0</v>
          </cell>
          <cell r="D3271">
            <v>0</v>
          </cell>
          <cell r="E3271">
            <v>0</v>
          </cell>
          <cell r="F3271">
            <v>0</v>
          </cell>
          <cell r="G3271">
            <v>0</v>
          </cell>
          <cell r="H3271">
            <v>0</v>
          </cell>
          <cell r="I3271">
            <v>0</v>
          </cell>
          <cell r="J3271">
            <v>0</v>
          </cell>
          <cell r="K3271">
            <v>0</v>
          </cell>
          <cell r="L3271">
            <v>0</v>
          </cell>
          <cell r="M3271">
            <v>0</v>
          </cell>
          <cell r="N3271">
            <v>0</v>
          </cell>
          <cell r="O3271">
            <v>0</v>
          </cell>
        </row>
        <row r="3272">
          <cell r="A3272" t="str">
            <v>NorwayINSURANCE LOSSES AND BENEFITS</v>
          </cell>
          <cell r="B3272">
            <v>0</v>
          </cell>
          <cell r="C3272">
            <v>0</v>
          </cell>
          <cell r="D3272">
            <v>0</v>
          </cell>
          <cell r="E3272">
            <v>0</v>
          </cell>
          <cell r="F3272">
            <v>0</v>
          </cell>
          <cell r="G3272">
            <v>0</v>
          </cell>
          <cell r="H3272">
            <v>0</v>
          </cell>
          <cell r="I3272">
            <v>0</v>
          </cell>
          <cell r="J3272">
            <v>0</v>
          </cell>
          <cell r="K3272">
            <v>0</v>
          </cell>
          <cell r="L3272">
            <v>0</v>
          </cell>
          <cell r="M3272">
            <v>0</v>
          </cell>
          <cell r="N3272">
            <v>0</v>
          </cell>
          <cell r="O3272">
            <v>0</v>
          </cell>
        </row>
        <row r="3273">
          <cell r="A3273" t="str">
            <v>NorwayWRITE OFFS</v>
          </cell>
          <cell r="B3273">
            <v>-3069231.04</v>
          </cell>
          <cell r="C3273">
            <v>4958042.3</v>
          </cell>
          <cell r="D3273">
            <v>2204616.08</v>
          </cell>
          <cell r="E3273">
            <v>2402435.77</v>
          </cell>
          <cell r="F3273">
            <v>6495863.1100000003</v>
          </cell>
          <cell r="G3273">
            <v>2810109.478627</v>
          </cell>
          <cell r="H3273">
            <v>4679817.6125689996</v>
          </cell>
          <cell r="I3273">
            <v>3909543.5356589998</v>
          </cell>
          <cell r="J3273">
            <v>2996822.8514080001</v>
          </cell>
          <cell r="K3273">
            <v>14396293.478263</v>
          </cell>
          <cell r="L3273">
            <v>3492035.53</v>
          </cell>
          <cell r="M3273">
            <v>16487730.482688</v>
          </cell>
          <cell r="N3273">
            <v>20272327.283475</v>
          </cell>
          <cell r="O3273">
            <v>23297749.688637</v>
          </cell>
        </row>
        <row r="3274">
          <cell r="A3274" t="str">
            <v>NorwayRESERVE CHANGE</v>
          </cell>
          <cell r="B3274">
            <v>0</v>
          </cell>
          <cell r="C3274">
            <v>0</v>
          </cell>
          <cell r="D3274">
            <v>0</v>
          </cell>
          <cell r="E3274">
            <v>0</v>
          </cell>
          <cell r="F3274">
            <v>0</v>
          </cell>
          <cell r="G3274">
            <v>0</v>
          </cell>
          <cell r="H3274">
            <v>0</v>
          </cell>
          <cell r="I3274">
            <v>0</v>
          </cell>
          <cell r="J3274">
            <v>0</v>
          </cell>
          <cell r="K3274">
            <v>0</v>
          </cell>
          <cell r="L3274">
            <v>0</v>
          </cell>
          <cell r="M3274">
            <v>0</v>
          </cell>
          <cell r="N3274">
            <v>0</v>
          </cell>
          <cell r="O3274">
            <v>0</v>
          </cell>
        </row>
        <row r="3275">
          <cell r="A3275" t="str">
            <v>NorwayMINORITY INTEREST</v>
          </cell>
          <cell r="B3275">
            <v>0</v>
          </cell>
          <cell r="C3275">
            <v>0</v>
          </cell>
          <cell r="D3275">
            <v>0</v>
          </cell>
          <cell r="E3275">
            <v>0</v>
          </cell>
          <cell r="F3275">
            <v>0</v>
          </cell>
          <cell r="G3275">
            <v>0</v>
          </cell>
          <cell r="H3275">
            <v>0</v>
          </cell>
          <cell r="I3275">
            <v>0</v>
          </cell>
          <cell r="J3275">
            <v>0</v>
          </cell>
          <cell r="K3275">
            <v>0</v>
          </cell>
          <cell r="L3275">
            <v>0</v>
          </cell>
          <cell r="M3275">
            <v>0</v>
          </cell>
          <cell r="N3275">
            <v>0</v>
          </cell>
          <cell r="O3275">
            <v>0</v>
          </cell>
        </row>
        <row r="3276">
          <cell r="A3276" t="str">
            <v>NorwayINCOME TAXES</v>
          </cell>
          <cell r="B3276">
            <v>3467275.03</v>
          </cell>
          <cell r="C3276">
            <v>196601.98</v>
          </cell>
          <cell r="D3276">
            <v>1034251.49</v>
          </cell>
          <cell r="E3276">
            <v>247295.11</v>
          </cell>
          <cell r="F3276">
            <v>4945423.6100000003</v>
          </cell>
          <cell r="G3276">
            <v>1001899.3412969999</v>
          </cell>
          <cell r="H3276">
            <v>758558.55625200004</v>
          </cell>
          <cell r="I3276">
            <v>1256803.854057</v>
          </cell>
          <cell r="J3276">
            <v>1372729.2160519999</v>
          </cell>
          <cell r="K3276">
            <v>4389990.9676580001</v>
          </cell>
          <cell r="L3276">
            <v>1231075.53</v>
          </cell>
          <cell r="M3276">
            <v>3724375.0965470001</v>
          </cell>
          <cell r="N3276">
            <v>4902027.7182670003</v>
          </cell>
          <cell r="O3276">
            <v>6484142.9519570004</v>
          </cell>
        </row>
        <row r="3277">
          <cell r="A3277" t="str">
            <v>NorwayCUMULATIVE TRANSITION ADJUSTMENT</v>
          </cell>
          <cell r="B3277">
            <v>0</v>
          </cell>
          <cell r="C3277">
            <v>0</v>
          </cell>
          <cell r="D3277">
            <v>0</v>
          </cell>
          <cell r="E3277">
            <v>0</v>
          </cell>
          <cell r="F3277">
            <v>0</v>
          </cell>
          <cell r="G3277">
            <v>0</v>
          </cell>
          <cell r="H3277">
            <v>0</v>
          </cell>
          <cell r="I3277">
            <v>0</v>
          </cell>
          <cell r="J3277">
            <v>0</v>
          </cell>
          <cell r="K3277">
            <v>0</v>
          </cell>
          <cell r="L3277">
            <v>0</v>
          </cell>
          <cell r="M3277">
            <v>0</v>
          </cell>
          <cell r="N3277">
            <v>0</v>
          </cell>
          <cell r="O3277">
            <v>0</v>
          </cell>
        </row>
        <row r="3278">
          <cell r="A3278" t="str">
            <v>NorwayASIA PACIFIC NI DIVIDEND</v>
          </cell>
          <cell r="B3278">
            <v>0</v>
          </cell>
          <cell r="C3278">
            <v>0</v>
          </cell>
          <cell r="D3278">
            <v>0</v>
          </cell>
          <cell r="E3278">
            <v>0</v>
          </cell>
          <cell r="F3278">
            <v>0</v>
          </cell>
          <cell r="G3278">
            <v>0</v>
          </cell>
          <cell r="H3278">
            <v>0</v>
          </cell>
          <cell r="I3278">
            <v>0</v>
          </cell>
          <cell r="J3278">
            <v>0</v>
          </cell>
          <cell r="K3278">
            <v>0</v>
          </cell>
          <cell r="L3278">
            <v>0</v>
          </cell>
          <cell r="M3278">
            <v>0</v>
          </cell>
          <cell r="N3278">
            <v>0</v>
          </cell>
          <cell r="O3278">
            <v>0</v>
          </cell>
        </row>
        <row r="3279">
          <cell r="A3279" t="str">
            <v>NorwayNet Income</v>
          </cell>
          <cell r="B3279">
            <v>-9439433.1600000001</v>
          </cell>
          <cell r="C3279">
            <v>-4883107.8399999999</v>
          </cell>
          <cell r="D3279">
            <v>-7299122.0800000001</v>
          </cell>
          <cell r="E3279">
            <v>-5570377.0899999999</v>
          </cell>
          <cell r="F3279">
            <v>-27192040.170000002</v>
          </cell>
          <cell r="G3279">
            <v>-6910576.0050969999</v>
          </cell>
          <cell r="H3279">
            <v>-6529456.3030030001</v>
          </cell>
          <cell r="I3279">
            <v>-7526562.5287910001</v>
          </cell>
          <cell r="J3279">
            <v>-8596019.4555500001</v>
          </cell>
          <cell r="K3279">
            <v>-29562614.292442001</v>
          </cell>
          <cell r="L3279">
            <v>-6279708.5899999999</v>
          </cell>
          <cell r="M3279">
            <v>-26955005.355528999</v>
          </cell>
          <cell r="N3279">
            <v>-31006031.899771001</v>
          </cell>
          <cell r="O3279">
            <v>-36177579.398137003</v>
          </cell>
        </row>
        <row r="3280">
          <cell r="A3280" t="str">
            <v>NorwaySubPart F</v>
          </cell>
          <cell r="B3280">
            <v>1067000</v>
          </cell>
          <cell r="C3280">
            <v>1596000</v>
          </cell>
          <cell r="D3280">
            <v>1743558.4565999999</v>
          </cell>
          <cell r="E3280">
            <v>1954394.0434000001</v>
          </cell>
          <cell r="F3280">
            <v>6360952.5</v>
          </cell>
          <cell r="G3280">
            <v>1767467.051376</v>
          </cell>
          <cell r="H3280">
            <v>1792246.9394360001</v>
          </cell>
          <cell r="I3280">
            <v>1817374.241527</v>
          </cell>
          <cell r="J3280">
            <v>2116332.9383629998</v>
          </cell>
          <cell r="K3280">
            <v>7493421.1707030004</v>
          </cell>
          <cell r="L3280">
            <v>1420100</v>
          </cell>
          <cell r="M3280">
            <v>7013407.6866779998</v>
          </cell>
          <cell r="N3280">
            <v>7665445.5172840003</v>
          </cell>
          <cell r="O3280">
            <v>8447459.861699</v>
          </cell>
        </row>
        <row r="3281">
          <cell r="A3281" t="str">
            <v>NorwayAssets</v>
          </cell>
          <cell r="B3281">
            <v>399970480.07999998</v>
          </cell>
          <cell r="C3281">
            <v>416427758.56</v>
          </cell>
          <cell r="D3281">
            <v>458935401.74000001</v>
          </cell>
          <cell r="E3281">
            <v>468451043.48000002</v>
          </cell>
          <cell r="F3281">
            <v>468451043.48000002</v>
          </cell>
          <cell r="G3281">
            <v>471292459.13613099</v>
          </cell>
          <cell r="H3281">
            <v>493832634.56486702</v>
          </cell>
          <cell r="I3281">
            <v>502378542.71180701</v>
          </cell>
          <cell r="J3281">
            <v>531901055.39389002</v>
          </cell>
          <cell r="K3281">
            <v>531901055.39389002</v>
          </cell>
          <cell r="L3281">
            <v>484392720.02999997</v>
          </cell>
          <cell r="M3281">
            <v>544739722.06092298</v>
          </cell>
          <cell r="N3281">
            <v>618107369.04965103</v>
          </cell>
          <cell r="O3281">
            <v>687558076.78479695</v>
          </cell>
        </row>
        <row r="3282">
          <cell r="A3282" t="str">
            <v>NorwayEnding Net Investment (ENI) incl Asia</v>
          </cell>
          <cell r="B3282">
            <v>388601532.79000002</v>
          </cell>
          <cell r="C3282">
            <v>411277599.32999998</v>
          </cell>
          <cell r="D3282">
            <v>442739421.24000001</v>
          </cell>
          <cell r="E3282">
            <v>458267510.10000002</v>
          </cell>
          <cell r="F3282">
            <v>458267510.10000002</v>
          </cell>
          <cell r="G3282">
            <v>459835004.83772701</v>
          </cell>
          <cell r="H3282">
            <v>482375180.26646298</v>
          </cell>
          <cell r="I3282">
            <v>490921088.41340297</v>
          </cell>
          <cell r="J3282">
            <v>520443601.09548599</v>
          </cell>
          <cell r="K3282">
            <v>520443601.09548599</v>
          </cell>
          <cell r="L3282">
            <v>472500023.20999998</v>
          </cell>
          <cell r="M3282">
            <v>532766333.85262299</v>
          </cell>
          <cell r="N3282">
            <v>606133980.84135103</v>
          </cell>
          <cell r="O3282">
            <v>675584688.57649696</v>
          </cell>
        </row>
        <row r="3283">
          <cell r="A3283" t="str">
            <v>NorwayANR YTD</v>
          </cell>
          <cell r="B3283">
            <v>390031729.83999997</v>
          </cell>
          <cell r="C3283">
            <v>399937543.19999999</v>
          </cell>
          <cell r="D3283">
            <v>416599446.7475</v>
          </cell>
          <cell r="E3283">
            <v>427547161.65799999</v>
          </cell>
          <cell r="F3283">
            <v>427547161.65799999</v>
          </cell>
          <cell r="G3283">
            <v>473379178.88722497</v>
          </cell>
          <cell r="H3283">
            <v>482102627.864712</v>
          </cell>
          <cell r="I3283">
            <v>488805593.97931302</v>
          </cell>
          <cell r="J3283">
            <v>499126724.124686</v>
          </cell>
          <cell r="K3283">
            <v>499126724.124686</v>
          </cell>
          <cell r="L3283">
            <v>481637537.83499998</v>
          </cell>
          <cell r="M3283">
            <v>204525170.06530401</v>
          </cell>
          <cell r="N3283">
            <v>238298163.41944101</v>
          </cell>
          <cell r="O3283">
            <v>269670512.76299101</v>
          </cell>
        </row>
        <row r="3284">
          <cell r="A3284" t="str">
            <v>NorwayASA YTD</v>
          </cell>
          <cell r="B3284">
            <v>390031729.83999997</v>
          </cell>
          <cell r="C3284">
            <v>399937543.19999999</v>
          </cell>
          <cell r="D3284">
            <v>416599446.7475</v>
          </cell>
          <cell r="E3284">
            <v>427547161.65799999</v>
          </cell>
          <cell r="F3284">
            <v>427547161.65799999</v>
          </cell>
          <cell r="G3284">
            <v>473379178.88722497</v>
          </cell>
          <cell r="H3284">
            <v>482102627.864712</v>
          </cell>
          <cell r="I3284">
            <v>488805593.97931302</v>
          </cell>
          <cell r="J3284">
            <v>499126724.124686</v>
          </cell>
          <cell r="K3284">
            <v>499126724.124686</v>
          </cell>
          <cell r="L3284">
            <v>481637537.83499998</v>
          </cell>
          <cell r="M3284">
            <v>204525170.06530401</v>
          </cell>
          <cell r="N3284">
            <v>238298163.41944101</v>
          </cell>
          <cell r="O3284">
            <v>269670512.76299101</v>
          </cell>
        </row>
        <row r="3285">
          <cell r="A3285" t="str">
            <v>NorwayANI YTD incl Asia - 5 pt</v>
          </cell>
          <cell r="B3285">
            <v>375253017.85500002</v>
          </cell>
          <cell r="C3285">
            <v>387261211.68000001</v>
          </cell>
          <cell r="D3285">
            <v>401130764.06999999</v>
          </cell>
          <cell r="E3285">
            <v>412558113.27600002</v>
          </cell>
          <cell r="F3285">
            <v>412558113.27600002</v>
          </cell>
          <cell r="G3285">
            <v>459051257.46886402</v>
          </cell>
          <cell r="H3285">
            <v>466825898.40139699</v>
          </cell>
          <cell r="I3285">
            <v>472849695.90439802</v>
          </cell>
          <cell r="J3285">
            <v>482368476.94261599</v>
          </cell>
          <cell r="K3285">
            <v>482368476.94261599</v>
          </cell>
          <cell r="L3285">
            <v>465383766.65499997</v>
          </cell>
          <cell r="M3285">
            <v>196435910.72823301</v>
          </cell>
          <cell r="N3285">
            <v>227780062.938795</v>
          </cell>
          <cell r="O3285">
            <v>256343733.88356999</v>
          </cell>
        </row>
        <row r="3286">
          <cell r="A3286" t="str">
            <v>NorwayOff Balance Sheet Assets</v>
          </cell>
          <cell r="B3286">
            <v>0</v>
          </cell>
          <cell r="C3286">
            <v>0</v>
          </cell>
          <cell r="D3286">
            <v>0</v>
          </cell>
          <cell r="E3286">
            <v>0</v>
          </cell>
          <cell r="F3286">
            <v>0</v>
          </cell>
          <cell r="G3286">
            <v>0</v>
          </cell>
          <cell r="H3286">
            <v>0</v>
          </cell>
          <cell r="I3286">
            <v>0</v>
          </cell>
          <cell r="J3286">
            <v>0</v>
          </cell>
          <cell r="K3286">
            <v>0</v>
          </cell>
          <cell r="L3286">
            <v>0</v>
          </cell>
          <cell r="M3286">
            <v>0</v>
          </cell>
          <cell r="N3286">
            <v>0</v>
          </cell>
          <cell r="O3286">
            <v>0</v>
          </cell>
        </row>
        <row r="3287">
          <cell r="A3287" t="str">
            <v>NorwayJV Receivables</v>
          </cell>
          <cell r="B3287">
            <v>0</v>
          </cell>
          <cell r="C3287">
            <v>0</v>
          </cell>
          <cell r="D3287">
            <v>0</v>
          </cell>
          <cell r="E3287">
            <v>0</v>
          </cell>
          <cell r="F3287">
            <v>0</v>
          </cell>
          <cell r="G3287">
            <v>0</v>
          </cell>
          <cell r="H3287">
            <v>0</v>
          </cell>
          <cell r="I3287">
            <v>0</v>
          </cell>
          <cell r="J3287">
            <v>0</v>
          </cell>
          <cell r="K3287">
            <v>0</v>
          </cell>
          <cell r="L3287">
            <v>0</v>
          </cell>
          <cell r="M3287">
            <v>0</v>
          </cell>
          <cell r="N3287">
            <v>0</v>
          </cell>
          <cell r="O3287">
            <v>0</v>
          </cell>
        </row>
        <row r="3288">
          <cell r="A3288" t="str">
            <v>Norway30+ DELINQUENCY $</v>
          </cell>
          <cell r="B3288">
            <v>43120952.350000001</v>
          </cell>
          <cell r="C3288">
            <v>47482702.75</v>
          </cell>
          <cell r="D3288">
            <v>46288659.359999999</v>
          </cell>
          <cell r="E3288">
            <v>49773295</v>
          </cell>
          <cell r="F3288">
            <v>49773295</v>
          </cell>
          <cell r="G3288">
            <v>48445332.286746003</v>
          </cell>
          <cell r="H3288">
            <v>51703375.922337003</v>
          </cell>
          <cell r="I3288">
            <v>55166330.967826001</v>
          </cell>
          <cell r="J3288">
            <v>58364414.428267002</v>
          </cell>
          <cell r="K3288">
            <v>58364414.428267002</v>
          </cell>
          <cell r="L3288">
            <v>50732639.600000001</v>
          </cell>
          <cell r="M3288">
            <v>62239017.568000004</v>
          </cell>
          <cell r="N3288">
            <v>71843739.465000004</v>
          </cell>
          <cell r="O3288">
            <v>80520100.493000001</v>
          </cell>
        </row>
        <row r="3289">
          <cell r="A3289" t="str">
            <v>Norway90+ DELINQUENCY $</v>
          </cell>
          <cell r="B3289">
            <v>15421033.609999999</v>
          </cell>
          <cell r="C3289">
            <v>16947399.940000001</v>
          </cell>
          <cell r="D3289">
            <v>16144499.18</v>
          </cell>
          <cell r="E3289">
            <v>17722310</v>
          </cell>
          <cell r="F3289">
            <v>17722310</v>
          </cell>
          <cell r="G3289">
            <v>18493851.088856</v>
          </cell>
          <cell r="H3289">
            <v>18833017.123401999</v>
          </cell>
          <cell r="I3289">
            <v>19847665.200601999</v>
          </cell>
          <cell r="J3289">
            <v>21616449.788247</v>
          </cell>
          <cell r="K3289">
            <v>21616449.788247</v>
          </cell>
          <cell r="L3289">
            <v>18173601.52</v>
          </cell>
          <cell r="M3289">
            <v>27229570.186000001</v>
          </cell>
          <cell r="N3289">
            <v>33060835.859999999</v>
          </cell>
          <cell r="O3289">
            <v>37766064.832999997</v>
          </cell>
        </row>
        <row r="3290">
          <cell r="A3290" t="str">
            <v>NorwayTemporary Staff</v>
          </cell>
          <cell r="B3290">
            <v>0</v>
          </cell>
          <cell r="C3290">
            <v>16</v>
          </cell>
          <cell r="D3290">
            <v>14</v>
          </cell>
          <cell r="E3290">
            <v>20</v>
          </cell>
          <cell r="F3290">
            <v>20</v>
          </cell>
          <cell r="G3290">
            <v>8</v>
          </cell>
          <cell r="H3290">
            <v>2</v>
          </cell>
          <cell r="I3290">
            <v>2</v>
          </cell>
          <cell r="J3290">
            <v>2</v>
          </cell>
          <cell r="K3290">
            <v>2</v>
          </cell>
          <cell r="L3290">
            <v>9</v>
          </cell>
          <cell r="M3290">
            <v>6</v>
          </cell>
          <cell r="N3290">
            <v>6</v>
          </cell>
          <cell r="O3290">
            <v>6</v>
          </cell>
        </row>
        <row r="3291">
          <cell r="A3291" t="str">
            <v>NorwayContractors</v>
          </cell>
          <cell r="B3291">
            <v>0</v>
          </cell>
          <cell r="C3291">
            <v>0</v>
          </cell>
          <cell r="D3291">
            <v>0</v>
          </cell>
          <cell r="E3291">
            <v>0</v>
          </cell>
          <cell r="F3291">
            <v>0</v>
          </cell>
          <cell r="G3291">
            <v>2</v>
          </cell>
          <cell r="H3291">
            <v>2</v>
          </cell>
          <cell r="I3291">
            <v>2</v>
          </cell>
          <cell r="J3291">
            <v>2</v>
          </cell>
          <cell r="K3291">
            <v>2</v>
          </cell>
          <cell r="L3291">
            <v>2</v>
          </cell>
          <cell r="M3291">
            <v>0</v>
          </cell>
          <cell r="N3291">
            <v>0</v>
          </cell>
          <cell r="O3291">
            <v>0</v>
          </cell>
        </row>
        <row r="3292">
          <cell r="A3292" t="str">
            <v>NorwayOutsourced to LCC</v>
          </cell>
          <cell r="B3292">
            <v>0</v>
          </cell>
          <cell r="C3292">
            <v>0</v>
          </cell>
          <cell r="D3292">
            <v>0</v>
          </cell>
          <cell r="E3292">
            <v>0</v>
          </cell>
          <cell r="F3292">
            <v>0</v>
          </cell>
          <cell r="G3292">
            <v>0</v>
          </cell>
          <cell r="H3292">
            <v>0</v>
          </cell>
          <cell r="I3292">
            <v>0</v>
          </cell>
          <cell r="J3292">
            <v>0</v>
          </cell>
          <cell r="K3292">
            <v>0</v>
          </cell>
          <cell r="L3292">
            <v>0</v>
          </cell>
          <cell r="M3292">
            <v>0</v>
          </cell>
          <cell r="N3292">
            <v>0</v>
          </cell>
          <cell r="O3292">
            <v>0</v>
          </cell>
        </row>
        <row r="3293">
          <cell r="A3293" t="str">
            <v>NorwayTotal Headcount</v>
          </cell>
          <cell r="B3293">
            <v>93</v>
          </cell>
          <cell r="C3293">
            <v>95</v>
          </cell>
          <cell r="D3293">
            <v>102</v>
          </cell>
          <cell r="E3293">
            <v>96</v>
          </cell>
          <cell r="F3293">
            <v>96</v>
          </cell>
          <cell r="G3293">
            <v>107</v>
          </cell>
          <cell r="H3293">
            <v>108</v>
          </cell>
          <cell r="I3293">
            <v>110</v>
          </cell>
          <cell r="J3293">
            <v>110</v>
          </cell>
          <cell r="K3293">
            <v>110</v>
          </cell>
          <cell r="L3293">
            <v>103.5</v>
          </cell>
          <cell r="M3293">
            <v>109</v>
          </cell>
          <cell r="N3293">
            <v>109</v>
          </cell>
          <cell r="O3293">
            <v>109</v>
          </cell>
        </row>
        <row r="3294">
          <cell r="A3294" t="str">
            <v>NorwayTotal Workforce</v>
          </cell>
          <cell r="B3294">
            <v>93</v>
          </cell>
          <cell r="C3294">
            <v>111</v>
          </cell>
          <cell r="D3294">
            <v>116</v>
          </cell>
          <cell r="E3294">
            <v>116</v>
          </cell>
          <cell r="F3294">
            <v>116</v>
          </cell>
          <cell r="G3294">
            <v>117</v>
          </cell>
          <cell r="H3294">
            <v>112</v>
          </cell>
          <cell r="I3294">
            <v>114</v>
          </cell>
          <cell r="J3294">
            <v>114</v>
          </cell>
          <cell r="K3294">
            <v>114</v>
          </cell>
          <cell r="L3294">
            <v>114.5</v>
          </cell>
          <cell r="M3294">
            <v>115</v>
          </cell>
          <cell r="N3294">
            <v>115</v>
          </cell>
          <cell r="O3294">
            <v>115</v>
          </cell>
        </row>
        <row r="3295">
          <cell r="A3295" t="str">
            <v>NorwayTotal Earned Revenue</v>
          </cell>
          <cell r="B3295">
            <v>-20497909.82</v>
          </cell>
          <cell r="C3295">
            <v>-20924352.719999999</v>
          </cell>
          <cell r="D3295">
            <v>-20947785.48</v>
          </cell>
          <cell r="E3295">
            <v>-22258153.510000002</v>
          </cell>
          <cell r="F3295">
            <v>-84628201.530000001</v>
          </cell>
          <cell r="G3295">
            <v>-22425241.706919</v>
          </cell>
          <cell r="H3295">
            <v>-23509329.785129</v>
          </cell>
          <cell r="I3295">
            <v>-24017853.108066998</v>
          </cell>
          <cell r="J3295">
            <v>-24895428.353422999</v>
          </cell>
          <cell r="K3295">
            <v>-94847852.953538999</v>
          </cell>
          <cell r="L3295">
            <v>-22333822.920000002</v>
          </cell>
          <cell r="M3295">
            <v>-99269827.747666001</v>
          </cell>
          <cell r="N3295">
            <v>-115389113.05061901</v>
          </cell>
          <cell r="O3295">
            <v>-131303249.90960599</v>
          </cell>
        </row>
        <row r="3296">
          <cell r="A3296" t="str">
            <v>NorwayOrdinary Gains - PreTax</v>
          </cell>
          <cell r="B3296">
            <v>0</v>
          </cell>
          <cell r="C3296">
            <v>0</v>
          </cell>
          <cell r="D3296">
            <v>0</v>
          </cell>
          <cell r="E3296">
            <v>0</v>
          </cell>
          <cell r="F3296">
            <v>0</v>
          </cell>
          <cell r="G3296">
            <v>0</v>
          </cell>
          <cell r="H3296">
            <v>0</v>
          </cell>
          <cell r="I3296">
            <v>0</v>
          </cell>
          <cell r="J3296">
            <v>0</v>
          </cell>
          <cell r="K3296">
            <v>0</v>
          </cell>
          <cell r="L3296">
            <v>0</v>
          </cell>
          <cell r="M3296">
            <v>0</v>
          </cell>
          <cell r="N3296">
            <v>0</v>
          </cell>
          <cell r="O3296">
            <v>0</v>
          </cell>
        </row>
        <row r="3297">
          <cell r="A3297" t="str">
            <v>NorwayOrdinary Gains - AfterTax</v>
          </cell>
          <cell r="B3297">
            <v>0</v>
          </cell>
          <cell r="C3297">
            <v>0</v>
          </cell>
          <cell r="D3297">
            <v>0</v>
          </cell>
          <cell r="E3297">
            <v>0</v>
          </cell>
          <cell r="F3297">
            <v>0</v>
          </cell>
          <cell r="G3297">
            <v>0</v>
          </cell>
          <cell r="H3297">
            <v>0</v>
          </cell>
          <cell r="I3297">
            <v>0</v>
          </cell>
          <cell r="J3297">
            <v>0</v>
          </cell>
          <cell r="K3297">
            <v>0</v>
          </cell>
          <cell r="L3297">
            <v>0</v>
          </cell>
          <cell r="M3297">
            <v>0</v>
          </cell>
          <cell r="N3297">
            <v>0</v>
          </cell>
          <cell r="O3297">
            <v>0</v>
          </cell>
        </row>
        <row r="3298">
          <cell r="A3298" t="str">
            <v>NorwayTotal Volume</v>
          </cell>
          <cell r="B3298">
            <v>105803550</v>
          </cell>
          <cell r="C3298">
            <v>128116309</v>
          </cell>
          <cell r="D3298">
            <v>100892625</v>
          </cell>
          <cell r="E3298">
            <v>117611150.75</v>
          </cell>
          <cell r="F3298">
            <v>452423634.75</v>
          </cell>
          <cell r="G3298">
            <v>118249106.95445199</v>
          </cell>
          <cell r="H3298">
            <v>131274117.850587</v>
          </cell>
          <cell r="I3298">
            <v>120382904.077003</v>
          </cell>
          <cell r="J3298">
            <v>140379961.256731</v>
          </cell>
          <cell r="K3298">
            <v>510286090.13877398</v>
          </cell>
          <cell r="L3298">
            <v>113535622.38</v>
          </cell>
          <cell r="M3298">
            <v>530960057</v>
          </cell>
          <cell r="N3298">
            <v>588400269</v>
          </cell>
          <cell r="O3298">
            <v>649761297</v>
          </cell>
        </row>
        <row r="3299">
          <cell r="A3299" t="str">
            <v>NorwayTOTAL # ACTIVE ACCOUNTS</v>
          </cell>
          <cell r="B3299">
            <v>176709</v>
          </cell>
          <cell r="C3299">
            <v>178367</v>
          </cell>
          <cell r="D3299">
            <v>180399</v>
          </cell>
          <cell r="E3299">
            <v>184502</v>
          </cell>
          <cell r="F3299">
            <v>184502</v>
          </cell>
          <cell r="G3299">
            <v>197188.00814600001</v>
          </cell>
          <cell r="H3299">
            <v>201833.106402</v>
          </cell>
          <cell r="I3299">
            <v>205687.26879999999</v>
          </cell>
          <cell r="J3299">
            <v>215138.596582</v>
          </cell>
          <cell r="K3299">
            <v>215138.596582</v>
          </cell>
          <cell r="L3299">
            <v>0</v>
          </cell>
          <cell r="M3299">
            <v>221817</v>
          </cell>
          <cell r="N3299">
            <v>252790</v>
          </cell>
          <cell r="O3299">
            <v>282015</v>
          </cell>
        </row>
        <row r="3300">
          <cell r="A3300" t="str">
            <v>Poland GECBTOTAL FINANCING RECEIVABLES</v>
          </cell>
          <cell r="B3300">
            <v>564325658.24000001</v>
          </cell>
          <cell r="C3300">
            <v>592218816.54999995</v>
          </cell>
          <cell r="D3300">
            <v>562964795.73000002</v>
          </cell>
          <cell r="E3300">
            <v>639912858.98000002</v>
          </cell>
          <cell r="F3300">
            <v>639912858.98000002</v>
          </cell>
          <cell r="G3300">
            <v>628200453.62760401</v>
          </cell>
          <cell r="H3300">
            <v>635032897.468853</v>
          </cell>
          <cell r="I3300">
            <v>661863973.159513</v>
          </cell>
          <cell r="J3300">
            <v>712548539.80555999</v>
          </cell>
          <cell r="K3300">
            <v>712548539.80555999</v>
          </cell>
          <cell r="L3300">
            <v>648012761.69000006</v>
          </cell>
          <cell r="M3300">
            <v>839373936.18582404</v>
          </cell>
          <cell r="N3300">
            <v>997015478.25586998</v>
          </cell>
          <cell r="O3300">
            <v>1115054891.1755099</v>
          </cell>
        </row>
        <row r="3301">
          <cell r="A3301" t="str">
            <v>Poland GECBRECEIVABLE RESERVES</v>
          </cell>
          <cell r="B3301">
            <v>-26202287.52</v>
          </cell>
          <cell r="C3301">
            <v>-29118469.809999999</v>
          </cell>
          <cell r="D3301">
            <v>-28034685.719999999</v>
          </cell>
          <cell r="E3301">
            <v>-28798281.579999998</v>
          </cell>
          <cell r="F3301">
            <v>-28798281.579999998</v>
          </cell>
          <cell r="G3301">
            <v>-28769856.631687</v>
          </cell>
          <cell r="H3301">
            <v>-29356411.741636999</v>
          </cell>
          <cell r="I3301">
            <v>-30370754.579872999</v>
          </cell>
          <cell r="J3301">
            <v>-33328932.057417002</v>
          </cell>
          <cell r="K3301">
            <v>-33328932.057417002</v>
          </cell>
          <cell r="L3301">
            <v>-31120409.02</v>
          </cell>
          <cell r="M3301">
            <v>-45960789.520846002</v>
          </cell>
          <cell r="N3301">
            <v>-57465932.879455999</v>
          </cell>
          <cell r="O3301">
            <v>-67668316.734041005</v>
          </cell>
        </row>
        <row r="3302">
          <cell r="A3302" t="str">
            <v>Poland GECBCASH</v>
          </cell>
          <cell r="B3302">
            <v>390219.9</v>
          </cell>
          <cell r="C3302">
            <v>579928.9</v>
          </cell>
          <cell r="D3302">
            <v>2416253.38</v>
          </cell>
          <cell r="E3302">
            <v>584181.43999999994</v>
          </cell>
          <cell r="F3302">
            <v>584181.43999999994</v>
          </cell>
          <cell r="G3302">
            <v>1293532.338308</v>
          </cell>
          <cell r="H3302">
            <v>1293532.338308</v>
          </cell>
          <cell r="I3302">
            <v>1293532.338308</v>
          </cell>
          <cell r="J3302">
            <v>1293532.338308</v>
          </cell>
          <cell r="K3302">
            <v>1293532.338308</v>
          </cell>
          <cell r="L3302">
            <v>1500209.23</v>
          </cell>
          <cell r="M3302">
            <v>1429011.4546320001</v>
          </cell>
          <cell r="N3302">
            <v>1697804.0677710001</v>
          </cell>
          <cell r="O3302">
            <v>1899100.53651</v>
          </cell>
        </row>
        <row r="3303">
          <cell r="A3303" t="str">
            <v>Poland GECBINVESTMENT SECURITIES</v>
          </cell>
          <cell r="B3303">
            <v>156232.38</v>
          </cell>
          <cell r="C3303">
            <v>169278.95</v>
          </cell>
          <cell r="D3303">
            <v>169559.53</v>
          </cell>
          <cell r="E3303">
            <v>181102.54</v>
          </cell>
          <cell r="F3303">
            <v>181102.54</v>
          </cell>
          <cell r="G3303">
            <v>177682.61014800001</v>
          </cell>
          <cell r="H3303">
            <v>179567.09601400001</v>
          </cell>
          <cell r="I3303">
            <v>187325.51727899999</v>
          </cell>
          <cell r="J3303">
            <v>202066.10125599999</v>
          </cell>
          <cell r="K3303">
            <v>202066.10125599999</v>
          </cell>
          <cell r="L3303">
            <v>1326304.21</v>
          </cell>
          <cell r="M3303">
            <v>199898.390694</v>
          </cell>
          <cell r="N3303">
            <v>237498.65668399999</v>
          </cell>
          <cell r="O3303">
            <v>265657.171455</v>
          </cell>
        </row>
        <row r="3304">
          <cell r="A3304" t="str">
            <v>Poland GECBINV IN NON CONSOL AFFILIATES</v>
          </cell>
          <cell r="B3304">
            <v>0</v>
          </cell>
          <cell r="C3304">
            <v>0</v>
          </cell>
          <cell r="D3304">
            <v>0</v>
          </cell>
          <cell r="E3304">
            <v>0</v>
          </cell>
          <cell r="F3304">
            <v>0</v>
          </cell>
          <cell r="G3304">
            <v>0</v>
          </cell>
          <cell r="H3304">
            <v>0</v>
          </cell>
          <cell r="I3304">
            <v>0</v>
          </cell>
          <cell r="J3304">
            <v>0</v>
          </cell>
          <cell r="K3304">
            <v>0</v>
          </cell>
          <cell r="L3304">
            <v>0</v>
          </cell>
          <cell r="M3304">
            <v>0</v>
          </cell>
          <cell r="N3304">
            <v>0</v>
          </cell>
          <cell r="O3304">
            <v>0</v>
          </cell>
        </row>
        <row r="3305">
          <cell r="A3305" t="str">
            <v>Poland GECBINVESTMENT IN JOINT VENTURE</v>
          </cell>
          <cell r="B3305">
            <v>0</v>
          </cell>
          <cell r="C3305">
            <v>0</v>
          </cell>
          <cell r="D3305">
            <v>0</v>
          </cell>
          <cell r="E3305">
            <v>0</v>
          </cell>
          <cell r="F3305">
            <v>0</v>
          </cell>
          <cell r="G3305">
            <v>0</v>
          </cell>
          <cell r="H3305">
            <v>0</v>
          </cell>
          <cell r="I3305">
            <v>0</v>
          </cell>
          <cell r="J3305">
            <v>0</v>
          </cell>
          <cell r="K3305">
            <v>0</v>
          </cell>
          <cell r="L3305">
            <v>0</v>
          </cell>
          <cell r="M3305">
            <v>0</v>
          </cell>
          <cell r="N3305">
            <v>0</v>
          </cell>
          <cell r="O3305">
            <v>0</v>
          </cell>
        </row>
        <row r="3306">
          <cell r="A3306" t="str">
            <v>Poland GECBALL OTHER RECEIVABLES (NON-FINANCING)</v>
          </cell>
          <cell r="B3306">
            <v>13731988.43</v>
          </cell>
          <cell r="C3306">
            <v>16213966.26</v>
          </cell>
          <cell r="D3306">
            <v>11354402.939999999</v>
          </cell>
          <cell r="E3306">
            <v>10028068.529999999</v>
          </cell>
          <cell r="F3306">
            <v>10028068.529999999</v>
          </cell>
          <cell r="G3306">
            <v>9818466.2884749994</v>
          </cell>
          <cell r="H3306">
            <v>9917574.1298999991</v>
          </cell>
          <cell r="I3306">
            <v>10344955.459446</v>
          </cell>
          <cell r="J3306">
            <v>11157276.652860999</v>
          </cell>
          <cell r="K3306">
            <v>11157276.652860999</v>
          </cell>
          <cell r="L3306">
            <v>9878951.8499999996</v>
          </cell>
          <cell r="M3306">
            <v>15861292.362675</v>
          </cell>
          <cell r="N3306">
            <v>18844752.157986999</v>
          </cell>
          <cell r="O3306">
            <v>21079039.456308</v>
          </cell>
        </row>
        <row r="3307">
          <cell r="A3307" t="str">
            <v>Poland GECBELTO (NET)</v>
          </cell>
          <cell r="B3307">
            <v>0</v>
          </cell>
          <cell r="C3307">
            <v>0</v>
          </cell>
          <cell r="D3307">
            <v>0</v>
          </cell>
          <cell r="E3307">
            <v>0</v>
          </cell>
          <cell r="F3307">
            <v>0</v>
          </cell>
          <cell r="G3307">
            <v>0</v>
          </cell>
          <cell r="H3307">
            <v>0</v>
          </cell>
          <cell r="I3307">
            <v>0</v>
          </cell>
          <cell r="J3307">
            <v>0</v>
          </cell>
          <cell r="K3307">
            <v>0</v>
          </cell>
          <cell r="L3307">
            <v>0</v>
          </cell>
          <cell r="M3307">
            <v>0</v>
          </cell>
          <cell r="N3307">
            <v>0</v>
          </cell>
          <cell r="O3307">
            <v>0</v>
          </cell>
        </row>
        <row r="3308">
          <cell r="A3308" t="str">
            <v>Poland GECBGOODWILL</v>
          </cell>
          <cell r="B3308">
            <v>0</v>
          </cell>
          <cell r="C3308">
            <v>0</v>
          </cell>
          <cell r="D3308">
            <v>0</v>
          </cell>
          <cell r="E3308">
            <v>0</v>
          </cell>
          <cell r="F3308">
            <v>0</v>
          </cell>
          <cell r="G3308">
            <v>0</v>
          </cell>
          <cell r="H3308">
            <v>0</v>
          </cell>
          <cell r="I3308">
            <v>0</v>
          </cell>
          <cell r="J3308">
            <v>0</v>
          </cell>
          <cell r="K3308">
            <v>0</v>
          </cell>
          <cell r="L3308">
            <v>0</v>
          </cell>
          <cell r="M3308">
            <v>6174747.6693599997</v>
          </cell>
          <cell r="N3308">
            <v>5442747.6693599997</v>
          </cell>
          <cell r="O3308">
            <v>4710747.6693599997</v>
          </cell>
        </row>
        <row r="3309">
          <cell r="A3309" t="str">
            <v>Poland GECBOTHER ASSETS</v>
          </cell>
          <cell r="B3309">
            <v>16092246.630000001</v>
          </cell>
          <cell r="C3309">
            <v>16111424.18</v>
          </cell>
          <cell r="D3309">
            <v>12489535.5</v>
          </cell>
          <cell r="E3309">
            <v>11734747.57</v>
          </cell>
          <cell r="F3309">
            <v>11734747.57</v>
          </cell>
          <cell r="G3309">
            <v>12548588.874898</v>
          </cell>
          <cell r="H3309">
            <v>13620503.349546</v>
          </cell>
          <cell r="I3309">
            <v>15376294.134674</v>
          </cell>
          <cell r="J3309">
            <v>16513405.18671</v>
          </cell>
          <cell r="K3309">
            <v>16513405.18671</v>
          </cell>
          <cell r="L3309">
            <v>11223870.050000001</v>
          </cell>
          <cell r="M3309">
            <v>28058732.725768998</v>
          </cell>
          <cell r="N3309">
            <v>33336493.142804001</v>
          </cell>
          <cell r="O3309">
            <v>37288962.380663998</v>
          </cell>
        </row>
        <row r="3310">
          <cell r="A3310" t="str">
            <v>Poland GECBACCOUNTS PAYABLE</v>
          </cell>
          <cell r="B3310">
            <v>-2828684.16</v>
          </cell>
          <cell r="C3310">
            <v>-3266622.51</v>
          </cell>
          <cell r="D3310">
            <v>-5495493.2199999997</v>
          </cell>
          <cell r="E3310">
            <v>-6643875.3799999999</v>
          </cell>
          <cell r="F3310">
            <v>-6643875.3799999999</v>
          </cell>
          <cell r="G3310">
            <v>-5829246.5581590002</v>
          </cell>
          <cell r="H3310">
            <v>-5888087.117013</v>
          </cell>
          <cell r="I3310">
            <v>-6141824.4188569998</v>
          </cell>
          <cell r="J3310">
            <v>-6624101.4244200001</v>
          </cell>
          <cell r="K3310">
            <v>-6624101.4244200001</v>
          </cell>
          <cell r="L3310">
            <v>-5437432.79</v>
          </cell>
          <cell r="M3310">
            <v>-4228486.1949129999</v>
          </cell>
          <cell r="N3310">
            <v>-5023851.3057190003</v>
          </cell>
          <cell r="O3310">
            <v>-5619493.3744980004</v>
          </cell>
        </row>
        <row r="3311">
          <cell r="A3311" t="str">
            <v>Poland GECBDEFERRED INCOME TAXES</v>
          </cell>
          <cell r="B3311">
            <v>8312790.8300000001</v>
          </cell>
          <cell r="C3311">
            <v>6388806.9199999999</v>
          </cell>
          <cell r="D3311">
            <v>9105194.4000000004</v>
          </cell>
          <cell r="E3311">
            <v>11615998.609999999</v>
          </cell>
          <cell r="F3311">
            <v>11615998.609999999</v>
          </cell>
          <cell r="G3311">
            <v>11315939.78411</v>
          </cell>
          <cell r="H3311">
            <v>11430163.160016</v>
          </cell>
          <cell r="I3311">
            <v>11922726.993094999</v>
          </cell>
          <cell r="J3311">
            <v>12858940.189734999</v>
          </cell>
          <cell r="K3311">
            <v>12858940.189734999</v>
          </cell>
          <cell r="L3311">
            <v>13165273.630000001</v>
          </cell>
          <cell r="M3311">
            <v>12425382.021319</v>
          </cell>
          <cell r="N3311">
            <v>14762557.760493999</v>
          </cell>
          <cell r="O3311">
            <v>16512848.505550999</v>
          </cell>
        </row>
        <row r="3312">
          <cell r="A3312" t="str">
            <v>Poland GECBWRITE-OFF (MEMO)</v>
          </cell>
          <cell r="B3312">
            <v>3018456.94</v>
          </cell>
          <cell r="C3312">
            <v>8571765.5700000003</v>
          </cell>
          <cell r="D3312">
            <v>14974714.23</v>
          </cell>
          <cell r="E3312">
            <v>23484593.260000002</v>
          </cell>
          <cell r="F3312">
            <v>23484593.260000002</v>
          </cell>
          <cell r="G3312">
            <v>3313422.6534640002</v>
          </cell>
          <cell r="H3312">
            <v>8234258.0924310004</v>
          </cell>
          <cell r="I3312">
            <v>14783327.299011</v>
          </cell>
          <cell r="J3312">
            <v>23418575.109351002</v>
          </cell>
          <cell r="K3312">
            <v>23418575.109351002</v>
          </cell>
          <cell r="L3312">
            <v>7977787.5999999996</v>
          </cell>
          <cell r="M3312">
            <v>20927680.07172</v>
          </cell>
          <cell r="N3312">
            <v>30034103.287445001</v>
          </cell>
          <cell r="O3312">
            <v>36316935.363260999</v>
          </cell>
        </row>
        <row r="3313">
          <cell r="A3313" t="str">
            <v>Poland GECBINSURANCE RESERVES AND ANNUITY BENEFITS</v>
          </cell>
          <cell r="B3313">
            <v>0</v>
          </cell>
          <cell r="C3313">
            <v>0</v>
          </cell>
          <cell r="D3313">
            <v>0</v>
          </cell>
          <cell r="E3313">
            <v>0</v>
          </cell>
          <cell r="F3313">
            <v>0</v>
          </cell>
          <cell r="G3313">
            <v>0</v>
          </cell>
          <cell r="H3313">
            <v>0</v>
          </cell>
          <cell r="I3313">
            <v>0</v>
          </cell>
          <cell r="J3313">
            <v>0</v>
          </cell>
          <cell r="K3313">
            <v>0</v>
          </cell>
          <cell r="L3313">
            <v>0</v>
          </cell>
          <cell r="M3313">
            <v>0</v>
          </cell>
          <cell r="N3313">
            <v>0</v>
          </cell>
          <cell r="O3313">
            <v>0</v>
          </cell>
        </row>
        <row r="3314">
          <cell r="A3314" t="str">
            <v>Poland GECBALL OTHER NON DEBT LIABILITIES</v>
          </cell>
          <cell r="B3314">
            <v>-216395694.65000001</v>
          </cell>
          <cell r="C3314">
            <v>-12753035.66</v>
          </cell>
          <cell r="D3314">
            <v>-7707348.7699999996</v>
          </cell>
          <cell r="E3314">
            <v>-11181680.99</v>
          </cell>
          <cell r="F3314">
            <v>-11181680.99</v>
          </cell>
          <cell r="G3314">
            <v>-10874538.247106999</v>
          </cell>
          <cell r="H3314">
            <v>-10984306.104986999</v>
          </cell>
          <cell r="I3314">
            <v>-11457656.471298</v>
          </cell>
          <cell r="J3314">
            <v>-12357350.744026</v>
          </cell>
          <cell r="K3314">
            <v>-12357350.744026</v>
          </cell>
          <cell r="L3314">
            <v>-8594503.9399999995</v>
          </cell>
          <cell r="M3314">
            <v>-18487856.396210998</v>
          </cell>
          <cell r="N3314">
            <v>-21965364.72267</v>
          </cell>
          <cell r="O3314">
            <v>-24569640.703134</v>
          </cell>
        </row>
        <row r="3315">
          <cell r="A3315" t="str">
            <v>Poland GECBMINORITY INTEREST (BS)</v>
          </cell>
          <cell r="B3315">
            <v>-6320491.4900000002</v>
          </cell>
          <cell r="C3315">
            <v>-6268033.3399999999</v>
          </cell>
          <cell r="D3315">
            <v>-6269397.25</v>
          </cell>
          <cell r="E3315">
            <v>-6267197.6399999997</v>
          </cell>
          <cell r="F3315">
            <v>-6267197.6399999997</v>
          </cell>
          <cell r="G3315">
            <v>-6540197.6399999997</v>
          </cell>
          <cell r="H3315">
            <v>-6936197.6399999997</v>
          </cell>
          <cell r="I3315">
            <v>-7246197.6399999997</v>
          </cell>
          <cell r="J3315">
            <v>-7396197.6399999997</v>
          </cell>
          <cell r="K3315">
            <v>-7396197.6399999997</v>
          </cell>
          <cell r="L3315">
            <v>-6604119.3300000001</v>
          </cell>
          <cell r="M3315">
            <v>0</v>
          </cell>
          <cell r="N3315">
            <v>0</v>
          </cell>
          <cell r="O3315">
            <v>0</v>
          </cell>
        </row>
        <row r="3316">
          <cell r="A3316" t="str">
            <v>Poland GECBASIA PACIFIC ENI DIVIDEND</v>
          </cell>
          <cell r="B3316">
            <v>0</v>
          </cell>
          <cell r="C3316">
            <v>0</v>
          </cell>
          <cell r="D3316">
            <v>0</v>
          </cell>
          <cell r="E3316">
            <v>0</v>
          </cell>
          <cell r="F3316">
            <v>0</v>
          </cell>
          <cell r="G3316">
            <v>0</v>
          </cell>
          <cell r="H3316">
            <v>0</v>
          </cell>
          <cell r="I3316">
            <v>0</v>
          </cell>
          <cell r="J3316">
            <v>0</v>
          </cell>
          <cell r="K3316">
            <v>0</v>
          </cell>
          <cell r="L3316">
            <v>0</v>
          </cell>
          <cell r="M3316">
            <v>0</v>
          </cell>
          <cell r="N3316">
            <v>0</v>
          </cell>
          <cell r="O3316">
            <v>0</v>
          </cell>
        </row>
        <row r="3317">
          <cell r="A3317" t="str">
            <v>Poland GECBFINANCING INCOME</v>
          </cell>
          <cell r="B3317">
            <v>-35952386.420000002</v>
          </cell>
          <cell r="C3317">
            <v>-38662588.890000001</v>
          </cell>
          <cell r="D3317">
            <v>-37641194.329999998</v>
          </cell>
          <cell r="E3317">
            <v>-37474036.479999997</v>
          </cell>
          <cell r="F3317">
            <v>-149730206.12</v>
          </cell>
          <cell r="G3317">
            <v>-38832199.447520003</v>
          </cell>
          <cell r="H3317">
            <v>-37748277.429820001</v>
          </cell>
          <cell r="I3317">
            <v>-38410775.926110998</v>
          </cell>
          <cell r="J3317">
            <v>-38652238.500418</v>
          </cell>
          <cell r="K3317">
            <v>-153643491.30386901</v>
          </cell>
          <cell r="L3317">
            <v>-43287070.810000002</v>
          </cell>
          <cell r="M3317">
            <v>-197527611.940299</v>
          </cell>
          <cell r="N3317">
            <v>-220759701.49253699</v>
          </cell>
          <cell r="O3317">
            <v>-240038059.701493</v>
          </cell>
        </row>
        <row r="3318">
          <cell r="A3318" t="str">
            <v>Poland GECBINSURANCE PREMIUM INCOME</v>
          </cell>
          <cell r="B3318">
            <v>0</v>
          </cell>
          <cell r="C3318">
            <v>0</v>
          </cell>
          <cell r="D3318">
            <v>0</v>
          </cell>
          <cell r="E3318">
            <v>0</v>
          </cell>
          <cell r="F3318">
            <v>0</v>
          </cell>
          <cell r="G3318">
            <v>0</v>
          </cell>
          <cell r="H3318">
            <v>0</v>
          </cell>
          <cell r="I3318">
            <v>0</v>
          </cell>
          <cell r="J3318">
            <v>0</v>
          </cell>
          <cell r="K3318">
            <v>0</v>
          </cell>
          <cell r="L3318">
            <v>0</v>
          </cell>
          <cell r="M3318">
            <v>0</v>
          </cell>
          <cell r="N3318">
            <v>0</v>
          </cell>
          <cell r="O3318">
            <v>0</v>
          </cell>
        </row>
        <row r="3319">
          <cell r="A3319" t="str">
            <v>Poland GECBINSURANCE INCOME (COMMISSIONS)</v>
          </cell>
          <cell r="B3319">
            <v>0</v>
          </cell>
          <cell r="C3319">
            <v>0</v>
          </cell>
          <cell r="D3319">
            <v>0</v>
          </cell>
          <cell r="E3319">
            <v>0</v>
          </cell>
          <cell r="F3319">
            <v>0</v>
          </cell>
          <cell r="G3319">
            <v>0</v>
          </cell>
          <cell r="H3319">
            <v>0</v>
          </cell>
          <cell r="I3319">
            <v>0</v>
          </cell>
          <cell r="J3319">
            <v>0</v>
          </cell>
          <cell r="K3319">
            <v>0</v>
          </cell>
          <cell r="L3319">
            <v>0</v>
          </cell>
          <cell r="M3319">
            <v>0</v>
          </cell>
          <cell r="N3319">
            <v>0</v>
          </cell>
          <cell r="O3319">
            <v>0</v>
          </cell>
        </row>
        <row r="3320">
          <cell r="A3320" t="str">
            <v>Poland GECBSUNDRY INCOME</v>
          </cell>
          <cell r="B3320">
            <v>1612863.7</v>
          </cell>
          <cell r="C3320">
            <v>-2506210.56</v>
          </cell>
          <cell r="D3320">
            <v>13025496.880000001</v>
          </cell>
          <cell r="E3320">
            <v>1662255.92</v>
          </cell>
          <cell r="F3320">
            <v>13794405.939999999</v>
          </cell>
          <cell r="G3320">
            <v>-26000</v>
          </cell>
          <cell r="H3320">
            <v>-26000</v>
          </cell>
          <cell r="I3320">
            <v>-26000</v>
          </cell>
          <cell r="J3320">
            <v>-26000</v>
          </cell>
          <cell r="K3320">
            <v>-104000</v>
          </cell>
          <cell r="L3320">
            <v>226227.3</v>
          </cell>
          <cell r="M3320">
            <v>-997000</v>
          </cell>
          <cell r="N3320">
            <v>-1205000</v>
          </cell>
          <cell r="O3320">
            <v>-1371000</v>
          </cell>
        </row>
        <row r="3321">
          <cell r="A3321" t="str">
            <v>Poland GECBINTEREST EXPENSE</v>
          </cell>
          <cell r="B3321">
            <v>20776265.5</v>
          </cell>
          <cell r="C3321">
            <v>24493511.550000001</v>
          </cell>
          <cell r="D3321">
            <v>6189278.3600000003</v>
          </cell>
          <cell r="E3321">
            <v>17590632.949999999</v>
          </cell>
          <cell r="F3321">
            <v>69049688.359999999</v>
          </cell>
          <cell r="G3321">
            <v>20136192.369515002</v>
          </cell>
          <cell r="H3321">
            <v>17862474.65233</v>
          </cell>
          <cell r="I3321">
            <v>18237106.380803999</v>
          </cell>
          <cell r="J3321">
            <v>18512312.481672</v>
          </cell>
          <cell r="K3321">
            <v>74748085.884321004</v>
          </cell>
          <cell r="L3321">
            <v>15793019.050000001</v>
          </cell>
          <cell r="M3321">
            <v>115325693.080304</v>
          </cell>
          <cell r="N3321">
            <v>121808426.602704</v>
          </cell>
          <cell r="O3321">
            <v>122816908.042437</v>
          </cell>
        </row>
        <row r="3322">
          <cell r="A3322" t="str">
            <v>Poland GECBINTEREST EXPENSE REDUCTIONS / BUS SHARING</v>
          </cell>
          <cell r="B3322">
            <v>0</v>
          </cell>
          <cell r="C3322">
            <v>0</v>
          </cell>
          <cell r="D3322">
            <v>0</v>
          </cell>
          <cell r="E3322">
            <v>0</v>
          </cell>
          <cell r="F3322">
            <v>0</v>
          </cell>
          <cell r="G3322">
            <v>0</v>
          </cell>
          <cell r="H3322">
            <v>0</v>
          </cell>
          <cell r="I3322">
            <v>0</v>
          </cell>
          <cell r="J3322">
            <v>0</v>
          </cell>
          <cell r="K3322">
            <v>0</v>
          </cell>
          <cell r="L3322">
            <v>0</v>
          </cell>
          <cell r="M3322">
            <v>0</v>
          </cell>
          <cell r="N3322">
            <v>0</v>
          </cell>
          <cell r="O3322">
            <v>0</v>
          </cell>
        </row>
        <row r="3323">
          <cell r="A3323" t="str">
            <v>Poland GECBALLOCATED COST OF PREFERRED EQUITY</v>
          </cell>
          <cell r="B3323">
            <v>71377.39</v>
          </cell>
          <cell r="C3323">
            <v>62830.23</v>
          </cell>
          <cell r="D3323">
            <v>45981.74</v>
          </cell>
          <cell r="E3323">
            <v>30823.85</v>
          </cell>
          <cell r="F3323">
            <v>211013.21</v>
          </cell>
          <cell r="G3323">
            <v>0</v>
          </cell>
          <cell r="H3323">
            <v>0</v>
          </cell>
          <cell r="I3323">
            <v>0</v>
          </cell>
          <cell r="J3323">
            <v>0</v>
          </cell>
          <cell r="K3323">
            <v>0</v>
          </cell>
          <cell r="L3323">
            <v>37929.019999999997</v>
          </cell>
          <cell r="M3323">
            <v>0</v>
          </cell>
          <cell r="N3323">
            <v>0</v>
          </cell>
          <cell r="O3323">
            <v>0</v>
          </cell>
        </row>
        <row r="3324">
          <cell r="A3324" t="str">
            <v>Poland GECBSALARIES &amp; BENEFITS</v>
          </cell>
          <cell r="B3324">
            <v>3517163.24</v>
          </cell>
          <cell r="C3324">
            <v>3858216.89</v>
          </cell>
          <cell r="D3324">
            <v>3414523.71</v>
          </cell>
          <cell r="E3324">
            <v>3325590.58</v>
          </cell>
          <cell r="F3324">
            <v>14115494.42</v>
          </cell>
          <cell r="G3324">
            <v>3514845.3099699998</v>
          </cell>
          <cell r="H3324">
            <v>3895892.8402189999</v>
          </cell>
          <cell r="I3324">
            <v>3686341.957035</v>
          </cell>
          <cell r="J3324">
            <v>4018855.9469849998</v>
          </cell>
          <cell r="K3324">
            <v>15115936.05421</v>
          </cell>
          <cell r="L3324">
            <v>3637350.74</v>
          </cell>
          <cell r="M3324">
            <v>13502753.0601</v>
          </cell>
          <cell r="N3324">
            <v>14320854.004899999</v>
          </cell>
          <cell r="O3324">
            <v>15188517.152059</v>
          </cell>
        </row>
        <row r="3325">
          <cell r="A3325" t="str">
            <v>Poland GECBLOSSES ON OTHER ASSETS</v>
          </cell>
          <cell r="B3325">
            <v>0</v>
          </cell>
          <cell r="C3325">
            <v>0</v>
          </cell>
          <cell r="D3325">
            <v>0</v>
          </cell>
          <cell r="E3325">
            <v>0</v>
          </cell>
          <cell r="F3325">
            <v>0</v>
          </cell>
          <cell r="G3325">
            <v>0</v>
          </cell>
          <cell r="H3325">
            <v>0</v>
          </cell>
          <cell r="I3325">
            <v>0</v>
          </cell>
          <cell r="J3325">
            <v>0</v>
          </cell>
          <cell r="K3325">
            <v>0</v>
          </cell>
          <cell r="L3325">
            <v>0</v>
          </cell>
          <cell r="M3325">
            <v>0</v>
          </cell>
          <cell r="N3325">
            <v>0</v>
          </cell>
          <cell r="O3325">
            <v>0</v>
          </cell>
        </row>
        <row r="3326">
          <cell r="A3326" t="str">
            <v>Poland GECBCOST OF GOODS SOLD</v>
          </cell>
          <cell r="B3326">
            <v>0</v>
          </cell>
          <cell r="C3326">
            <v>0</v>
          </cell>
          <cell r="D3326">
            <v>0</v>
          </cell>
          <cell r="E3326">
            <v>0</v>
          </cell>
          <cell r="F3326">
            <v>0</v>
          </cell>
          <cell r="G3326">
            <v>0</v>
          </cell>
          <cell r="H3326">
            <v>0</v>
          </cell>
          <cell r="I3326">
            <v>0</v>
          </cell>
          <cell r="J3326">
            <v>0</v>
          </cell>
          <cell r="K3326">
            <v>0</v>
          </cell>
          <cell r="L3326">
            <v>0</v>
          </cell>
          <cell r="M3326">
            <v>0</v>
          </cell>
          <cell r="N3326">
            <v>0</v>
          </cell>
          <cell r="O3326">
            <v>0</v>
          </cell>
        </row>
        <row r="3327">
          <cell r="A3327" t="str">
            <v>Poland GECBCOST OF GOODS SOLD - DISTRIBUTION</v>
          </cell>
          <cell r="B3327">
            <v>0</v>
          </cell>
          <cell r="C3327">
            <v>0</v>
          </cell>
          <cell r="D3327">
            <v>0</v>
          </cell>
          <cell r="E3327">
            <v>0</v>
          </cell>
          <cell r="F3327">
            <v>0</v>
          </cell>
          <cell r="G3327">
            <v>0</v>
          </cell>
          <cell r="H3327">
            <v>0</v>
          </cell>
          <cell r="I3327">
            <v>0</v>
          </cell>
          <cell r="J3327">
            <v>0</v>
          </cell>
          <cell r="K3327">
            <v>0</v>
          </cell>
          <cell r="L3327">
            <v>0</v>
          </cell>
          <cell r="M3327">
            <v>0</v>
          </cell>
          <cell r="N3327">
            <v>0</v>
          </cell>
          <cell r="O3327">
            <v>0</v>
          </cell>
        </row>
        <row r="3328">
          <cell r="A3328" t="str">
            <v>Poland GECBPOSTAGE</v>
          </cell>
          <cell r="B3328">
            <v>540506.31999999995</v>
          </cell>
          <cell r="C3328">
            <v>749365.87</v>
          </cell>
          <cell r="D3328">
            <v>732432.51</v>
          </cell>
          <cell r="E3328">
            <v>981407.45</v>
          </cell>
          <cell r="F3328">
            <v>3003712.15</v>
          </cell>
          <cell r="G3328">
            <v>753922.84564199997</v>
          </cell>
          <cell r="H3328">
            <v>846099.60104500002</v>
          </cell>
          <cell r="I3328">
            <v>794703.47357300005</v>
          </cell>
          <cell r="J3328">
            <v>1015937.575801</v>
          </cell>
          <cell r="K3328">
            <v>3410663.496061</v>
          </cell>
          <cell r="L3328">
            <v>838699.42</v>
          </cell>
          <cell r="M3328">
            <v>3425537.4665000001</v>
          </cell>
          <cell r="N3328">
            <v>4001445.0272039999</v>
          </cell>
          <cell r="O3328">
            <v>4456968.883711</v>
          </cell>
        </row>
        <row r="3329">
          <cell r="A3329" t="str">
            <v>Poland GECBTELEPHONE</v>
          </cell>
          <cell r="B3329">
            <v>648506.34</v>
          </cell>
          <cell r="C3329">
            <v>409940.22</v>
          </cell>
          <cell r="D3329">
            <v>364305.02</v>
          </cell>
          <cell r="E3329">
            <v>624822.59</v>
          </cell>
          <cell r="F3329">
            <v>2047574.17</v>
          </cell>
          <cell r="G3329">
            <v>425947.67808600003</v>
          </cell>
          <cell r="H3329">
            <v>426732.60557499999</v>
          </cell>
          <cell r="I3329">
            <v>434894.94948900002</v>
          </cell>
          <cell r="J3329">
            <v>448520.51651799999</v>
          </cell>
          <cell r="K3329">
            <v>1736095.749668</v>
          </cell>
          <cell r="L3329">
            <v>754624.08</v>
          </cell>
          <cell r="M3329">
            <v>2997821.7572750002</v>
          </cell>
          <cell r="N3329">
            <v>3501820.9785779999</v>
          </cell>
          <cell r="O3329">
            <v>3900467.7139730002</v>
          </cell>
        </row>
        <row r="3330">
          <cell r="A3330" t="str">
            <v>Poland GECBCUSTOMER SERVICE / COLLECTIONS</v>
          </cell>
          <cell r="B3330">
            <v>170275.5</v>
          </cell>
          <cell r="C3330">
            <v>159582.25</v>
          </cell>
          <cell r="D3330">
            <v>114723.92</v>
          </cell>
          <cell r="E3330">
            <v>125230.58</v>
          </cell>
          <cell r="F3330">
            <v>569812.25</v>
          </cell>
          <cell r="G3330">
            <v>172332.77728899999</v>
          </cell>
          <cell r="H3330">
            <v>157576.085647</v>
          </cell>
          <cell r="I3330">
            <v>182150.99149300001</v>
          </cell>
          <cell r="J3330">
            <v>188323.252886</v>
          </cell>
          <cell r="K3330">
            <v>700383.10731300001</v>
          </cell>
          <cell r="L3330">
            <v>165613.70000000001</v>
          </cell>
          <cell r="M3330">
            <v>1214995.96878</v>
          </cell>
          <cell r="N3330">
            <v>1501274.2515749999</v>
          </cell>
          <cell r="O3330">
            <v>1746440.3710449999</v>
          </cell>
        </row>
        <row r="3331">
          <cell r="A3331" t="str">
            <v>Poland GECBSTATIONARY - OFFICE SUPPLIES</v>
          </cell>
          <cell r="B3331">
            <v>475616.59</v>
          </cell>
          <cell r="C3331">
            <v>299035.34000000003</v>
          </cell>
          <cell r="D3331">
            <v>371163.33</v>
          </cell>
          <cell r="E3331">
            <v>637565.57999999996</v>
          </cell>
          <cell r="F3331">
            <v>1783380.84</v>
          </cell>
          <cell r="G3331">
            <v>319306.87027199997</v>
          </cell>
          <cell r="H3331">
            <v>330693.01639599999</v>
          </cell>
          <cell r="I3331">
            <v>393420.74194799998</v>
          </cell>
          <cell r="J3331">
            <v>394336.51855400001</v>
          </cell>
          <cell r="K3331">
            <v>1437757.147169</v>
          </cell>
          <cell r="L3331">
            <v>323845.39</v>
          </cell>
          <cell r="M3331">
            <v>2847354.0669180001</v>
          </cell>
          <cell r="N3331">
            <v>3410628.6344969999</v>
          </cell>
          <cell r="O3331">
            <v>3961543.2671420001</v>
          </cell>
        </row>
        <row r="3332">
          <cell r="A3332" t="str">
            <v>Poland GECBT&amp;L</v>
          </cell>
          <cell r="B3332">
            <v>305029.44</v>
          </cell>
          <cell r="C3332">
            <v>310961.95</v>
          </cell>
          <cell r="D3332">
            <v>320889.65000000002</v>
          </cell>
          <cell r="E3332">
            <v>365625.69</v>
          </cell>
          <cell r="F3332">
            <v>1302506.73</v>
          </cell>
          <cell r="G3332">
            <v>407745.132078</v>
          </cell>
          <cell r="H3332">
            <v>321304.68976600002</v>
          </cell>
          <cell r="I3332">
            <v>277988.01260900003</v>
          </cell>
          <cell r="J3332">
            <v>309672.44747100002</v>
          </cell>
          <cell r="K3332">
            <v>1316710.281924</v>
          </cell>
          <cell r="L3332">
            <v>352862.55</v>
          </cell>
          <cell r="M3332">
            <v>1346615.672209</v>
          </cell>
          <cell r="N3332">
            <v>1400480.2990969999</v>
          </cell>
          <cell r="O3332">
            <v>1456499.5110609999</v>
          </cell>
        </row>
        <row r="3333">
          <cell r="A3333" t="str">
            <v>Poland GECBRENTAL - BLDG/FACILITIES</v>
          </cell>
          <cell r="B3333">
            <v>693200.09</v>
          </cell>
          <cell r="C3333">
            <v>766320.14</v>
          </cell>
          <cell r="D3333">
            <v>757647.66</v>
          </cell>
          <cell r="E3333">
            <v>647849.06999999995</v>
          </cell>
          <cell r="F3333">
            <v>2865016.96</v>
          </cell>
          <cell r="G3333">
            <v>579003.50540999998</v>
          </cell>
          <cell r="H3333">
            <v>602809.77680400002</v>
          </cell>
          <cell r="I3333">
            <v>602809.77680400002</v>
          </cell>
          <cell r="J3333">
            <v>602809.77680400002</v>
          </cell>
          <cell r="K3333">
            <v>2387432.8358209999</v>
          </cell>
          <cell r="L3333">
            <v>700389.49</v>
          </cell>
          <cell r="M3333">
            <v>3339033.3245799998</v>
          </cell>
          <cell r="N3333">
            <v>3472594.657563</v>
          </cell>
          <cell r="O3333">
            <v>3611498.443866</v>
          </cell>
        </row>
        <row r="3334">
          <cell r="A3334" t="str">
            <v>Poland GECBRENTAL - FURNITURE/EQUIP</v>
          </cell>
          <cell r="B3334">
            <v>0</v>
          </cell>
          <cell r="C3334">
            <v>0</v>
          </cell>
          <cell r="D3334">
            <v>0</v>
          </cell>
          <cell r="E3334">
            <v>0</v>
          </cell>
          <cell r="F3334">
            <v>0</v>
          </cell>
          <cell r="G3334">
            <v>0</v>
          </cell>
          <cell r="H3334">
            <v>0</v>
          </cell>
          <cell r="I3334">
            <v>0</v>
          </cell>
          <cell r="J3334">
            <v>0</v>
          </cell>
          <cell r="K3334">
            <v>0</v>
          </cell>
          <cell r="L3334">
            <v>0</v>
          </cell>
          <cell r="M3334">
            <v>0</v>
          </cell>
          <cell r="N3334">
            <v>0</v>
          </cell>
          <cell r="O3334">
            <v>0</v>
          </cell>
        </row>
        <row r="3335">
          <cell r="A3335" t="str">
            <v>Poland GECBRENTAL - COMPUTERS</v>
          </cell>
          <cell r="B3335">
            <v>0</v>
          </cell>
          <cell r="C3335">
            <v>0</v>
          </cell>
          <cell r="D3335">
            <v>0</v>
          </cell>
          <cell r="E3335">
            <v>0</v>
          </cell>
          <cell r="F3335">
            <v>0</v>
          </cell>
          <cell r="G3335">
            <v>0</v>
          </cell>
          <cell r="H3335">
            <v>0</v>
          </cell>
          <cell r="I3335">
            <v>0</v>
          </cell>
          <cell r="J3335">
            <v>0</v>
          </cell>
          <cell r="K3335">
            <v>0</v>
          </cell>
          <cell r="L3335">
            <v>0</v>
          </cell>
          <cell r="M3335">
            <v>0</v>
          </cell>
          <cell r="N3335">
            <v>0</v>
          </cell>
          <cell r="O3335">
            <v>0</v>
          </cell>
        </row>
        <row r="3336">
          <cell r="A3336" t="str">
            <v>Poland GECBLEASE IN - LEASE OUT</v>
          </cell>
          <cell r="B3336">
            <v>0</v>
          </cell>
          <cell r="C3336">
            <v>0</v>
          </cell>
          <cell r="D3336">
            <v>0</v>
          </cell>
          <cell r="E3336">
            <v>0</v>
          </cell>
          <cell r="F3336">
            <v>0</v>
          </cell>
          <cell r="G3336">
            <v>0</v>
          </cell>
          <cell r="H3336">
            <v>0</v>
          </cell>
          <cell r="I3336">
            <v>0</v>
          </cell>
          <cell r="J3336">
            <v>0</v>
          </cell>
          <cell r="K3336">
            <v>0</v>
          </cell>
          <cell r="L3336">
            <v>0</v>
          </cell>
          <cell r="M3336">
            <v>0</v>
          </cell>
          <cell r="N3336">
            <v>0</v>
          </cell>
          <cell r="O3336">
            <v>0</v>
          </cell>
        </row>
        <row r="3337">
          <cell r="A3337" t="str">
            <v>Poland GECBFURNITURE / EQUIPMENT / COMPUTER EXP</v>
          </cell>
          <cell r="B3337">
            <v>155068.15</v>
          </cell>
          <cell r="C3337">
            <v>151622.79999999999</v>
          </cell>
          <cell r="D3337">
            <v>211193.25</v>
          </cell>
          <cell r="E3337">
            <v>97989.86</v>
          </cell>
          <cell r="F3337">
            <v>615874.06000000006</v>
          </cell>
          <cell r="G3337">
            <v>122875.933647</v>
          </cell>
          <cell r="H3337">
            <v>132838.620214</v>
          </cell>
          <cell r="I3337">
            <v>134247.82419399999</v>
          </cell>
          <cell r="J3337">
            <v>214873.446085</v>
          </cell>
          <cell r="K3337">
            <v>604835.82414000004</v>
          </cell>
          <cell r="L3337">
            <v>158273.01999999999</v>
          </cell>
          <cell r="M3337">
            <v>791798.43600999995</v>
          </cell>
          <cell r="N3337">
            <v>814302.67425100005</v>
          </cell>
          <cell r="O3337">
            <v>837699.08202099998</v>
          </cell>
        </row>
        <row r="3338">
          <cell r="A3338" t="str">
            <v>Poland GECBSOFTWARE EXPENSE</v>
          </cell>
          <cell r="B3338">
            <v>0</v>
          </cell>
          <cell r="C3338">
            <v>0</v>
          </cell>
          <cell r="D3338">
            <v>0</v>
          </cell>
          <cell r="E3338">
            <v>0</v>
          </cell>
          <cell r="F3338">
            <v>0</v>
          </cell>
          <cell r="G3338">
            <v>94624.839345</v>
          </cell>
          <cell r="H3338">
            <v>100741.986318</v>
          </cell>
          <cell r="I3338">
            <v>210203.75580399999</v>
          </cell>
          <cell r="J3338">
            <v>318218.47222200001</v>
          </cell>
          <cell r="K3338">
            <v>723789.05368999997</v>
          </cell>
          <cell r="L3338">
            <v>0</v>
          </cell>
          <cell r="M3338">
            <v>0</v>
          </cell>
          <cell r="N3338">
            <v>0</v>
          </cell>
          <cell r="O3338">
            <v>0</v>
          </cell>
        </row>
        <row r="3339">
          <cell r="A3339" t="str">
            <v>Poland GECBAMORTIZATION OF INTANGIBLES</v>
          </cell>
          <cell r="B3339">
            <v>43358.75</v>
          </cell>
          <cell r="C3339">
            <v>44669.120000000003</v>
          </cell>
          <cell r="D3339">
            <v>44968.58</v>
          </cell>
          <cell r="E3339">
            <v>71625.820000000007</v>
          </cell>
          <cell r="F3339">
            <v>204622.27</v>
          </cell>
          <cell r="G3339">
            <v>0</v>
          </cell>
          <cell r="H3339">
            <v>0</v>
          </cell>
          <cell r="I3339">
            <v>0</v>
          </cell>
          <cell r="J3339">
            <v>0</v>
          </cell>
          <cell r="K3339">
            <v>0</v>
          </cell>
          <cell r="L3339">
            <v>122349.26</v>
          </cell>
          <cell r="M3339">
            <v>0</v>
          </cell>
          <cell r="N3339">
            <v>0</v>
          </cell>
          <cell r="O3339">
            <v>0</v>
          </cell>
        </row>
        <row r="3340">
          <cell r="A3340" t="str">
            <v>Poland GECBELTO MAINTENANCE</v>
          </cell>
          <cell r="B3340">
            <v>0</v>
          </cell>
          <cell r="C3340">
            <v>0</v>
          </cell>
          <cell r="D3340">
            <v>0</v>
          </cell>
          <cell r="E3340">
            <v>0</v>
          </cell>
          <cell r="F3340">
            <v>0</v>
          </cell>
          <cell r="G3340">
            <v>0</v>
          </cell>
          <cell r="H3340">
            <v>0</v>
          </cell>
          <cell r="I3340">
            <v>0</v>
          </cell>
          <cell r="J3340">
            <v>0</v>
          </cell>
          <cell r="K3340">
            <v>0</v>
          </cell>
          <cell r="L3340">
            <v>0</v>
          </cell>
          <cell r="M3340">
            <v>0</v>
          </cell>
          <cell r="N3340">
            <v>0</v>
          </cell>
          <cell r="O3340">
            <v>0</v>
          </cell>
        </row>
        <row r="3341">
          <cell r="A3341" t="str">
            <v>Poland GECBELTO OTHER</v>
          </cell>
          <cell r="B3341">
            <v>0</v>
          </cell>
          <cell r="C3341">
            <v>0</v>
          </cell>
          <cell r="D3341">
            <v>0</v>
          </cell>
          <cell r="E3341">
            <v>0</v>
          </cell>
          <cell r="F3341">
            <v>0</v>
          </cell>
          <cell r="G3341">
            <v>0</v>
          </cell>
          <cell r="H3341">
            <v>0</v>
          </cell>
          <cell r="I3341">
            <v>0</v>
          </cell>
          <cell r="J3341">
            <v>0</v>
          </cell>
          <cell r="K3341">
            <v>0</v>
          </cell>
          <cell r="L3341">
            <v>0</v>
          </cell>
          <cell r="M3341">
            <v>0</v>
          </cell>
          <cell r="N3341">
            <v>0</v>
          </cell>
          <cell r="O3341">
            <v>0</v>
          </cell>
        </row>
        <row r="3342">
          <cell r="A3342" t="str">
            <v>Poland GECBLEGAL</v>
          </cell>
          <cell r="B3342">
            <v>13609.13</v>
          </cell>
          <cell r="C3342">
            <v>-13593.49</v>
          </cell>
          <cell r="D3342">
            <v>0</v>
          </cell>
          <cell r="E3342">
            <v>0</v>
          </cell>
          <cell r="F3342">
            <v>15.64</v>
          </cell>
          <cell r="G3342">
            <v>0</v>
          </cell>
          <cell r="H3342">
            <v>0</v>
          </cell>
          <cell r="I3342">
            <v>0</v>
          </cell>
          <cell r="J3342">
            <v>0</v>
          </cell>
          <cell r="K3342">
            <v>0</v>
          </cell>
          <cell r="L3342">
            <v>0</v>
          </cell>
          <cell r="M3342">
            <v>0</v>
          </cell>
          <cell r="N3342">
            <v>0</v>
          </cell>
          <cell r="O3342">
            <v>0</v>
          </cell>
        </row>
        <row r="3343">
          <cell r="A3343" t="str">
            <v>Poland GECBADVERTISING</v>
          </cell>
          <cell r="B3343">
            <v>228519.44</v>
          </cell>
          <cell r="C3343">
            <v>156624.56</v>
          </cell>
          <cell r="D3343">
            <v>161489.97</v>
          </cell>
          <cell r="E3343">
            <v>270199.17</v>
          </cell>
          <cell r="F3343">
            <v>816833.14</v>
          </cell>
          <cell r="G3343">
            <v>198324.25277200001</v>
          </cell>
          <cell r="H3343">
            <v>358239.49021000002</v>
          </cell>
          <cell r="I3343">
            <v>227602.22026100001</v>
          </cell>
          <cell r="J3343">
            <v>609515.62879700004</v>
          </cell>
          <cell r="K3343">
            <v>1393681.59204</v>
          </cell>
          <cell r="L3343">
            <v>555548.26</v>
          </cell>
          <cell r="M3343">
            <v>1932835.8208959999</v>
          </cell>
          <cell r="N3343">
            <v>2125783.5820900002</v>
          </cell>
          <cell r="O3343">
            <v>2243495.0248759999</v>
          </cell>
        </row>
        <row r="3344">
          <cell r="A3344" t="str">
            <v>Poland GECBSALES PROMOTIONS</v>
          </cell>
          <cell r="B3344">
            <v>215898.01</v>
          </cell>
          <cell r="C3344">
            <v>160425.44</v>
          </cell>
          <cell r="D3344">
            <v>183531.57</v>
          </cell>
          <cell r="E3344">
            <v>246291.02</v>
          </cell>
          <cell r="F3344">
            <v>806146.04</v>
          </cell>
          <cell r="G3344">
            <v>197112.926958</v>
          </cell>
          <cell r="H3344">
            <v>328447.96787599998</v>
          </cell>
          <cell r="I3344">
            <v>291365.13279300003</v>
          </cell>
          <cell r="J3344">
            <v>522029.19625400001</v>
          </cell>
          <cell r="K3344">
            <v>1338955.223881</v>
          </cell>
          <cell r="L3344">
            <v>95285.13</v>
          </cell>
          <cell r="M3344">
            <v>1484328.358209</v>
          </cell>
          <cell r="N3344">
            <v>1626716.4179100001</v>
          </cell>
          <cell r="O3344">
            <v>1807064.676617</v>
          </cell>
        </row>
        <row r="3345">
          <cell r="A3345" t="str">
            <v>Poland GECBDIRECT MAIL</v>
          </cell>
          <cell r="B3345">
            <v>0</v>
          </cell>
          <cell r="C3345">
            <v>0</v>
          </cell>
          <cell r="D3345">
            <v>0</v>
          </cell>
          <cell r="E3345">
            <v>0</v>
          </cell>
          <cell r="F3345">
            <v>0</v>
          </cell>
          <cell r="G3345">
            <v>0</v>
          </cell>
          <cell r="H3345">
            <v>0</v>
          </cell>
          <cell r="I3345">
            <v>0</v>
          </cell>
          <cell r="J3345">
            <v>0</v>
          </cell>
          <cell r="K3345">
            <v>0</v>
          </cell>
          <cell r="L3345">
            <v>0</v>
          </cell>
          <cell r="M3345">
            <v>0</v>
          </cell>
          <cell r="N3345">
            <v>0</v>
          </cell>
          <cell r="O3345">
            <v>0</v>
          </cell>
        </row>
        <row r="3346">
          <cell r="A3346" t="str">
            <v>Poland GECBDATA PROCESSING</v>
          </cell>
          <cell r="B3346">
            <v>0</v>
          </cell>
          <cell r="C3346">
            <v>0</v>
          </cell>
          <cell r="D3346">
            <v>128311.32</v>
          </cell>
          <cell r="E3346">
            <v>81009.77</v>
          </cell>
          <cell r="F3346">
            <v>209321.09</v>
          </cell>
          <cell r="G3346">
            <v>74818.735323000001</v>
          </cell>
          <cell r="H3346">
            <v>84572.333333000002</v>
          </cell>
          <cell r="I3346">
            <v>97893.470646999995</v>
          </cell>
          <cell r="J3346">
            <v>117397.249751</v>
          </cell>
          <cell r="K3346">
            <v>374681.789055</v>
          </cell>
          <cell r="L3346">
            <v>45863.73</v>
          </cell>
          <cell r="M3346">
            <v>352600</v>
          </cell>
          <cell r="N3346">
            <v>352600</v>
          </cell>
          <cell r="O3346">
            <v>352600</v>
          </cell>
        </row>
        <row r="3347">
          <cell r="A3347" t="str">
            <v>Poland GECBCONSULTING</v>
          </cell>
          <cell r="B3347">
            <v>0</v>
          </cell>
          <cell r="C3347">
            <v>0</v>
          </cell>
          <cell r="D3347">
            <v>0</v>
          </cell>
          <cell r="E3347">
            <v>0</v>
          </cell>
          <cell r="F3347">
            <v>0</v>
          </cell>
          <cell r="G3347">
            <v>0</v>
          </cell>
          <cell r="H3347">
            <v>0</v>
          </cell>
          <cell r="I3347">
            <v>0</v>
          </cell>
          <cell r="J3347">
            <v>0</v>
          </cell>
          <cell r="K3347">
            <v>0</v>
          </cell>
          <cell r="L3347">
            <v>0</v>
          </cell>
          <cell r="M3347">
            <v>0</v>
          </cell>
          <cell r="N3347">
            <v>0</v>
          </cell>
          <cell r="O3347">
            <v>0</v>
          </cell>
        </row>
        <row r="3348">
          <cell r="A3348" t="str">
            <v>Poland GECBTEMP SERVICES</v>
          </cell>
          <cell r="B3348">
            <v>659035.93999999994</v>
          </cell>
          <cell r="C3348">
            <v>678275.7</v>
          </cell>
          <cell r="D3348">
            <v>671806.2</v>
          </cell>
          <cell r="E3348">
            <v>985084.36</v>
          </cell>
          <cell r="F3348">
            <v>2994202.2</v>
          </cell>
          <cell r="G3348">
            <v>682352.04262199998</v>
          </cell>
          <cell r="H3348">
            <v>652202.06416399998</v>
          </cell>
          <cell r="I3348">
            <v>581492.50161899999</v>
          </cell>
          <cell r="J3348">
            <v>585359.61049999995</v>
          </cell>
          <cell r="K3348">
            <v>2501406.218905</v>
          </cell>
          <cell r="L3348">
            <v>522489.58</v>
          </cell>
          <cell r="M3348">
            <v>2020441.4908429999</v>
          </cell>
          <cell r="N3348">
            <v>2101259.150477</v>
          </cell>
          <cell r="O3348">
            <v>2185309.5164959999</v>
          </cell>
        </row>
        <row r="3349">
          <cell r="A3349" t="str">
            <v>Poland GECBGDC CHARGES</v>
          </cell>
          <cell r="B3349">
            <v>0</v>
          </cell>
          <cell r="C3349">
            <v>0</v>
          </cell>
          <cell r="D3349">
            <v>0</v>
          </cell>
          <cell r="E3349">
            <v>0</v>
          </cell>
          <cell r="F3349">
            <v>0</v>
          </cell>
          <cell r="G3349">
            <v>0</v>
          </cell>
          <cell r="H3349">
            <v>0</v>
          </cell>
          <cell r="I3349">
            <v>0</v>
          </cell>
          <cell r="J3349">
            <v>0</v>
          </cell>
          <cell r="K3349">
            <v>0</v>
          </cell>
          <cell r="L3349">
            <v>0</v>
          </cell>
          <cell r="M3349">
            <v>0</v>
          </cell>
          <cell r="N3349">
            <v>0</v>
          </cell>
          <cell r="O3349">
            <v>0</v>
          </cell>
        </row>
        <row r="3350">
          <cell r="A3350" t="str">
            <v>Poland GECBTRAINING AND EDUCATION</v>
          </cell>
          <cell r="B3350">
            <v>173057.29</v>
          </cell>
          <cell r="C3350">
            <v>59313.88</v>
          </cell>
          <cell r="D3350">
            <v>111742.2</v>
          </cell>
          <cell r="E3350">
            <v>106626.46</v>
          </cell>
          <cell r="F3350">
            <v>450739.83</v>
          </cell>
          <cell r="G3350">
            <v>103946.365974</v>
          </cell>
          <cell r="H3350">
            <v>130696.21505</v>
          </cell>
          <cell r="I3350">
            <v>119225.640313</v>
          </cell>
          <cell r="J3350">
            <v>90245.460256000006</v>
          </cell>
          <cell r="K3350">
            <v>444113.68159200001</v>
          </cell>
          <cell r="L3350">
            <v>80324.710000000006</v>
          </cell>
          <cell r="M3350">
            <v>709825.80625100003</v>
          </cell>
          <cell r="N3350">
            <v>845421.10407200002</v>
          </cell>
          <cell r="O3350">
            <v>960127.70044199994</v>
          </cell>
        </row>
        <row r="3351">
          <cell r="A3351" t="str">
            <v>Poland GECBOUTSIDE SERVICES  AND FEES</v>
          </cell>
          <cell r="B3351">
            <v>521779.12</v>
          </cell>
          <cell r="C3351">
            <v>31446.32</v>
          </cell>
          <cell r="D3351">
            <v>302254.24</v>
          </cell>
          <cell r="E3351">
            <v>639058.07999999996</v>
          </cell>
          <cell r="F3351">
            <v>1494537.76</v>
          </cell>
          <cell r="G3351">
            <v>561848.58851399994</v>
          </cell>
          <cell r="H3351">
            <v>810881.24991999997</v>
          </cell>
          <cell r="I3351">
            <v>492399.41186400002</v>
          </cell>
          <cell r="J3351">
            <v>458700.18253799999</v>
          </cell>
          <cell r="K3351">
            <v>2323829.4328359999</v>
          </cell>
          <cell r="L3351">
            <v>514761.51</v>
          </cell>
          <cell r="M3351">
            <v>1680749.031092</v>
          </cell>
          <cell r="N3351">
            <v>1851620.267825</v>
          </cell>
          <cell r="O3351">
            <v>1991488.6518870001</v>
          </cell>
        </row>
        <row r="3352">
          <cell r="A3352" t="str">
            <v>Poland GECBSTATE, FOREIGN, LOCAL TAXES</v>
          </cell>
          <cell r="B3352">
            <v>19269.3</v>
          </cell>
          <cell r="C3352">
            <v>32773.050000000003</v>
          </cell>
          <cell r="D3352">
            <v>29848.73</v>
          </cell>
          <cell r="E3352">
            <v>36603.379999999997</v>
          </cell>
          <cell r="F3352">
            <v>118494.46</v>
          </cell>
          <cell r="G3352">
            <v>29583.830846000001</v>
          </cell>
          <cell r="H3352">
            <v>29626.865672</v>
          </cell>
          <cell r="I3352">
            <v>29626.865672</v>
          </cell>
          <cell r="J3352">
            <v>29626.865672</v>
          </cell>
          <cell r="K3352">
            <v>118464.427861</v>
          </cell>
          <cell r="L3352">
            <v>22798.27</v>
          </cell>
          <cell r="M3352">
            <v>96591.421377999999</v>
          </cell>
          <cell r="N3352">
            <v>100455.07823299999</v>
          </cell>
          <cell r="O3352">
            <v>104473.281363</v>
          </cell>
        </row>
        <row r="3353">
          <cell r="A3353" t="str">
            <v>Poland GECBS/L TAX - INSURANCE PREMIUMS</v>
          </cell>
          <cell r="B3353">
            <v>0</v>
          </cell>
          <cell r="C3353">
            <v>0</v>
          </cell>
          <cell r="D3353">
            <v>0</v>
          </cell>
          <cell r="E3353">
            <v>0</v>
          </cell>
          <cell r="F3353">
            <v>0</v>
          </cell>
          <cell r="G3353">
            <v>0</v>
          </cell>
          <cell r="H3353">
            <v>0</v>
          </cell>
          <cell r="I3353">
            <v>0</v>
          </cell>
          <cell r="J3353">
            <v>0</v>
          </cell>
          <cell r="K3353">
            <v>0</v>
          </cell>
          <cell r="L3353">
            <v>0</v>
          </cell>
          <cell r="M3353">
            <v>0</v>
          </cell>
          <cell r="N3353">
            <v>0</v>
          </cell>
          <cell r="O3353">
            <v>0</v>
          </cell>
        </row>
        <row r="3354">
          <cell r="A3354" t="str">
            <v>Poland GECBSATELLITE LEASE EXPENSE</v>
          </cell>
          <cell r="B3354">
            <v>0</v>
          </cell>
          <cell r="C3354">
            <v>0</v>
          </cell>
          <cell r="D3354">
            <v>0</v>
          </cell>
          <cell r="E3354">
            <v>0</v>
          </cell>
          <cell r="F3354">
            <v>0</v>
          </cell>
          <cell r="G3354">
            <v>0</v>
          </cell>
          <cell r="H3354">
            <v>0</v>
          </cell>
          <cell r="I3354">
            <v>0</v>
          </cell>
          <cell r="J3354">
            <v>0</v>
          </cell>
          <cell r="K3354">
            <v>0</v>
          </cell>
          <cell r="L3354">
            <v>0</v>
          </cell>
          <cell r="M3354">
            <v>0</v>
          </cell>
          <cell r="N3354">
            <v>0</v>
          </cell>
          <cell r="O3354">
            <v>0</v>
          </cell>
        </row>
        <row r="3355">
          <cell r="A3355" t="str">
            <v>Poland GECBBUSINESS SHARE EXPENSE</v>
          </cell>
          <cell r="B3355">
            <v>0</v>
          </cell>
          <cell r="C3355">
            <v>0</v>
          </cell>
          <cell r="D3355">
            <v>0</v>
          </cell>
          <cell r="E3355">
            <v>0</v>
          </cell>
          <cell r="F3355">
            <v>0</v>
          </cell>
          <cell r="G3355">
            <v>0</v>
          </cell>
          <cell r="H3355">
            <v>0</v>
          </cell>
          <cell r="I3355">
            <v>0</v>
          </cell>
          <cell r="J3355">
            <v>0</v>
          </cell>
          <cell r="K3355">
            <v>0</v>
          </cell>
          <cell r="L3355">
            <v>0</v>
          </cell>
          <cell r="M3355">
            <v>0</v>
          </cell>
          <cell r="N3355">
            <v>0</v>
          </cell>
          <cell r="O3355">
            <v>0</v>
          </cell>
        </row>
        <row r="3356">
          <cell r="A3356" t="str">
            <v>Poland GECBINSURANCE AFFILIATE EXPENSE</v>
          </cell>
          <cell r="B3356">
            <v>0</v>
          </cell>
          <cell r="C3356">
            <v>0</v>
          </cell>
          <cell r="D3356">
            <v>0</v>
          </cell>
          <cell r="E3356">
            <v>0</v>
          </cell>
          <cell r="F3356">
            <v>0</v>
          </cell>
          <cell r="G3356">
            <v>0</v>
          </cell>
          <cell r="H3356">
            <v>0</v>
          </cell>
          <cell r="I3356">
            <v>0</v>
          </cell>
          <cell r="J3356">
            <v>0</v>
          </cell>
          <cell r="K3356">
            <v>0</v>
          </cell>
          <cell r="L3356">
            <v>0</v>
          </cell>
          <cell r="M3356">
            <v>0</v>
          </cell>
          <cell r="N3356">
            <v>0</v>
          </cell>
          <cell r="O3356">
            <v>0</v>
          </cell>
        </row>
        <row r="3357">
          <cell r="A3357" t="str">
            <v>Poland GECBOTHER FACILITY EXPENSE</v>
          </cell>
          <cell r="B3357">
            <v>167325.4</v>
          </cell>
          <cell r="C3357">
            <v>365140.25</v>
          </cell>
          <cell r="D3357">
            <v>-48258.05</v>
          </cell>
          <cell r="E3357">
            <v>133344.47</v>
          </cell>
          <cell r="F3357">
            <v>617552.06999999995</v>
          </cell>
          <cell r="G3357">
            <v>135158.63798599999</v>
          </cell>
          <cell r="H3357">
            <v>163832.61339400001</v>
          </cell>
          <cell r="I3357">
            <v>130377.16432900001</v>
          </cell>
          <cell r="J3357">
            <v>127132.400448</v>
          </cell>
          <cell r="K3357">
            <v>556500.81615700002</v>
          </cell>
          <cell r="L3357">
            <v>148326.6</v>
          </cell>
          <cell r="M3357">
            <v>551243.52149199997</v>
          </cell>
          <cell r="N3357">
            <v>572804.22899099998</v>
          </cell>
          <cell r="O3357">
            <v>595227.36479100003</v>
          </cell>
        </row>
        <row r="3358">
          <cell r="A3358" t="str">
            <v>Poland GECBGROSS OP &amp; ADMIN BUS SHARE</v>
          </cell>
          <cell r="B3358">
            <v>0</v>
          </cell>
          <cell r="C3358">
            <v>0</v>
          </cell>
          <cell r="D3358">
            <v>0</v>
          </cell>
          <cell r="E3358">
            <v>0</v>
          </cell>
          <cell r="F3358">
            <v>0</v>
          </cell>
          <cell r="G3358">
            <v>0</v>
          </cell>
          <cell r="H3358">
            <v>0</v>
          </cell>
          <cell r="I3358">
            <v>0</v>
          </cell>
          <cell r="J3358">
            <v>0</v>
          </cell>
          <cell r="K3358">
            <v>0</v>
          </cell>
          <cell r="L3358">
            <v>0</v>
          </cell>
          <cell r="M3358">
            <v>0</v>
          </cell>
          <cell r="N3358">
            <v>0</v>
          </cell>
          <cell r="O3358">
            <v>0</v>
          </cell>
        </row>
        <row r="3359">
          <cell r="A3359" t="str">
            <v>Poland GECBOTHER EXPENSE</v>
          </cell>
          <cell r="B3359">
            <v>21876.02</v>
          </cell>
          <cell r="C3359">
            <v>26940.92</v>
          </cell>
          <cell r="D3359">
            <v>10040.89</v>
          </cell>
          <cell r="E3359">
            <v>310126.32</v>
          </cell>
          <cell r="F3359">
            <v>368984.15</v>
          </cell>
          <cell r="G3359">
            <v>77383.830845999997</v>
          </cell>
          <cell r="H3359">
            <v>98871.641791000002</v>
          </cell>
          <cell r="I3359">
            <v>113539.303483</v>
          </cell>
          <cell r="J3359">
            <v>168543.283582</v>
          </cell>
          <cell r="K3359">
            <v>458338.05970099999</v>
          </cell>
          <cell r="L3359">
            <v>-33702.120000000003</v>
          </cell>
          <cell r="M3359">
            <v>317200</v>
          </cell>
          <cell r="N3359">
            <v>317200</v>
          </cell>
          <cell r="O3359">
            <v>317200</v>
          </cell>
        </row>
        <row r="3360">
          <cell r="A3360" t="str">
            <v>Poland GECBGECC INTERCO EXPENSES EXCL GECIS</v>
          </cell>
          <cell r="B3360">
            <v>0</v>
          </cell>
          <cell r="C3360">
            <v>0.68</v>
          </cell>
          <cell r="D3360">
            <v>0.68</v>
          </cell>
          <cell r="E3360">
            <v>-1.37</v>
          </cell>
          <cell r="F3360">
            <v>-0.01</v>
          </cell>
          <cell r="G3360">
            <v>0</v>
          </cell>
          <cell r="H3360">
            <v>0</v>
          </cell>
          <cell r="I3360">
            <v>0</v>
          </cell>
          <cell r="J3360">
            <v>0</v>
          </cell>
          <cell r="K3360">
            <v>0</v>
          </cell>
          <cell r="L3360">
            <v>0</v>
          </cell>
          <cell r="M3360">
            <v>0</v>
          </cell>
          <cell r="N3360">
            <v>0</v>
          </cell>
          <cell r="O3360">
            <v>0</v>
          </cell>
        </row>
        <row r="3361">
          <cell r="A3361" t="str">
            <v>Poland GECBGECIS INTERCO CHARGES</v>
          </cell>
          <cell r="B3361">
            <v>0</v>
          </cell>
          <cell r="C3361">
            <v>0</v>
          </cell>
          <cell r="D3361">
            <v>0</v>
          </cell>
          <cell r="E3361">
            <v>0</v>
          </cell>
          <cell r="F3361">
            <v>0</v>
          </cell>
          <cell r="G3361">
            <v>0</v>
          </cell>
          <cell r="H3361">
            <v>0</v>
          </cell>
          <cell r="I3361">
            <v>0</v>
          </cell>
          <cell r="J3361">
            <v>0</v>
          </cell>
          <cell r="K3361">
            <v>0</v>
          </cell>
          <cell r="L3361">
            <v>0</v>
          </cell>
          <cell r="M3361">
            <v>0</v>
          </cell>
          <cell r="N3361">
            <v>0</v>
          </cell>
          <cell r="O3361">
            <v>0</v>
          </cell>
        </row>
        <row r="3362">
          <cell r="A3362" t="str">
            <v>Poland GECBLOSS ADJUSTED EXPENSE</v>
          </cell>
          <cell r="B3362">
            <v>0</v>
          </cell>
          <cell r="C3362">
            <v>0</v>
          </cell>
          <cell r="D3362">
            <v>0</v>
          </cell>
          <cell r="E3362">
            <v>0</v>
          </cell>
          <cell r="F3362">
            <v>0</v>
          </cell>
          <cell r="G3362">
            <v>0</v>
          </cell>
          <cell r="H3362">
            <v>0</v>
          </cell>
          <cell r="I3362">
            <v>0</v>
          </cell>
          <cell r="J3362">
            <v>0</v>
          </cell>
          <cell r="K3362">
            <v>0</v>
          </cell>
          <cell r="L3362">
            <v>0</v>
          </cell>
          <cell r="M3362">
            <v>0</v>
          </cell>
          <cell r="N3362">
            <v>0</v>
          </cell>
          <cell r="O3362">
            <v>0</v>
          </cell>
        </row>
        <row r="3363">
          <cell r="A3363" t="str">
            <v>Poland GECBALL OTHER EXPENSES</v>
          </cell>
          <cell r="B3363">
            <v>-0.01</v>
          </cell>
          <cell r="C3363">
            <v>0</v>
          </cell>
          <cell r="D3363">
            <v>0.01</v>
          </cell>
          <cell r="E3363">
            <v>0</v>
          </cell>
          <cell r="F3363">
            <v>0</v>
          </cell>
          <cell r="G3363">
            <v>0</v>
          </cell>
          <cell r="H3363">
            <v>-443220.848642</v>
          </cell>
          <cell r="I3363">
            <v>-886441.69728399999</v>
          </cell>
          <cell r="J3363">
            <v>-886441.69728399999</v>
          </cell>
          <cell r="K3363">
            <v>-2216104.2432110002</v>
          </cell>
          <cell r="L3363">
            <v>0</v>
          </cell>
          <cell r="M3363">
            <v>0</v>
          </cell>
          <cell r="N3363">
            <v>0</v>
          </cell>
          <cell r="O3363">
            <v>0</v>
          </cell>
        </row>
        <row r="3364">
          <cell r="A3364" t="str">
            <v>Poland GECBASSESSMENTS</v>
          </cell>
          <cell r="B3364">
            <v>374360.34</v>
          </cell>
          <cell r="C3364">
            <v>340984.93</v>
          </cell>
          <cell r="D3364">
            <v>362355.7</v>
          </cell>
          <cell r="E3364">
            <v>-168465.64</v>
          </cell>
          <cell r="F3364">
            <v>909235.33</v>
          </cell>
          <cell r="G3364">
            <v>419687.40666099999</v>
          </cell>
          <cell r="H3364">
            <v>419687.40666099999</v>
          </cell>
          <cell r="I3364">
            <v>419687.40666099999</v>
          </cell>
          <cell r="J3364">
            <v>419687.40666099999</v>
          </cell>
          <cell r="K3364">
            <v>1678749.6266429999</v>
          </cell>
          <cell r="L3364">
            <v>444590.21</v>
          </cell>
          <cell r="M3364">
            <v>1763202.2843919999</v>
          </cell>
          <cell r="N3364">
            <v>2192672.6534159998</v>
          </cell>
          <cell r="O3364">
            <v>2527231.2534699999</v>
          </cell>
        </row>
        <row r="3365">
          <cell r="A3365" t="str">
            <v>Poland GECBFAS 91</v>
          </cell>
          <cell r="B3365">
            <v>-2868012.18</v>
          </cell>
          <cell r="C3365">
            <v>-1958841.43</v>
          </cell>
          <cell r="D3365">
            <v>-1937535.67</v>
          </cell>
          <cell r="E3365">
            <v>-2333348.4500000002</v>
          </cell>
          <cell r="F3365">
            <v>-9097737.7300000004</v>
          </cell>
          <cell r="G3365">
            <v>-2418619.2771970001</v>
          </cell>
          <cell r="H3365">
            <v>-2450986.1060819998</v>
          </cell>
          <cell r="I3365">
            <v>-2608167.1983429999</v>
          </cell>
          <cell r="J3365">
            <v>-2948229.5206570001</v>
          </cell>
          <cell r="K3365">
            <v>-10426002.10228</v>
          </cell>
          <cell r="L3365">
            <v>-671874</v>
          </cell>
          <cell r="M3365">
            <v>-13820551.832486</v>
          </cell>
          <cell r="N3365">
            <v>-13782619.241784999</v>
          </cell>
          <cell r="O3365">
            <v>-13627159.826959001</v>
          </cell>
        </row>
        <row r="3366">
          <cell r="A3366" t="str">
            <v>Poland GECBGOODWILL AMORTIZATION</v>
          </cell>
          <cell r="B3366">
            <v>0</v>
          </cell>
          <cell r="C3366">
            <v>0</v>
          </cell>
          <cell r="D3366">
            <v>0</v>
          </cell>
          <cell r="E3366">
            <v>0</v>
          </cell>
          <cell r="F3366">
            <v>0</v>
          </cell>
          <cell r="G3366">
            <v>0</v>
          </cell>
          <cell r="H3366">
            <v>0</v>
          </cell>
          <cell r="I3366">
            <v>0</v>
          </cell>
          <cell r="J3366">
            <v>0</v>
          </cell>
          <cell r="K3366">
            <v>0</v>
          </cell>
          <cell r="L3366">
            <v>0</v>
          </cell>
          <cell r="M3366">
            <v>732000</v>
          </cell>
          <cell r="N3366">
            <v>732000</v>
          </cell>
          <cell r="O3366">
            <v>732000</v>
          </cell>
        </row>
        <row r="3367">
          <cell r="A3367" t="str">
            <v>Poland GECBDEPRECIATION EXPENSE</v>
          </cell>
          <cell r="B3367">
            <v>510043.74</v>
          </cell>
          <cell r="C3367">
            <v>523293</v>
          </cell>
          <cell r="D3367">
            <v>557602.86</v>
          </cell>
          <cell r="E3367">
            <v>583936.05000000005</v>
          </cell>
          <cell r="F3367">
            <v>2174875.65</v>
          </cell>
          <cell r="G3367">
            <v>631074.95763199998</v>
          </cell>
          <cell r="H3367">
            <v>451344.414758</v>
          </cell>
          <cell r="I3367">
            <v>542937.07804000005</v>
          </cell>
          <cell r="J3367">
            <v>594425.47639500001</v>
          </cell>
          <cell r="K3367">
            <v>2219781.9268240002</v>
          </cell>
          <cell r="L3367">
            <v>667377.48</v>
          </cell>
          <cell r="M3367">
            <v>4871585.1254139999</v>
          </cell>
          <cell r="N3367">
            <v>4585055.8690900002</v>
          </cell>
          <cell r="O3367">
            <v>5119367.9529400002</v>
          </cell>
        </row>
        <row r="3368">
          <cell r="A3368" t="str">
            <v>Poland GECBELTO AMORTIZATION</v>
          </cell>
          <cell r="B3368">
            <v>0</v>
          </cell>
          <cell r="C3368">
            <v>0</v>
          </cell>
          <cell r="D3368">
            <v>0</v>
          </cell>
          <cell r="E3368">
            <v>0</v>
          </cell>
          <cell r="F3368">
            <v>0</v>
          </cell>
          <cell r="G3368">
            <v>0</v>
          </cell>
          <cell r="H3368">
            <v>0</v>
          </cell>
          <cell r="I3368">
            <v>0</v>
          </cell>
          <cell r="J3368">
            <v>0</v>
          </cell>
          <cell r="K3368">
            <v>0</v>
          </cell>
          <cell r="L3368">
            <v>0</v>
          </cell>
          <cell r="M3368">
            <v>0</v>
          </cell>
          <cell r="N3368">
            <v>0</v>
          </cell>
          <cell r="O3368">
            <v>0</v>
          </cell>
        </row>
        <row r="3369">
          <cell r="A3369" t="str">
            <v>Poland GECBINSURANCE LOSSES AND BENEFITS</v>
          </cell>
          <cell r="B3369">
            <v>0</v>
          </cell>
          <cell r="C3369">
            <v>0</v>
          </cell>
          <cell r="D3369">
            <v>0</v>
          </cell>
          <cell r="E3369">
            <v>0</v>
          </cell>
          <cell r="F3369">
            <v>0</v>
          </cell>
          <cell r="G3369">
            <v>0</v>
          </cell>
          <cell r="H3369">
            <v>0</v>
          </cell>
          <cell r="I3369">
            <v>0</v>
          </cell>
          <cell r="J3369">
            <v>0</v>
          </cell>
          <cell r="K3369">
            <v>0</v>
          </cell>
          <cell r="L3369">
            <v>0</v>
          </cell>
          <cell r="M3369">
            <v>0</v>
          </cell>
          <cell r="N3369">
            <v>0</v>
          </cell>
          <cell r="O3369">
            <v>0</v>
          </cell>
        </row>
        <row r="3370">
          <cell r="A3370" t="str">
            <v>Poland GECBWRITE OFFS</v>
          </cell>
          <cell r="B3370">
            <v>6726549.6600000001</v>
          </cell>
          <cell r="C3370">
            <v>7343898.6799999997</v>
          </cell>
          <cell r="D3370">
            <v>7568153.3300000001</v>
          </cell>
          <cell r="E3370">
            <v>7437759.5499999998</v>
          </cell>
          <cell r="F3370">
            <v>29076361.219999999</v>
          </cell>
          <cell r="G3370">
            <v>7592014.2947650002</v>
          </cell>
          <cell r="H3370">
            <v>6602389.9394659996</v>
          </cell>
          <cell r="I3370">
            <v>8196617.5248180004</v>
          </cell>
          <cell r="J3370">
            <v>9632195.8343400005</v>
          </cell>
          <cell r="K3370">
            <v>32023217.593389999</v>
          </cell>
          <cell r="L3370">
            <v>11244068.73</v>
          </cell>
          <cell r="M3370">
            <v>34917419.397667997</v>
          </cell>
          <cell r="N3370">
            <v>41539246.646054998</v>
          </cell>
          <cell r="O3370">
            <v>46521000</v>
          </cell>
        </row>
        <row r="3371">
          <cell r="A3371" t="str">
            <v>Poland GECBRESERVE CHANGE</v>
          </cell>
          <cell r="B3371">
            <v>0</v>
          </cell>
          <cell r="C3371">
            <v>0</v>
          </cell>
          <cell r="D3371">
            <v>0</v>
          </cell>
          <cell r="E3371">
            <v>0</v>
          </cell>
          <cell r="F3371">
            <v>0</v>
          </cell>
          <cell r="G3371">
            <v>0</v>
          </cell>
          <cell r="H3371">
            <v>0</v>
          </cell>
          <cell r="I3371">
            <v>0</v>
          </cell>
          <cell r="J3371">
            <v>0</v>
          </cell>
          <cell r="K3371">
            <v>0</v>
          </cell>
          <cell r="L3371">
            <v>0</v>
          </cell>
          <cell r="M3371">
            <v>0</v>
          </cell>
          <cell r="N3371">
            <v>0</v>
          </cell>
          <cell r="O3371">
            <v>0</v>
          </cell>
        </row>
        <row r="3372">
          <cell r="A3372" t="str">
            <v>Poland GECBMINORITY INTEREST</v>
          </cell>
          <cell r="B3372">
            <v>-51428.28</v>
          </cell>
          <cell r="C3372">
            <v>-52458.15</v>
          </cell>
          <cell r="D3372">
            <v>1363.91</v>
          </cell>
          <cell r="E3372">
            <v>256807.16</v>
          </cell>
          <cell r="F3372">
            <v>154284.64000000001</v>
          </cell>
          <cell r="G3372">
            <v>245571.28083199999</v>
          </cell>
          <cell r="H3372">
            <v>355640.86726999999</v>
          </cell>
          <cell r="I3372">
            <v>348008.320717</v>
          </cell>
          <cell r="J3372">
            <v>190195.531181</v>
          </cell>
          <cell r="K3372">
            <v>1139416</v>
          </cell>
          <cell r="L3372">
            <v>336921.69</v>
          </cell>
          <cell r="M3372">
            <v>0</v>
          </cell>
          <cell r="N3372">
            <v>0</v>
          </cell>
          <cell r="O3372">
            <v>0</v>
          </cell>
        </row>
        <row r="3373">
          <cell r="A3373" t="str">
            <v>Poland GECBINCOME TAXES</v>
          </cell>
          <cell r="B3373">
            <v>78772.55</v>
          </cell>
          <cell r="C3373">
            <v>787243.45</v>
          </cell>
          <cell r="D3373">
            <v>1369007.49</v>
          </cell>
          <cell r="E3373">
            <v>1060657.49</v>
          </cell>
          <cell r="F3373">
            <v>3295680.98</v>
          </cell>
          <cell r="G3373">
            <v>1469225.832738</v>
          </cell>
          <cell r="H3373">
            <v>2127760.0035270001</v>
          </cell>
          <cell r="I3373">
            <v>2082095.3210469999</v>
          </cell>
          <cell r="J3373">
            <v>1137918.8426880001</v>
          </cell>
          <cell r="K3373">
            <v>6817000</v>
          </cell>
          <cell r="L3373">
            <v>2331393.35</v>
          </cell>
          <cell r="M3373">
            <v>5997956.3898809999</v>
          </cell>
          <cell r="N3373">
            <v>8335495.9339960003</v>
          </cell>
          <cell r="O3373">
            <v>11576844.528926</v>
          </cell>
        </row>
        <row r="3374">
          <cell r="A3374" t="str">
            <v>Poland GECBCUMULATIVE TRANSITION ADJUSTMENT</v>
          </cell>
          <cell r="B3374">
            <v>-613315.53</v>
          </cell>
          <cell r="C3374">
            <v>0</v>
          </cell>
          <cell r="D3374">
            <v>0</v>
          </cell>
          <cell r="E3374">
            <v>0</v>
          </cell>
          <cell r="F3374">
            <v>-613315.53</v>
          </cell>
          <cell r="G3374">
            <v>0</v>
          </cell>
          <cell r="H3374">
            <v>0</v>
          </cell>
          <cell r="I3374">
            <v>0</v>
          </cell>
          <cell r="J3374">
            <v>0</v>
          </cell>
          <cell r="K3374">
            <v>0</v>
          </cell>
          <cell r="L3374">
            <v>0</v>
          </cell>
          <cell r="M3374">
            <v>0</v>
          </cell>
          <cell r="N3374">
            <v>0</v>
          </cell>
          <cell r="O3374">
            <v>0</v>
          </cell>
        </row>
        <row r="3375">
          <cell r="A3375" t="str">
            <v>Poland GECBASIA PACIFIC NI DIVIDEND</v>
          </cell>
          <cell r="B3375">
            <v>0</v>
          </cell>
          <cell r="C3375">
            <v>0</v>
          </cell>
          <cell r="D3375">
            <v>0</v>
          </cell>
          <cell r="E3375">
            <v>0</v>
          </cell>
          <cell r="F3375">
            <v>0</v>
          </cell>
          <cell r="G3375">
            <v>0</v>
          </cell>
          <cell r="H3375">
            <v>0</v>
          </cell>
          <cell r="I3375">
            <v>0</v>
          </cell>
          <cell r="J3375">
            <v>0</v>
          </cell>
          <cell r="K3375">
            <v>0</v>
          </cell>
          <cell r="L3375">
            <v>0</v>
          </cell>
          <cell r="M3375">
            <v>0</v>
          </cell>
          <cell r="N3375">
            <v>0</v>
          </cell>
          <cell r="O3375">
            <v>0</v>
          </cell>
        </row>
        <row r="3376">
          <cell r="A3376" t="str">
            <v>Poland GECBNet Income</v>
          </cell>
          <cell r="B3376">
            <v>-765815.47</v>
          </cell>
          <cell r="C3376">
            <v>-1381275.3</v>
          </cell>
          <cell r="D3376">
            <v>-2576874.34</v>
          </cell>
          <cell r="E3376">
            <v>-1666928.72</v>
          </cell>
          <cell r="F3376">
            <v>-6390893.8300000001</v>
          </cell>
          <cell r="G3376">
            <v>-2331918.478997</v>
          </cell>
          <cell r="H3376">
            <v>-3377127.4371400001</v>
          </cell>
          <cell r="I3376">
            <v>-3304649.5957229999</v>
          </cell>
          <cell r="J3376">
            <v>-1806076.314298</v>
          </cell>
          <cell r="K3376">
            <v>-10819771.826159</v>
          </cell>
          <cell r="L3376">
            <v>-3871714.66</v>
          </cell>
          <cell r="M3376">
            <v>-10125582.292594999</v>
          </cell>
          <cell r="N3376">
            <v>-14237162.671799</v>
          </cell>
          <cell r="O3376">
            <v>-20026247.109329998</v>
          </cell>
        </row>
        <row r="3377">
          <cell r="A3377" t="str">
            <v>Poland GECBSubPart F</v>
          </cell>
          <cell r="B3377">
            <v>0</v>
          </cell>
          <cell r="C3377">
            <v>0</v>
          </cell>
          <cell r="D3377">
            <v>0</v>
          </cell>
          <cell r="E3377">
            <v>0</v>
          </cell>
          <cell r="F3377">
            <v>0</v>
          </cell>
          <cell r="G3377">
            <v>0</v>
          </cell>
          <cell r="H3377">
            <v>0</v>
          </cell>
          <cell r="I3377">
            <v>0</v>
          </cell>
          <cell r="J3377">
            <v>0</v>
          </cell>
          <cell r="K3377">
            <v>0</v>
          </cell>
          <cell r="L3377">
            <v>0</v>
          </cell>
          <cell r="M3377">
            <v>0</v>
          </cell>
          <cell r="N3377">
            <v>0</v>
          </cell>
          <cell r="O3377">
            <v>0</v>
          </cell>
        </row>
        <row r="3378">
          <cell r="A3378" t="str">
            <v>Poland GECBAssets</v>
          </cell>
          <cell r="B3378">
            <v>568494058.05999994</v>
          </cell>
          <cell r="C3378">
            <v>596174945.02999997</v>
          </cell>
          <cell r="D3378">
            <v>561359861.36000001</v>
          </cell>
          <cell r="E3378">
            <v>633642677.48000002</v>
          </cell>
          <cell r="F3378">
            <v>633642677.48000002</v>
          </cell>
          <cell r="G3378">
            <v>623268867.10774601</v>
          </cell>
          <cell r="H3378">
            <v>630687662.64098501</v>
          </cell>
          <cell r="I3378">
            <v>658695326.02934802</v>
          </cell>
          <cell r="J3378">
            <v>708385888.02727997</v>
          </cell>
          <cell r="K3378">
            <v>708385888.02727997</v>
          </cell>
          <cell r="L3378">
            <v>640821688.00999999</v>
          </cell>
          <cell r="M3378">
            <v>845136829.26810706</v>
          </cell>
          <cell r="N3378">
            <v>999108841.07102001</v>
          </cell>
          <cell r="O3378">
            <v>1112630081.65576</v>
          </cell>
        </row>
        <row r="3379">
          <cell r="A3379" t="str">
            <v>Poland GECBEnding Net Investment (ENI) incl Asia</v>
          </cell>
          <cell r="B3379">
            <v>351261978.58999997</v>
          </cell>
          <cell r="C3379">
            <v>580276060.44000006</v>
          </cell>
          <cell r="D3379">
            <v>550992816.51999998</v>
          </cell>
          <cell r="E3379">
            <v>621165922.08000004</v>
          </cell>
          <cell r="F3379">
            <v>621165922.08000004</v>
          </cell>
          <cell r="G3379">
            <v>611340824.44659102</v>
          </cell>
          <cell r="H3379">
            <v>618309234.93900001</v>
          </cell>
          <cell r="I3379">
            <v>645772374.49228799</v>
          </cell>
          <cell r="J3379">
            <v>694867178.40856695</v>
          </cell>
          <cell r="K3379">
            <v>694867178.40856695</v>
          </cell>
          <cell r="L3379">
            <v>633350905.58000004</v>
          </cell>
          <cell r="M3379">
            <v>834845868.69830203</v>
          </cell>
          <cell r="N3379">
            <v>986882182.80312598</v>
          </cell>
          <cell r="O3379">
            <v>1098953796.0836799</v>
          </cell>
        </row>
        <row r="3380">
          <cell r="A3380" t="str">
            <v>Poland GECBANR YTD</v>
          </cell>
          <cell r="B3380">
            <v>538346288.66499996</v>
          </cell>
          <cell r="C3380">
            <v>556303797.96000004</v>
          </cell>
          <cell r="D3380">
            <v>557969047.40250003</v>
          </cell>
          <cell r="E3380">
            <v>574357809.71800005</v>
          </cell>
          <cell r="F3380">
            <v>574357809.71800005</v>
          </cell>
          <cell r="G3380">
            <v>634056656.30380201</v>
          </cell>
          <cell r="H3380">
            <v>634382070.02548599</v>
          </cell>
          <cell r="I3380">
            <v>641252545.80899203</v>
          </cell>
          <cell r="J3380">
            <v>655511744.60830605</v>
          </cell>
          <cell r="K3380">
            <v>655511744.60830605</v>
          </cell>
          <cell r="L3380">
            <v>643962810.33500004</v>
          </cell>
          <cell r="M3380">
            <v>299205907.19111699</v>
          </cell>
          <cell r="N3380">
            <v>367277882.88833898</v>
          </cell>
          <cell r="O3380">
            <v>422414073.88627601</v>
          </cell>
        </row>
        <row r="3381">
          <cell r="A3381" t="str">
            <v>Poland GECBASA YTD</v>
          </cell>
          <cell r="B3381">
            <v>538346288.66499996</v>
          </cell>
          <cell r="C3381">
            <v>556303797.96000004</v>
          </cell>
          <cell r="D3381">
            <v>557969047.40250003</v>
          </cell>
          <cell r="E3381">
            <v>574357809.71800005</v>
          </cell>
          <cell r="F3381">
            <v>574357809.71800005</v>
          </cell>
          <cell r="G3381">
            <v>634056656.30380201</v>
          </cell>
          <cell r="H3381">
            <v>634382070.02548599</v>
          </cell>
          <cell r="I3381">
            <v>641252545.80899203</v>
          </cell>
          <cell r="J3381">
            <v>655511744.60830605</v>
          </cell>
          <cell r="K3381">
            <v>655511744.60830605</v>
          </cell>
          <cell r="L3381">
            <v>645927813.33000004</v>
          </cell>
          <cell r="M3381">
            <v>299205907.19111699</v>
          </cell>
          <cell r="N3381">
            <v>367277882.88833898</v>
          </cell>
          <cell r="O3381">
            <v>422414073.88627601</v>
          </cell>
        </row>
        <row r="3382">
          <cell r="A3382" t="str">
            <v>Poland GECBANI YTD incl Asia - 5 pt</v>
          </cell>
          <cell r="B3382">
            <v>426662850.32999998</v>
          </cell>
          <cell r="C3382">
            <v>477867253.69999999</v>
          </cell>
          <cell r="D3382">
            <v>496148644.40499997</v>
          </cell>
          <cell r="E3382">
            <v>521152099.94</v>
          </cell>
          <cell r="F3382">
            <v>521152099.94</v>
          </cell>
          <cell r="G3382">
            <v>616253373.26329505</v>
          </cell>
          <cell r="H3382">
            <v>616938660.48853004</v>
          </cell>
          <cell r="I3382">
            <v>624147088.98947001</v>
          </cell>
          <cell r="J3382">
            <v>638291106.87328899</v>
          </cell>
          <cell r="K3382">
            <v>638291106.87328899</v>
          </cell>
          <cell r="L3382">
            <v>627258413.83000004</v>
          </cell>
          <cell r="M3382">
            <v>298794447.01694101</v>
          </cell>
          <cell r="N3382">
            <v>364345610.300286</v>
          </cell>
          <cell r="O3382">
            <v>417167195.77736199</v>
          </cell>
        </row>
        <row r="3383">
          <cell r="A3383" t="str">
            <v>Poland GECBOff Balance Sheet Assets</v>
          </cell>
          <cell r="B3383">
            <v>0</v>
          </cell>
          <cell r="C3383">
            <v>0</v>
          </cell>
          <cell r="D3383">
            <v>0</v>
          </cell>
          <cell r="E3383">
            <v>0</v>
          </cell>
          <cell r="F3383">
            <v>0</v>
          </cell>
          <cell r="G3383">
            <v>0</v>
          </cell>
          <cell r="H3383">
            <v>0</v>
          </cell>
          <cell r="I3383">
            <v>0</v>
          </cell>
          <cell r="J3383">
            <v>0</v>
          </cell>
          <cell r="K3383">
            <v>0</v>
          </cell>
          <cell r="L3383">
            <v>3930005.99</v>
          </cell>
          <cell r="M3383">
            <v>0</v>
          </cell>
          <cell r="N3383">
            <v>0</v>
          </cell>
          <cell r="O3383">
            <v>0</v>
          </cell>
        </row>
        <row r="3384">
          <cell r="A3384" t="str">
            <v>Poland GECBJV Receivables</v>
          </cell>
          <cell r="B3384">
            <v>0</v>
          </cell>
          <cell r="C3384">
            <v>0</v>
          </cell>
          <cell r="D3384">
            <v>0</v>
          </cell>
          <cell r="E3384">
            <v>0</v>
          </cell>
          <cell r="F3384">
            <v>0</v>
          </cell>
          <cell r="G3384">
            <v>0</v>
          </cell>
          <cell r="H3384">
            <v>0</v>
          </cell>
          <cell r="I3384">
            <v>0</v>
          </cell>
          <cell r="J3384">
            <v>0</v>
          </cell>
          <cell r="K3384">
            <v>0</v>
          </cell>
          <cell r="L3384">
            <v>0</v>
          </cell>
          <cell r="M3384">
            <v>0</v>
          </cell>
          <cell r="N3384">
            <v>0</v>
          </cell>
          <cell r="O3384">
            <v>0</v>
          </cell>
        </row>
        <row r="3385">
          <cell r="A3385" t="str">
            <v>Poland GECB30+ DELINQUENCY $</v>
          </cell>
          <cell r="B3385">
            <v>34106445.700000003</v>
          </cell>
          <cell r="C3385">
            <v>32892058.579999998</v>
          </cell>
          <cell r="D3385">
            <v>42887817.590000004</v>
          </cell>
          <cell r="E3385">
            <v>47518231.770000003</v>
          </cell>
          <cell r="F3385">
            <v>47518231.770000003</v>
          </cell>
          <cell r="G3385">
            <v>47202494.917819999</v>
          </cell>
          <cell r="H3385">
            <v>47758392.781223997</v>
          </cell>
          <cell r="I3385">
            <v>46269841.001842</v>
          </cell>
          <cell r="J3385">
            <v>48493168.457355998</v>
          </cell>
          <cell r="K3385">
            <v>48493168.457355998</v>
          </cell>
          <cell r="L3385">
            <v>44978636.729999997</v>
          </cell>
          <cell r="M3385">
            <v>52282093.233231001</v>
          </cell>
          <cell r="N3385">
            <v>65854274.914011002</v>
          </cell>
          <cell r="O3385">
            <v>78352838.431119993</v>
          </cell>
        </row>
        <row r="3386">
          <cell r="A3386" t="str">
            <v>Poland GECB90+ DELINQUENCY $</v>
          </cell>
          <cell r="B3386">
            <v>10235020.789999999</v>
          </cell>
          <cell r="C3386">
            <v>13382147.66</v>
          </cell>
          <cell r="D3386">
            <v>13458803.82</v>
          </cell>
          <cell r="E3386">
            <v>16835414.59</v>
          </cell>
          <cell r="F3386">
            <v>16835414.59</v>
          </cell>
          <cell r="G3386">
            <v>14651694.205812</v>
          </cell>
          <cell r="H3386">
            <v>16144518.720199</v>
          </cell>
          <cell r="I3386">
            <v>15268757.593983</v>
          </cell>
          <cell r="J3386">
            <v>15300977.295059999</v>
          </cell>
          <cell r="K3386">
            <v>15300977.295059999</v>
          </cell>
          <cell r="L3386">
            <v>14180764.640000001</v>
          </cell>
          <cell r="M3386">
            <v>16005892.140417</v>
          </cell>
          <cell r="N3386">
            <v>20818314.065095</v>
          </cell>
          <cell r="O3386">
            <v>25381769.366016999</v>
          </cell>
        </row>
        <row r="3387">
          <cell r="A3387" t="str">
            <v>Poland GECBTemporary Staff</v>
          </cell>
          <cell r="B3387">
            <v>0</v>
          </cell>
          <cell r="C3387">
            <v>0</v>
          </cell>
          <cell r="D3387">
            <v>0</v>
          </cell>
          <cell r="E3387">
            <v>0</v>
          </cell>
          <cell r="F3387">
            <v>0</v>
          </cell>
          <cell r="G3387">
            <v>450</v>
          </cell>
          <cell r="H3387">
            <v>430</v>
          </cell>
          <cell r="I3387">
            <v>400</v>
          </cell>
          <cell r="J3387">
            <v>400</v>
          </cell>
          <cell r="K3387">
            <v>400</v>
          </cell>
          <cell r="L3387">
            <v>0</v>
          </cell>
          <cell r="M3387">
            <v>0</v>
          </cell>
          <cell r="N3387">
            <v>0</v>
          </cell>
          <cell r="O3387">
            <v>0</v>
          </cell>
        </row>
        <row r="3388">
          <cell r="A3388" t="str">
            <v>Poland GECBContractors</v>
          </cell>
          <cell r="B3388">
            <v>0</v>
          </cell>
          <cell r="C3388">
            <v>0</v>
          </cell>
          <cell r="D3388">
            <v>0</v>
          </cell>
          <cell r="E3388">
            <v>0</v>
          </cell>
          <cell r="F3388">
            <v>0</v>
          </cell>
          <cell r="G3388">
            <v>0</v>
          </cell>
          <cell r="H3388">
            <v>0</v>
          </cell>
          <cell r="I3388">
            <v>0</v>
          </cell>
          <cell r="J3388">
            <v>0</v>
          </cell>
          <cell r="K3388">
            <v>0</v>
          </cell>
          <cell r="L3388">
            <v>0</v>
          </cell>
          <cell r="M3388">
            <v>0</v>
          </cell>
          <cell r="N3388">
            <v>0</v>
          </cell>
          <cell r="O3388">
            <v>0</v>
          </cell>
        </row>
        <row r="3389">
          <cell r="A3389" t="str">
            <v>Poland GECBOutsourced to LCC</v>
          </cell>
          <cell r="B3389">
            <v>0</v>
          </cell>
          <cell r="C3389">
            <v>0</v>
          </cell>
          <cell r="D3389">
            <v>0</v>
          </cell>
          <cell r="E3389">
            <v>0</v>
          </cell>
          <cell r="F3389">
            <v>0</v>
          </cell>
          <cell r="G3389">
            <v>0</v>
          </cell>
          <cell r="H3389">
            <v>0</v>
          </cell>
          <cell r="I3389">
            <v>0</v>
          </cell>
          <cell r="J3389">
            <v>0</v>
          </cell>
          <cell r="K3389">
            <v>0</v>
          </cell>
          <cell r="L3389">
            <v>0</v>
          </cell>
          <cell r="M3389">
            <v>0</v>
          </cell>
          <cell r="N3389">
            <v>0</v>
          </cell>
          <cell r="O3389">
            <v>0</v>
          </cell>
        </row>
        <row r="3390">
          <cell r="A3390" t="str">
            <v>Poland GECBTotal Headcount</v>
          </cell>
          <cell r="B3390">
            <v>0</v>
          </cell>
          <cell r="C3390">
            <v>0</v>
          </cell>
          <cell r="D3390">
            <v>737</v>
          </cell>
          <cell r="E3390">
            <v>714</v>
          </cell>
          <cell r="F3390">
            <v>714</v>
          </cell>
          <cell r="G3390">
            <v>730</v>
          </cell>
          <cell r="H3390">
            <v>730</v>
          </cell>
          <cell r="I3390">
            <v>730</v>
          </cell>
          <cell r="J3390">
            <v>730</v>
          </cell>
          <cell r="K3390">
            <v>730</v>
          </cell>
          <cell r="L3390">
            <v>723</v>
          </cell>
          <cell r="M3390">
            <v>720</v>
          </cell>
          <cell r="N3390">
            <v>710</v>
          </cell>
          <cell r="O3390">
            <v>690</v>
          </cell>
        </row>
        <row r="3391">
          <cell r="A3391" t="str">
            <v>Poland GECBTotal Workforce</v>
          </cell>
          <cell r="B3391">
            <v>0</v>
          </cell>
          <cell r="C3391">
            <v>0</v>
          </cell>
          <cell r="D3391">
            <v>737</v>
          </cell>
          <cell r="E3391">
            <v>714</v>
          </cell>
          <cell r="F3391">
            <v>714</v>
          </cell>
          <cell r="G3391">
            <v>1180</v>
          </cell>
          <cell r="H3391">
            <v>1160</v>
          </cell>
          <cell r="I3391">
            <v>1130</v>
          </cell>
          <cell r="J3391">
            <v>1130</v>
          </cell>
          <cell r="K3391">
            <v>1130</v>
          </cell>
          <cell r="L3391">
            <v>723</v>
          </cell>
          <cell r="M3391">
            <v>720</v>
          </cell>
          <cell r="N3391">
            <v>710</v>
          </cell>
          <cell r="O3391">
            <v>690</v>
          </cell>
        </row>
        <row r="3392">
          <cell r="A3392" t="str">
            <v>Poland GECBTotal Earned Revenue</v>
          </cell>
          <cell r="B3392">
            <v>-34339522.719999999</v>
          </cell>
          <cell r="C3392">
            <v>-41168799.450000003</v>
          </cell>
          <cell r="D3392">
            <v>-24615697.449999999</v>
          </cell>
          <cell r="E3392">
            <v>-35811780.560000002</v>
          </cell>
          <cell r="F3392">
            <v>-135935800.18000001</v>
          </cell>
          <cell r="G3392">
            <v>-38858199.447520003</v>
          </cell>
          <cell r="H3392">
            <v>-37774277.429820001</v>
          </cell>
          <cell r="I3392">
            <v>-38436775.926110998</v>
          </cell>
          <cell r="J3392">
            <v>-38678238.500418</v>
          </cell>
          <cell r="K3392">
            <v>-153747491.30386901</v>
          </cell>
          <cell r="L3392">
            <v>-43060843.509999998</v>
          </cell>
          <cell r="M3392">
            <v>-198524611.940299</v>
          </cell>
          <cell r="N3392">
            <v>-221964701.49253699</v>
          </cell>
          <cell r="O3392">
            <v>-241409059.701493</v>
          </cell>
        </row>
        <row r="3393">
          <cell r="A3393" t="str">
            <v>Poland GECBOrdinary Gains - PreTax</v>
          </cell>
          <cell r="B3393">
            <v>0</v>
          </cell>
          <cell r="C3393">
            <v>0</v>
          </cell>
          <cell r="D3393">
            <v>0</v>
          </cell>
          <cell r="E3393">
            <v>0</v>
          </cell>
          <cell r="F3393">
            <v>0</v>
          </cell>
          <cell r="G3393">
            <v>0</v>
          </cell>
          <cell r="H3393">
            <v>0</v>
          </cell>
          <cell r="I3393">
            <v>0</v>
          </cell>
          <cell r="J3393">
            <v>0</v>
          </cell>
          <cell r="K3393">
            <v>0</v>
          </cell>
          <cell r="L3393">
            <v>0</v>
          </cell>
          <cell r="M3393">
            <v>0</v>
          </cell>
          <cell r="N3393">
            <v>0</v>
          </cell>
          <cell r="O3393">
            <v>0</v>
          </cell>
        </row>
        <row r="3394">
          <cell r="A3394" t="str">
            <v>Poland GECBOrdinary Gains - AfterTax</v>
          </cell>
          <cell r="B3394">
            <v>0</v>
          </cell>
          <cell r="C3394">
            <v>0</v>
          </cell>
          <cell r="D3394">
            <v>0</v>
          </cell>
          <cell r="E3394">
            <v>0</v>
          </cell>
          <cell r="F3394">
            <v>0</v>
          </cell>
          <cell r="G3394">
            <v>0</v>
          </cell>
          <cell r="H3394">
            <v>0</v>
          </cell>
          <cell r="I3394">
            <v>0</v>
          </cell>
          <cell r="J3394">
            <v>0</v>
          </cell>
          <cell r="K3394">
            <v>0</v>
          </cell>
          <cell r="L3394">
            <v>0</v>
          </cell>
          <cell r="M3394">
            <v>0</v>
          </cell>
          <cell r="N3394">
            <v>0</v>
          </cell>
          <cell r="O3394">
            <v>0</v>
          </cell>
        </row>
        <row r="3395">
          <cell r="A3395" t="str">
            <v>Poland GECBTotal Volume</v>
          </cell>
          <cell r="B3395">
            <v>122649000</v>
          </cell>
          <cell r="C3395">
            <v>118160772.01000001</v>
          </cell>
          <cell r="D3395">
            <v>130063658.59999999</v>
          </cell>
          <cell r="E3395">
            <v>162250472.49000001</v>
          </cell>
          <cell r="F3395">
            <v>533123903.10000002</v>
          </cell>
          <cell r="G3395">
            <v>129171796.179104</v>
          </cell>
          <cell r="H3395">
            <v>131050061.19403</v>
          </cell>
          <cell r="I3395">
            <v>143439431.42288601</v>
          </cell>
          <cell r="J3395">
            <v>172235814.05970201</v>
          </cell>
          <cell r="K3395">
            <v>575897102.855721</v>
          </cell>
          <cell r="L3395">
            <v>156646097.34</v>
          </cell>
          <cell r="M3395">
            <v>739681000</v>
          </cell>
          <cell r="N3395">
            <v>811825503.44042695</v>
          </cell>
          <cell r="O3395">
            <v>859906347.46145999</v>
          </cell>
        </row>
        <row r="3396">
          <cell r="A3396" t="str">
            <v>Poland GECBTOTAL # ACTIVE ACCOUNTS</v>
          </cell>
          <cell r="B3396">
            <v>748171.96</v>
          </cell>
          <cell r="C3396">
            <v>854218</v>
          </cell>
          <cell r="D3396">
            <v>888088.72</v>
          </cell>
          <cell r="E3396">
            <v>981181</v>
          </cell>
          <cell r="F3396">
            <v>981181</v>
          </cell>
          <cell r="G3396">
            <v>975098.37299900001</v>
          </cell>
          <cell r="H3396">
            <v>964680.881574</v>
          </cell>
          <cell r="I3396">
            <v>992353.79969300004</v>
          </cell>
          <cell r="J3396">
            <v>1074867.9238519999</v>
          </cell>
          <cell r="K3396">
            <v>1074867.9238519999</v>
          </cell>
          <cell r="L3396">
            <v>0</v>
          </cell>
          <cell r="M3396">
            <v>1300369.417409</v>
          </cell>
          <cell r="N3396">
            <v>1556899.104514</v>
          </cell>
          <cell r="O3396">
            <v>1768339.4339040001</v>
          </cell>
        </row>
        <row r="3397">
          <cell r="A3397" t="str">
            <v>Poland CorporateTOTAL FINANCING RECEIVABLES</v>
          </cell>
          <cell r="B3397">
            <v>0</v>
          </cell>
          <cell r="C3397">
            <v>0</v>
          </cell>
          <cell r="D3397">
            <v>0</v>
          </cell>
          <cell r="E3397">
            <v>0</v>
          </cell>
          <cell r="F3397">
            <v>0</v>
          </cell>
          <cell r="G3397">
            <v>0</v>
          </cell>
          <cell r="H3397">
            <v>0</v>
          </cell>
          <cell r="I3397">
            <v>0</v>
          </cell>
          <cell r="J3397">
            <v>0</v>
          </cell>
          <cell r="K3397">
            <v>0</v>
          </cell>
          <cell r="L3397">
            <v>0</v>
          </cell>
          <cell r="M3397">
            <v>0</v>
          </cell>
          <cell r="N3397">
            <v>0</v>
          </cell>
          <cell r="O3397">
            <v>0</v>
          </cell>
        </row>
        <row r="3398">
          <cell r="A3398" t="str">
            <v>Poland CorporateRECEIVABLE RESERVES</v>
          </cell>
          <cell r="B3398">
            <v>0</v>
          </cell>
          <cell r="C3398">
            <v>0</v>
          </cell>
          <cell r="D3398">
            <v>0</v>
          </cell>
          <cell r="E3398">
            <v>0</v>
          </cell>
          <cell r="F3398">
            <v>0</v>
          </cell>
          <cell r="G3398">
            <v>0</v>
          </cell>
          <cell r="H3398">
            <v>0</v>
          </cell>
          <cell r="I3398">
            <v>0</v>
          </cell>
          <cell r="J3398">
            <v>0</v>
          </cell>
          <cell r="K3398">
            <v>0</v>
          </cell>
          <cell r="L3398">
            <v>0</v>
          </cell>
          <cell r="M3398">
            <v>0</v>
          </cell>
          <cell r="N3398">
            <v>0</v>
          </cell>
          <cell r="O3398">
            <v>0</v>
          </cell>
        </row>
        <row r="3399">
          <cell r="A3399" t="str">
            <v>Poland CorporateCASH</v>
          </cell>
          <cell r="B3399">
            <v>409668.73</v>
          </cell>
          <cell r="C3399">
            <v>427491.99</v>
          </cell>
          <cell r="D3399">
            <v>391604.77</v>
          </cell>
          <cell r="E3399">
            <v>413359.27</v>
          </cell>
          <cell r="F3399">
            <v>413359.27</v>
          </cell>
          <cell r="G3399">
            <v>413359.27</v>
          </cell>
          <cell r="H3399">
            <v>413359.27</v>
          </cell>
          <cell r="I3399">
            <v>413359.27</v>
          </cell>
          <cell r="J3399">
            <v>413359.27</v>
          </cell>
          <cell r="K3399">
            <v>413359.27</v>
          </cell>
          <cell r="L3399">
            <v>402722.71</v>
          </cell>
          <cell r="M3399">
            <v>407480.11</v>
          </cell>
          <cell r="N3399">
            <v>407480.11</v>
          </cell>
          <cell r="O3399">
            <v>407480.11</v>
          </cell>
        </row>
        <row r="3400">
          <cell r="A3400" t="str">
            <v>Poland CorporateINVESTMENT SECURITIES</v>
          </cell>
          <cell r="B3400">
            <v>0</v>
          </cell>
          <cell r="C3400">
            <v>0</v>
          </cell>
          <cell r="D3400">
            <v>0</v>
          </cell>
          <cell r="E3400">
            <v>0</v>
          </cell>
          <cell r="F3400">
            <v>0</v>
          </cell>
          <cell r="G3400">
            <v>0</v>
          </cell>
          <cell r="H3400">
            <v>0</v>
          </cell>
          <cell r="I3400">
            <v>0</v>
          </cell>
          <cell r="J3400">
            <v>0</v>
          </cell>
          <cell r="K3400">
            <v>0</v>
          </cell>
          <cell r="L3400">
            <v>0</v>
          </cell>
          <cell r="M3400">
            <v>0</v>
          </cell>
          <cell r="N3400">
            <v>0</v>
          </cell>
          <cell r="O3400">
            <v>0</v>
          </cell>
        </row>
        <row r="3401">
          <cell r="A3401" t="str">
            <v>Poland CorporateINV IN NON CONSOL AFFILIATES</v>
          </cell>
          <cell r="B3401">
            <v>0</v>
          </cell>
          <cell r="C3401">
            <v>0</v>
          </cell>
          <cell r="D3401">
            <v>0</v>
          </cell>
          <cell r="E3401">
            <v>0</v>
          </cell>
          <cell r="F3401">
            <v>0</v>
          </cell>
          <cell r="G3401">
            <v>0</v>
          </cell>
          <cell r="H3401">
            <v>0</v>
          </cell>
          <cell r="I3401">
            <v>0</v>
          </cell>
          <cell r="J3401">
            <v>0</v>
          </cell>
          <cell r="K3401">
            <v>0</v>
          </cell>
          <cell r="L3401">
            <v>0</v>
          </cell>
          <cell r="M3401">
            <v>0</v>
          </cell>
          <cell r="N3401">
            <v>0</v>
          </cell>
          <cell r="O3401">
            <v>0</v>
          </cell>
        </row>
        <row r="3402">
          <cell r="A3402" t="str">
            <v>Poland CorporateINVESTMENT IN JOINT VENTURE</v>
          </cell>
          <cell r="B3402">
            <v>0</v>
          </cell>
          <cell r="C3402">
            <v>0</v>
          </cell>
          <cell r="D3402">
            <v>0</v>
          </cell>
          <cell r="E3402">
            <v>0</v>
          </cell>
          <cell r="F3402">
            <v>0</v>
          </cell>
          <cell r="G3402">
            <v>0</v>
          </cell>
          <cell r="H3402">
            <v>0</v>
          </cell>
          <cell r="I3402">
            <v>0</v>
          </cell>
          <cell r="J3402">
            <v>0</v>
          </cell>
          <cell r="K3402">
            <v>0</v>
          </cell>
          <cell r="L3402">
            <v>0</v>
          </cell>
          <cell r="M3402">
            <v>0</v>
          </cell>
          <cell r="N3402">
            <v>0</v>
          </cell>
          <cell r="O3402">
            <v>0</v>
          </cell>
        </row>
        <row r="3403">
          <cell r="A3403" t="str">
            <v>Poland CorporateALL OTHER RECEIVABLES (NON-FINANCING)</v>
          </cell>
          <cell r="B3403">
            <v>-19937.21</v>
          </cell>
          <cell r="C3403">
            <v>-35686.080000000002</v>
          </cell>
          <cell r="D3403">
            <v>-2350.85</v>
          </cell>
          <cell r="E3403">
            <v>-23991.1</v>
          </cell>
          <cell r="F3403">
            <v>-23991.1</v>
          </cell>
          <cell r="G3403">
            <v>-23991.1</v>
          </cell>
          <cell r="H3403">
            <v>-23991.1</v>
          </cell>
          <cell r="I3403">
            <v>-23991.1</v>
          </cell>
          <cell r="J3403">
            <v>-23991.1</v>
          </cell>
          <cell r="K3403">
            <v>-23991.1</v>
          </cell>
          <cell r="L3403">
            <v>-12540.78</v>
          </cell>
          <cell r="M3403">
            <v>5757.21</v>
          </cell>
          <cell r="N3403">
            <v>5757.21</v>
          </cell>
          <cell r="O3403">
            <v>5757.21</v>
          </cell>
        </row>
        <row r="3404">
          <cell r="A3404" t="str">
            <v>Poland CorporateELTO (NET)</v>
          </cell>
          <cell r="B3404">
            <v>0</v>
          </cell>
          <cell r="C3404">
            <v>0</v>
          </cell>
          <cell r="D3404">
            <v>0</v>
          </cell>
          <cell r="E3404">
            <v>0</v>
          </cell>
          <cell r="F3404">
            <v>0</v>
          </cell>
          <cell r="G3404">
            <v>0</v>
          </cell>
          <cell r="H3404">
            <v>0</v>
          </cell>
          <cell r="I3404">
            <v>0</v>
          </cell>
          <cell r="J3404">
            <v>0</v>
          </cell>
          <cell r="K3404">
            <v>0</v>
          </cell>
          <cell r="L3404">
            <v>0</v>
          </cell>
          <cell r="M3404">
            <v>0</v>
          </cell>
          <cell r="N3404">
            <v>0</v>
          </cell>
          <cell r="O3404">
            <v>0</v>
          </cell>
        </row>
        <row r="3405">
          <cell r="A3405" t="str">
            <v>Poland CorporateGOODWILL</v>
          </cell>
          <cell r="B3405">
            <v>0</v>
          </cell>
          <cell r="C3405">
            <v>0</v>
          </cell>
          <cell r="D3405">
            <v>0</v>
          </cell>
          <cell r="E3405">
            <v>0</v>
          </cell>
          <cell r="F3405">
            <v>0</v>
          </cell>
          <cell r="G3405">
            <v>0</v>
          </cell>
          <cell r="H3405">
            <v>0</v>
          </cell>
          <cell r="I3405">
            <v>0</v>
          </cell>
          <cell r="J3405">
            <v>0</v>
          </cell>
          <cell r="K3405">
            <v>0</v>
          </cell>
          <cell r="L3405">
            <v>0</v>
          </cell>
          <cell r="M3405">
            <v>0</v>
          </cell>
          <cell r="N3405">
            <v>0</v>
          </cell>
          <cell r="O3405">
            <v>0</v>
          </cell>
        </row>
        <row r="3406">
          <cell r="A3406" t="str">
            <v>Poland CorporateOTHER ASSETS</v>
          </cell>
          <cell r="B3406">
            <v>0</v>
          </cell>
          <cell r="C3406">
            <v>0</v>
          </cell>
          <cell r="D3406">
            <v>0</v>
          </cell>
          <cell r="E3406">
            <v>0</v>
          </cell>
          <cell r="F3406">
            <v>0</v>
          </cell>
          <cell r="G3406">
            <v>0</v>
          </cell>
          <cell r="H3406">
            <v>0</v>
          </cell>
          <cell r="I3406">
            <v>0</v>
          </cell>
          <cell r="J3406">
            <v>0</v>
          </cell>
          <cell r="K3406">
            <v>0</v>
          </cell>
          <cell r="L3406">
            <v>0</v>
          </cell>
          <cell r="M3406">
            <v>0</v>
          </cell>
          <cell r="N3406">
            <v>0</v>
          </cell>
          <cell r="O3406">
            <v>0</v>
          </cell>
        </row>
        <row r="3407">
          <cell r="A3407" t="str">
            <v>Poland CorporateACCOUNTS PAYABLE</v>
          </cell>
          <cell r="B3407">
            <v>704431.05</v>
          </cell>
          <cell r="C3407">
            <v>704431.05</v>
          </cell>
          <cell r="D3407">
            <v>704431.05</v>
          </cell>
          <cell r="E3407">
            <v>704431.05</v>
          </cell>
          <cell r="F3407">
            <v>704431.05</v>
          </cell>
          <cell r="G3407">
            <v>704431.05</v>
          </cell>
          <cell r="H3407">
            <v>704431.05</v>
          </cell>
          <cell r="I3407">
            <v>704431.05</v>
          </cell>
          <cell r="J3407">
            <v>704431.05</v>
          </cell>
          <cell r="K3407">
            <v>704431.05</v>
          </cell>
          <cell r="L3407">
            <v>704431.05</v>
          </cell>
          <cell r="M3407">
            <v>704431.05</v>
          </cell>
          <cell r="N3407">
            <v>704431.05</v>
          </cell>
          <cell r="O3407">
            <v>704431.05</v>
          </cell>
        </row>
        <row r="3408">
          <cell r="A3408" t="str">
            <v>Poland CorporateDEFERRED INCOME TAXES</v>
          </cell>
          <cell r="B3408">
            <v>-86139</v>
          </cell>
          <cell r="C3408">
            <v>-86139</v>
          </cell>
          <cell r="D3408">
            <v>-86139</v>
          </cell>
          <cell r="E3408">
            <v>-86139</v>
          </cell>
          <cell r="F3408">
            <v>-86139</v>
          </cell>
          <cell r="G3408">
            <v>-86139</v>
          </cell>
          <cell r="H3408">
            <v>-86139</v>
          </cell>
          <cell r="I3408">
            <v>-86139</v>
          </cell>
          <cell r="J3408">
            <v>-86139</v>
          </cell>
          <cell r="K3408">
            <v>-86139</v>
          </cell>
          <cell r="L3408">
            <v>-86139</v>
          </cell>
          <cell r="M3408">
            <v>704431.05</v>
          </cell>
          <cell r="N3408">
            <v>704431.05</v>
          </cell>
          <cell r="O3408">
            <v>704431.05</v>
          </cell>
        </row>
        <row r="3409">
          <cell r="A3409" t="str">
            <v>Poland CorporateWRITE-OFF (MEMO)</v>
          </cell>
          <cell r="B3409">
            <v>0</v>
          </cell>
          <cell r="C3409">
            <v>0</v>
          </cell>
          <cell r="D3409">
            <v>0</v>
          </cell>
          <cell r="E3409">
            <v>0</v>
          </cell>
          <cell r="F3409">
            <v>0</v>
          </cell>
          <cell r="G3409">
            <v>0</v>
          </cell>
          <cell r="H3409">
            <v>0</v>
          </cell>
          <cell r="I3409">
            <v>0</v>
          </cell>
          <cell r="J3409">
            <v>0</v>
          </cell>
          <cell r="K3409">
            <v>0</v>
          </cell>
          <cell r="L3409">
            <v>0</v>
          </cell>
          <cell r="M3409">
            <v>0</v>
          </cell>
          <cell r="N3409">
            <v>0</v>
          </cell>
          <cell r="O3409">
            <v>0</v>
          </cell>
        </row>
        <row r="3410">
          <cell r="A3410" t="str">
            <v>Poland CorporateINSURANCE RESERVES AND ANNUITY BENEFITS</v>
          </cell>
          <cell r="B3410">
            <v>0</v>
          </cell>
          <cell r="C3410">
            <v>0</v>
          </cell>
          <cell r="D3410">
            <v>0</v>
          </cell>
          <cell r="E3410">
            <v>0</v>
          </cell>
          <cell r="F3410">
            <v>0</v>
          </cell>
          <cell r="G3410">
            <v>0</v>
          </cell>
          <cell r="H3410">
            <v>0</v>
          </cell>
          <cell r="I3410">
            <v>0</v>
          </cell>
          <cell r="J3410">
            <v>0</v>
          </cell>
          <cell r="K3410">
            <v>0</v>
          </cell>
          <cell r="L3410">
            <v>0</v>
          </cell>
          <cell r="M3410">
            <v>0</v>
          </cell>
          <cell r="N3410">
            <v>0</v>
          </cell>
          <cell r="O3410">
            <v>0</v>
          </cell>
        </row>
        <row r="3411">
          <cell r="A3411" t="str">
            <v>Poland CorporateALL OTHER NON DEBT LIABILITIES</v>
          </cell>
          <cell r="B3411">
            <v>102902.8</v>
          </cell>
          <cell r="C3411">
            <v>100173.97</v>
          </cell>
          <cell r="D3411">
            <v>109767.43</v>
          </cell>
          <cell r="E3411">
            <v>101567.31</v>
          </cell>
          <cell r="F3411">
            <v>101567.31</v>
          </cell>
          <cell r="G3411">
            <v>101567.31</v>
          </cell>
          <cell r="H3411">
            <v>101567.31</v>
          </cell>
          <cell r="I3411">
            <v>101567.31</v>
          </cell>
          <cell r="J3411">
            <v>101567.31</v>
          </cell>
          <cell r="K3411">
            <v>101567.31</v>
          </cell>
          <cell r="L3411">
            <v>105711.11</v>
          </cell>
          <cell r="M3411">
            <v>110155.46</v>
          </cell>
          <cell r="N3411">
            <v>110155.46</v>
          </cell>
          <cell r="O3411">
            <v>110155.46</v>
          </cell>
        </row>
        <row r="3412">
          <cell r="A3412" t="str">
            <v>Poland CorporateMINORITY INTEREST (BS)</v>
          </cell>
          <cell r="B3412">
            <v>0</v>
          </cell>
          <cell r="C3412">
            <v>0</v>
          </cell>
          <cell r="D3412">
            <v>0</v>
          </cell>
          <cell r="E3412">
            <v>0</v>
          </cell>
          <cell r="F3412">
            <v>0</v>
          </cell>
          <cell r="G3412">
            <v>0</v>
          </cell>
          <cell r="H3412">
            <v>0</v>
          </cell>
          <cell r="I3412">
            <v>0</v>
          </cell>
          <cell r="J3412">
            <v>0</v>
          </cell>
          <cell r="K3412">
            <v>0</v>
          </cell>
          <cell r="L3412">
            <v>0</v>
          </cell>
          <cell r="M3412">
            <v>0</v>
          </cell>
          <cell r="N3412">
            <v>0</v>
          </cell>
          <cell r="O3412">
            <v>0</v>
          </cell>
        </row>
        <row r="3413">
          <cell r="A3413" t="str">
            <v>Poland CorporateASIA PACIFIC ENI DIVIDEND</v>
          </cell>
          <cell r="B3413">
            <v>0</v>
          </cell>
          <cell r="C3413">
            <v>0</v>
          </cell>
          <cell r="D3413">
            <v>0</v>
          </cell>
          <cell r="E3413">
            <v>0</v>
          </cell>
          <cell r="F3413">
            <v>0</v>
          </cell>
          <cell r="G3413">
            <v>0</v>
          </cell>
          <cell r="H3413">
            <v>0</v>
          </cell>
          <cell r="I3413">
            <v>0</v>
          </cell>
          <cell r="J3413">
            <v>0</v>
          </cell>
          <cell r="K3413">
            <v>0</v>
          </cell>
          <cell r="L3413">
            <v>0</v>
          </cell>
          <cell r="M3413">
            <v>0</v>
          </cell>
          <cell r="N3413">
            <v>0</v>
          </cell>
          <cell r="O3413">
            <v>0</v>
          </cell>
        </row>
        <row r="3414">
          <cell r="A3414" t="str">
            <v>Poland CorporateFINANCING INCOME</v>
          </cell>
          <cell r="B3414">
            <v>0</v>
          </cell>
          <cell r="C3414">
            <v>0</v>
          </cell>
          <cell r="D3414">
            <v>0</v>
          </cell>
          <cell r="E3414">
            <v>0</v>
          </cell>
          <cell r="F3414">
            <v>0</v>
          </cell>
          <cell r="G3414">
            <v>0</v>
          </cell>
          <cell r="H3414">
            <v>0</v>
          </cell>
          <cell r="I3414">
            <v>0</v>
          </cell>
          <cell r="J3414">
            <v>0</v>
          </cell>
          <cell r="K3414">
            <v>0</v>
          </cell>
          <cell r="L3414">
            <v>0</v>
          </cell>
          <cell r="M3414">
            <v>0</v>
          </cell>
          <cell r="N3414">
            <v>0</v>
          </cell>
          <cell r="O3414">
            <v>0</v>
          </cell>
        </row>
        <row r="3415">
          <cell r="A3415" t="str">
            <v>Poland CorporateINSURANCE PREMIUM INCOME</v>
          </cell>
          <cell r="B3415">
            <v>0</v>
          </cell>
          <cell r="C3415">
            <v>0</v>
          </cell>
          <cell r="D3415">
            <v>0</v>
          </cell>
          <cell r="E3415">
            <v>0</v>
          </cell>
          <cell r="F3415">
            <v>0</v>
          </cell>
          <cell r="G3415">
            <v>0</v>
          </cell>
          <cell r="H3415">
            <v>0</v>
          </cell>
          <cell r="I3415">
            <v>0</v>
          </cell>
          <cell r="J3415">
            <v>0</v>
          </cell>
          <cell r="K3415">
            <v>0</v>
          </cell>
          <cell r="L3415">
            <v>0</v>
          </cell>
          <cell r="M3415">
            <v>0</v>
          </cell>
          <cell r="N3415">
            <v>0</v>
          </cell>
          <cell r="O3415">
            <v>0</v>
          </cell>
        </row>
        <row r="3416">
          <cell r="A3416" t="str">
            <v>Poland CorporateINSURANCE INCOME (COMMISSIONS)</v>
          </cell>
          <cell r="B3416">
            <v>0</v>
          </cell>
          <cell r="C3416">
            <v>0</v>
          </cell>
          <cell r="D3416">
            <v>0</v>
          </cell>
          <cell r="E3416">
            <v>0</v>
          </cell>
          <cell r="F3416">
            <v>0</v>
          </cell>
          <cell r="G3416">
            <v>0</v>
          </cell>
          <cell r="H3416">
            <v>0</v>
          </cell>
          <cell r="I3416">
            <v>0</v>
          </cell>
          <cell r="J3416">
            <v>0</v>
          </cell>
          <cell r="K3416">
            <v>0</v>
          </cell>
          <cell r="L3416">
            <v>0</v>
          </cell>
          <cell r="M3416">
            <v>0</v>
          </cell>
          <cell r="N3416">
            <v>0</v>
          </cell>
          <cell r="O3416">
            <v>0</v>
          </cell>
        </row>
        <row r="3417">
          <cell r="A3417" t="str">
            <v>Poland CorporateSUNDRY INCOME</v>
          </cell>
          <cell r="B3417">
            <v>-10147.049999999999</v>
          </cell>
          <cell r="C3417">
            <v>-6689.09</v>
          </cell>
          <cell r="D3417">
            <v>-7174.07</v>
          </cell>
          <cell r="E3417">
            <v>-6655.01</v>
          </cell>
          <cell r="F3417">
            <v>-30665.22</v>
          </cell>
          <cell r="G3417">
            <v>-7666.3050000000003</v>
          </cell>
          <cell r="H3417">
            <v>-7666.3050000000003</v>
          </cell>
          <cell r="I3417">
            <v>-7666.3050000000003</v>
          </cell>
          <cell r="J3417">
            <v>-7666.3050000000003</v>
          </cell>
          <cell r="K3417">
            <v>-30665.22</v>
          </cell>
          <cell r="L3417">
            <v>-5018.58</v>
          </cell>
          <cell r="M3417">
            <v>-40000</v>
          </cell>
          <cell r="N3417">
            <v>-40000</v>
          </cell>
          <cell r="O3417">
            <v>-40000</v>
          </cell>
        </row>
        <row r="3418">
          <cell r="A3418" t="str">
            <v>Poland CorporateINTEREST EXPENSE</v>
          </cell>
          <cell r="B3418">
            <v>0</v>
          </cell>
          <cell r="C3418">
            <v>0</v>
          </cell>
          <cell r="D3418">
            <v>0</v>
          </cell>
          <cell r="E3418">
            <v>0</v>
          </cell>
          <cell r="F3418">
            <v>0</v>
          </cell>
          <cell r="G3418">
            <v>0</v>
          </cell>
          <cell r="H3418">
            <v>0</v>
          </cell>
          <cell r="I3418">
            <v>0</v>
          </cell>
          <cell r="J3418">
            <v>0</v>
          </cell>
          <cell r="K3418">
            <v>0</v>
          </cell>
          <cell r="L3418">
            <v>0</v>
          </cell>
          <cell r="M3418">
            <v>0</v>
          </cell>
          <cell r="N3418">
            <v>0</v>
          </cell>
          <cell r="O3418">
            <v>0</v>
          </cell>
        </row>
        <row r="3419">
          <cell r="A3419" t="str">
            <v>Poland CorporateINTEREST EXPENSE REDUCTIONS / BUS SHARING</v>
          </cell>
          <cell r="B3419">
            <v>0</v>
          </cell>
          <cell r="C3419">
            <v>0</v>
          </cell>
          <cell r="D3419">
            <v>0</v>
          </cell>
          <cell r="E3419">
            <v>0</v>
          </cell>
          <cell r="F3419">
            <v>0</v>
          </cell>
          <cell r="G3419">
            <v>0</v>
          </cell>
          <cell r="H3419">
            <v>0</v>
          </cell>
          <cell r="I3419">
            <v>0</v>
          </cell>
          <cell r="J3419">
            <v>0</v>
          </cell>
          <cell r="K3419">
            <v>0</v>
          </cell>
          <cell r="L3419">
            <v>0</v>
          </cell>
          <cell r="M3419">
            <v>0</v>
          </cell>
          <cell r="N3419">
            <v>0</v>
          </cell>
          <cell r="O3419">
            <v>0</v>
          </cell>
        </row>
        <row r="3420">
          <cell r="A3420" t="str">
            <v>Poland CorporateALLOCATED COST OF PREFERRED EQUITY</v>
          </cell>
          <cell r="B3420">
            <v>0</v>
          </cell>
          <cell r="C3420">
            <v>0</v>
          </cell>
          <cell r="D3420">
            <v>0</v>
          </cell>
          <cell r="E3420">
            <v>0</v>
          </cell>
          <cell r="F3420">
            <v>0</v>
          </cell>
          <cell r="G3420">
            <v>0</v>
          </cell>
          <cell r="H3420">
            <v>0</v>
          </cell>
          <cell r="I3420">
            <v>0</v>
          </cell>
          <cell r="J3420">
            <v>0</v>
          </cell>
          <cell r="K3420">
            <v>0</v>
          </cell>
          <cell r="L3420">
            <v>0</v>
          </cell>
          <cell r="M3420">
            <v>0</v>
          </cell>
          <cell r="N3420">
            <v>0</v>
          </cell>
          <cell r="O3420">
            <v>0</v>
          </cell>
        </row>
        <row r="3421">
          <cell r="A3421" t="str">
            <v>Poland CorporateSALARIES &amp; BENEFITS</v>
          </cell>
          <cell r="B3421">
            <v>714.31</v>
          </cell>
          <cell r="C3421">
            <v>1775</v>
          </cell>
          <cell r="D3421">
            <v>0</v>
          </cell>
          <cell r="E3421">
            <v>0</v>
          </cell>
          <cell r="F3421">
            <v>2489.31</v>
          </cell>
          <cell r="G3421">
            <v>622.32749999999999</v>
          </cell>
          <cell r="H3421">
            <v>622.32749999999999</v>
          </cell>
          <cell r="I3421">
            <v>622.32749999999999</v>
          </cell>
          <cell r="J3421">
            <v>622.32749999999999</v>
          </cell>
          <cell r="K3421">
            <v>2489.31</v>
          </cell>
          <cell r="L3421">
            <v>8.7100000000000009</v>
          </cell>
          <cell r="M3421">
            <v>0</v>
          </cell>
          <cell r="N3421">
            <v>0</v>
          </cell>
          <cell r="O3421">
            <v>0</v>
          </cell>
        </row>
        <row r="3422">
          <cell r="A3422" t="str">
            <v>Poland CorporateLOSSES ON OTHER ASSETS</v>
          </cell>
          <cell r="B3422">
            <v>0</v>
          </cell>
          <cell r="C3422">
            <v>0</v>
          </cell>
          <cell r="D3422">
            <v>0</v>
          </cell>
          <cell r="E3422">
            <v>0</v>
          </cell>
          <cell r="F3422">
            <v>0</v>
          </cell>
          <cell r="G3422">
            <v>0</v>
          </cell>
          <cell r="H3422">
            <v>0</v>
          </cell>
          <cell r="I3422">
            <v>0</v>
          </cell>
          <cell r="J3422">
            <v>0</v>
          </cell>
          <cell r="K3422">
            <v>0</v>
          </cell>
          <cell r="L3422">
            <v>0</v>
          </cell>
          <cell r="M3422">
            <v>0</v>
          </cell>
          <cell r="N3422">
            <v>0</v>
          </cell>
          <cell r="O3422">
            <v>0</v>
          </cell>
        </row>
        <row r="3423">
          <cell r="A3423" t="str">
            <v>Poland CorporateCOST OF GOODS SOLD</v>
          </cell>
          <cell r="B3423">
            <v>0</v>
          </cell>
          <cell r="C3423">
            <v>0</v>
          </cell>
          <cell r="D3423">
            <v>0</v>
          </cell>
          <cell r="E3423">
            <v>0</v>
          </cell>
          <cell r="F3423">
            <v>0</v>
          </cell>
          <cell r="G3423">
            <v>0</v>
          </cell>
          <cell r="H3423">
            <v>0</v>
          </cell>
          <cell r="I3423">
            <v>0</v>
          </cell>
          <cell r="J3423">
            <v>0</v>
          </cell>
          <cell r="K3423">
            <v>0</v>
          </cell>
          <cell r="L3423">
            <v>0</v>
          </cell>
          <cell r="M3423">
            <v>0</v>
          </cell>
          <cell r="N3423">
            <v>0</v>
          </cell>
          <cell r="O3423">
            <v>0</v>
          </cell>
        </row>
        <row r="3424">
          <cell r="A3424" t="str">
            <v>Poland CorporateCOST OF GOODS SOLD - DISTRIBUTION</v>
          </cell>
          <cell r="B3424">
            <v>0</v>
          </cell>
          <cell r="C3424">
            <v>0</v>
          </cell>
          <cell r="D3424">
            <v>0</v>
          </cell>
          <cell r="E3424">
            <v>0</v>
          </cell>
          <cell r="F3424">
            <v>0</v>
          </cell>
          <cell r="G3424">
            <v>0</v>
          </cell>
          <cell r="H3424">
            <v>0</v>
          </cell>
          <cell r="I3424">
            <v>0</v>
          </cell>
          <cell r="J3424">
            <v>0</v>
          </cell>
          <cell r="K3424">
            <v>0</v>
          </cell>
          <cell r="L3424">
            <v>0</v>
          </cell>
          <cell r="M3424">
            <v>0</v>
          </cell>
          <cell r="N3424">
            <v>0</v>
          </cell>
          <cell r="O3424">
            <v>0</v>
          </cell>
        </row>
        <row r="3425">
          <cell r="A3425" t="str">
            <v>Poland CorporatePOSTAGE</v>
          </cell>
          <cell r="B3425">
            <v>0</v>
          </cell>
          <cell r="C3425">
            <v>0</v>
          </cell>
          <cell r="D3425">
            <v>0</v>
          </cell>
          <cell r="E3425">
            <v>0</v>
          </cell>
          <cell r="F3425">
            <v>0</v>
          </cell>
          <cell r="G3425">
            <v>0</v>
          </cell>
          <cell r="H3425">
            <v>0</v>
          </cell>
          <cell r="I3425">
            <v>0</v>
          </cell>
          <cell r="J3425">
            <v>0</v>
          </cell>
          <cell r="K3425">
            <v>0</v>
          </cell>
          <cell r="L3425">
            <v>0</v>
          </cell>
          <cell r="M3425">
            <v>0</v>
          </cell>
          <cell r="N3425">
            <v>0</v>
          </cell>
          <cell r="O3425">
            <v>0</v>
          </cell>
        </row>
        <row r="3426">
          <cell r="A3426" t="str">
            <v>Poland CorporateTELEPHONE</v>
          </cell>
          <cell r="B3426">
            <v>0</v>
          </cell>
          <cell r="C3426">
            <v>0</v>
          </cell>
          <cell r="D3426">
            <v>0</v>
          </cell>
          <cell r="E3426">
            <v>0</v>
          </cell>
          <cell r="F3426">
            <v>0</v>
          </cell>
          <cell r="G3426">
            <v>0</v>
          </cell>
          <cell r="H3426">
            <v>0</v>
          </cell>
          <cell r="I3426">
            <v>0</v>
          </cell>
          <cell r="J3426">
            <v>0</v>
          </cell>
          <cell r="K3426">
            <v>0</v>
          </cell>
          <cell r="L3426">
            <v>0</v>
          </cell>
          <cell r="M3426">
            <v>2000</v>
          </cell>
          <cell r="N3426">
            <v>2000</v>
          </cell>
          <cell r="O3426">
            <v>2000</v>
          </cell>
        </row>
        <row r="3427">
          <cell r="A3427" t="str">
            <v>Poland CorporateCUSTOMER SERVICE / COLLECTIONS</v>
          </cell>
          <cell r="B3427">
            <v>0</v>
          </cell>
          <cell r="C3427">
            <v>0</v>
          </cell>
          <cell r="D3427">
            <v>0</v>
          </cell>
          <cell r="E3427">
            <v>0</v>
          </cell>
          <cell r="F3427">
            <v>0</v>
          </cell>
          <cell r="G3427">
            <v>0</v>
          </cell>
          <cell r="H3427">
            <v>0</v>
          </cell>
          <cell r="I3427">
            <v>0</v>
          </cell>
          <cell r="J3427">
            <v>0</v>
          </cell>
          <cell r="K3427">
            <v>0</v>
          </cell>
          <cell r="L3427">
            <v>0</v>
          </cell>
          <cell r="M3427">
            <v>0</v>
          </cell>
          <cell r="N3427">
            <v>0</v>
          </cell>
          <cell r="O3427">
            <v>0</v>
          </cell>
        </row>
        <row r="3428">
          <cell r="A3428" t="str">
            <v>Poland CorporateSTATIONARY - OFFICE SUPPLIES</v>
          </cell>
          <cell r="B3428">
            <v>0</v>
          </cell>
          <cell r="C3428">
            <v>0</v>
          </cell>
          <cell r="D3428">
            <v>0</v>
          </cell>
          <cell r="E3428">
            <v>0</v>
          </cell>
          <cell r="F3428">
            <v>0</v>
          </cell>
          <cell r="G3428">
            <v>0</v>
          </cell>
          <cell r="H3428">
            <v>0</v>
          </cell>
          <cell r="I3428">
            <v>0</v>
          </cell>
          <cell r="J3428">
            <v>0</v>
          </cell>
          <cell r="K3428">
            <v>0</v>
          </cell>
          <cell r="L3428">
            <v>0</v>
          </cell>
          <cell r="M3428">
            <v>800</v>
          </cell>
          <cell r="N3428">
            <v>800</v>
          </cell>
          <cell r="O3428">
            <v>800</v>
          </cell>
        </row>
        <row r="3429">
          <cell r="A3429" t="str">
            <v>Poland CorporateT&amp;L</v>
          </cell>
          <cell r="B3429">
            <v>0</v>
          </cell>
          <cell r="C3429">
            <v>0</v>
          </cell>
          <cell r="D3429">
            <v>0</v>
          </cell>
          <cell r="E3429">
            <v>0</v>
          </cell>
          <cell r="F3429">
            <v>0</v>
          </cell>
          <cell r="G3429">
            <v>0</v>
          </cell>
          <cell r="H3429">
            <v>0</v>
          </cell>
          <cell r="I3429">
            <v>0</v>
          </cell>
          <cell r="J3429">
            <v>0</v>
          </cell>
          <cell r="K3429">
            <v>0</v>
          </cell>
          <cell r="L3429">
            <v>0</v>
          </cell>
          <cell r="M3429">
            <v>0</v>
          </cell>
          <cell r="N3429">
            <v>0</v>
          </cell>
          <cell r="O3429">
            <v>0</v>
          </cell>
        </row>
        <row r="3430">
          <cell r="A3430" t="str">
            <v>Poland CorporateRENTAL - BLDG/FACILITIES</v>
          </cell>
          <cell r="B3430">
            <v>3029.39</v>
          </cell>
          <cell r="C3430">
            <v>2042.93</v>
          </cell>
          <cell r="D3430">
            <v>2359.39</v>
          </cell>
          <cell r="E3430">
            <v>3476.5</v>
          </cell>
          <cell r="F3430">
            <v>10908.21</v>
          </cell>
          <cell r="G3430">
            <v>2727.0524999999998</v>
          </cell>
          <cell r="H3430">
            <v>2727.0524999999998</v>
          </cell>
          <cell r="I3430">
            <v>2727.0524999999998</v>
          </cell>
          <cell r="J3430">
            <v>2727.0524999999998</v>
          </cell>
          <cell r="K3430">
            <v>10908.21</v>
          </cell>
          <cell r="L3430">
            <v>2921.52</v>
          </cell>
          <cell r="M3430">
            <v>12400</v>
          </cell>
          <cell r="N3430">
            <v>12800</v>
          </cell>
          <cell r="O3430">
            <v>13200</v>
          </cell>
        </row>
        <row r="3431">
          <cell r="A3431" t="str">
            <v>Poland CorporateRENTAL - FURNITURE/EQUIP</v>
          </cell>
          <cell r="B3431">
            <v>0</v>
          </cell>
          <cell r="C3431">
            <v>0</v>
          </cell>
          <cell r="D3431">
            <v>0</v>
          </cell>
          <cell r="E3431">
            <v>0</v>
          </cell>
          <cell r="F3431">
            <v>0</v>
          </cell>
          <cell r="G3431">
            <v>0</v>
          </cell>
          <cell r="H3431">
            <v>0</v>
          </cell>
          <cell r="I3431">
            <v>0</v>
          </cell>
          <cell r="J3431">
            <v>0</v>
          </cell>
          <cell r="K3431">
            <v>0</v>
          </cell>
          <cell r="L3431">
            <v>0</v>
          </cell>
          <cell r="M3431">
            <v>0</v>
          </cell>
          <cell r="N3431">
            <v>0</v>
          </cell>
          <cell r="O3431">
            <v>0</v>
          </cell>
        </row>
        <row r="3432">
          <cell r="A3432" t="str">
            <v>Poland CorporateRENTAL - COMPUTERS</v>
          </cell>
          <cell r="B3432">
            <v>0</v>
          </cell>
          <cell r="C3432">
            <v>0</v>
          </cell>
          <cell r="D3432">
            <v>0</v>
          </cell>
          <cell r="E3432">
            <v>0</v>
          </cell>
          <cell r="F3432">
            <v>0</v>
          </cell>
          <cell r="G3432">
            <v>0</v>
          </cell>
          <cell r="H3432">
            <v>0</v>
          </cell>
          <cell r="I3432">
            <v>0</v>
          </cell>
          <cell r="J3432">
            <v>0</v>
          </cell>
          <cell r="K3432">
            <v>0</v>
          </cell>
          <cell r="L3432">
            <v>0</v>
          </cell>
          <cell r="M3432">
            <v>0</v>
          </cell>
          <cell r="N3432">
            <v>0</v>
          </cell>
          <cell r="O3432">
            <v>0</v>
          </cell>
        </row>
        <row r="3433">
          <cell r="A3433" t="str">
            <v>Poland CorporateLEASE IN - LEASE OUT</v>
          </cell>
          <cell r="B3433">
            <v>0</v>
          </cell>
          <cell r="C3433">
            <v>0</v>
          </cell>
          <cell r="D3433">
            <v>0</v>
          </cell>
          <cell r="E3433">
            <v>0</v>
          </cell>
          <cell r="F3433">
            <v>0</v>
          </cell>
          <cell r="G3433">
            <v>0</v>
          </cell>
          <cell r="H3433">
            <v>0</v>
          </cell>
          <cell r="I3433">
            <v>0</v>
          </cell>
          <cell r="J3433">
            <v>0</v>
          </cell>
          <cell r="K3433">
            <v>0</v>
          </cell>
          <cell r="L3433">
            <v>0</v>
          </cell>
          <cell r="M3433">
            <v>0</v>
          </cell>
          <cell r="N3433">
            <v>0</v>
          </cell>
          <cell r="O3433">
            <v>0</v>
          </cell>
        </row>
        <row r="3434">
          <cell r="A3434" t="str">
            <v>Poland CorporateFURNITURE / EQUIPMENT / COMPUTER EXP</v>
          </cell>
          <cell r="B3434">
            <v>0</v>
          </cell>
          <cell r="C3434">
            <v>0</v>
          </cell>
          <cell r="D3434">
            <v>0</v>
          </cell>
          <cell r="E3434">
            <v>0</v>
          </cell>
          <cell r="F3434">
            <v>0</v>
          </cell>
          <cell r="G3434">
            <v>0</v>
          </cell>
          <cell r="H3434">
            <v>0</v>
          </cell>
          <cell r="I3434">
            <v>0</v>
          </cell>
          <cell r="J3434">
            <v>0</v>
          </cell>
          <cell r="K3434">
            <v>0</v>
          </cell>
          <cell r="L3434">
            <v>0</v>
          </cell>
          <cell r="M3434">
            <v>0</v>
          </cell>
          <cell r="N3434">
            <v>0</v>
          </cell>
          <cell r="O3434">
            <v>0</v>
          </cell>
        </row>
        <row r="3435">
          <cell r="A3435" t="str">
            <v>Poland CorporateSOFTWARE EXPENSE</v>
          </cell>
          <cell r="B3435">
            <v>0</v>
          </cell>
          <cell r="C3435">
            <v>0</v>
          </cell>
          <cell r="D3435">
            <v>0</v>
          </cell>
          <cell r="E3435">
            <v>0</v>
          </cell>
          <cell r="F3435">
            <v>0</v>
          </cell>
          <cell r="G3435">
            <v>0</v>
          </cell>
          <cell r="H3435">
            <v>0</v>
          </cell>
          <cell r="I3435">
            <v>0</v>
          </cell>
          <cell r="J3435">
            <v>0</v>
          </cell>
          <cell r="K3435">
            <v>0</v>
          </cell>
          <cell r="L3435">
            <v>0</v>
          </cell>
          <cell r="M3435">
            <v>0</v>
          </cell>
          <cell r="N3435">
            <v>0</v>
          </cell>
          <cell r="O3435">
            <v>0</v>
          </cell>
        </row>
        <row r="3436">
          <cell r="A3436" t="str">
            <v>Poland CorporateAMORTIZATION OF INTANGIBLES</v>
          </cell>
          <cell r="B3436">
            <v>0</v>
          </cell>
          <cell r="C3436">
            <v>0</v>
          </cell>
          <cell r="D3436">
            <v>0</v>
          </cell>
          <cell r="E3436">
            <v>0</v>
          </cell>
          <cell r="F3436">
            <v>0</v>
          </cell>
          <cell r="G3436">
            <v>0</v>
          </cell>
          <cell r="H3436">
            <v>0</v>
          </cell>
          <cell r="I3436">
            <v>0</v>
          </cell>
          <cell r="J3436">
            <v>0</v>
          </cell>
          <cell r="K3436">
            <v>0</v>
          </cell>
          <cell r="L3436">
            <v>0</v>
          </cell>
          <cell r="M3436">
            <v>0</v>
          </cell>
          <cell r="N3436">
            <v>0</v>
          </cell>
          <cell r="O3436">
            <v>0</v>
          </cell>
        </row>
        <row r="3437">
          <cell r="A3437" t="str">
            <v>Poland CorporateELTO MAINTENANCE</v>
          </cell>
          <cell r="B3437">
            <v>0</v>
          </cell>
          <cell r="C3437">
            <v>0</v>
          </cell>
          <cell r="D3437">
            <v>0</v>
          </cell>
          <cell r="E3437">
            <v>0</v>
          </cell>
          <cell r="F3437">
            <v>0</v>
          </cell>
          <cell r="G3437">
            <v>0</v>
          </cell>
          <cell r="H3437">
            <v>0</v>
          </cell>
          <cell r="I3437">
            <v>0</v>
          </cell>
          <cell r="J3437">
            <v>0</v>
          </cell>
          <cell r="K3437">
            <v>0</v>
          </cell>
          <cell r="L3437">
            <v>0</v>
          </cell>
          <cell r="M3437">
            <v>0</v>
          </cell>
          <cell r="N3437">
            <v>0</v>
          </cell>
          <cell r="O3437">
            <v>0</v>
          </cell>
        </row>
        <row r="3438">
          <cell r="A3438" t="str">
            <v>Poland CorporateELTO OTHER</v>
          </cell>
          <cell r="B3438">
            <v>0</v>
          </cell>
          <cell r="C3438">
            <v>0</v>
          </cell>
          <cell r="D3438">
            <v>0</v>
          </cell>
          <cell r="E3438">
            <v>0</v>
          </cell>
          <cell r="F3438">
            <v>0</v>
          </cell>
          <cell r="G3438">
            <v>0</v>
          </cell>
          <cell r="H3438">
            <v>0</v>
          </cell>
          <cell r="I3438">
            <v>0</v>
          </cell>
          <cell r="J3438">
            <v>0</v>
          </cell>
          <cell r="K3438">
            <v>0</v>
          </cell>
          <cell r="L3438">
            <v>0</v>
          </cell>
          <cell r="M3438">
            <v>0</v>
          </cell>
          <cell r="N3438">
            <v>0</v>
          </cell>
          <cell r="O3438">
            <v>0</v>
          </cell>
        </row>
        <row r="3439">
          <cell r="A3439" t="str">
            <v>Poland CorporateLEGAL</v>
          </cell>
          <cell r="B3439">
            <v>0</v>
          </cell>
          <cell r="C3439">
            <v>0</v>
          </cell>
          <cell r="D3439">
            <v>0</v>
          </cell>
          <cell r="E3439">
            <v>0</v>
          </cell>
          <cell r="F3439">
            <v>0</v>
          </cell>
          <cell r="G3439">
            <v>0</v>
          </cell>
          <cell r="H3439">
            <v>0</v>
          </cell>
          <cell r="I3439">
            <v>0</v>
          </cell>
          <cell r="J3439">
            <v>0</v>
          </cell>
          <cell r="K3439">
            <v>0</v>
          </cell>
          <cell r="L3439">
            <v>0</v>
          </cell>
          <cell r="M3439">
            <v>0</v>
          </cell>
          <cell r="N3439">
            <v>0</v>
          </cell>
          <cell r="O3439">
            <v>0</v>
          </cell>
        </row>
        <row r="3440">
          <cell r="A3440" t="str">
            <v>Poland CorporateADVERTISING</v>
          </cell>
          <cell r="B3440">
            <v>0</v>
          </cell>
          <cell r="C3440">
            <v>0</v>
          </cell>
          <cell r="D3440">
            <v>0</v>
          </cell>
          <cell r="E3440">
            <v>0</v>
          </cell>
          <cell r="F3440">
            <v>0</v>
          </cell>
          <cell r="G3440">
            <v>0</v>
          </cell>
          <cell r="H3440">
            <v>0</v>
          </cell>
          <cell r="I3440">
            <v>0</v>
          </cell>
          <cell r="J3440">
            <v>0</v>
          </cell>
          <cell r="K3440">
            <v>0</v>
          </cell>
          <cell r="L3440">
            <v>0</v>
          </cell>
          <cell r="M3440">
            <v>0</v>
          </cell>
          <cell r="N3440">
            <v>0</v>
          </cell>
          <cell r="O3440">
            <v>0</v>
          </cell>
        </row>
        <row r="3441">
          <cell r="A3441" t="str">
            <v>Poland CorporateSALES PROMOTIONS</v>
          </cell>
          <cell r="B3441">
            <v>0</v>
          </cell>
          <cell r="C3441">
            <v>0</v>
          </cell>
          <cell r="D3441">
            <v>0</v>
          </cell>
          <cell r="E3441">
            <v>0</v>
          </cell>
          <cell r="F3441">
            <v>0</v>
          </cell>
          <cell r="G3441">
            <v>0</v>
          </cell>
          <cell r="H3441">
            <v>0</v>
          </cell>
          <cell r="I3441">
            <v>0</v>
          </cell>
          <cell r="J3441">
            <v>0</v>
          </cell>
          <cell r="K3441">
            <v>0</v>
          </cell>
          <cell r="L3441">
            <v>0</v>
          </cell>
          <cell r="M3441">
            <v>0</v>
          </cell>
          <cell r="N3441">
            <v>0</v>
          </cell>
          <cell r="O3441">
            <v>0</v>
          </cell>
        </row>
        <row r="3442">
          <cell r="A3442" t="str">
            <v>Poland CorporateDIRECT MAIL</v>
          </cell>
          <cell r="B3442">
            <v>0</v>
          </cell>
          <cell r="C3442">
            <v>0</v>
          </cell>
          <cell r="D3442">
            <v>0</v>
          </cell>
          <cell r="E3442">
            <v>0</v>
          </cell>
          <cell r="F3442">
            <v>0</v>
          </cell>
          <cell r="G3442">
            <v>0</v>
          </cell>
          <cell r="H3442">
            <v>0</v>
          </cell>
          <cell r="I3442">
            <v>0</v>
          </cell>
          <cell r="J3442">
            <v>0</v>
          </cell>
          <cell r="K3442">
            <v>0</v>
          </cell>
          <cell r="L3442">
            <v>0</v>
          </cell>
          <cell r="M3442">
            <v>0</v>
          </cell>
          <cell r="N3442">
            <v>0</v>
          </cell>
          <cell r="O3442">
            <v>0</v>
          </cell>
        </row>
        <row r="3443">
          <cell r="A3443" t="str">
            <v>Poland CorporateDATA PROCESSING</v>
          </cell>
          <cell r="B3443">
            <v>0</v>
          </cell>
          <cell r="C3443">
            <v>0</v>
          </cell>
          <cell r="D3443">
            <v>0</v>
          </cell>
          <cell r="E3443">
            <v>0</v>
          </cell>
          <cell r="F3443">
            <v>0</v>
          </cell>
          <cell r="G3443">
            <v>0</v>
          </cell>
          <cell r="H3443">
            <v>0</v>
          </cell>
          <cell r="I3443">
            <v>0</v>
          </cell>
          <cell r="J3443">
            <v>0</v>
          </cell>
          <cell r="K3443">
            <v>0</v>
          </cell>
          <cell r="L3443">
            <v>0</v>
          </cell>
          <cell r="M3443">
            <v>0</v>
          </cell>
          <cell r="N3443">
            <v>0</v>
          </cell>
          <cell r="O3443">
            <v>0</v>
          </cell>
        </row>
        <row r="3444">
          <cell r="A3444" t="str">
            <v>Poland CorporateCONSULTING</v>
          </cell>
          <cell r="B3444">
            <v>0</v>
          </cell>
          <cell r="C3444">
            <v>0</v>
          </cell>
          <cell r="D3444">
            <v>0</v>
          </cell>
          <cell r="E3444">
            <v>0</v>
          </cell>
          <cell r="F3444">
            <v>0</v>
          </cell>
          <cell r="G3444">
            <v>0</v>
          </cell>
          <cell r="H3444">
            <v>0</v>
          </cell>
          <cell r="I3444">
            <v>0</v>
          </cell>
          <cell r="J3444">
            <v>0</v>
          </cell>
          <cell r="K3444">
            <v>0</v>
          </cell>
          <cell r="L3444">
            <v>0</v>
          </cell>
          <cell r="M3444">
            <v>0</v>
          </cell>
          <cell r="N3444">
            <v>0</v>
          </cell>
          <cell r="O3444">
            <v>0</v>
          </cell>
        </row>
        <row r="3445">
          <cell r="A3445" t="str">
            <v>Poland CorporateTEMP SERVICES</v>
          </cell>
          <cell r="B3445">
            <v>0</v>
          </cell>
          <cell r="C3445">
            <v>0</v>
          </cell>
          <cell r="D3445">
            <v>0</v>
          </cell>
          <cell r="E3445">
            <v>0</v>
          </cell>
          <cell r="F3445">
            <v>0</v>
          </cell>
          <cell r="G3445">
            <v>0</v>
          </cell>
          <cell r="H3445">
            <v>0</v>
          </cell>
          <cell r="I3445">
            <v>0</v>
          </cell>
          <cell r="J3445">
            <v>0</v>
          </cell>
          <cell r="K3445">
            <v>0</v>
          </cell>
          <cell r="L3445">
            <v>0</v>
          </cell>
          <cell r="M3445">
            <v>2000</v>
          </cell>
          <cell r="N3445">
            <v>2000</v>
          </cell>
          <cell r="O3445">
            <v>2000</v>
          </cell>
        </row>
        <row r="3446">
          <cell r="A3446" t="str">
            <v>Poland CorporateGDC CHARGES</v>
          </cell>
          <cell r="B3446">
            <v>0</v>
          </cell>
          <cell r="C3446">
            <v>0</v>
          </cell>
          <cell r="D3446">
            <v>0</v>
          </cell>
          <cell r="E3446">
            <v>0</v>
          </cell>
          <cell r="F3446">
            <v>0</v>
          </cell>
          <cell r="G3446">
            <v>0</v>
          </cell>
          <cell r="H3446">
            <v>0</v>
          </cell>
          <cell r="I3446">
            <v>0</v>
          </cell>
          <cell r="J3446">
            <v>0</v>
          </cell>
          <cell r="K3446">
            <v>0</v>
          </cell>
          <cell r="L3446">
            <v>0</v>
          </cell>
          <cell r="M3446">
            <v>0</v>
          </cell>
          <cell r="N3446">
            <v>0</v>
          </cell>
          <cell r="O3446">
            <v>0</v>
          </cell>
        </row>
        <row r="3447">
          <cell r="A3447" t="str">
            <v>Poland CorporateTRAINING AND EDUCATION</v>
          </cell>
          <cell r="B3447">
            <v>0</v>
          </cell>
          <cell r="C3447">
            <v>0</v>
          </cell>
          <cell r="D3447">
            <v>0</v>
          </cell>
          <cell r="E3447">
            <v>0</v>
          </cell>
          <cell r="F3447">
            <v>0</v>
          </cell>
          <cell r="G3447">
            <v>0</v>
          </cell>
          <cell r="H3447">
            <v>0</v>
          </cell>
          <cell r="I3447">
            <v>0</v>
          </cell>
          <cell r="J3447">
            <v>0</v>
          </cell>
          <cell r="K3447">
            <v>0</v>
          </cell>
          <cell r="L3447">
            <v>0</v>
          </cell>
          <cell r="M3447">
            <v>0</v>
          </cell>
          <cell r="N3447">
            <v>0</v>
          </cell>
          <cell r="O3447">
            <v>0</v>
          </cell>
        </row>
        <row r="3448">
          <cell r="A3448" t="str">
            <v>Poland CorporateOUTSIDE SERVICES  AND FEES</v>
          </cell>
          <cell r="B3448">
            <v>2740.42</v>
          </cell>
          <cell r="C3448">
            <v>363.28</v>
          </cell>
          <cell r="D3448">
            <v>6881.63</v>
          </cell>
          <cell r="E3448">
            <v>4135.03</v>
          </cell>
          <cell r="F3448">
            <v>14120.36</v>
          </cell>
          <cell r="G3448">
            <v>3530.09</v>
          </cell>
          <cell r="H3448">
            <v>3530.09</v>
          </cell>
          <cell r="I3448">
            <v>3530.09</v>
          </cell>
          <cell r="J3448">
            <v>3530.09</v>
          </cell>
          <cell r="K3448">
            <v>14120.36</v>
          </cell>
          <cell r="L3448">
            <v>365.01</v>
          </cell>
          <cell r="M3448">
            <v>4000</v>
          </cell>
          <cell r="N3448">
            <v>4000</v>
          </cell>
          <cell r="O3448">
            <v>4000</v>
          </cell>
        </row>
        <row r="3449">
          <cell r="A3449" t="str">
            <v>Poland CorporateSTATE, FOREIGN, LOCAL TAXES</v>
          </cell>
          <cell r="B3449">
            <v>0</v>
          </cell>
          <cell r="C3449">
            <v>0</v>
          </cell>
          <cell r="D3449">
            <v>0</v>
          </cell>
          <cell r="E3449">
            <v>0</v>
          </cell>
          <cell r="F3449">
            <v>0</v>
          </cell>
          <cell r="G3449">
            <v>0</v>
          </cell>
          <cell r="H3449">
            <v>0</v>
          </cell>
          <cell r="I3449">
            <v>0</v>
          </cell>
          <cell r="J3449">
            <v>0</v>
          </cell>
          <cell r="K3449">
            <v>0</v>
          </cell>
          <cell r="L3449">
            <v>0</v>
          </cell>
          <cell r="M3449">
            <v>0</v>
          </cell>
          <cell r="N3449">
            <v>0</v>
          </cell>
          <cell r="O3449">
            <v>0</v>
          </cell>
        </row>
        <row r="3450">
          <cell r="A3450" t="str">
            <v>Poland CorporateS/L TAX - INSURANCE PREMIUMS</v>
          </cell>
          <cell r="B3450">
            <v>0</v>
          </cell>
          <cell r="C3450">
            <v>0</v>
          </cell>
          <cell r="D3450">
            <v>0</v>
          </cell>
          <cell r="E3450">
            <v>0</v>
          </cell>
          <cell r="F3450">
            <v>0</v>
          </cell>
          <cell r="G3450">
            <v>0</v>
          </cell>
          <cell r="H3450">
            <v>0</v>
          </cell>
          <cell r="I3450">
            <v>0</v>
          </cell>
          <cell r="J3450">
            <v>0</v>
          </cell>
          <cell r="K3450">
            <v>0</v>
          </cell>
          <cell r="L3450">
            <v>0</v>
          </cell>
          <cell r="M3450">
            <v>0</v>
          </cell>
          <cell r="N3450">
            <v>0</v>
          </cell>
          <cell r="O3450">
            <v>0</v>
          </cell>
        </row>
        <row r="3451">
          <cell r="A3451" t="str">
            <v>Poland CorporateSATELLITE LEASE EXPENSE</v>
          </cell>
          <cell r="B3451">
            <v>0</v>
          </cell>
          <cell r="C3451">
            <v>0</v>
          </cell>
          <cell r="D3451">
            <v>0</v>
          </cell>
          <cell r="E3451">
            <v>0</v>
          </cell>
          <cell r="F3451">
            <v>0</v>
          </cell>
          <cell r="G3451">
            <v>0</v>
          </cell>
          <cell r="H3451">
            <v>0</v>
          </cell>
          <cell r="I3451">
            <v>0</v>
          </cell>
          <cell r="J3451">
            <v>0</v>
          </cell>
          <cell r="K3451">
            <v>0</v>
          </cell>
          <cell r="L3451">
            <v>0</v>
          </cell>
          <cell r="M3451">
            <v>0</v>
          </cell>
          <cell r="N3451">
            <v>0</v>
          </cell>
          <cell r="O3451">
            <v>0</v>
          </cell>
        </row>
        <row r="3452">
          <cell r="A3452" t="str">
            <v>Poland CorporateBUSINESS SHARE EXPENSE</v>
          </cell>
          <cell r="B3452">
            <v>0</v>
          </cell>
          <cell r="C3452">
            <v>0</v>
          </cell>
          <cell r="D3452">
            <v>0</v>
          </cell>
          <cell r="E3452">
            <v>0</v>
          </cell>
          <cell r="F3452">
            <v>0</v>
          </cell>
          <cell r="G3452">
            <v>0</v>
          </cell>
          <cell r="H3452">
            <v>0</v>
          </cell>
          <cell r="I3452">
            <v>0</v>
          </cell>
          <cell r="J3452">
            <v>0</v>
          </cell>
          <cell r="K3452">
            <v>0</v>
          </cell>
          <cell r="L3452">
            <v>0</v>
          </cell>
          <cell r="M3452">
            <v>0</v>
          </cell>
          <cell r="N3452">
            <v>0</v>
          </cell>
          <cell r="O3452">
            <v>0</v>
          </cell>
        </row>
        <row r="3453">
          <cell r="A3453" t="str">
            <v>Poland CorporateINSURANCE AFFILIATE EXPENSE</v>
          </cell>
          <cell r="B3453">
            <v>0</v>
          </cell>
          <cell r="C3453">
            <v>0</v>
          </cell>
          <cell r="D3453">
            <v>0</v>
          </cell>
          <cell r="E3453">
            <v>0</v>
          </cell>
          <cell r="F3453">
            <v>0</v>
          </cell>
          <cell r="G3453">
            <v>0</v>
          </cell>
          <cell r="H3453">
            <v>0</v>
          </cell>
          <cell r="I3453">
            <v>0</v>
          </cell>
          <cell r="J3453">
            <v>0</v>
          </cell>
          <cell r="K3453">
            <v>0</v>
          </cell>
          <cell r="L3453">
            <v>0</v>
          </cell>
          <cell r="M3453">
            <v>0</v>
          </cell>
          <cell r="N3453">
            <v>0</v>
          </cell>
          <cell r="O3453">
            <v>0</v>
          </cell>
        </row>
        <row r="3454">
          <cell r="A3454" t="str">
            <v>Poland CorporateOTHER FACILITY EXPENSE</v>
          </cell>
          <cell r="B3454">
            <v>0</v>
          </cell>
          <cell r="C3454">
            <v>0</v>
          </cell>
          <cell r="D3454">
            <v>0</v>
          </cell>
          <cell r="E3454">
            <v>0</v>
          </cell>
          <cell r="F3454">
            <v>0</v>
          </cell>
          <cell r="G3454">
            <v>0</v>
          </cell>
          <cell r="H3454">
            <v>0</v>
          </cell>
          <cell r="I3454">
            <v>0</v>
          </cell>
          <cell r="J3454">
            <v>0</v>
          </cell>
          <cell r="K3454">
            <v>0</v>
          </cell>
          <cell r="L3454">
            <v>0</v>
          </cell>
          <cell r="M3454">
            <v>0</v>
          </cell>
          <cell r="N3454">
            <v>0</v>
          </cell>
          <cell r="O3454">
            <v>0</v>
          </cell>
        </row>
        <row r="3455">
          <cell r="A3455" t="str">
            <v>Poland CorporateGROSS OP &amp; ADMIN BUS SHARE</v>
          </cell>
          <cell r="B3455">
            <v>0</v>
          </cell>
          <cell r="C3455">
            <v>0</v>
          </cell>
          <cell r="D3455">
            <v>0</v>
          </cell>
          <cell r="E3455">
            <v>0</v>
          </cell>
          <cell r="F3455">
            <v>0</v>
          </cell>
          <cell r="G3455">
            <v>0</v>
          </cell>
          <cell r="H3455">
            <v>0</v>
          </cell>
          <cell r="I3455">
            <v>0</v>
          </cell>
          <cell r="J3455">
            <v>0</v>
          </cell>
          <cell r="K3455">
            <v>0</v>
          </cell>
          <cell r="L3455">
            <v>0</v>
          </cell>
          <cell r="M3455">
            <v>0</v>
          </cell>
          <cell r="N3455">
            <v>0</v>
          </cell>
          <cell r="O3455">
            <v>0</v>
          </cell>
        </row>
        <row r="3456">
          <cell r="A3456" t="str">
            <v>Poland CorporateOTHER EXPENSE</v>
          </cell>
          <cell r="B3456">
            <v>3.42</v>
          </cell>
          <cell r="C3456">
            <v>24.51</v>
          </cell>
          <cell r="D3456">
            <v>21.57</v>
          </cell>
          <cell r="E3456">
            <v>40.42</v>
          </cell>
          <cell r="F3456">
            <v>89.92</v>
          </cell>
          <cell r="G3456">
            <v>22.48</v>
          </cell>
          <cell r="H3456">
            <v>22.48</v>
          </cell>
          <cell r="I3456">
            <v>22.48</v>
          </cell>
          <cell r="J3456">
            <v>22.48</v>
          </cell>
          <cell r="K3456">
            <v>89.92</v>
          </cell>
          <cell r="L3456">
            <v>5.35</v>
          </cell>
          <cell r="M3456">
            <v>4800</v>
          </cell>
          <cell r="N3456">
            <v>4800</v>
          </cell>
          <cell r="O3456">
            <v>4800</v>
          </cell>
        </row>
        <row r="3457">
          <cell r="A3457" t="str">
            <v>Poland CorporateGECC INTERCO EXPENSES EXCL GECIS</v>
          </cell>
          <cell r="B3457">
            <v>0</v>
          </cell>
          <cell r="C3457">
            <v>0</v>
          </cell>
          <cell r="D3457">
            <v>0</v>
          </cell>
          <cell r="E3457">
            <v>0</v>
          </cell>
          <cell r="F3457">
            <v>0</v>
          </cell>
          <cell r="G3457">
            <v>0</v>
          </cell>
          <cell r="H3457">
            <v>0</v>
          </cell>
          <cell r="I3457">
            <v>0</v>
          </cell>
          <cell r="J3457">
            <v>0</v>
          </cell>
          <cell r="K3457">
            <v>0</v>
          </cell>
          <cell r="L3457">
            <v>0</v>
          </cell>
          <cell r="M3457">
            <v>0</v>
          </cell>
          <cell r="N3457">
            <v>0</v>
          </cell>
          <cell r="O3457">
            <v>0</v>
          </cell>
        </row>
        <row r="3458">
          <cell r="A3458" t="str">
            <v>Poland CorporateGECIS INTERCO CHARGES</v>
          </cell>
          <cell r="B3458">
            <v>0</v>
          </cell>
          <cell r="C3458">
            <v>0</v>
          </cell>
          <cell r="D3458">
            <v>0</v>
          </cell>
          <cell r="E3458">
            <v>0</v>
          </cell>
          <cell r="F3458">
            <v>0</v>
          </cell>
          <cell r="G3458">
            <v>0</v>
          </cell>
          <cell r="H3458">
            <v>0</v>
          </cell>
          <cell r="I3458">
            <v>0</v>
          </cell>
          <cell r="J3458">
            <v>0</v>
          </cell>
          <cell r="K3458">
            <v>0</v>
          </cell>
          <cell r="L3458">
            <v>0</v>
          </cell>
          <cell r="M3458">
            <v>0</v>
          </cell>
          <cell r="N3458">
            <v>0</v>
          </cell>
          <cell r="O3458">
            <v>0</v>
          </cell>
        </row>
        <row r="3459">
          <cell r="A3459" t="str">
            <v>Poland CorporateLOSS ADJUSTED EXPENSE</v>
          </cell>
          <cell r="B3459">
            <v>0</v>
          </cell>
          <cell r="C3459">
            <v>0</v>
          </cell>
          <cell r="D3459">
            <v>0</v>
          </cell>
          <cell r="E3459">
            <v>0</v>
          </cell>
          <cell r="F3459">
            <v>0</v>
          </cell>
          <cell r="G3459">
            <v>0</v>
          </cell>
          <cell r="H3459">
            <v>0</v>
          </cell>
          <cell r="I3459">
            <v>0</v>
          </cell>
          <cell r="J3459">
            <v>0</v>
          </cell>
          <cell r="K3459">
            <v>0</v>
          </cell>
          <cell r="L3459">
            <v>0</v>
          </cell>
          <cell r="M3459">
            <v>0</v>
          </cell>
          <cell r="N3459">
            <v>0</v>
          </cell>
          <cell r="O3459">
            <v>0</v>
          </cell>
        </row>
        <row r="3460">
          <cell r="A3460" t="str">
            <v>Poland CorporateALL OTHER EXPENSES</v>
          </cell>
          <cell r="B3460">
            <v>0</v>
          </cell>
          <cell r="C3460">
            <v>0</v>
          </cell>
          <cell r="D3460">
            <v>0</v>
          </cell>
          <cell r="E3460">
            <v>0</v>
          </cell>
          <cell r="F3460">
            <v>0</v>
          </cell>
          <cell r="G3460">
            <v>0</v>
          </cell>
          <cell r="H3460">
            <v>0</v>
          </cell>
          <cell r="I3460">
            <v>0</v>
          </cell>
          <cell r="J3460">
            <v>0</v>
          </cell>
          <cell r="K3460">
            <v>0</v>
          </cell>
          <cell r="L3460">
            <v>0</v>
          </cell>
          <cell r="M3460">
            <v>0</v>
          </cell>
          <cell r="N3460">
            <v>0</v>
          </cell>
          <cell r="O3460">
            <v>0</v>
          </cell>
        </row>
        <row r="3461">
          <cell r="A3461" t="str">
            <v>Poland CorporateASSESSMENTS</v>
          </cell>
          <cell r="B3461">
            <v>29379.200000000001</v>
          </cell>
          <cell r="C3461">
            <v>849.75</v>
          </cell>
          <cell r="D3461">
            <v>742.97</v>
          </cell>
          <cell r="E3461">
            <v>-27906.5</v>
          </cell>
          <cell r="F3461">
            <v>3065.42</v>
          </cell>
          <cell r="G3461">
            <v>766.35500000000002</v>
          </cell>
          <cell r="H3461">
            <v>766.35500000000002</v>
          </cell>
          <cell r="I3461">
            <v>766.35500000000002</v>
          </cell>
          <cell r="J3461">
            <v>766.35500000000002</v>
          </cell>
          <cell r="K3461">
            <v>3065.42</v>
          </cell>
          <cell r="L3461">
            <v>713.56</v>
          </cell>
          <cell r="M3461">
            <v>2700</v>
          </cell>
          <cell r="N3461">
            <v>2700</v>
          </cell>
          <cell r="O3461">
            <v>2700</v>
          </cell>
        </row>
        <row r="3462">
          <cell r="A3462" t="str">
            <v>Poland CorporateFAS 91</v>
          </cell>
          <cell r="B3462">
            <v>0</v>
          </cell>
          <cell r="C3462">
            <v>0</v>
          </cell>
          <cell r="D3462">
            <v>0</v>
          </cell>
          <cell r="E3462">
            <v>0</v>
          </cell>
          <cell r="F3462">
            <v>0</v>
          </cell>
          <cell r="G3462">
            <v>0</v>
          </cell>
          <cell r="H3462">
            <v>0</v>
          </cell>
          <cell r="I3462">
            <v>0</v>
          </cell>
          <cell r="J3462">
            <v>0</v>
          </cell>
          <cell r="K3462">
            <v>0</v>
          </cell>
          <cell r="L3462">
            <v>0</v>
          </cell>
          <cell r="M3462">
            <v>0</v>
          </cell>
          <cell r="N3462">
            <v>0</v>
          </cell>
          <cell r="O3462">
            <v>0</v>
          </cell>
        </row>
        <row r="3463">
          <cell r="A3463" t="str">
            <v>Poland CorporateGOODWILL AMORTIZATION</v>
          </cell>
          <cell r="B3463">
            <v>0</v>
          </cell>
          <cell r="C3463">
            <v>0</v>
          </cell>
          <cell r="D3463">
            <v>0</v>
          </cell>
          <cell r="E3463">
            <v>0</v>
          </cell>
          <cell r="F3463">
            <v>0</v>
          </cell>
          <cell r="G3463">
            <v>0</v>
          </cell>
          <cell r="H3463">
            <v>0</v>
          </cell>
          <cell r="I3463">
            <v>0</v>
          </cell>
          <cell r="J3463">
            <v>0</v>
          </cell>
          <cell r="K3463">
            <v>0</v>
          </cell>
          <cell r="L3463">
            <v>0</v>
          </cell>
          <cell r="M3463">
            <v>0</v>
          </cell>
          <cell r="N3463">
            <v>0</v>
          </cell>
          <cell r="O3463">
            <v>0</v>
          </cell>
        </row>
        <row r="3464">
          <cell r="A3464" t="str">
            <v>Poland CorporateDEPRECIATION EXPENSE</v>
          </cell>
          <cell r="B3464">
            <v>0</v>
          </cell>
          <cell r="C3464">
            <v>0</v>
          </cell>
          <cell r="D3464">
            <v>0</v>
          </cell>
          <cell r="E3464">
            <v>0</v>
          </cell>
          <cell r="F3464">
            <v>0</v>
          </cell>
          <cell r="G3464">
            <v>0</v>
          </cell>
          <cell r="H3464">
            <v>0</v>
          </cell>
          <cell r="I3464">
            <v>0</v>
          </cell>
          <cell r="J3464">
            <v>0</v>
          </cell>
          <cell r="K3464">
            <v>0</v>
          </cell>
          <cell r="L3464">
            <v>0</v>
          </cell>
          <cell r="M3464">
            <v>0</v>
          </cell>
          <cell r="N3464">
            <v>0</v>
          </cell>
          <cell r="O3464">
            <v>0</v>
          </cell>
        </row>
        <row r="3465">
          <cell r="A3465" t="str">
            <v>Poland CorporateELTO AMORTIZATION</v>
          </cell>
          <cell r="B3465">
            <v>0</v>
          </cell>
          <cell r="C3465">
            <v>0</v>
          </cell>
          <cell r="D3465">
            <v>0</v>
          </cell>
          <cell r="E3465">
            <v>0</v>
          </cell>
          <cell r="F3465">
            <v>0</v>
          </cell>
          <cell r="G3465">
            <v>0</v>
          </cell>
          <cell r="H3465">
            <v>0</v>
          </cell>
          <cell r="I3465">
            <v>0</v>
          </cell>
          <cell r="J3465">
            <v>0</v>
          </cell>
          <cell r="K3465">
            <v>0</v>
          </cell>
          <cell r="L3465">
            <v>0</v>
          </cell>
          <cell r="M3465">
            <v>0</v>
          </cell>
          <cell r="N3465">
            <v>0</v>
          </cell>
          <cell r="O3465">
            <v>0</v>
          </cell>
        </row>
        <row r="3466">
          <cell r="A3466" t="str">
            <v>Poland CorporateINSURANCE LOSSES AND BENEFITS</v>
          </cell>
          <cell r="B3466">
            <v>0</v>
          </cell>
          <cell r="C3466">
            <v>0</v>
          </cell>
          <cell r="D3466">
            <v>0</v>
          </cell>
          <cell r="E3466">
            <v>0</v>
          </cell>
          <cell r="F3466">
            <v>0</v>
          </cell>
          <cell r="G3466">
            <v>0</v>
          </cell>
          <cell r="H3466">
            <v>0</v>
          </cell>
          <cell r="I3466">
            <v>0</v>
          </cell>
          <cell r="J3466">
            <v>0</v>
          </cell>
          <cell r="K3466">
            <v>0</v>
          </cell>
          <cell r="L3466">
            <v>0</v>
          </cell>
          <cell r="M3466">
            <v>0</v>
          </cell>
          <cell r="N3466">
            <v>0</v>
          </cell>
          <cell r="O3466">
            <v>0</v>
          </cell>
        </row>
        <row r="3467">
          <cell r="A3467" t="str">
            <v>Poland CorporateWRITE OFFS</v>
          </cell>
          <cell r="B3467">
            <v>0</v>
          </cell>
          <cell r="C3467">
            <v>0</v>
          </cell>
          <cell r="D3467">
            <v>0</v>
          </cell>
          <cell r="E3467">
            <v>0</v>
          </cell>
          <cell r="F3467">
            <v>0</v>
          </cell>
          <cell r="G3467">
            <v>0</v>
          </cell>
          <cell r="H3467">
            <v>0</v>
          </cell>
          <cell r="I3467">
            <v>0</v>
          </cell>
          <cell r="J3467">
            <v>0</v>
          </cell>
          <cell r="K3467">
            <v>0</v>
          </cell>
          <cell r="L3467">
            <v>0</v>
          </cell>
          <cell r="M3467">
            <v>0</v>
          </cell>
          <cell r="N3467">
            <v>0</v>
          </cell>
          <cell r="O3467">
            <v>0</v>
          </cell>
        </row>
        <row r="3468">
          <cell r="A3468" t="str">
            <v>Poland CorporateRESERVE CHANGE</v>
          </cell>
          <cell r="B3468">
            <v>0</v>
          </cell>
          <cell r="C3468">
            <v>0</v>
          </cell>
          <cell r="D3468">
            <v>0</v>
          </cell>
          <cell r="E3468">
            <v>0</v>
          </cell>
          <cell r="F3468">
            <v>0</v>
          </cell>
          <cell r="G3468">
            <v>0</v>
          </cell>
          <cell r="H3468">
            <v>0</v>
          </cell>
          <cell r="I3468">
            <v>0</v>
          </cell>
          <cell r="J3468">
            <v>0</v>
          </cell>
          <cell r="K3468">
            <v>0</v>
          </cell>
          <cell r="L3468">
            <v>0</v>
          </cell>
          <cell r="M3468">
            <v>0</v>
          </cell>
          <cell r="N3468">
            <v>0</v>
          </cell>
          <cell r="O3468">
            <v>0</v>
          </cell>
        </row>
        <row r="3469">
          <cell r="A3469" t="str">
            <v>Poland CorporateMINORITY INTEREST</v>
          </cell>
          <cell r="B3469">
            <v>0</v>
          </cell>
          <cell r="C3469">
            <v>0</v>
          </cell>
          <cell r="D3469">
            <v>0</v>
          </cell>
          <cell r="E3469">
            <v>0</v>
          </cell>
          <cell r="F3469">
            <v>0</v>
          </cell>
          <cell r="G3469">
            <v>0</v>
          </cell>
          <cell r="H3469">
            <v>0</v>
          </cell>
          <cell r="I3469">
            <v>0</v>
          </cell>
          <cell r="J3469">
            <v>0</v>
          </cell>
          <cell r="K3469">
            <v>0</v>
          </cell>
          <cell r="L3469">
            <v>0</v>
          </cell>
          <cell r="M3469">
            <v>0</v>
          </cell>
          <cell r="N3469">
            <v>0</v>
          </cell>
          <cell r="O3469">
            <v>0</v>
          </cell>
        </row>
        <row r="3470">
          <cell r="A3470" t="str">
            <v>Poland CorporateINCOME TAXES</v>
          </cell>
          <cell r="B3470">
            <v>0</v>
          </cell>
          <cell r="C3470">
            <v>0</v>
          </cell>
          <cell r="D3470">
            <v>0</v>
          </cell>
          <cell r="E3470">
            <v>0</v>
          </cell>
          <cell r="F3470">
            <v>0</v>
          </cell>
          <cell r="G3470">
            <v>0</v>
          </cell>
          <cell r="H3470">
            <v>0</v>
          </cell>
          <cell r="I3470">
            <v>0</v>
          </cell>
          <cell r="J3470">
            <v>0</v>
          </cell>
          <cell r="K3470">
            <v>0</v>
          </cell>
          <cell r="L3470">
            <v>0</v>
          </cell>
          <cell r="M3470">
            <v>0</v>
          </cell>
          <cell r="N3470">
            <v>0</v>
          </cell>
          <cell r="O3470">
            <v>0</v>
          </cell>
        </row>
        <row r="3471">
          <cell r="A3471" t="str">
            <v>Poland CorporateCUMULATIVE TRANSITION ADJUSTMENT</v>
          </cell>
          <cell r="B3471">
            <v>0</v>
          </cell>
          <cell r="C3471">
            <v>0</v>
          </cell>
          <cell r="D3471">
            <v>0</v>
          </cell>
          <cell r="E3471">
            <v>0</v>
          </cell>
          <cell r="F3471">
            <v>0</v>
          </cell>
          <cell r="G3471">
            <v>0</v>
          </cell>
          <cell r="H3471">
            <v>0</v>
          </cell>
          <cell r="I3471">
            <v>0</v>
          </cell>
          <cell r="J3471">
            <v>0</v>
          </cell>
          <cell r="K3471">
            <v>0</v>
          </cell>
          <cell r="L3471">
            <v>0</v>
          </cell>
          <cell r="M3471">
            <v>0</v>
          </cell>
          <cell r="N3471">
            <v>0</v>
          </cell>
          <cell r="O3471">
            <v>0</v>
          </cell>
        </row>
        <row r="3472">
          <cell r="A3472" t="str">
            <v>Poland CorporateASIA PACIFIC NI DIVIDEND</v>
          </cell>
          <cell r="B3472">
            <v>0</v>
          </cell>
          <cell r="C3472">
            <v>0</v>
          </cell>
          <cell r="D3472">
            <v>0</v>
          </cell>
          <cell r="E3472">
            <v>0</v>
          </cell>
          <cell r="F3472">
            <v>0</v>
          </cell>
          <cell r="G3472">
            <v>0</v>
          </cell>
          <cell r="H3472">
            <v>0</v>
          </cell>
          <cell r="I3472">
            <v>0</v>
          </cell>
          <cell r="J3472">
            <v>0</v>
          </cell>
          <cell r="K3472">
            <v>0</v>
          </cell>
          <cell r="L3472">
            <v>0</v>
          </cell>
          <cell r="M3472">
            <v>0</v>
          </cell>
          <cell r="N3472">
            <v>0</v>
          </cell>
          <cell r="O3472">
            <v>0</v>
          </cell>
        </row>
        <row r="3473">
          <cell r="A3473" t="str">
            <v>Poland CorporateNet Income</v>
          </cell>
          <cell r="B3473">
            <v>25719.69</v>
          </cell>
          <cell r="C3473">
            <v>-1633.62</v>
          </cell>
          <cell r="D3473">
            <v>2831.49</v>
          </cell>
          <cell r="E3473">
            <v>-26909.56</v>
          </cell>
          <cell r="F3473">
            <v>8</v>
          </cell>
          <cell r="G3473">
            <v>2</v>
          </cell>
          <cell r="H3473">
            <v>2</v>
          </cell>
          <cell r="I3473">
            <v>2</v>
          </cell>
          <cell r="J3473">
            <v>2</v>
          </cell>
          <cell r="K3473">
            <v>8</v>
          </cell>
          <cell r="L3473">
            <v>-1004.43</v>
          </cell>
          <cell r="M3473">
            <v>-11300</v>
          </cell>
          <cell r="N3473">
            <v>-10900</v>
          </cell>
          <cell r="O3473">
            <v>-10500</v>
          </cell>
        </row>
        <row r="3474">
          <cell r="A3474" t="str">
            <v>Poland CorporateSubPart F</v>
          </cell>
          <cell r="B3474">
            <v>0</v>
          </cell>
          <cell r="C3474">
            <v>0</v>
          </cell>
          <cell r="D3474">
            <v>0</v>
          </cell>
          <cell r="E3474">
            <v>0</v>
          </cell>
          <cell r="F3474">
            <v>0</v>
          </cell>
          <cell r="G3474">
            <v>0</v>
          </cell>
          <cell r="H3474">
            <v>0</v>
          </cell>
          <cell r="I3474">
            <v>0</v>
          </cell>
          <cell r="J3474">
            <v>0</v>
          </cell>
          <cell r="K3474">
            <v>0</v>
          </cell>
          <cell r="L3474">
            <v>0</v>
          </cell>
          <cell r="M3474">
            <v>0</v>
          </cell>
          <cell r="N3474">
            <v>0</v>
          </cell>
          <cell r="O3474">
            <v>0</v>
          </cell>
        </row>
        <row r="3475">
          <cell r="A3475" t="str">
            <v>Poland CorporateAssets</v>
          </cell>
          <cell r="B3475">
            <v>389731.52</v>
          </cell>
          <cell r="C3475">
            <v>391805.91</v>
          </cell>
          <cell r="D3475">
            <v>389253.92</v>
          </cell>
          <cell r="E3475">
            <v>389368.17</v>
          </cell>
          <cell r="F3475">
            <v>389368.17</v>
          </cell>
          <cell r="G3475">
            <v>389368.17</v>
          </cell>
          <cell r="H3475">
            <v>389368.17</v>
          </cell>
          <cell r="I3475">
            <v>389368.17</v>
          </cell>
          <cell r="J3475">
            <v>389368.17</v>
          </cell>
          <cell r="K3475">
            <v>389368.17</v>
          </cell>
          <cell r="L3475">
            <v>390181.93</v>
          </cell>
          <cell r="M3475">
            <v>413237.32</v>
          </cell>
          <cell r="N3475">
            <v>413237.32</v>
          </cell>
          <cell r="O3475">
            <v>413237.32</v>
          </cell>
        </row>
        <row r="3476">
          <cell r="A3476" t="str">
            <v>Poland CorporateEnding Net Investment (ENI) incl Asia</v>
          </cell>
          <cell r="B3476">
            <v>1110926.3700000001</v>
          </cell>
          <cell r="C3476">
            <v>1110271.93</v>
          </cell>
          <cell r="D3476">
            <v>1117313.3999999999</v>
          </cell>
          <cell r="E3476">
            <v>1109227.53</v>
          </cell>
          <cell r="F3476">
            <v>1109227.53</v>
          </cell>
          <cell r="G3476">
            <v>1109227.53</v>
          </cell>
          <cell r="H3476">
            <v>1109227.53</v>
          </cell>
          <cell r="I3476">
            <v>1109227.53</v>
          </cell>
          <cell r="J3476">
            <v>1109227.53</v>
          </cell>
          <cell r="K3476">
            <v>1109227.53</v>
          </cell>
          <cell r="L3476">
            <v>1114185.0900000001</v>
          </cell>
          <cell r="M3476">
            <v>1932254.88</v>
          </cell>
          <cell r="N3476">
            <v>1932254.88</v>
          </cell>
          <cell r="O3476">
            <v>1932254.88</v>
          </cell>
        </row>
        <row r="3477">
          <cell r="A3477" t="str">
            <v>Poland CorporateANR YTD</v>
          </cell>
          <cell r="B3477">
            <v>0</v>
          </cell>
          <cell r="C3477">
            <v>0</v>
          </cell>
          <cell r="D3477">
            <v>0</v>
          </cell>
          <cell r="E3477">
            <v>0</v>
          </cell>
          <cell r="F3477">
            <v>0</v>
          </cell>
          <cell r="G3477">
            <v>0</v>
          </cell>
          <cell r="H3477">
            <v>0</v>
          </cell>
          <cell r="I3477">
            <v>0</v>
          </cell>
          <cell r="J3477">
            <v>0</v>
          </cell>
          <cell r="K3477">
            <v>0</v>
          </cell>
          <cell r="L3477">
            <v>0</v>
          </cell>
          <cell r="M3477">
            <v>0</v>
          </cell>
          <cell r="N3477">
            <v>0</v>
          </cell>
          <cell r="O3477">
            <v>0</v>
          </cell>
        </row>
        <row r="3478">
          <cell r="A3478" t="str">
            <v>Poland CorporateASA YTD</v>
          </cell>
          <cell r="B3478">
            <v>0</v>
          </cell>
          <cell r="C3478">
            <v>0</v>
          </cell>
          <cell r="D3478">
            <v>0</v>
          </cell>
          <cell r="E3478">
            <v>0</v>
          </cell>
          <cell r="F3478">
            <v>0</v>
          </cell>
          <cell r="G3478">
            <v>0</v>
          </cell>
          <cell r="H3478">
            <v>0</v>
          </cell>
          <cell r="I3478">
            <v>0</v>
          </cell>
          <cell r="J3478">
            <v>0</v>
          </cell>
          <cell r="K3478">
            <v>0</v>
          </cell>
          <cell r="L3478">
            <v>0</v>
          </cell>
          <cell r="M3478">
            <v>0</v>
          </cell>
          <cell r="N3478">
            <v>0</v>
          </cell>
          <cell r="O3478">
            <v>0</v>
          </cell>
        </row>
        <row r="3479">
          <cell r="A3479" t="str">
            <v>Poland CorporateANI YTD incl Asia - 5 pt</v>
          </cell>
          <cell r="B3479">
            <v>1112054.585</v>
          </cell>
          <cell r="C3479">
            <v>1111460.3666670001</v>
          </cell>
          <cell r="D3479">
            <v>1112923.625</v>
          </cell>
          <cell r="E3479">
            <v>1112184.406</v>
          </cell>
          <cell r="F3479">
            <v>1112184.406</v>
          </cell>
          <cell r="G3479">
            <v>1109227.53</v>
          </cell>
          <cell r="H3479">
            <v>1109227.53</v>
          </cell>
          <cell r="I3479">
            <v>1109227.53</v>
          </cell>
          <cell r="J3479">
            <v>1109227.53</v>
          </cell>
          <cell r="K3479">
            <v>1109227.53</v>
          </cell>
          <cell r="L3479">
            <v>1111706.31</v>
          </cell>
          <cell r="M3479">
            <v>614787.94200000004</v>
          </cell>
          <cell r="N3479">
            <v>772901.95200000005</v>
          </cell>
          <cell r="O3479">
            <v>772901.95200000005</v>
          </cell>
        </row>
        <row r="3480">
          <cell r="A3480" t="str">
            <v>Poland CorporateOff Balance Sheet Assets</v>
          </cell>
          <cell r="B3480">
            <v>0</v>
          </cell>
          <cell r="C3480">
            <v>0</v>
          </cell>
          <cell r="D3480">
            <v>0</v>
          </cell>
          <cell r="E3480">
            <v>0</v>
          </cell>
          <cell r="F3480">
            <v>0</v>
          </cell>
          <cell r="G3480">
            <v>0</v>
          </cell>
          <cell r="H3480">
            <v>0</v>
          </cell>
          <cell r="I3480">
            <v>0</v>
          </cell>
          <cell r="J3480">
            <v>0</v>
          </cell>
          <cell r="K3480">
            <v>0</v>
          </cell>
          <cell r="L3480">
            <v>0</v>
          </cell>
          <cell r="M3480">
            <v>0</v>
          </cell>
          <cell r="N3480">
            <v>0</v>
          </cell>
          <cell r="O3480">
            <v>0</v>
          </cell>
        </row>
        <row r="3481">
          <cell r="A3481" t="str">
            <v>Poland CorporateJV Receivables</v>
          </cell>
          <cell r="B3481">
            <v>0</v>
          </cell>
          <cell r="C3481">
            <v>0</v>
          </cell>
          <cell r="D3481">
            <v>0</v>
          </cell>
          <cell r="E3481">
            <v>0</v>
          </cell>
          <cell r="F3481">
            <v>0</v>
          </cell>
          <cell r="G3481">
            <v>0</v>
          </cell>
          <cell r="H3481">
            <v>0</v>
          </cell>
          <cell r="I3481">
            <v>0</v>
          </cell>
          <cell r="J3481">
            <v>0</v>
          </cell>
          <cell r="K3481">
            <v>0</v>
          </cell>
          <cell r="L3481">
            <v>0</v>
          </cell>
          <cell r="M3481">
            <v>0</v>
          </cell>
          <cell r="N3481">
            <v>0</v>
          </cell>
          <cell r="O3481">
            <v>0</v>
          </cell>
        </row>
        <row r="3482">
          <cell r="A3482" t="str">
            <v>Poland Corporate30+ DELINQUENCY $</v>
          </cell>
          <cell r="B3482">
            <v>0</v>
          </cell>
          <cell r="C3482">
            <v>0</v>
          </cell>
          <cell r="D3482">
            <v>0</v>
          </cell>
          <cell r="E3482">
            <v>0</v>
          </cell>
          <cell r="F3482">
            <v>0</v>
          </cell>
          <cell r="G3482">
            <v>0</v>
          </cell>
          <cell r="H3482">
            <v>0</v>
          </cell>
          <cell r="I3482">
            <v>0</v>
          </cell>
          <cell r="J3482">
            <v>0</v>
          </cell>
          <cell r="K3482">
            <v>0</v>
          </cell>
          <cell r="L3482">
            <v>0</v>
          </cell>
          <cell r="M3482">
            <v>0</v>
          </cell>
          <cell r="N3482">
            <v>0</v>
          </cell>
          <cell r="O3482">
            <v>0</v>
          </cell>
        </row>
        <row r="3483">
          <cell r="A3483" t="str">
            <v>Poland Corporate90+ DELINQUENCY $</v>
          </cell>
          <cell r="B3483">
            <v>0</v>
          </cell>
          <cell r="C3483">
            <v>0</v>
          </cell>
          <cell r="D3483">
            <v>0</v>
          </cell>
          <cell r="E3483">
            <v>0</v>
          </cell>
          <cell r="F3483">
            <v>0</v>
          </cell>
          <cell r="G3483">
            <v>0</v>
          </cell>
          <cell r="H3483">
            <v>0</v>
          </cell>
          <cell r="I3483">
            <v>0</v>
          </cell>
          <cell r="J3483">
            <v>0</v>
          </cell>
          <cell r="K3483">
            <v>0</v>
          </cell>
          <cell r="L3483">
            <v>0</v>
          </cell>
          <cell r="M3483">
            <v>0</v>
          </cell>
          <cell r="N3483">
            <v>0</v>
          </cell>
          <cell r="O3483">
            <v>0</v>
          </cell>
        </row>
        <row r="3484">
          <cell r="A3484" t="str">
            <v>Poland CorporateTemporary Staff</v>
          </cell>
          <cell r="B3484">
            <v>0</v>
          </cell>
          <cell r="C3484">
            <v>0</v>
          </cell>
          <cell r="D3484">
            <v>0</v>
          </cell>
          <cell r="E3484">
            <v>0</v>
          </cell>
          <cell r="F3484">
            <v>0</v>
          </cell>
          <cell r="G3484">
            <v>0</v>
          </cell>
          <cell r="H3484">
            <v>0</v>
          </cell>
          <cell r="I3484">
            <v>0</v>
          </cell>
          <cell r="J3484">
            <v>0</v>
          </cell>
          <cell r="K3484">
            <v>0</v>
          </cell>
          <cell r="L3484">
            <v>0</v>
          </cell>
          <cell r="M3484">
            <v>0</v>
          </cell>
          <cell r="N3484">
            <v>0</v>
          </cell>
          <cell r="O3484">
            <v>0</v>
          </cell>
        </row>
        <row r="3485">
          <cell r="A3485" t="str">
            <v>Poland CorporateContractors</v>
          </cell>
          <cell r="B3485">
            <v>0</v>
          </cell>
          <cell r="C3485">
            <v>0</v>
          </cell>
          <cell r="D3485">
            <v>0</v>
          </cell>
          <cell r="E3485">
            <v>0</v>
          </cell>
          <cell r="F3485">
            <v>0</v>
          </cell>
          <cell r="G3485">
            <v>0</v>
          </cell>
          <cell r="H3485">
            <v>0</v>
          </cell>
          <cell r="I3485">
            <v>0</v>
          </cell>
          <cell r="J3485">
            <v>0</v>
          </cell>
          <cell r="K3485">
            <v>0</v>
          </cell>
          <cell r="L3485">
            <v>0</v>
          </cell>
          <cell r="M3485">
            <v>0</v>
          </cell>
          <cell r="N3485">
            <v>0</v>
          </cell>
          <cell r="O3485">
            <v>0</v>
          </cell>
        </row>
        <row r="3486">
          <cell r="A3486" t="str">
            <v>Poland CorporateOutsourced to LCC</v>
          </cell>
          <cell r="B3486">
            <v>0</v>
          </cell>
          <cell r="C3486">
            <v>0</v>
          </cell>
          <cell r="D3486">
            <v>0</v>
          </cell>
          <cell r="E3486">
            <v>0</v>
          </cell>
          <cell r="F3486">
            <v>0</v>
          </cell>
          <cell r="G3486">
            <v>0</v>
          </cell>
          <cell r="H3486">
            <v>0</v>
          </cell>
          <cell r="I3486">
            <v>0</v>
          </cell>
          <cell r="J3486">
            <v>0</v>
          </cell>
          <cell r="K3486">
            <v>0</v>
          </cell>
          <cell r="L3486">
            <v>0</v>
          </cell>
          <cell r="M3486">
            <v>0</v>
          </cell>
          <cell r="N3486">
            <v>0</v>
          </cell>
          <cell r="O3486">
            <v>0</v>
          </cell>
        </row>
        <row r="3487">
          <cell r="A3487" t="str">
            <v>Poland CorporateTotal Headcount</v>
          </cell>
          <cell r="B3487">
            <v>773</v>
          </cell>
          <cell r="C3487">
            <v>765</v>
          </cell>
          <cell r="D3487">
            <v>0</v>
          </cell>
          <cell r="E3487">
            <v>0</v>
          </cell>
          <cell r="F3487">
            <v>0</v>
          </cell>
          <cell r="G3487">
            <v>0</v>
          </cell>
          <cell r="H3487">
            <v>0</v>
          </cell>
          <cell r="I3487">
            <v>0</v>
          </cell>
          <cell r="J3487">
            <v>0</v>
          </cell>
          <cell r="K3487">
            <v>0</v>
          </cell>
          <cell r="L3487">
            <v>0</v>
          </cell>
          <cell r="M3487">
            <v>0</v>
          </cell>
          <cell r="N3487">
            <v>0</v>
          </cell>
          <cell r="O3487">
            <v>0</v>
          </cell>
        </row>
        <row r="3488">
          <cell r="A3488" t="str">
            <v>Poland CorporateTotal Workforce</v>
          </cell>
          <cell r="B3488">
            <v>773</v>
          </cell>
          <cell r="C3488">
            <v>765</v>
          </cell>
          <cell r="D3488">
            <v>0</v>
          </cell>
          <cell r="E3488">
            <v>0</v>
          </cell>
          <cell r="F3488">
            <v>0</v>
          </cell>
          <cell r="G3488">
            <v>0</v>
          </cell>
          <cell r="H3488">
            <v>0</v>
          </cell>
          <cell r="I3488">
            <v>0</v>
          </cell>
          <cell r="J3488">
            <v>0</v>
          </cell>
          <cell r="K3488">
            <v>0</v>
          </cell>
          <cell r="L3488">
            <v>0</v>
          </cell>
          <cell r="M3488">
            <v>0</v>
          </cell>
          <cell r="N3488">
            <v>0</v>
          </cell>
          <cell r="O3488">
            <v>0</v>
          </cell>
        </row>
        <row r="3489">
          <cell r="A3489" t="str">
            <v>Poland CorporateTotal Earned Revenue</v>
          </cell>
          <cell r="B3489">
            <v>-10147.049999999999</v>
          </cell>
          <cell r="C3489">
            <v>-6689.09</v>
          </cell>
          <cell r="D3489">
            <v>-7174.07</v>
          </cell>
          <cell r="E3489">
            <v>-6655.01</v>
          </cell>
          <cell r="F3489">
            <v>-30665.22</v>
          </cell>
          <cell r="G3489">
            <v>-7666.3050000000003</v>
          </cell>
          <cell r="H3489">
            <v>-7666.3050000000003</v>
          </cell>
          <cell r="I3489">
            <v>-7666.3050000000003</v>
          </cell>
          <cell r="J3489">
            <v>-7666.3050000000003</v>
          </cell>
          <cell r="K3489">
            <v>-30665.22</v>
          </cell>
          <cell r="L3489">
            <v>-5018.58</v>
          </cell>
          <cell r="M3489">
            <v>-40000</v>
          </cell>
          <cell r="N3489">
            <v>-40000</v>
          </cell>
          <cell r="O3489">
            <v>-40000</v>
          </cell>
        </row>
        <row r="3490">
          <cell r="A3490" t="str">
            <v>Poland CorporateOrdinary Gains - PreTax</v>
          </cell>
          <cell r="B3490">
            <v>0</v>
          </cell>
          <cell r="C3490">
            <v>0</v>
          </cell>
          <cell r="D3490">
            <v>0</v>
          </cell>
          <cell r="E3490">
            <v>0</v>
          </cell>
          <cell r="F3490">
            <v>0</v>
          </cell>
          <cell r="G3490">
            <v>0</v>
          </cell>
          <cell r="H3490">
            <v>0</v>
          </cell>
          <cell r="I3490">
            <v>0</v>
          </cell>
          <cell r="J3490">
            <v>0</v>
          </cell>
          <cell r="K3490">
            <v>0</v>
          </cell>
          <cell r="L3490">
            <v>0</v>
          </cell>
          <cell r="M3490">
            <v>0</v>
          </cell>
          <cell r="N3490">
            <v>0</v>
          </cell>
          <cell r="O3490">
            <v>0</v>
          </cell>
        </row>
        <row r="3491">
          <cell r="A3491" t="str">
            <v>Poland CorporateOrdinary Gains - AfterTax</v>
          </cell>
          <cell r="B3491">
            <v>0</v>
          </cell>
          <cell r="C3491">
            <v>0</v>
          </cell>
          <cell r="D3491">
            <v>0</v>
          </cell>
          <cell r="E3491">
            <v>0</v>
          </cell>
          <cell r="F3491">
            <v>0</v>
          </cell>
          <cell r="G3491">
            <v>0</v>
          </cell>
          <cell r="H3491">
            <v>0</v>
          </cell>
          <cell r="I3491">
            <v>0</v>
          </cell>
          <cell r="J3491">
            <v>0</v>
          </cell>
          <cell r="K3491">
            <v>0</v>
          </cell>
          <cell r="L3491">
            <v>0</v>
          </cell>
          <cell r="M3491">
            <v>0</v>
          </cell>
          <cell r="N3491">
            <v>0</v>
          </cell>
          <cell r="O3491">
            <v>0</v>
          </cell>
        </row>
        <row r="3492">
          <cell r="A3492" t="str">
            <v>Poland CorporateTotal Volume</v>
          </cell>
          <cell r="B3492">
            <v>0</v>
          </cell>
          <cell r="C3492">
            <v>0</v>
          </cell>
          <cell r="D3492">
            <v>0</v>
          </cell>
          <cell r="E3492">
            <v>0</v>
          </cell>
          <cell r="F3492">
            <v>0</v>
          </cell>
          <cell r="G3492">
            <v>0</v>
          </cell>
          <cell r="H3492">
            <v>0</v>
          </cell>
          <cell r="I3492">
            <v>0</v>
          </cell>
          <cell r="J3492">
            <v>0</v>
          </cell>
          <cell r="K3492">
            <v>0</v>
          </cell>
          <cell r="L3492">
            <v>0</v>
          </cell>
          <cell r="M3492">
            <v>0</v>
          </cell>
          <cell r="N3492">
            <v>0</v>
          </cell>
          <cell r="O3492">
            <v>0</v>
          </cell>
        </row>
        <row r="3493">
          <cell r="A3493" t="str">
            <v>Poland CorporateTOTAL # ACTIVE ACCOUNTS</v>
          </cell>
          <cell r="B3493">
            <v>0</v>
          </cell>
          <cell r="C3493">
            <v>0</v>
          </cell>
          <cell r="D3493">
            <v>0</v>
          </cell>
          <cell r="E3493">
            <v>0</v>
          </cell>
          <cell r="F3493">
            <v>0</v>
          </cell>
          <cell r="G3493">
            <v>0</v>
          </cell>
          <cell r="H3493">
            <v>0</v>
          </cell>
          <cell r="I3493">
            <v>0</v>
          </cell>
          <cell r="J3493">
            <v>0</v>
          </cell>
          <cell r="K3493">
            <v>0</v>
          </cell>
          <cell r="L3493">
            <v>0</v>
          </cell>
          <cell r="M3493">
            <v>0</v>
          </cell>
          <cell r="N3493">
            <v>0</v>
          </cell>
          <cell r="O3493">
            <v>0</v>
          </cell>
        </row>
        <row r="3494">
          <cell r="A3494" t="str">
            <v>Project ProphetTOTAL FINANCING RECEIVABLES</v>
          </cell>
          <cell r="B3494">
            <v>0</v>
          </cell>
          <cell r="C3494">
            <v>0</v>
          </cell>
          <cell r="D3494">
            <v>0</v>
          </cell>
          <cell r="E3494">
            <v>0</v>
          </cell>
          <cell r="F3494">
            <v>0</v>
          </cell>
          <cell r="G3494">
            <v>0</v>
          </cell>
          <cell r="H3494">
            <v>0</v>
          </cell>
          <cell r="I3494">
            <v>0</v>
          </cell>
          <cell r="J3494">
            <v>0</v>
          </cell>
          <cell r="K3494">
            <v>0</v>
          </cell>
          <cell r="L3494">
            <v>0</v>
          </cell>
          <cell r="M3494">
            <v>0</v>
          </cell>
          <cell r="N3494">
            <v>0</v>
          </cell>
          <cell r="O3494">
            <v>0</v>
          </cell>
        </row>
        <row r="3495">
          <cell r="A3495" t="str">
            <v>Project ProphetRECEIVABLE RESERVES</v>
          </cell>
          <cell r="B3495">
            <v>0</v>
          </cell>
          <cell r="C3495">
            <v>0</v>
          </cell>
          <cell r="D3495">
            <v>0</v>
          </cell>
          <cell r="E3495">
            <v>0</v>
          </cell>
          <cell r="F3495">
            <v>0</v>
          </cell>
          <cell r="G3495">
            <v>0</v>
          </cell>
          <cell r="H3495">
            <v>0</v>
          </cell>
          <cell r="I3495">
            <v>0</v>
          </cell>
          <cell r="J3495">
            <v>0</v>
          </cell>
          <cell r="K3495">
            <v>0</v>
          </cell>
          <cell r="L3495">
            <v>0</v>
          </cell>
          <cell r="M3495">
            <v>0</v>
          </cell>
          <cell r="N3495">
            <v>0</v>
          </cell>
          <cell r="O3495">
            <v>0</v>
          </cell>
        </row>
        <row r="3496">
          <cell r="A3496" t="str">
            <v>Project ProphetCASH</v>
          </cell>
          <cell r="B3496">
            <v>1679286.69</v>
          </cell>
          <cell r="C3496">
            <v>491161.59999999998</v>
          </cell>
          <cell r="D3496">
            <v>539196.54</v>
          </cell>
          <cell r="E3496">
            <v>635828.31000000006</v>
          </cell>
          <cell r="F3496">
            <v>635828.31000000006</v>
          </cell>
          <cell r="G3496">
            <v>500000</v>
          </cell>
          <cell r="H3496">
            <v>500000</v>
          </cell>
          <cell r="I3496">
            <v>500000</v>
          </cell>
          <cell r="J3496">
            <v>500000</v>
          </cell>
          <cell r="K3496">
            <v>500000</v>
          </cell>
          <cell r="L3496">
            <v>599554.68999999994</v>
          </cell>
          <cell r="M3496">
            <v>2900000</v>
          </cell>
          <cell r="N3496">
            <v>3400000</v>
          </cell>
          <cell r="O3496">
            <v>3900000</v>
          </cell>
        </row>
        <row r="3497">
          <cell r="A3497" t="str">
            <v>Project ProphetINVESTMENT SECURITIES</v>
          </cell>
          <cell r="B3497">
            <v>0</v>
          </cell>
          <cell r="C3497">
            <v>0</v>
          </cell>
          <cell r="D3497">
            <v>0</v>
          </cell>
          <cell r="E3497">
            <v>0</v>
          </cell>
          <cell r="F3497">
            <v>0</v>
          </cell>
          <cell r="G3497">
            <v>0</v>
          </cell>
          <cell r="H3497">
            <v>0</v>
          </cell>
          <cell r="I3497">
            <v>0</v>
          </cell>
          <cell r="J3497">
            <v>0</v>
          </cell>
          <cell r="K3497">
            <v>0</v>
          </cell>
          <cell r="L3497">
            <v>0</v>
          </cell>
          <cell r="M3497">
            <v>0</v>
          </cell>
          <cell r="N3497">
            <v>0</v>
          </cell>
          <cell r="O3497">
            <v>0</v>
          </cell>
        </row>
        <row r="3498">
          <cell r="A3498" t="str">
            <v>Project ProphetINV IN NON CONSOL AFFILIATES</v>
          </cell>
          <cell r="B3498">
            <v>0</v>
          </cell>
          <cell r="C3498">
            <v>0</v>
          </cell>
          <cell r="D3498">
            <v>0</v>
          </cell>
          <cell r="E3498">
            <v>0</v>
          </cell>
          <cell r="F3498">
            <v>0</v>
          </cell>
          <cell r="G3498">
            <v>0</v>
          </cell>
          <cell r="H3498">
            <v>0</v>
          </cell>
          <cell r="I3498">
            <v>0</v>
          </cell>
          <cell r="J3498">
            <v>0</v>
          </cell>
          <cell r="K3498">
            <v>0</v>
          </cell>
          <cell r="L3498">
            <v>0</v>
          </cell>
          <cell r="M3498">
            <v>0</v>
          </cell>
          <cell r="N3498">
            <v>0</v>
          </cell>
          <cell r="O3498">
            <v>0</v>
          </cell>
        </row>
        <row r="3499">
          <cell r="A3499" t="str">
            <v>Project ProphetINVESTMENT IN JOINT VENTURE</v>
          </cell>
          <cell r="B3499">
            <v>0</v>
          </cell>
          <cell r="C3499">
            <v>0</v>
          </cell>
          <cell r="D3499">
            <v>0</v>
          </cell>
          <cell r="E3499">
            <v>0</v>
          </cell>
          <cell r="F3499">
            <v>0</v>
          </cell>
          <cell r="G3499">
            <v>0</v>
          </cell>
          <cell r="H3499">
            <v>0</v>
          </cell>
          <cell r="I3499">
            <v>0</v>
          </cell>
          <cell r="J3499">
            <v>0</v>
          </cell>
          <cell r="K3499">
            <v>0</v>
          </cell>
          <cell r="L3499">
            <v>0</v>
          </cell>
          <cell r="M3499">
            <v>0</v>
          </cell>
          <cell r="N3499">
            <v>0</v>
          </cell>
          <cell r="O3499">
            <v>0</v>
          </cell>
        </row>
        <row r="3500">
          <cell r="A3500" t="str">
            <v>Project ProphetALL OTHER RECEIVABLES (NON-FINANCING)</v>
          </cell>
          <cell r="B3500">
            <v>-24124.51</v>
          </cell>
          <cell r="C3500">
            <v>-27935.29</v>
          </cell>
          <cell r="D3500">
            <v>-28091.759999999998</v>
          </cell>
          <cell r="E3500">
            <v>-32025.17</v>
          </cell>
          <cell r="F3500">
            <v>-32025.17</v>
          </cell>
          <cell r="G3500">
            <v>0</v>
          </cell>
          <cell r="H3500">
            <v>0</v>
          </cell>
          <cell r="I3500">
            <v>0</v>
          </cell>
          <cell r="J3500">
            <v>0</v>
          </cell>
          <cell r="K3500">
            <v>0</v>
          </cell>
          <cell r="L3500">
            <v>-2807.26</v>
          </cell>
          <cell r="M3500">
            <v>0</v>
          </cell>
          <cell r="N3500">
            <v>0</v>
          </cell>
          <cell r="O3500">
            <v>0</v>
          </cell>
        </row>
        <row r="3501">
          <cell r="A3501" t="str">
            <v>Project ProphetELTO (NET)</v>
          </cell>
          <cell r="B3501">
            <v>0</v>
          </cell>
          <cell r="C3501">
            <v>0</v>
          </cell>
          <cell r="D3501">
            <v>0</v>
          </cell>
          <cell r="E3501">
            <v>0</v>
          </cell>
          <cell r="F3501">
            <v>0</v>
          </cell>
          <cell r="G3501">
            <v>0</v>
          </cell>
          <cell r="H3501">
            <v>0</v>
          </cell>
          <cell r="I3501">
            <v>0</v>
          </cell>
          <cell r="J3501">
            <v>0</v>
          </cell>
          <cell r="K3501">
            <v>0</v>
          </cell>
          <cell r="L3501">
            <v>0</v>
          </cell>
          <cell r="M3501">
            <v>0</v>
          </cell>
          <cell r="N3501">
            <v>0</v>
          </cell>
          <cell r="O3501">
            <v>0</v>
          </cell>
        </row>
        <row r="3502">
          <cell r="A3502" t="str">
            <v>Project ProphetGOODWILL</v>
          </cell>
          <cell r="B3502">
            <v>0</v>
          </cell>
          <cell r="C3502">
            <v>0</v>
          </cell>
          <cell r="D3502">
            <v>0</v>
          </cell>
          <cell r="E3502">
            <v>0</v>
          </cell>
          <cell r="F3502">
            <v>0</v>
          </cell>
          <cell r="G3502">
            <v>0</v>
          </cell>
          <cell r="H3502">
            <v>0</v>
          </cell>
          <cell r="I3502">
            <v>0</v>
          </cell>
          <cell r="J3502">
            <v>0</v>
          </cell>
          <cell r="K3502">
            <v>0</v>
          </cell>
          <cell r="L3502">
            <v>0</v>
          </cell>
          <cell r="M3502">
            <v>0</v>
          </cell>
          <cell r="N3502">
            <v>0</v>
          </cell>
          <cell r="O3502">
            <v>0</v>
          </cell>
        </row>
        <row r="3503">
          <cell r="A3503" t="str">
            <v>Project ProphetOTHER ASSETS</v>
          </cell>
          <cell r="B3503">
            <v>170514.17</v>
          </cell>
          <cell r="C3503">
            <v>100606.24</v>
          </cell>
          <cell r="D3503">
            <v>62234.6</v>
          </cell>
          <cell r="E3503">
            <v>34502.06</v>
          </cell>
          <cell r="F3503">
            <v>34502.06</v>
          </cell>
          <cell r="G3503">
            <v>38000</v>
          </cell>
          <cell r="H3503">
            <v>39000</v>
          </cell>
          <cell r="I3503">
            <v>38000</v>
          </cell>
          <cell r="J3503">
            <v>37000</v>
          </cell>
          <cell r="K3503">
            <v>37000</v>
          </cell>
          <cell r="L3503">
            <v>14919.5</v>
          </cell>
          <cell r="M3503">
            <v>150000</v>
          </cell>
          <cell r="N3503">
            <v>155000</v>
          </cell>
          <cell r="O3503">
            <v>155000</v>
          </cell>
        </row>
        <row r="3504">
          <cell r="A3504" t="str">
            <v>Project ProphetACCOUNTS PAYABLE</v>
          </cell>
          <cell r="B3504">
            <v>-142832.03</v>
          </cell>
          <cell r="C3504">
            <v>224126.94</v>
          </cell>
          <cell r="D3504">
            <v>354567.07</v>
          </cell>
          <cell r="E3504">
            <v>302541.8</v>
          </cell>
          <cell r="F3504">
            <v>302541.8</v>
          </cell>
          <cell r="G3504">
            <v>300000</v>
          </cell>
          <cell r="H3504">
            <v>300000</v>
          </cell>
          <cell r="I3504">
            <v>300000</v>
          </cell>
          <cell r="J3504">
            <v>300000</v>
          </cell>
          <cell r="K3504">
            <v>300000</v>
          </cell>
          <cell r="L3504">
            <v>113403.73</v>
          </cell>
          <cell r="M3504">
            <v>290000</v>
          </cell>
          <cell r="N3504">
            <v>300000</v>
          </cell>
          <cell r="O3504">
            <v>300000</v>
          </cell>
        </row>
        <row r="3505">
          <cell r="A3505" t="str">
            <v>Project ProphetDEFERRED INCOME TAXES</v>
          </cell>
          <cell r="B3505">
            <v>-575230.38</v>
          </cell>
          <cell r="C3505">
            <v>-516207.71</v>
          </cell>
          <cell r="D3505">
            <v>-457257.17</v>
          </cell>
          <cell r="E3505">
            <v>-650594.55000000005</v>
          </cell>
          <cell r="F3505">
            <v>-650594.55000000005</v>
          </cell>
          <cell r="G3505">
            <v>-670000</v>
          </cell>
          <cell r="H3505">
            <v>-700000</v>
          </cell>
          <cell r="I3505">
            <v>-650000</v>
          </cell>
          <cell r="J3505">
            <v>-700000</v>
          </cell>
          <cell r="K3505">
            <v>-700000</v>
          </cell>
          <cell r="L3505">
            <v>-722661.85</v>
          </cell>
          <cell r="M3505">
            <v>-525000</v>
          </cell>
          <cell r="N3505">
            <v>-550000</v>
          </cell>
          <cell r="O3505">
            <v>-550000</v>
          </cell>
        </row>
        <row r="3506">
          <cell r="A3506" t="str">
            <v>Project ProphetWRITE-OFF (MEMO)</v>
          </cell>
          <cell r="B3506">
            <v>0</v>
          </cell>
          <cell r="C3506">
            <v>0</v>
          </cell>
          <cell r="D3506">
            <v>0</v>
          </cell>
          <cell r="E3506">
            <v>0</v>
          </cell>
          <cell r="F3506">
            <v>0</v>
          </cell>
          <cell r="G3506">
            <v>0</v>
          </cell>
          <cell r="H3506">
            <v>0</v>
          </cell>
          <cell r="I3506">
            <v>0</v>
          </cell>
          <cell r="J3506">
            <v>0</v>
          </cell>
          <cell r="K3506">
            <v>0</v>
          </cell>
          <cell r="L3506">
            <v>0</v>
          </cell>
          <cell r="M3506">
            <v>0</v>
          </cell>
          <cell r="N3506">
            <v>0</v>
          </cell>
          <cell r="O3506">
            <v>0</v>
          </cell>
        </row>
        <row r="3507">
          <cell r="A3507" t="str">
            <v>Project ProphetINSURANCE RESERVES AND ANNUITY BENEFITS</v>
          </cell>
          <cell r="B3507">
            <v>0</v>
          </cell>
          <cell r="C3507">
            <v>0</v>
          </cell>
          <cell r="D3507">
            <v>0</v>
          </cell>
          <cell r="E3507">
            <v>0</v>
          </cell>
          <cell r="F3507">
            <v>0</v>
          </cell>
          <cell r="G3507">
            <v>0</v>
          </cell>
          <cell r="H3507">
            <v>0</v>
          </cell>
          <cell r="I3507">
            <v>0</v>
          </cell>
          <cell r="J3507">
            <v>0</v>
          </cell>
          <cell r="K3507">
            <v>0</v>
          </cell>
          <cell r="L3507">
            <v>0</v>
          </cell>
          <cell r="M3507">
            <v>0</v>
          </cell>
          <cell r="N3507">
            <v>0</v>
          </cell>
          <cell r="O3507">
            <v>0</v>
          </cell>
        </row>
        <row r="3508">
          <cell r="A3508" t="str">
            <v>Project ProphetALL OTHER NON DEBT LIABILITIES</v>
          </cell>
          <cell r="B3508">
            <v>-3853609.59</v>
          </cell>
          <cell r="C3508">
            <v>-3900516.98</v>
          </cell>
          <cell r="D3508">
            <v>-4656973.63</v>
          </cell>
          <cell r="E3508">
            <v>-3088341.19</v>
          </cell>
          <cell r="F3508">
            <v>-3088341.19</v>
          </cell>
          <cell r="G3508">
            <v>-1500000</v>
          </cell>
          <cell r="H3508">
            <v>-1200000</v>
          </cell>
          <cell r="I3508">
            <v>-1300000</v>
          </cell>
          <cell r="J3508">
            <v>-1400000</v>
          </cell>
          <cell r="K3508">
            <v>-1400000</v>
          </cell>
          <cell r="L3508">
            <v>-2948556.86</v>
          </cell>
          <cell r="M3508">
            <v>-3500000</v>
          </cell>
          <cell r="N3508">
            <v>-3500000</v>
          </cell>
          <cell r="O3508">
            <v>-3500000</v>
          </cell>
        </row>
        <row r="3509">
          <cell r="A3509" t="str">
            <v>Project ProphetMINORITY INTEREST (BS)</v>
          </cell>
          <cell r="B3509">
            <v>0</v>
          </cell>
          <cell r="C3509">
            <v>0</v>
          </cell>
          <cell r="D3509">
            <v>0</v>
          </cell>
          <cell r="E3509">
            <v>0</v>
          </cell>
          <cell r="F3509">
            <v>0</v>
          </cell>
          <cell r="G3509">
            <v>0</v>
          </cell>
          <cell r="H3509">
            <v>0</v>
          </cell>
          <cell r="I3509">
            <v>0</v>
          </cell>
          <cell r="J3509">
            <v>0</v>
          </cell>
          <cell r="K3509">
            <v>0</v>
          </cell>
          <cell r="L3509">
            <v>0</v>
          </cell>
          <cell r="M3509">
            <v>0</v>
          </cell>
          <cell r="N3509">
            <v>0</v>
          </cell>
          <cell r="O3509">
            <v>0</v>
          </cell>
        </row>
        <row r="3510">
          <cell r="A3510" t="str">
            <v>Project ProphetASIA PACIFIC ENI DIVIDEND</v>
          </cell>
          <cell r="B3510">
            <v>0</v>
          </cell>
          <cell r="C3510">
            <v>0</v>
          </cell>
          <cell r="D3510">
            <v>0</v>
          </cell>
          <cell r="E3510">
            <v>0</v>
          </cell>
          <cell r="F3510">
            <v>0</v>
          </cell>
          <cell r="G3510">
            <v>0</v>
          </cell>
          <cell r="H3510">
            <v>0</v>
          </cell>
          <cell r="I3510">
            <v>0</v>
          </cell>
          <cell r="J3510">
            <v>0</v>
          </cell>
          <cell r="K3510">
            <v>0</v>
          </cell>
          <cell r="L3510">
            <v>0</v>
          </cell>
          <cell r="M3510">
            <v>0</v>
          </cell>
          <cell r="N3510">
            <v>0</v>
          </cell>
          <cell r="O3510">
            <v>0</v>
          </cell>
        </row>
        <row r="3511">
          <cell r="A3511" t="str">
            <v>Project ProphetFINANCING INCOME</v>
          </cell>
          <cell r="B3511">
            <v>0</v>
          </cell>
          <cell r="C3511">
            <v>0</v>
          </cell>
          <cell r="D3511">
            <v>0</v>
          </cell>
          <cell r="E3511">
            <v>0</v>
          </cell>
          <cell r="F3511">
            <v>0</v>
          </cell>
          <cell r="G3511">
            <v>0</v>
          </cell>
          <cell r="H3511">
            <v>0</v>
          </cell>
          <cell r="I3511">
            <v>0</v>
          </cell>
          <cell r="J3511">
            <v>0</v>
          </cell>
          <cell r="K3511">
            <v>0</v>
          </cell>
          <cell r="L3511">
            <v>0</v>
          </cell>
          <cell r="M3511">
            <v>0</v>
          </cell>
          <cell r="N3511">
            <v>0</v>
          </cell>
          <cell r="O3511">
            <v>0</v>
          </cell>
        </row>
        <row r="3512">
          <cell r="A3512" t="str">
            <v>Project ProphetINSURANCE PREMIUM INCOME</v>
          </cell>
          <cell r="B3512">
            <v>0</v>
          </cell>
          <cell r="C3512">
            <v>0</v>
          </cell>
          <cell r="D3512">
            <v>0</v>
          </cell>
          <cell r="E3512">
            <v>0</v>
          </cell>
          <cell r="F3512">
            <v>0</v>
          </cell>
          <cell r="G3512">
            <v>0</v>
          </cell>
          <cell r="H3512">
            <v>0</v>
          </cell>
          <cell r="I3512">
            <v>0</v>
          </cell>
          <cell r="J3512">
            <v>0</v>
          </cell>
          <cell r="K3512">
            <v>0</v>
          </cell>
          <cell r="L3512">
            <v>0</v>
          </cell>
          <cell r="M3512">
            <v>0</v>
          </cell>
          <cell r="N3512">
            <v>0</v>
          </cell>
          <cell r="O3512">
            <v>0</v>
          </cell>
        </row>
        <row r="3513">
          <cell r="A3513" t="str">
            <v>Project ProphetINSURANCE INCOME (COMMISSIONS)</v>
          </cell>
          <cell r="B3513">
            <v>0</v>
          </cell>
          <cell r="C3513">
            <v>0</v>
          </cell>
          <cell r="D3513">
            <v>0</v>
          </cell>
          <cell r="E3513">
            <v>0</v>
          </cell>
          <cell r="F3513">
            <v>0</v>
          </cell>
          <cell r="G3513">
            <v>0</v>
          </cell>
          <cell r="H3513">
            <v>0</v>
          </cell>
          <cell r="I3513">
            <v>0</v>
          </cell>
          <cell r="J3513">
            <v>0</v>
          </cell>
          <cell r="K3513">
            <v>0</v>
          </cell>
          <cell r="L3513">
            <v>0</v>
          </cell>
          <cell r="M3513">
            <v>0</v>
          </cell>
          <cell r="N3513">
            <v>0</v>
          </cell>
          <cell r="O3513">
            <v>0</v>
          </cell>
        </row>
        <row r="3514">
          <cell r="A3514" t="str">
            <v>Project ProphetSUNDRY INCOME</v>
          </cell>
          <cell r="B3514">
            <v>-4056.09</v>
          </cell>
          <cell r="C3514">
            <v>-1748088.85</v>
          </cell>
          <cell r="D3514">
            <v>1795729.31</v>
          </cell>
          <cell r="E3514">
            <v>1206.77</v>
          </cell>
          <cell r="F3514">
            <v>44791.14</v>
          </cell>
          <cell r="G3514">
            <v>0</v>
          </cell>
          <cell r="H3514">
            <v>0</v>
          </cell>
          <cell r="I3514">
            <v>0</v>
          </cell>
          <cell r="J3514">
            <v>0</v>
          </cell>
          <cell r="K3514">
            <v>0</v>
          </cell>
          <cell r="L3514">
            <v>2403.92</v>
          </cell>
          <cell r="M3514">
            <v>0</v>
          </cell>
          <cell r="N3514">
            <v>0</v>
          </cell>
          <cell r="O3514">
            <v>0</v>
          </cell>
        </row>
        <row r="3515">
          <cell r="A3515" t="str">
            <v>Project ProphetINTEREST EXPENSE</v>
          </cell>
          <cell r="B3515">
            <v>0</v>
          </cell>
          <cell r="C3515">
            <v>0</v>
          </cell>
          <cell r="D3515">
            <v>0</v>
          </cell>
          <cell r="E3515">
            <v>0</v>
          </cell>
          <cell r="F3515">
            <v>0</v>
          </cell>
          <cell r="G3515">
            <v>0</v>
          </cell>
          <cell r="H3515">
            <v>0</v>
          </cell>
          <cell r="I3515">
            <v>0</v>
          </cell>
          <cell r="J3515">
            <v>0</v>
          </cell>
          <cell r="K3515">
            <v>0</v>
          </cell>
          <cell r="L3515">
            <v>0</v>
          </cell>
          <cell r="M3515">
            <v>0</v>
          </cell>
          <cell r="N3515">
            <v>0</v>
          </cell>
          <cell r="O3515">
            <v>0</v>
          </cell>
        </row>
        <row r="3516">
          <cell r="A3516" t="str">
            <v>Project ProphetINTEREST EXPENSE REDUCTIONS / BUS SHARING</v>
          </cell>
          <cell r="B3516">
            <v>0</v>
          </cell>
          <cell r="C3516">
            <v>0</v>
          </cell>
          <cell r="D3516">
            <v>0</v>
          </cell>
          <cell r="E3516">
            <v>0</v>
          </cell>
          <cell r="F3516">
            <v>0</v>
          </cell>
          <cell r="G3516">
            <v>0</v>
          </cell>
          <cell r="H3516">
            <v>0</v>
          </cell>
          <cell r="I3516">
            <v>0</v>
          </cell>
          <cell r="J3516">
            <v>0</v>
          </cell>
          <cell r="K3516">
            <v>0</v>
          </cell>
          <cell r="L3516">
            <v>0</v>
          </cell>
          <cell r="M3516">
            <v>0</v>
          </cell>
          <cell r="N3516">
            <v>0</v>
          </cell>
          <cell r="O3516">
            <v>0</v>
          </cell>
        </row>
        <row r="3517">
          <cell r="A3517" t="str">
            <v>Project ProphetALLOCATED COST OF PREFERRED EQUITY</v>
          </cell>
          <cell r="B3517">
            <v>0</v>
          </cell>
          <cell r="C3517">
            <v>0</v>
          </cell>
          <cell r="D3517">
            <v>0</v>
          </cell>
          <cell r="E3517">
            <v>0</v>
          </cell>
          <cell r="F3517">
            <v>0</v>
          </cell>
          <cell r="G3517">
            <v>0</v>
          </cell>
          <cell r="H3517">
            <v>0</v>
          </cell>
          <cell r="I3517">
            <v>0</v>
          </cell>
          <cell r="J3517">
            <v>0</v>
          </cell>
          <cell r="K3517">
            <v>0</v>
          </cell>
          <cell r="L3517">
            <v>0</v>
          </cell>
          <cell r="M3517">
            <v>0</v>
          </cell>
          <cell r="N3517">
            <v>0</v>
          </cell>
          <cell r="O3517">
            <v>0</v>
          </cell>
        </row>
        <row r="3518">
          <cell r="A3518" t="str">
            <v>Project ProphetSALARIES &amp; BENEFITS</v>
          </cell>
          <cell r="B3518">
            <v>966593.41</v>
          </cell>
          <cell r="C3518">
            <v>1074539.69</v>
          </cell>
          <cell r="D3518">
            <v>998080.59</v>
          </cell>
          <cell r="E3518">
            <v>458751.27</v>
          </cell>
          <cell r="F3518">
            <v>3497964.96</v>
          </cell>
          <cell r="G3518">
            <v>852323</v>
          </cell>
          <cell r="H3518">
            <v>889514</v>
          </cell>
          <cell r="I3518">
            <v>907825</v>
          </cell>
          <cell r="J3518">
            <v>919588</v>
          </cell>
          <cell r="K3518">
            <v>3569250</v>
          </cell>
          <cell r="L3518">
            <v>511014.95</v>
          </cell>
          <cell r="M3518">
            <v>3914329</v>
          </cell>
          <cell r="N3518">
            <v>4110046</v>
          </cell>
          <cell r="O3518">
            <v>4110046</v>
          </cell>
        </row>
        <row r="3519">
          <cell r="A3519" t="str">
            <v>Project ProphetLOSSES ON OTHER ASSETS</v>
          </cell>
          <cell r="B3519">
            <v>0</v>
          </cell>
          <cell r="C3519">
            <v>0</v>
          </cell>
          <cell r="D3519">
            <v>0</v>
          </cell>
          <cell r="E3519">
            <v>0</v>
          </cell>
          <cell r="F3519">
            <v>0</v>
          </cell>
          <cell r="G3519">
            <v>0</v>
          </cell>
          <cell r="H3519">
            <v>0</v>
          </cell>
          <cell r="I3519">
            <v>0</v>
          </cell>
          <cell r="J3519">
            <v>0</v>
          </cell>
          <cell r="K3519">
            <v>0</v>
          </cell>
          <cell r="L3519">
            <v>0</v>
          </cell>
          <cell r="M3519">
            <v>0</v>
          </cell>
          <cell r="N3519">
            <v>0</v>
          </cell>
          <cell r="O3519">
            <v>0</v>
          </cell>
        </row>
        <row r="3520">
          <cell r="A3520" t="str">
            <v>Project ProphetCOST OF GOODS SOLD</v>
          </cell>
          <cell r="B3520">
            <v>0</v>
          </cell>
          <cell r="C3520">
            <v>0</v>
          </cell>
          <cell r="D3520">
            <v>0</v>
          </cell>
          <cell r="E3520">
            <v>0</v>
          </cell>
          <cell r="F3520">
            <v>0</v>
          </cell>
          <cell r="G3520">
            <v>0</v>
          </cell>
          <cell r="H3520">
            <v>0</v>
          </cell>
          <cell r="I3520">
            <v>0</v>
          </cell>
          <cell r="J3520">
            <v>0</v>
          </cell>
          <cell r="K3520">
            <v>0</v>
          </cell>
          <cell r="L3520">
            <v>0</v>
          </cell>
          <cell r="M3520">
            <v>0</v>
          </cell>
          <cell r="N3520">
            <v>0</v>
          </cell>
          <cell r="O3520">
            <v>0</v>
          </cell>
        </row>
        <row r="3521">
          <cell r="A3521" t="str">
            <v>Project ProphetCOST OF GOODS SOLD - DISTRIBUTION</v>
          </cell>
          <cell r="B3521">
            <v>0</v>
          </cell>
          <cell r="C3521">
            <v>0</v>
          </cell>
          <cell r="D3521">
            <v>0</v>
          </cell>
          <cell r="E3521">
            <v>0</v>
          </cell>
          <cell r="F3521">
            <v>0</v>
          </cell>
          <cell r="G3521">
            <v>0</v>
          </cell>
          <cell r="H3521">
            <v>0</v>
          </cell>
          <cell r="I3521">
            <v>0</v>
          </cell>
          <cell r="J3521">
            <v>0</v>
          </cell>
          <cell r="K3521">
            <v>0</v>
          </cell>
          <cell r="L3521">
            <v>0</v>
          </cell>
          <cell r="M3521">
            <v>0</v>
          </cell>
          <cell r="N3521">
            <v>0</v>
          </cell>
          <cell r="O3521">
            <v>0</v>
          </cell>
        </row>
        <row r="3522">
          <cell r="A3522" t="str">
            <v>Project ProphetPOSTAGE</v>
          </cell>
          <cell r="B3522">
            <v>1336.96</v>
          </cell>
          <cell r="C3522">
            <v>1814.44</v>
          </cell>
          <cell r="D3522">
            <v>2988.15</v>
          </cell>
          <cell r="E3522">
            <v>1985.29</v>
          </cell>
          <cell r="F3522">
            <v>8124.84</v>
          </cell>
          <cell r="G3522">
            <v>798</v>
          </cell>
          <cell r="H3522">
            <v>798</v>
          </cell>
          <cell r="I3522">
            <v>798</v>
          </cell>
          <cell r="J3522">
            <v>798</v>
          </cell>
          <cell r="K3522">
            <v>3192</v>
          </cell>
          <cell r="L3522">
            <v>831.59</v>
          </cell>
          <cell r="M3522">
            <v>5800</v>
          </cell>
          <cell r="N3522">
            <v>5800</v>
          </cell>
          <cell r="O3522">
            <v>5800</v>
          </cell>
        </row>
        <row r="3523">
          <cell r="A3523" t="str">
            <v>Project ProphetTELEPHONE</v>
          </cell>
          <cell r="B3523">
            <v>15930.73</v>
          </cell>
          <cell r="C3523">
            <v>-13814.03</v>
          </cell>
          <cell r="D3523">
            <v>12254.92</v>
          </cell>
          <cell r="E3523">
            <v>13336.44</v>
          </cell>
          <cell r="F3523">
            <v>27708.06</v>
          </cell>
          <cell r="G3523">
            <v>11020</v>
          </cell>
          <cell r="H3523">
            <v>11020</v>
          </cell>
          <cell r="I3523">
            <v>11020</v>
          </cell>
          <cell r="J3523">
            <v>11020</v>
          </cell>
          <cell r="K3523">
            <v>44080</v>
          </cell>
          <cell r="L3523">
            <v>17471.34</v>
          </cell>
          <cell r="M3523">
            <v>59450</v>
          </cell>
          <cell r="N3523">
            <v>59450</v>
          </cell>
          <cell r="O3523">
            <v>59450</v>
          </cell>
        </row>
        <row r="3524">
          <cell r="A3524" t="str">
            <v>Project ProphetCUSTOMER SERVICE / COLLECTIONS</v>
          </cell>
          <cell r="B3524">
            <v>0</v>
          </cell>
          <cell r="C3524">
            <v>0</v>
          </cell>
          <cell r="D3524">
            <v>0</v>
          </cell>
          <cell r="E3524">
            <v>0</v>
          </cell>
          <cell r="F3524">
            <v>0</v>
          </cell>
          <cell r="G3524">
            <v>0</v>
          </cell>
          <cell r="H3524">
            <v>0</v>
          </cell>
          <cell r="I3524">
            <v>0</v>
          </cell>
          <cell r="J3524">
            <v>0</v>
          </cell>
          <cell r="K3524">
            <v>0</v>
          </cell>
          <cell r="L3524">
            <v>0</v>
          </cell>
          <cell r="M3524">
            <v>0</v>
          </cell>
          <cell r="N3524">
            <v>0</v>
          </cell>
          <cell r="O3524">
            <v>0</v>
          </cell>
        </row>
        <row r="3525">
          <cell r="A3525" t="str">
            <v>Project ProphetSTATIONARY - OFFICE SUPPLIES</v>
          </cell>
          <cell r="B3525">
            <v>10537.1</v>
          </cell>
          <cell r="C3525">
            <v>-1716.23</v>
          </cell>
          <cell r="D3525">
            <v>2121.83</v>
          </cell>
          <cell r="E3525">
            <v>889.96</v>
          </cell>
          <cell r="F3525">
            <v>11832.66</v>
          </cell>
          <cell r="G3525">
            <v>5800</v>
          </cell>
          <cell r="H3525">
            <v>5800</v>
          </cell>
          <cell r="I3525">
            <v>5800</v>
          </cell>
          <cell r="J3525">
            <v>5800</v>
          </cell>
          <cell r="K3525">
            <v>23200</v>
          </cell>
          <cell r="L3525">
            <v>2554.73</v>
          </cell>
          <cell r="M3525">
            <v>29000</v>
          </cell>
          <cell r="N3525">
            <v>29000</v>
          </cell>
          <cell r="O3525">
            <v>29000</v>
          </cell>
        </row>
        <row r="3526">
          <cell r="A3526" t="str">
            <v>Project ProphetT&amp;L</v>
          </cell>
          <cell r="B3526">
            <v>169120.26</v>
          </cell>
          <cell r="C3526">
            <v>98098.19</v>
          </cell>
          <cell r="D3526">
            <v>109189.15</v>
          </cell>
          <cell r="E3526">
            <v>456381.68</v>
          </cell>
          <cell r="F3526">
            <v>832789.28</v>
          </cell>
          <cell r="G3526">
            <v>409977</v>
          </cell>
          <cell r="H3526">
            <v>382771</v>
          </cell>
          <cell r="I3526">
            <v>397996</v>
          </cell>
          <cell r="J3526">
            <v>385019</v>
          </cell>
          <cell r="K3526">
            <v>1575763</v>
          </cell>
          <cell r="L3526">
            <v>161246.31</v>
          </cell>
          <cell r="M3526">
            <v>1167238</v>
          </cell>
          <cell r="N3526">
            <v>1210013</v>
          </cell>
          <cell r="O3526">
            <v>1210013</v>
          </cell>
        </row>
        <row r="3527">
          <cell r="A3527" t="str">
            <v>Project ProphetRENTAL - BLDG/FACILITIES</v>
          </cell>
          <cell r="B3527">
            <v>0</v>
          </cell>
          <cell r="C3527">
            <v>0</v>
          </cell>
          <cell r="D3527">
            <v>0</v>
          </cell>
          <cell r="E3527">
            <v>0</v>
          </cell>
          <cell r="F3527">
            <v>0</v>
          </cell>
          <cell r="G3527">
            <v>0</v>
          </cell>
          <cell r="H3527">
            <v>0</v>
          </cell>
          <cell r="I3527">
            <v>0</v>
          </cell>
          <cell r="J3527">
            <v>0</v>
          </cell>
          <cell r="K3527">
            <v>0</v>
          </cell>
          <cell r="L3527">
            <v>0</v>
          </cell>
          <cell r="M3527">
            <v>0</v>
          </cell>
          <cell r="N3527">
            <v>0</v>
          </cell>
          <cell r="O3527">
            <v>0</v>
          </cell>
        </row>
        <row r="3528">
          <cell r="A3528" t="str">
            <v>Project ProphetRENTAL - FURNITURE/EQUIP</v>
          </cell>
          <cell r="B3528">
            <v>0</v>
          </cell>
          <cell r="C3528">
            <v>0</v>
          </cell>
          <cell r="D3528">
            <v>0</v>
          </cell>
          <cell r="E3528">
            <v>0</v>
          </cell>
          <cell r="F3528">
            <v>0</v>
          </cell>
          <cell r="G3528">
            <v>0</v>
          </cell>
          <cell r="H3528">
            <v>0</v>
          </cell>
          <cell r="I3528">
            <v>0</v>
          </cell>
          <cell r="J3528">
            <v>0</v>
          </cell>
          <cell r="K3528">
            <v>0</v>
          </cell>
          <cell r="L3528">
            <v>0</v>
          </cell>
          <cell r="M3528">
            <v>0</v>
          </cell>
          <cell r="N3528">
            <v>0</v>
          </cell>
          <cell r="O3528">
            <v>0</v>
          </cell>
        </row>
        <row r="3529">
          <cell r="A3529" t="str">
            <v>Project ProphetRENTAL - COMPUTERS</v>
          </cell>
          <cell r="B3529">
            <v>0</v>
          </cell>
          <cell r="C3529">
            <v>0</v>
          </cell>
          <cell r="D3529">
            <v>0</v>
          </cell>
          <cell r="E3529">
            <v>0</v>
          </cell>
          <cell r="F3529">
            <v>0</v>
          </cell>
          <cell r="G3529">
            <v>0</v>
          </cell>
          <cell r="H3529">
            <v>0</v>
          </cell>
          <cell r="I3529">
            <v>0</v>
          </cell>
          <cell r="J3529">
            <v>0</v>
          </cell>
          <cell r="K3529">
            <v>0</v>
          </cell>
          <cell r="L3529">
            <v>0</v>
          </cell>
          <cell r="M3529">
            <v>0</v>
          </cell>
          <cell r="N3529">
            <v>0</v>
          </cell>
          <cell r="O3529">
            <v>0</v>
          </cell>
        </row>
        <row r="3530">
          <cell r="A3530" t="str">
            <v>Project ProphetLEASE IN - LEASE OUT</v>
          </cell>
          <cell r="B3530">
            <v>0</v>
          </cell>
          <cell r="C3530">
            <v>0</v>
          </cell>
          <cell r="D3530">
            <v>0</v>
          </cell>
          <cell r="E3530">
            <v>0</v>
          </cell>
          <cell r="F3530">
            <v>0</v>
          </cell>
          <cell r="G3530">
            <v>0</v>
          </cell>
          <cell r="H3530">
            <v>0</v>
          </cell>
          <cell r="I3530">
            <v>0</v>
          </cell>
          <cell r="J3530">
            <v>0</v>
          </cell>
          <cell r="K3530">
            <v>0</v>
          </cell>
          <cell r="L3530">
            <v>0</v>
          </cell>
          <cell r="M3530">
            <v>0</v>
          </cell>
          <cell r="N3530">
            <v>0</v>
          </cell>
          <cell r="O3530">
            <v>0</v>
          </cell>
        </row>
        <row r="3531">
          <cell r="A3531" t="str">
            <v>Project ProphetFURNITURE / EQUIPMENT / COMPUTER EXP</v>
          </cell>
          <cell r="B3531">
            <v>-87531.86</v>
          </cell>
          <cell r="C3531">
            <v>376962.21</v>
          </cell>
          <cell r="D3531">
            <v>-503410.94</v>
          </cell>
          <cell r="E3531">
            <v>1415643.99</v>
          </cell>
          <cell r="F3531">
            <v>1201663.3999999999</v>
          </cell>
          <cell r="G3531">
            <v>27260</v>
          </cell>
          <cell r="H3531">
            <v>21750</v>
          </cell>
          <cell r="I3531">
            <v>21750</v>
          </cell>
          <cell r="J3531">
            <v>21750</v>
          </cell>
          <cell r="K3531">
            <v>92510</v>
          </cell>
          <cell r="L3531">
            <v>7910.02</v>
          </cell>
          <cell r="M3531">
            <v>174000</v>
          </cell>
          <cell r="N3531">
            <v>174000</v>
          </cell>
          <cell r="O3531">
            <v>174000</v>
          </cell>
        </row>
        <row r="3532">
          <cell r="A3532" t="str">
            <v>Project ProphetSOFTWARE EXPENSE</v>
          </cell>
          <cell r="B3532">
            <v>0</v>
          </cell>
          <cell r="C3532">
            <v>0</v>
          </cell>
          <cell r="D3532">
            <v>0</v>
          </cell>
          <cell r="E3532">
            <v>0</v>
          </cell>
          <cell r="F3532">
            <v>0</v>
          </cell>
          <cell r="G3532">
            <v>0</v>
          </cell>
          <cell r="H3532">
            <v>0</v>
          </cell>
          <cell r="I3532">
            <v>0</v>
          </cell>
          <cell r="J3532">
            <v>0</v>
          </cell>
          <cell r="K3532">
            <v>0</v>
          </cell>
          <cell r="L3532">
            <v>0</v>
          </cell>
          <cell r="M3532">
            <v>0</v>
          </cell>
          <cell r="N3532">
            <v>0</v>
          </cell>
          <cell r="O3532">
            <v>0</v>
          </cell>
        </row>
        <row r="3533">
          <cell r="A3533" t="str">
            <v>Project ProphetAMORTIZATION OF INTANGIBLES</v>
          </cell>
          <cell r="B3533">
            <v>0</v>
          </cell>
          <cell r="C3533">
            <v>0</v>
          </cell>
          <cell r="D3533">
            <v>0</v>
          </cell>
          <cell r="E3533">
            <v>0</v>
          </cell>
          <cell r="F3533">
            <v>0</v>
          </cell>
          <cell r="G3533">
            <v>0</v>
          </cell>
          <cell r="H3533">
            <v>0</v>
          </cell>
          <cell r="I3533">
            <v>0</v>
          </cell>
          <cell r="J3533">
            <v>0</v>
          </cell>
          <cell r="K3533">
            <v>0</v>
          </cell>
          <cell r="L3533">
            <v>0</v>
          </cell>
          <cell r="M3533">
            <v>0</v>
          </cell>
          <cell r="N3533">
            <v>0</v>
          </cell>
          <cell r="O3533">
            <v>0</v>
          </cell>
        </row>
        <row r="3534">
          <cell r="A3534" t="str">
            <v>Project ProphetELTO MAINTENANCE</v>
          </cell>
          <cell r="B3534">
            <v>0</v>
          </cell>
          <cell r="C3534">
            <v>0</v>
          </cell>
          <cell r="D3534">
            <v>0</v>
          </cell>
          <cell r="E3534">
            <v>0</v>
          </cell>
          <cell r="F3534">
            <v>0</v>
          </cell>
          <cell r="G3534">
            <v>0</v>
          </cell>
          <cell r="H3534">
            <v>0</v>
          </cell>
          <cell r="I3534">
            <v>0</v>
          </cell>
          <cell r="J3534">
            <v>0</v>
          </cell>
          <cell r="K3534">
            <v>0</v>
          </cell>
          <cell r="L3534">
            <v>0</v>
          </cell>
          <cell r="M3534">
            <v>0</v>
          </cell>
          <cell r="N3534">
            <v>0</v>
          </cell>
          <cell r="O3534">
            <v>0</v>
          </cell>
        </row>
        <row r="3535">
          <cell r="A3535" t="str">
            <v>Project ProphetELTO OTHER</v>
          </cell>
          <cell r="B3535">
            <v>0</v>
          </cell>
          <cell r="C3535">
            <v>0</v>
          </cell>
          <cell r="D3535">
            <v>0</v>
          </cell>
          <cell r="E3535">
            <v>0</v>
          </cell>
          <cell r="F3535">
            <v>0</v>
          </cell>
          <cell r="G3535">
            <v>0</v>
          </cell>
          <cell r="H3535">
            <v>0</v>
          </cell>
          <cell r="I3535">
            <v>0</v>
          </cell>
          <cell r="J3535">
            <v>0</v>
          </cell>
          <cell r="K3535">
            <v>0</v>
          </cell>
          <cell r="L3535">
            <v>0</v>
          </cell>
          <cell r="M3535">
            <v>0</v>
          </cell>
          <cell r="N3535">
            <v>0</v>
          </cell>
          <cell r="O3535">
            <v>0</v>
          </cell>
        </row>
        <row r="3536">
          <cell r="A3536" t="str">
            <v>Project ProphetLEGAL</v>
          </cell>
          <cell r="B3536">
            <v>0</v>
          </cell>
          <cell r="C3536">
            <v>0</v>
          </cell>
          <cell r="D3536">
            <v>0</v>
          </cell>
          <cell r="E3536">
            <v>0</v>
          </cell>
          <cell r="F3536">
            <v>0</v>
          </cell>
          <cell r="G3536">
            <v>0</v>
          </cell>
          <cell r="H3536">
            <v>0</v>
          </cell>
          <cell r="I3536">
            <v>0</v>
          </cell>
          <cell r="J3536">
            <v>0</v>
          </cell>
          <cell r="K3536">
            <v>0</v>
          </cell>
          <cell r="L3536">
            <v>0</v>
          </cell>
          <cell r="M3536">
            <v>0</v>
          </cell>
          <cell r="N3536">
            <v>0</v>
          </cell>
          <cell r="O3536">
            <v>0</v>
          </cell>
        </row>
        <row r="3537">
          <cell r="A3537" t="str">
            <v>Project ProphetADVERTISING</v>
          </cell>
          <cell r="B3537">
            <v>0</v>
          </cell>
          <cell r="C3537">
            <v>0</v>
          </cell>
          <cell r="D3537">
            <v>0</v>
          </cell>
          <cell r="E3537">
            <v>0</v>
          </cell>
          <cell r="F3537">
            <v>0</v>
          </cell>
          <cell r="G3537">
            <v>0</v>
          </cell>
          <cell r="H3537">
            <v>0</v>
          </cell>
          <cell r="I3537">
            <v>0</v>
          </cell>
          <cell r="J3537">
            <v>0</v>
          </cell>
          <cell r="K3537">
            <v>0</v>
          </cell>
          <cell r="L3537">
            <v>0</v>
          </cell>
          <cell r="M3537">
            <v>0</v>
          </cell>
          <cell r="N3537">
            <v>0</v>
          </cell>
          <cell r="O3537">
            <v>0</v>
          </cell>
        </row>
        <row r="3538">
          <cell r="A3538" t="str">
            <v>Project ProphetSALES PROMOTIONS</v>
          </cell>
          <cell r="B3538">
            <v>0</v>
          </cell>
          <cell r="C3538">
            <v>0</v>
          </cell>
          <cell r="D3538">
            <v>0</v>
          </cell>
          <cell r="E3538">
            <v>0</v>
          </cell>
          <cell r="F3538">
            <v>0</v>
          </cell>
          <cell r="G3538">
            <v>0</v>
          </cell>
          <cell r="H3538">
            <v>0</v>
          </cell>
          <cell r="I3538">
            <v>0</v>
          </cell>
          <cell r="J3538">
            <v>0</v>
          </cell>
          <cell r="K3538">
            <v>0</v>
          </cell>
          <cell r="L3538">
            <v>0</v>
          </cell>
          <cell r="M3538">
            <v>0</v>
          </cell>
          <cell r="N3538">
            <v>0</v>
          </cell>
          <cell r="O3538">
            <v>0</v>
          </cell>
        </row>
        <row r="3539">
          <cell r="A3539" t="str">
            <v>Project ProphetDIRECT MAIL</v>
          </cell>
          <cell r="B3539">
            <v>0</v>
          </cell>
          <cell r="C3539">
            <v>0</v>
          </cell>
          <cell r="D3539">
            <v>0</v>
          </cell>
          <cell r="E3539">
            <v>0</v>
          </cell>
          <cell r="F3539">
            <v>0</v>
          </cell>
          <cell r="G3539">
            <v>0</v>
          </cell>
          <cell r="H3539">
            <v>0</v>
          </cell>
          <cell r="I3539">
            <v>0</v>
          </cell>
          <cell r="J3539">
            <v>0</v>
          </cell>
          <cell r="K3539">
            <v>0</v>
          </cell>
          <cell r="L3539">
            <v>0</v>
          </cell>
          <cell r="M3539">
            <v>0</v>
          </cell>
          <cell r="N3539">
            <v>0</v>
          </cell>
          <cell r="O3539">
            <v>0</v>
          </cell>
        </row>
        <row r="3540">
          <cell r="A3540" t="str">
            <v>Project ProphetDATA PROCESSING</v>
          </cell>
          <cell r="B3540">
            <v>468982.42</v>
          </cell>
          <cell r="C3540">
            <v>108504.35</v>
          </cell>
          <cell r="D3540">
            <v>-82235.75</v>
          </cell>
          <cell r="E3540">
            <v>510292.9</v>
          </cell>
          <cell r="F3540">
            <v>1005543.92</v>
          </cell>
          <cell r="G3540">
            <v>315800</v>
          </cell>
          <cell r="H3540">
            <v>518484</v>
          </cell>
          <cell r="I3540">
            <v>737782</v>
          </cell>
          <cell r="J3540">
            <v>296122</v>
          </cell>
          <cell r="K3540">
            <v>1868188</v>
          </cell>
          <cell r="L3540">
            <v>396945.97</v>
          </cell>
          <cell r="M3540">
            <v>1606600</v>
          </cell>
          <cell r="N3540">
            <v>1577600</v>
          </cell>
          <cell r="O3540">
            <v>1577600</v>
          </cell>
        </row>
        <row r="3541">
          <cell r="A3541" t="str">
            <v>Project ProphetCONSULTING</v>
          </cell>
          <cell r="B3541">
            <v>0</v>
          </cell>
          <cell r="C3541">
            <v>0</v>
          </cell>
          <cell r="D3541">
            <v>0</v>
          </cell>
          <cell r="E3541">
            <v>0</v>
          </cell>
          <cell r="F3541">
            <v>0</v>
          </cell>
          <cell r="G3541">
            <v>0</v>
          </cell>
          <cell r="H3541">
            <v>0</v>
          </cell>
          <cell r="I3541">
            <v>0</v>
          </cell>
          <cell r="J3541">
            <v>0</v>
          </cell>
          <cell r="K3541">
            <v>0</v>
          </cell>
          <cell r="L3541">
            <v>0</v>
          </cell>
          <cell r="M3541">
            <v>0</v>
          </cell>
          <cell r="N3541">
            <v>0</v>
          </cell>
          <cell r="O3541">
            <v>0</v>
          </cell>
        </row>
        <row r="3542">
          <cell r="A3542" t="str">
            <v>Project ProphetTEMP SERVICES</v>
          </cell>
          <cell r="B3542">
            <v>-86952.95</v>
          </cell>
          <cell r="C3542">
            <v>-80860.73</v>
          </cell>
          <cell r="D3542">
            <v>310169.24</v>
          </cell>
          <cell r="E3542">
            <v>-23728.75</v>
          </cell>
          <cell r="F3542">
            <v>118626.81</v>
          </cell>
          <cell r="G3542">
            <v>62350</v>
          </cell>
          <cell r="H3542">
            <v>62350</v>
          </cell>
          <cell r="I3542">
            <v>62350</v>
          </cell>
          <cell r="J3542">
            <v>62350</v>
          </cell>
          <cell r="K3542">
            <v>249400</v>
          </cell>
          <cell r="L3542">
            <v>81054.44</v>
          </cell>
          <cell r="M3542">
            <v>97150</v>
          </cell>
          <cell r="N3542">
            <v>97150</v>
          </cell>
          <cell r="O3542">
            <v>97150</v>
          </cell>
        </row>
        <row r="3543">
          <cell r="A3543" t="str">
            <v>Project ProphetGDC CHARGES</v>
          </cell>
          <cell r="B3543">
            <v>0</v>
          </cell>
          <cell r="C3543">
            <v>0</v>
          </cell>
          <cell r="D3543">
            <v>0</v>
          </cell>
          <cell r="E3543">
            <v>0</v>
          </cell>
          <cell r="F3543">
            <v>0</v>
          </cell>
          <cell r="G3543">
            <v>87000</v>
          </cell>
          <cell r="H3543">
            <v>87000</v>
          </cell>
          <cell r="I3543">
            <v>87000</v>
          </cell>
          <cell r="J3543">
            <v>87000</v>
          </cell>
          <cell r="K3543">
            <v>348000</v>
          </cell>
          <cell r="L3543">
            <v>38454.129999999997</v>
          </cell>
          <cell r="M3543">
            <v>0</v>
          </cell>
          <cell r="N3543">
            <v>0</v>
          </cell>
          <cell r="O3543">
            <v>0</v>
          </cell>
        </row>
        <row r="3544">
          <cell r="A3544" t="str">
            <v>Project ProphetTRAINING AND EDUCATION</v>
          </cell>
          <cell r="B3544">
            <v>38238.19</v>
          </cell>
          <cell r="C3544">
            <v>-87061.26</v>
          </cell>
          <cell r="D3544">
            <v>26807.37</v>
          </cell>
          <cell r="E3544">
            <v>20681.25</v>
          </cell>
          <cell r="F3544">
            <v>-1334.45</v>
          </cell>
          <cell r="G3544">
            <v>44588</v>
          </cell>
          <cell r="H3544">
            <v>44588</v>
          </cell>
          <cell r="I3544">
            <v>44588</v>
          </cell>
          <cell r="J3544">
            <v>44588</v>
          </cell>
          <cell r="K3544">
            <v>178352</v>
          </cell>
          <cell r="L3544">
            <v>33044.620000000003</v>
          </cell>
          <cell r="M3544">
            <v>87000</v>
          </cell>
          <cell r="N3544">
            <v>87000</v>
          </cell>
          <cell r="O3544">
            <v>87000</v>
          </cell>
        </row>
        <row r="3545">
          <cell r="A3545" t="str">
            <v>Project ProphetOUTSIDE SERVICES  AND FEES</v>
          </cell>
          <cell r="B3545">
            <v>0</v>
          </cell>
          <cell r="C3545">
            <v>0</v>
          </cell>
          <cell r="D3545">
            <v>0</v>
          </cell>
          <cell r="E3545">
            <v>0</v>
          </cell>
          <cell r="F3545">
            <v>0</v>
          </cell>
          <cell r="G3545">
            <v>217500</v>
          </cell>
          <cell r="H3545">
            <v>195750</v>
          </cell>
          <cell r="I3545">
            <v>195750</v>
          </cell>
          <cell r="J3545">
            <v>52200</v>
          </cell>
          <cell r="K3545">
            <v>661200</v>
          </cell>
          <cell r="L3545">
            <v>220849.78</v>
          </cell>
          <cell r="M3545">
            <v>0</v>
          </cell>
          <cell r="N3545">
            <v>0</v>
          </cell>
          <cell r="O3545">
            <v>0</v>
          </cell>
        </row>
        <row r="3546">
          <cell r="A3546" t="str">
            <v>Project ProphetSTATE, FOREIGN, LOCAL TAXES</v>
          </cell>
          <cell r="B3546">
            <v>10830.29</v>
          </cell>
          <cell r="C3546">
            <v>269705.31</v>
          </cell>
          <cell r="D3546">
            <v>28474</v>
          </cell>
          <cell r="E3546">
            <v>-250277.99</v>
          </cell>
          <cell r="F3546">
            <v>58731.61</v>
          </cell>
          <cell r="G3546">
            <v>30420</v>
          </cell>
          <cell r="H3546">
            <v>27069</v>
          </cell>
          <cell r="I3546">
            <v>27950</v>
          </cell>
          <cell r="J3546">
            <v>18337</v>
          </cell>
          <cell r="K3546">
            <v>103776</v>
          </cell>
          <cell r="L3546">
            <v>44109.34</v>
          </cell>
          <cell r="M3546">
            <v>205507</v>
          </cell>
          <cell r="N3546">
            <v>208033</v>
          </cell>
          <cell r="O3546">
            <v>208033</v>
          </cell>
        </row>
        <row r="3547">
          <cell r="A3547" t="str">
            <v>Project ProphetS/L TAX - INSURANCE PREMIUMS</v>
          </cell>
          <cell r="B3547">
            <v>0</v>
          </cell>
          <cell r="C3547">
            <v>0</v>
          </cell>
          <cell r="D3547">
            <v>0</v>
          </cell>
          <cell r="E3547">
            <v>0</v>
          </cell>
          <cell r="F3547">
            <v>0</v>
          </cell>
          <cell r="G3547">
            <v>0</v>
          </cell>
          <cell r="H3547">
            <v>0</v>
          </cell>
          <cell r="I3547">
            <v>0</v>
          </cell>
          <cell r="J3547">
            <v>0</v>
          </cell>
          <cell r="K3547">
            <v>0</v>
          </cell>
          <cell r="L3547">
            <v>0</v>
          </cell>
          <cell r="M3547">
            <v>0</v>
          </cell>
          <cell r="N3547">
            <v>0</v>
          </cell>
          <cell r="O3547">
            <v>0</v>
          </cell>
        </row>
        <row r="3548">
          <cell r="A3548" t="str">
            <v>Project ProphetSATELLITE LEASE EXPENSE</v>
          </cell>
          <cell r="B3548">
            <v>0</v>
          </cell>
          <cell r="C3548">
            <v>0</v>
          </cell>
          <cell r="D3548">
            <v>0</v>
          </cell>
          <cell r="E3548">
            <v>0</v>
          </cell>
          <cell r="F3548">
            <v>0</v>
          </cell>
          <cell r="G3548">
            <v>0</v>
          </cell>
          <cell r="H3548">
            <v>0</v>
          </cell>
          <cell r="I3548">
            <v>0</v>
          </cell>
          <cell r="J3548">
            <v>0</v>
          </cell>
          <cell r="K3548">
            <v>0</v>
          </cell>
          <cell r="L3548">
            <v>0</v>
          </cell>
          <cell r="M3548">
            <v>0</v>
          </cell>
          <cell r="N3548">
            <v>0</v>
          </cell>
          <cell r="O3548">
            <v>0</v>
          </cell>
        </row>
        <row r="3549">
          <cell r="A3549" t="str">
            <v>Project ProphetBUSINESS SHARE EXPENSE</v>
          </cell>
          <cell r="B3549">
            <v>0</v>
          </cell>
          <cell r="C3549">
            <v>0</v>
          </cell>
          <cell r="D3549">
            <v>0</v>
          </cell>
          <cell r="E3549">
            <v>0</v>
          </cell>
          <cell r="F3549">
            <v>0</v>
          </cell>
          <cell r="G3549">
            <v>0</v>
          </cell>
          <cell r="H3549">
            <v>0</v>
          </cell>
          <cell r="I3549">
            <v>0</v>
          </cell>
          <cell r="J3549">
            <v>0</v>
          </cell>
          <cell r="K3549">
            <v>0</v>
          </cell>
          <cell r="L3549">
            <v>0</v>
          </cell>
          <cell r="M3549">
            <v>0</v>
          </cell>
          <cell r="N3549">
            <v>0</v>
          </cell>
          <cell r="O3549">
            <v>0</v>
          </cell>
        </row>
        <row r="3550">
          <cell r="A3550" t="str">
            <v>Project ProphetINSURANCE AFFILIATE EXPENSE</v>
          </cell>
          <cell r="B3550">
            <v>0</v>
          </cell>
          <cell r="C3550">
            <v>0</v>
          </cell>
          <cell r="D3550">
            <v>0</v>
          </cell>
          <cell r="E3550">
            <v>0</v>
          </cell>
          <cell r="F3550">
            <v>0</v>
          </cell>
          <cell r="G3550">
            <v>0</v>
          </cell>
          <cell r="H3550">
            <v>0</v>
          </cell>
          <cell r="I3550">
            <v>0</v>
          </cell>
          <cell r="J3550">
            <v>0</v>
          </cell>
          <cell r="K3550">
            <v>0</v>
          </cell>
          <cell r="L3550">
            <v>0</v>
          </cell>
          <cell r="M3550">
            <v>0</v>
          </cell>
          <cell r="N3550">
            <v>0</v>
          </cell>
          <cell r="O3550">
            <v>0</v>
          </cell>
        </row>
        <row r="3551">
          <cell r="A3551" t="str">
            <v>Project ProphetOTHER FACILITY EXPENSE</v>
          </cell>
          <cell r="B3551">
            <v>299694.58</v>
          </cell>
          <cell r="C3551">
            <v>62501.86</v>
          </cell>
          <cell r="D3551">
            <v>52771.360000000001</v>
          </cell>
          <cell r="E3551">
            <v>-38704.6</v>
          </cell>
          <cell r="F3551">
            <v>376263.2</v>
          </cell>
          <cell r="G3551">
            <v>117450</v>
          </cell>
          <cell r="H3551">
            <v>117450</v>
          </cell>
          <cell r="I3551">
            <v>117450</v>
          </cell>
          <cell r="J3551">
            <v>117450</v>
          </cell>
          <cell r="K3551">
            <v>469800</v>
          </cell>
          <cell r="L3551">
            <v>133523.24</v>
          </cell>
          <cell r="M3551">
            <v>406000</v>
          </cell>
          <cell r="N3551">
            <v>406000</v>
          </cell>
          <cell r="O3551">
            <v>406000</v>
          </cell>
        </row>
        <row r="3552">
          <cell r="A3552" t="str">
            <v>Project ProphetGROSS OP &amp; ADMIN BUS SHARE</v>
          </cell>
          <cell r="B3552">
            <v>0</v>
          </cell>
          <cell r="C3552">
            <v>0</v>
          </cell>
          <cell r="D3552">
            <v>0</v>
          </cell>
          <cell r="E3552">
            <v>0</v>
          </cell>
          <cell r="F3552">
            <v>0</v>
          </cell>
          <cell r="G3552">
            <v>0</v>
          </cell>
          <cell r="H3552">
            <v>0</v>
          </cell>
          <cell r="I3552">
            <v>0</v>
          </cell>
          <cell r="J3552">
            <v>0</v>
          </cell>
          <cell r="K3552">
            <v>0</v>
          </cell>
          <cell r="L3552">
            <v>0</v>
          </cell>
          <cell r="M3552">
            <v>0</v>
          </cell>
          <cell r="N3552">
            <v>0</v>
          </cell>
          <cell r="O3552">
            <v>0</v>
          </cell>
        </row>
        <row r="3553">
          <cell r="A3553" t="str">
            <v>Project ProphetOTHER EXPENSE</v>
          </cell>
          <cell r="B3553">
            <v>246369.66</v>
          </cell>
          <cell r="C3553">
            <v>-252102.2</v>
          </cell>
          <cell r="D3553">
            <v>-387709.98</v>
          </cell>
          <cell r="E3553">
            <v>448861.46</v>
          </cell>
          <cell r="F3553">
            <v>55418.94</v>
          </cell>
          <cell r="G3553">
            <v>113311</v>
          </cell>
          <cell r="H3553">
            <v>113288</v>
          </cell>
          <cell r="I3553">
            <v>110395</v>
          </cell>
          <cell r="J3553">
            <v>113227</v>
          </cell>
          <cell r="K3553">
            <v>450221</v>
          </cell>
          <cell r="L3553">
            <v>17024.43</v>
          </cell>
          <cell r="M3553">
            <v>118900</v>
          </cell>
          <cell r="N3553">
            <v>118900</v>
          </cell>
          <cell r="O3553">
            <v>118900</v>
          </cell>
        </row>
        <row r="3554">
          <cell r="A3554" t="str">
            <v>Project ProphetGECC INTERCO EXPENSES EXCL GECIS</v>
          </cell>
          <cell r="B3554">
            <v>0</v>
          </cell>
          <cell r="C3554">
            <v>0</v>
          </cell>
          <cell r="D3554">
            <v>0</v>
          </cell>
          <cell r="E3554">
            <v>0</v>
          </cell>
          <cell r="F3554">
            <v>0</v>
          </cell>
          <cell r="G3554">
            <v>0</v>
          </cell>
          <cell r="H3554">
            <v>0</v>
          </cell>
          <cell r="I3554">
            <v>0</v>
          </cell>
          <cell r="J3554">
            <v>0</v>
          </cell>
          <cell r="K3554">
            <v>0</v>
          </cell>
          <cell r="L3554">
            <v>0</v>
          </cell>
          <cell r="M3554">
            <v>0</v>
          </cell>
          <cell r="N3554">
            <v>0</v>
          </cell>
          <cell r="O3554">
            <v>0</v>
          </cell>
        </row>
        <row r="3555">
          <cell r="A3555" t="str">
            <v>Project ProphetGECIS INTERCO CHARGES</v>
          </cell>
          <cell r="B3555">
            <v>0</v>
          </cell>
          <cell r="C3555">
            <v>0</v>
          </cell>
          <cell r="D3555">
            <v>0</v>
          </cell>
          <cell r="E3555">
            <v>0</v>
          </cell>
          <cell r="F3555">
            <v>0</v>
          </cell>
          <cell r="G3555">
            <v>0</v>
          </cell>
          <cell r="H3555">
            <v>0</v>
          </cell>
          <cell r="I3555">
            <v>0</v>
          </cell>
          <cell r="J3555">
            <v>0</v>
          </cell>
          <cell r="K3555">
            <v>0</v>
          </cell>
          <cell r="L3555">
            <v>0</v>
          </cell>
          <cell r="M3555">
            <v>0</v>
          </cell>
          <cell r="N3555">
            <v>0</v>
          </cell>
          <cell r="O3555">
            <v>0</v>
          </cell>
        </row>
        <row r="3556">
          <cell r="A3556" t="str">
            <v>Project ProphetLOSS ADJUSTED EXPENSE</v>
          </cell>
          <cell r="B3556">
            <v>0</v>
          </cell>
          <cell r="C3556">
            <v>0</v>
          </cell>
          <cell r="D3556">
            <v>0</v>
          </cell>
          <cell r="E3556">
            <v>0</v>
          </cell>
          <cell r="F3556">
            <v>0</v>
          </cell>
          <cell r="G3556">
            <v>0</v>
          </cell>
          <cell r="H3556">
            <v>0</v>
          </cell>
          <cell r="I3556">
            <v>0</v>
          </cell>
          <cell r="J3556">
            <v>0</v>
          </cell>
          <cell r="K3556">
            <v>0</v>
          </cell>
          <cell r="L3556">
            <v>0</v>
          </cell>
          <cell r="M3556">
            <v>0</v>
          </cell>
          <cell r="N3556">
            <v>0</v>
          </cell>
          <cell r="O3556">
            <v>0</v>
          </cell>
        </row>
        <row r="3557">
          <cell r="A3557" t="str">
            <v>Project ProphetALL OTHER EXPENSES</v>
          </cell>
          <cell r="B3557">
            <v>0</v>
          </cell>
          <cell r="C3557">
            <v>0</v>
          </cell>
          <cell r="D3557">
            <v>0</v>
          </cell>
          <cell r="E3557">
            <v>0</v>
          </cell>
          <cell r="F3557">
            <v>0</v>
          </cell>
          <cell r="G3557">
            <v>0</v>
          </cell>
          <cell r="H3557">
            <v>0</v>
          </cell>
          <cell r="I3557">
            <v>0</v>
          </cell>
          <cell r="J3557">
            <v>0</v>
          </cell>
          <cell r="K3557">
            <v>0</v>
          </cell>
          <cell r="L3557">
            <v>0</v>
          </cell>
          <cell r="M3557">
            <v>0</v>
          </cell>
          <cell r="N3557">
            <v>0</v>
          </cell>
          <cell r="O3557">
            <v>0</v>
          </cell>
        </row>
        <row r="3558">
          <cell r="A3558" t="str">
            <v>Project ProphetASSESSMENTS</v>
          </cell>
          <cell r="B3558">
            <v>-1943532.17</v>
          </cell>
          <cell r="C3558">
            <v>0</v>
          </cell>
          <cell r="D3558">
            <v>-2180567.7999999998</v>
          </cell>
          <cell r="E3558">
            <v>-3692768.2</v>
          </cell>
          <cell r="F3558">
            <v>-7816868.1699999999</v>
          </cell>
          <cell r="G3558">
            <v>-2168772</v>
          </cell>
          <cell r="H3558">
            <v>-2303327</v>
          </cell>
          <cell r="I3558">
            <v>-2334227.4</v>
          </cell>
          <cell r="J3558">
            <v>-2938485.4</v>
          </cell>
          <cell r="K3558">
            <v>-9744811.8000000007</v>
          </cell>
          <cell r="L3558">
            <v>-1960334.09</v>
          </cell>
          <cell r="M3558">
            <v>-7972474</v>
          </cell>
          <cell r="N3558">
            <v>-8184492</v>
          </cell>
          <cell r="O3558">
            <v>-8184492</v>
          </cell>
        </row>
        <row r="3559">
          <cell r="A3559" t="str">
            <v>Project ProphetFAS 91</v>
          </cell>
          <cell r="B3559">
            <v>0</v>
          </cell>
          <cell r="C3559">
            <v>0</v>
          </cell>
          <cell r="D3559">
            <v>0</v>
          </cell>
          <cell r="E3559">
            <v>0</v>
          </cell>
          <cell r="F3559">
            <v>0</v>
          </cell>
          <cell r="G3559">
            <v>0</v>
          </cell>
          <cell r="H3559">
            <v>0</v>
          </cell>
          <cell r="I3559">
            <v>0</v>
          </cell>
          <cell r="J3559">
            <v>0</v>
          </cell>
          <cell r="K3559">
            <v>0</v>
          </cell>
          <cell r="L3559">
            <v>0</v>
          </cell>
          <cell r="M3559">
            <v>0</v>
          </cell>
          <cell r="N3559">
            <v>0</v>
          </cell>
          <cell r="O3559">
            <v>0</v>
          </cell>
        </row>
        <row r="3560">
          <cell r="A3560" t="str">
            <v>Project ProphetGOODWILL AMORTIZATION</v>
          </cell>
          <cell r="B3560">
            <v>0</v>
          </cell>
          <cell r="C3560">
            <v>0</v>
          </cell>
          <cell r="D3560">
            <v>0</v>
          </cell>
          <cell r="E3560">
            <v>0</v>
          </cell>
          <cell r="F3560">
            <v>0</v>
          </cell>
          <cell r="G3560">
            <v>0</v>
          </cell>
          <cell r="H3560">
            <v>0</v>
          </cell>
          <cell r="I3560">
            <v>0</v>
          </cell>
          <cell r="J3560">
            <v>0</v>
          </cell>
          <cell r="K3560">
            <v>0</v>
          </cell>
          <cell r="L3560">
            <v>0</v>
          </cell>
          <cell r="M3560">
            <v>0</v>
          </cell>
          <cell r="N3560">
            <v>0</v>
          </cell>
          <cell r="O3560">
            <v>0</v>
          </cell>
        </row>
        <row r="3561">
          <cell r="A3561" t="str">
            <v>Project ProphetDEPRECIATION EXPENSE</v>
          </cell>
          <cell r="B3561">
            <v>25514.26</v>
          </cell>
          <cell r="C3561">
            <v>4239.88</v>
          </cell>
          <cell r="D3561">
            <v>41363.839999999997</v>
          </cell>
          <cell r="E3561">
            <v>26914.9</v>
          </cell>
          <cell r="F3561">
            <v>98032.88</v>
          </cell>
          <cell r="G3561">
            <v>26970</v>
          </cell>
          <cell r="H3561">
            <v>26970</v>
          </cell>
          <cell r="I3561">
            <v>26970</v>
          </cell>
          <cell r="J3561">
            <v>26970</v>
          </cell>
          <cell r="K3561">
            <v>107880</v>
          </cell>
          <cell r="L3561">
            <v>23505.94</v>
          </cell>
          <cell r="M3561">
            <v>101500</v>
          </cell>
          <cell r="N3561">
            <v>101500</v>
          </cell>
          <cell r="O3561">
            <v>101500</v>
          </cell>
        </row>
        <row r="3562">
          <cell r="A3562" t="str">
            <v>Project ProphetELTO AMORTIZATION</v>
          </cell>
          <cell r="B3562">
            <v>0</v>
          </cell>
          <cell r="C3562">
            <v>0</v>
          </cell>
          <cell r="D3562">
            <v>0</v>
          </cell>
          <cell r="E3562">
            <v>0</v>
          </cell>
          <cell r="F3562">
            <v>0</v>
          </cell>
          <cell r="G3562">
            <v>0</v>
          </cell>
          <cell r="H3562">
            <v>0</v>
          </cell>
          <cell r="I3562">
            <v>0</v>
          </cell>
          <cell r="J3562">
            <v>0</v>
          </cell>
          <cell r="K3562">
            <v>0</v>
          </cell>
          <cell r="L3562">
            <v>0</v>
          </cell>
          <cell r="M3562">
            <v>0</v>
          </cell>
          <cell r="N3562">
            <v>0</v>
          </cell>
          <cell r="O3562">
            <v>0</v>
          </cell>
        </row>
        <row r="3563">
          <cell r="A3563" t="str">
            <v>Project ProphetINSURANCE LOSSES AND BENEFITS</v>
          </cell>
          <cell r="B3563">
            <v>0</v>
          </cell>
          <cell r="C3563">
            <v>0</v>
          </cell>
          <cell r="D3563">
            <v>0</v>
          </cell>
          <cell r="E3563">
            <v>0</v>
          </cell>
          <cell r="F3563">
            <v>0</v>
          </cell>
          <cell r="G3563">
            <v>0</v>
          </cell>
          <cell r="H3563">
            <v>0</v>
          </cell>
          <cell r="I3563">
            <v>0</v>
          </cell>
          <cell r="J3563">
            <v>0</v>
          </cell>
          <cell r="K3563">
            <v>0</v>
          </cell>
          <cell r="L3563">
            <v>0</v>
          </cell>
          <cell r="M3563">
            <v>0</v>
          </cell>
          <cell r="N3563">
            <v>0</v>
          </cell>
          <cell r="O3563">
            <v>0</v>
          </cell>
        </row>
        <row r="3564">
          <cell r="A3564" t="str">
            <v>Project ProphetWRITE OFFS</v>
          </cell>
          <cell r="B3564">
            <v>0</v>
          </cell>
          <cell r="C3564">
            <v>0</v>
          </cell>
          <cell r="D3564">
            <v>0</v>
          </cell>
          <cell r="E3564">
            <v>0</v>
          </cell>
          <cell r="F3564">
            <v>0</v>
          </cell>
          <cell r="G3564">
            <v>0</v>
          </cell>
          <cell r="H3564">
            <v>0</v>
          </cell>
          <cell r="I3564">
            <v>0</v>
          </cell>
          <cell r="J3564">
            <v>0</v>
          </cell>
          <cell r="K3564">
            <v>0</v>
          </cell>
          <cell r="L3564">
            <v>0</v>
          </cell>
          <cell r="M3564">
            <v>0</v>
          </cell>
          <cell r="N3564">
            <v>0</v>
          </cell>
          <cell r="O3564">
            <v>0</v>
          </cell>
        </row>
        <row r="3565">
          <cell r="A3565" t="str">
            <v>Project ProphetRESERVE CHANGE</v>
          </cell>
          <cell r="B3565">
            <v>0</v>
          </cell>
          <cell r="C3565">
            <v>0</v>
          </cell>
          <cell r="D3565">
            <v>0</v>
          </cell>
          <cell r="E3565">
            <v>0</v>
          </cell>
          <cell r="F3565">
            <v>0</v>
          </cell>
          <cell r="G3565">
            <v>0</v>
          </cell>
          <cell r="H3565">
            <v>0</v>
          </cell>
          <cell r="I3565">
            <v>0</v>
          </cell>
          <cell r="J3565">
            <v>0</v>
          </cell>
          <cell r="K3565">
            <v>0</v>
          </cell>
          <cell r="L3565">
            <v>0</v>
          </cell>
          <cell r="M3565">
            <v>0</v>
          </cell>
          <cell r="N3565">
            <v>0</v>
          </cell>
          <cell r="O3565">
            <v>0</v>
          </cell>
        </row>
        <row r="3566">
          <cell r="A3566" t="str">
            <v>Project ProphetMINORITY INTEREST</v>
          </cell>
          <cell r="B3566">
            <v>0</v>
          </cell>
          <cell r="C3566">
            <v>0</v>
          </cell>
          <cell r="D3566">
            <v>0</v>
          </cell>
          <cell r="E3566">
            <v>0</v>
          </cell>
          <cell r="F3566">
            <v>0</v>
          </cell>
          <cell r="G3566">
            <v>0</v>
          </cell>
          <cell r="H3566">
            <v>0</v>
          </cell>
          <cell r="I3566">
            <v>0</v>
          </cell>
          <cell r="J3566">
            <v>0</v>
          </cell>
          <cell r="K3566">
            <v>0</v>
          </cell>
          <cell r="L3566">
            <v>0</v>
          </cell>
          <cell r="M3566">
            <v>0</v>
          </cell>
          <cell r="N3566">
            <v>0</v>
          </cell>
          <cell r="O3566">
            <v>0</v>
          </cell>
        </row>
        <row r="3567">
          <cell r="A3567" t="str">
            <v>Project ProphetINCOME TAXES</v>
          </cell>
          <cell r="B3567">
            <v>116639.29</v>
          </cell>
          <cell r="C3567">
            <v>-53891.63</v>
          </cell>
          <cell r="D3567">
            <v>-67639.990000000005</v>
          </cell>
          <cell r="E3567">
            <v>194275.03</v>
          </cell>
          <cell r="F3567">
            <v>189382.7</v>
          </cell>
          <cell r="G3567">
            <v>40645</v>
          </cell>
          <cell r="H3567">
            <v>43831</v>
          </cell>
          <cell r="I3567">
            <v>48220</v>
          </cell>
          <cell r="J3567">
            <v>-132696</v>
          </cell>
          <cell r="K3567">
            <v>0</v>
          </cell>
          <cell r="L3567">
            <v>79480.67</v>
          </cell>
          <cell r="M3567">
            <v>0</v>
          </cell>
          <cell r="N3567">
            <v>0</v>
          </cell>
          <cell r="O3567">
            <v>0</v>
          </cell>
        </row>
        <row r="3568">
          <cell r="A3568" t="str">
            <v>Project ProphetCUMULATIVE TRANSITION ADJUSTMENT</v>
          </cell>
          <cell r="B3568">
            <v>0</v>
          </cell>
          <cell r="C3568">
            <v>0</v>
          </cell>
          <cell r="D3568">
            <v>0</v>
          </cell>
          <cell r="E3568">
            <v>0</v>
          </cell>
          <cell r="F3568">
            <v>0</v>
          </cell>
          <cell r="G3568">
            <v>0</v>
          </cell>
          <cell r="H3568">
            <v>0</v>
          </cell>
          <cell r="I3568">
            <v>0</v>
          </cell>
          <cell r="J3568">
            <v>0</v>
          </cell>
          <cell r="K3568">
            <v>0</v>
          </cell>
          <cell r="L3568">
            <v>0</v>
          </cell>
          <cell r="M3568">
            <v>0</v>
          </cell>
          <cell r="N3568">
            <v>0</v>
          </cell>
          <cell r="O3568">
            <v>0</v>
          </cell>
        </row>
        <row r="3569">
          <cell r="A3569" t="str">
            <v>Project ProphetASIA PACIFIC NI DIVIDEND</v>
          </cell>
          <cell r="B3569">
            <v>0</v>
          </cell>
          <cell r="C3569">
            <v>0</v>
          </cell>
          <cell r="D3569">
            <v>0</v>
          </cell>
          <cell r="E3569">
            <v>0</v>
          </cell>
          <cell r="F3569">
            <v>0</v>
          </cell>
          <cell r="G3569">
            <v>0</v>
          </cell>
          <cell r="H3569">
            <v>0</v>
          </cell>
          <cell r="I3569">
            <v>0</v>
          </cell>
          <cell r="J3569">
            <v>0</v>
          </cell>
          <cell r="K3569">
            <v>0</v>
          </cell>
          <cell r="L3569">
            <v>0</v>
          </cell>
          <cell r="M3569">
            <v>0</v>
          </cell>
          <cell r="N3569">
            <v>0</v>
          </cell>
          <cell r="O3569">
            <v>0</v>
          </cell>
        </row>
        <row r="3570">
          <cell r="A3570" t="str">
            <v>Project ProphetNet Income</v>
          </cell>
          <cell r="B3570">
            <v>247714.08</v>
          </cell>
          <cell r="C3570">
            <v>-241169</v>
          </cell>
          <cell r="D3570">
            <v>158385.29999999999</v>
          </cell>
          <cell r="E3570">
            <v>-456258.6</v>
          </cell>
          <cell r="F3570">
            <v>-291328.21999999997</v>
          </cell>
          <cell r="G3570">
            <v>194440</v>
          </cell>
          <cell r="H3570">
            <v>245106</v>
          </cell>
          <cell r="I3570">
            <v>469416.6</v>
          </cell>
          <cell r="J3570">
            <v>-908962.4</v>
          </cell>
          <cell r="K3570">
            <v>0.2</v>
          </cell>
          <cell r="L3570">
            <v>-188908.67</v>
          </cell>
          <cell r="M3570">
            <v>0</v>
          </cell>
          <cell r="N3570">
            <v>0</v>
          </cell>
          <cell r="O3570">
            <v>0</v>
          </cell>
        </row>
        <row r="3571">
          <cell r="A3571" t="str">
            <v>Project ProphetSubPart F</v>
          </cell>
          <cell r="B3571">
            <v>0</v>
          </cell>
          <cell r="C3571">
            <v>0</v>
          </cell>
          <cell r="D3571">
            <v>0</v>
          </cell>
          <cell r="E3571">
            <v>0</v>
          </cell>
          <cell r="F3571">
            <v>0</v>
          </cell>
          <cell r="G3571">
            <v>0</v>
          </cell>
          <cell r="H3571">
            <v>0</v>
          </cell>
          <cell r="I3571">
            <v>0</v>
          </cell>
          <cell r="J3571">
            <v>0</v>
          </cell>
          <cell r="K3571">
            <v>0</v>
          </cell>
          <cell r="L3571">
            <v>0</v>
          </cell>
          <cell r="M3571">
            <v>0</v>
          </cell>
          <cell r="N3571">
            <v>0</v>
          </cell>
          <cell r="O3571">
            <v>0</v>
          </cell>
        </row>
        <row r="3572">
          <cell r="A3572" t="str">
            <v>Project ProphetAssets</v>
          </cell>
          <cell r="B3572">
            <v>1825676.35</v>
          </cell>
          <cell r="C3572">
            <v>563832.55000000005</v>
          </cell>
          <cell r="D3572">
            <v>573339.38</v>
          </cell>
          <cell r="E3572">
            <v>638305.19999999995</v>
          </cell>
          <cell r="F3572">
            <v>638305.19999999995</v>
          </cell>
          <cell r="G3572">
            <v>538000</v>
          </cell>
          <cell r="H3572">
            <v>539000</v>
          </cell>
          <cell r="I3572">
            <v>538000</v>
          </cell>
          <cell r="J3572">
            <v>537000</v>
          </cell>
          <cell r="K3572">
            <v>537000</v>
          </cell>
          <cell r="L3572">
            <v>611666.93000000005</v>
          </cell>
          <cell r="M3572">
            <v>3050000</v>
          </cell>
          <cell r="N3572">
            <v>3555000</v>
          </cell>
          <cell r="O3572">
            <v>4055000</v>
          </cell>
        </row>
        <row r="3573">
          <cell r="A3573" t="str">
            <v>Project ProphetEnding Net Investment (ENI) incl Asia</v>
          </cell>
          <cell r="B3573">
            <v>-2745995.65</v>
          </cell>
          <cell r="C3573">
            <v>-3628765.2</v>
          </cell>
          <cell r="D3573">
            <v>-4186324.35</v>
          </cell>
          <cell r="E3573">
            <v>-2798088.74</v>
          </cell>
          <cell r="F3573">
            <v>-2798088.74</v>
          </cell>
          <cell r="G3573">
            <v>-1332000</v>
          </cell>
          <cell r="H3573">
            <v>-1061000</v>
          </cell>
          <cell r="I3573">
            <v>-1112000</v>
          </cell>
          <cell r="J3573">
            <v>-1263000</v>
          </cell>
          <cell r="K3573">
            <v>-1263000</v>
          </cell>
          <cell r="L3573">
            <v>-2946148.05</v>
          </cell>
          <cell r="M3573">
            <v>-685000</v>
          </cell>
          <cell r="N3573">
            <v>-195000</v>
          </cell>
          <cell r="O3573">
            <v>305000</v>
          </cell>
        </row>
        <row r="3574">
          <cell r="A3574" t="str">
            <v>Project ProphetANR YTD</v>
          </cell>
          <cell r="B3574">
            <v>0</v>
          </cell>
          <cell r="C3574">
            <v>0</v>
          </cell>
          <cell r="D3574">
            <v>0</v>
          </cell>
          <cell r="E3574">
            <v>0</v>
          </cell>
          <cell r="F3574">
            <v>0</v>
          </cell>
          <cell r="G3574">
            <v>0</v>
          </cell>
          <cell r="H3574">
            <v>0</v>
          </cell>
          <cell r="I3574">
            <v>0</v>
          </cell>
          <cell r="J3574">
            <v>0</v>
          </cell>
          <cell r="K3574">
            <v>0</v>
          </cell>
          <cell r="L3574">
            <v>0</v>
          </cell>
          <cell r="M3574">
            <v>0</v>
          </cell>
          <cell r="N3574">
            <v>0</v>
          </cell>
          <cell r="O3574">
            <v>0</v>
          </cell>
        </row>
        <row r="3575">
          <cell r="A3575" t="str">
            <v>Project ProphetASA YTD</v>
          </cell>
          <cell r="B3575">
            <v>0</v>
          </cell>
          <cell r="C3575">
            <v>0</v>
          </cell>
          <cell r="D3575">
            <v>0</v>
          </cell>
          <cell r="E3575">
            <v>0</v>
          </cell>
          <cell r="F3575">
            <v>0</v>
          </cell>
          <cell r="G3575">
            <v>0</v>
          </cell>
          <cell r="H3575">
            <v>0</v>
          </cell>
          <cell r="I3575">
            <v>0</v>
          </cell>
          <cell r="J3575">
            <v>0</v>
          </cell>
          <cell r="K3575">
            <v>0</v>
          </cell>
          <cell r="L3575">
            <v>0</v>
          </cell>
          <cell r="M3575">
            <v>0</v>
          </cell>
          <cell r="N3575">
            <v>0</v>
          </cell>
          <cell r="O3575">
            <v>0</v>
          </cell>
        </row>
        <row r="3576">
          <cell r="A3576" t="str">
            <v>Project ProphetANI YTD incl Asia - 5 pt</v>
          </cell>
          <cell r="B3576">
            <v>-1302037.865</v>
          </cell>
          <cell r="C3576">
            <v>-2077613.6433329999</v>
          </cell>
          <cell r="D3576">
            <v>-2604791.3199999998</v>
          </cell>
          <cell r="E3576">
            <v>-2643450.804</v>
          </cell>
          <cell r="F3576">
            <v>-2643450.804</v>
          </cell>
          <cell r="G3576">
            <v>-2065044.37</v>
          </cell>
          <cell r="H3576">
            <v>-1730362.9133329999</v>
          </cell>
          <cell r="I3576">
            <v>-1575772.1850000001</v>
          </cell>
          <cell r="J3576">
            <v>-1513217.7479999999</v>
          </cell>
          <cell r="K3576">
            <v>-1513217.7479999999</v>
          </cell>
          <cell r="L3576">
            <v>-2872118.395</v>
          </cell>
          <cell r="M3576">
            <v>-574000</v>
          </cell>
          <cell r="N3576">
            <v>-176000</v>
          </cell>
          <cell r="O3576">
            <v>22000</v>
          </cell>
        </row>
        <row r="3577">
          <cell r="A3577" t="str">
            <v>Project ProphetOff Balance Sheet Assets</v>
          </cell>
          <cell r="B3577">
            <v>0</v>
          </cell>
          <cell r="C3577">
            <v>0</v>
          </cell>
          <cell r="D3577">
            <v>0</v>
          </cell>
          <cell r="E3577">
            <v>0</v>
          </cell>
          <cell r="F3577">
            <v>0</v>
          </cell>
          <cell r="G3577">
            <v>0</v>
          </cell>
          <cell r="H3577">
            <v>0</v>
          </cell>
          <cell r="I3577">
            <v>0</v>
          </cell>
          <cell r="J3577">
            <v>0</v>
          </cell>
          <cell r="K3577">
            <v>0</v>
          </cell>
          <cell r="L3577">
            <v>0</v>
          </cell>
          <cell r="M3577">
            <v>0</v>
          </cell>
          <cell r="N3577">
            <v>0</v>
          </cell>
          <cell r="O3577">
            <v>0</v>
          </cell>
        </row>
        <row r="3578">
          <cell r="A3578" t="str">
            <v>Project ProphetJV Receivables</v>
          </cell>
          <cell r="B3578">
            <v>0</v>
          </cell>
          <cell r="C3578">
            <v>0</v>
          </cell>
          <cell r="D3578">
            <v>0</v>
          </cell>
          <cell r="E3578">
            <v>0</v>
          </cell>
          <cell r="F3578">
            <v>0</v>
          </cell>
          <cell r="G3578">
            <v>0</v>
          </cell>
          <cell r="H3578">
            <v>0</v>
          </cell>
          <cell r="I3578">
            <v>0</v>
          </cell>
          <cell r="J3578">
            <v>0</v>
          </cell>
          <cell r="K3578">
            <v>0</v>
          </cell>
          <cell r="L3578">
            <v>0</v>
          </cell>
          <cell r="M3578">
            <v>0</v>
          </cell>
          <cell r="N3578">
            <v>0</v>
          </cell>
          <cell r="O3578">
            <v>0</v>
          </cell>
        </row>
        <row r="3579">
          <cell r="A3579" t="str">
            <v>Project Prophet30+ DELINQUENCY $</v>
          </cell>
          <cell r="B3579">
            <v>0</v>
          </cell>
          <cell r="C3579">
            <v>0</v>
          </cell>
          <cell r="D3579">
            <v>0</v>
          </cell>
          <cell r="E3579">
            <v>0</v>
          </cell>
          <cell r="F3579">
            <v>0</v>
          </cell>
          <cell r="G3579">
            <v>0</v>
          </cell>
          <cell r="H3579">
            <v>0</v>
          </cell>
          <cell r="I3579">
            <v>0</v>
          </cell>
          <cell r="J3579">
            <v>0</v>
          </cell>
          <cell r="K3579">
            <v>0</v>
          </cell>
          <cell r="L3579">
            <v>0</v>
          </cell>
          <cell r="M3579">
            <v>0</v>
          </cell>
          <cell r="N3579">
            <v>0</v>
          </cell>
          <cell r="O3579">
            <v>0</v>
          </cell>
        </row>
        <row r="3580">
          <cell r="A3580" t="str">
            <v>Project Prophet90+ DELINQUENCY $</v>
          </cell>
          <cell r="B3580">
            <v>0</v>
          </cell>
          <cell r="C3580">
            <v>0</v>
          </cell>
          <cell r="D3580">
            <v>0</v>
          </cell>
          <cell r="E3580">
            <v>0</v>
          </cell>
          <cell r="F3580">
            <v>0</v>
          </cell>
          <cell r="G3580">
            <v>0</v>
          </cell>
          <cell r="H3580">
            <v>0</v>
          </cell>
          <cell r="I3580">
            <v>0</v>
          </cell>
          <cell r="J3580">
            <v>0</v>
          </cell>
          <cell r="K3580">
            <v>0</v>
          </cell>
          <cell r="L3580">
            <v>0</v>
          </cell>
          <cell r="M3580">
            <v>0</v>
          </cell>
          <cell r="N3580">
            <v>0</v>
          </cell>
          <cell r="O3580">
            <v>0</v>
          </cell>
        </row>
        <row r="3581">
          <cell r="A3581" t="str">
            <v>Project ProphetTemporary Staff</v>
          </cell>
          <cell r="B3581">
            <v>0</v>
          </cell>
          <cell r="C3581">
            <v>0</v>
          </cell>
          <cell r="D3581">
            <v>0</v>
          </cell>
          <cell r="E3581">
            <v>0</v>
          </cell>
          <cell r="F3581">
            <v>0</v>
          </cell>
          <cell r="G3581">
            <v>0</v>
          </cell>
          <cell r="H3581">
            <v>0</v>
          </cell>
          <cell r="I3581">
            <v>0</v>
          </cell>
          <cell r="J3581">
            <v>0</v>
          </cell>
          <cell r="K3581">
            <v>0</v>
          </cell>
          <cell r="L3581">
            <v>1</v>
          </cell>
          <cell r="M3581">
            <v>0</v>
          </cell>
          <cell r="N3581">
            <v>0</v>
          </cell>
          <cell r="O3581">
            <v>0</v>
          </cell>
        </row>
        <row r="3582">
          <cell r="A3582" t="str">
            <v>Project ProphetContractors</v>
          </cell>
          <cell r="B3582">
            <v>0</v>
          </cell>
          <cell r="C3582">
            <v>0</v>
          </cell>
          <cell r="D3582">
            <v>0</v>
          </cell>
          <cell r="E3582">
            <v>0</v>
          </cell>
          <cell r="F3582">
            <v>0</v>
          </cell>
          <cell r="G3582">
            <v>4</v>
          </cell>
          <cell r="H3582">
            <v>4</v>
          </cell>
          <cell r="I3582">
            <v>4</v>
          </cell>
          <cell r="J3582">
            <v>4</v>
          </cell>
          <cell r="K3582">
            <v>4</v>
          </cell>
          <cell r="L3582">
            <v>5</v>
          </cell>
          <cell r="M3582">
            <v>0</v>
          </cell>
          <cell r="N3582">
            <v>0</v>
          </cell>
          <cell r="O3582">
            <v>0</v>
          </cell>
        </row>
        <row r="3583">
          <cell r="A3583" t="str">
            <v>Project ProphetOutsourced to LCC</v>
          </cell>
          <cell r="B3583">
            <v>0</v>
          </cell>
          <cell r="C3583">
            <v>0</v>
          </cell>
          <cell r="D3583">
            <v>0</v>
          </cell>
          <cell r="E3583">
            <v>0</v>
          </cell>
          <cell r="F3583">
            <v>0</v>
          </cell>
          <cell r="G3583">
            <v>4</v>
          </cell>
          <cell r="H3583">
            <v>4</v>
          </cell>
          <cell r="I3583">
            <v>4</v>
          </cell>
          <cell r="J3583">
            <v>4</v>
          </cell>
          <cell r="K3583">
            <v>4</v>
          </cell>
          <cell r="L3583">
            <v>9</v>
          </cell>
          <cell r="M3583">
            <v>0</v>
          </cell>
          <cell r="N3583">
            <v>0</v>
          </cell>
          <cell r="O3583">
            <v>0</v>
          </cell>
        </row>
        <row r="3584">
          <cell r="A3584" t="str">
            <v>Project ProphetTotal Headcount</v>
          </cell>
          <cell r="B3584">
            <v>0</v>
          </cell>
          <cell r="C3584">
            <v>0</v>
          </cell>
          <cell r="D3584">
            <v>0</v>
          </cell>
          <cell r="E3584">
            <v>0</v>
          </cell>
          <cell r="F3584">
            <v>0</v>
          </cell>
          <cell r="G3584">
            <v>41</v>
          </cell>
          <cell r="H3584">
            <v>41</v>
          </cell>
          <cell r="I3584">
            <v>41</v>
          </cell>
          <cell r="J3584">
            <v>41</v>
          </cell>
          <cell r="K3584">
            <v>41</v>
          </cell>
          <cell r="L3584">
            <v>34</v>
          </cell>
          <cell r="M3584">
            <v>0</v>
          </cell>
          <cell r="N3584">
            <v>0</v>
          </cell>
          <cell r="O3584">
            <v>0</v>
          </cell>
        </row>
        <row r="3585">
          <cell r="A3585" t="str">
            <v>Project ProphetTotal Workforce</v>
          </cell>
          <cell r="B3585">
            <v>0</v>
          </cell>
          <cell r="C3585">
            <v>0</v>
          </cell>
          <cell r="D3585">
            <v>0</v>
          </cell>
          <cell r="E3585">
            <v>0</v>
          </cell>
          <cell r="F3585">
            <v>0</v>
          </cell>
          <cell r="G3585">
            <v>49</v>
          </cell>
          <cell r="H3585">
            <v>49</v>
          </cell>
          <cell r="I3585">
            <v>49</v>
          </cell>
          <cell r="J3585">
            <v>49</v>
          </cell>
          <cell r="K3585">
            <v>49</v>
          </cell>
          <cell r="L3585">
            <v>49</v>
          </cell>
          <cell r="M3585">
            <v>0</v>
          </cell>
          <cell r="N3585">
            <v>0</v>
          </cell>
          <cell r="O3585">
            <v>0</v>
          </cell>
        </row>
        <row r="3586">
          <cell r="A3586" t="str">
            <v>Project ProphetTotal Earned Revenue</v>
          </cell>
          <cell r="B3586">
            <v>-4056.09</v>
          </cell>
          <cell r="C3586">
            <v>-1748088.85</v>
          </cell>
          <cell r="D3586">
            <v>1795729.31</v>
          </cell>
          <cell r="E3586">
            <v>1206.77</v>
          </cell>
          <cell r="F3586">
            <v>44791.14</v>
          </cell>
          <cell r="G3586">
            <v>0</v>
          </cell>
          <cell r="H3586">
            <v>0</v>
          </cell>
          <cell r="I3586">
            <v>0</v>
          </cell>
          <cell r="J3586">
            <v>0</v>
          </cell>
          <cell r="K3586">
            <v>0</v>
          </cell>
          <cell r="L3586">
            <v>2403.92</v>
          </cell>
          <cell r="M3586">
            <v>0</v>
          </cell>
          <cell r="N3586">
            <v>0</v>
          </cell>
          <cell r="O3586">
            <v>0</v>
          </cell>
        </row>
        <row r="3587">
          <cell r="A3587" t="str">
            <v>Project ProphetOrdinary Gains - PreTax</v>
          </cell>
          <cell r="B3587">
            <v>0</v>
          </cell>
          <cell r="C3587">
            <v>0</v>
          </cell>
          <cell r="D3587">
            <v>0</v>
          </cell>
          <cell r="E3587">
            <v>0</v>
          </cell>
          <cell r="F3587">
            <v>0</v>
          </cell>
          <cell r="G3587">
            <v>0</v>
          </cell>
          <cell r="H3587">
            <v>0</v>
          </cell>
          <cell r="I3587">
            <v>0</v>
          </cell>
          <cell r="J3587">
            <v>0</v>
          </cell>
          <cell r="K3587">
            <v>0</v>
          </cell>
          <cell r="L3587">
            <v>0</v>
          </cell>
          <cell r="M3587">
            <v>0</v>
          </cell>
          <cell r="N3587">
            <v>0</v>
          </cell>
          <cell r="O3587">
            <v>0</v>
          </cell>
        </row>
        <row r="3588">
          <cell r="A3588" t="str">
            <v>Project ProphetOrdinary Gains - AfterTax</v>
          </cell>
          <cell r="B3588">
            <v>0</v>
          </cell>
          <cell r="C3588">
            <v>0</v>
          </cell>
          <cell r="D3588">
            <v>0</v>
          </cell>
          <cell r="E3588">
            <v>0</v>
          </cell>
          <cell r="F3588">
            <v>0</v>
          </cell>
          <cell r="G3588">
            <v>0</v>
          </cell>
          <cell r="H3588">
            <v>0</v>
          </cell>
          <cell r="I3588">
            <v>0</v>
          </cell>
          <cell r="J3588">
            <v>0</v>
          </cell>
          <cell r="K3588">
            <v>0</v>
          </cell>
          <cell r="L3588">
            <v>0</v>
          </cell>
          <cell r="M3588">
            <v>0</v>
          </cell>
          <cell r="N3588">
            <v>0</v>
          </cell>
          <cell r="O3588">
            <v>0</v>
          </cell>
        </row>
        <row r="3589">
          <cell r="A3589" t="str">
            <v>Project ProphetTotal Volume</v>
          </cell>
          <cell r="B3589">
            <v>0</v>
          </cell>
          <cell r="C3589">
            <v>0</v>
          </cell>
          <cell r="D3589">
            <v>0</v>
          </cell>
          <cell r="E3589">
            <v>0</v>
          </cell>
          <cell r="F3589">
            <v>0</v>
          </cell>
          <cell r="G3589">
            <v>0</v>
          </cell>
          <cell r="H3589">
            <v>0</v>
          </cell>
          <cell r="I3589">
            <v>0</v>
          </cell>
          <cell r="J3589">
            <v>0</v>
          </cell>
          <cell r="K3589">
            <v>0</v>
          </cell>
          <cell r="L3589">
            <v>0</v>
          </cell>
          <cell r="M3589">
            <v>0</v>
          </cell>
          <cell r="N3589">
            <v>0</v>
          </cell>
          <cell r="O3589">
            <v>0</v>
          </cell>
        </row>
        <row r="3590">
          <cell r="A3590" t="str">
            <v>Project ProphetTOTAL # ACTIVE ACCOUNTS</v>
          </cell>
          <cell r="B3590">
            <v>0</v>
          </cell>
          <cell r="C3590">
            <v>0</v>
          </cell>
          <cell r="D3590">
            <v>0</v>
          </cell>
          <cell r="E3590">
            <v>0</v>
          </cell>
          <cell r="F3590">
            <v>0</v>
          </cell>
          <cell r="G3590">
            <v>0</v>
          </cell>
          <cell r="H3590">
            <v>0</v>
          </cell>
          <cell r="I3590">
            <v>0</v>
          </cell>
          <cell r="J3590">
            <v>0</v>
          </cell>
          <cell r="K3590">
            <v>0</v>
          </cell>
          <cell r="L3590">
            <v>0</v>
          </cell>
          <cell r="M3590">
            <v>0</v>
          </cell>
          <cell r="N3590">
            <v>0</v>
          </cell>
          <cell r="O3590">
            <v>0</v>
          </cell>
        </row>
        <row r="3591">
          <cell r="A3591" t="str">
            <v>RomaniaTOTAL FINANCING RECEIVABLES</v>
          </cell>
          <cell r="B3591">
            <v>0</v>
          </cell>
          <cell r="C3591">
            <v>0</v>
          </cell>
          <cell r="D3591">
            <v>0</v>
          </cell>
          <cell r="E3591">
            <v>0</v>
          </cell>
          <cell r="F3591">
            <v>0</v>
          </cell>
          <cell r="G3591">
            <v>0</v>
          </cell>
          <cell r="H3591">
            <v>0</v>
          </cell>
          <cell r="I3591">
            <v>0</v>
          </cell>
          <cell r="J3591">
            <v>0</v>
          </cell>
          <cell r="K3591">
            <v>0</v>
          </cell>
          <cell r="L3591">
            <v>0</v>
          </cell>
          <cell r="M3591">
            <v>0</v>
          </cell>
          <cell r="N3591">
            <v>0</v>
          </cell>
          <cell r="O3591">
            <v>0</v>
          </cell>
        </row>
        <row r="3592">
          <cell r="A3592" t="str">
            <v>RomaniaRECEIVABLE RESERVES</v>
          </cell>
          <cell r="B3592">
            <v>0</v>
          </cell>
          <cell r="C3592">
            <v>0</v>
          </cell>
          <cell r="D3592">
            <v>0</v>
          </cell>
          <cell r="E3592">
            <v>0</v>
          </cell>
          <cell r="F3592">
            <v>0</v>
          </cell>
          <cell r="G3592">
            <v>0</v>
          </cell>
          <cell r="H3592">
            <v>0</v>
          </cell>
          <cell r="I3592">
            <v>0</v>
          </cell>
          <cell r="J3592">
            <v>0</v>
          </cell>
          <cell r="K3592">
            <v>0</v>
          </cell>
          <cell r="L3592">
            <v>0</v>
          </cell>
          <cell r="M3592">
            <v>0</v>
          </cell>
          <cell r="N3592">
            <v>0</v>
          </cell>
          <cell r="O3592">
            <v>0</v>
          </cell>
        </row>
        <row r="3593">
          <cell r="A3593" t="str">
            <v>RomaniaCASH</v>
          </cell>
          <cell r="B3593">
            <v>-0.2</v>
          </cell>
          <cell r="C3593">
            <v>-0.2</v>
          </cell>
          <cell r="D3593">
            <v>-0.2</v>
          </cell>
          <cell r="E3593">
            <v>-0.2</v>
          </cell>
          <cell r="F3593">
            <v>-0.2</v>
          </cell>
          <cell r="G3593">
            <v>0</v>
          </cell>
          <cell r="H3593">
            <v>0</v>
          </cell>
          <cell r="I3593">
            <v>0</v>
          </cell>
          <cell r="J3593">
            <v>0</v>
          </cell>
          <cell r="K3593">
            <v>0</v>
          </cell>
          <cell r="L3593">
            <v>-0.2</v>
          </cell>
          <cell r="M3593">
            <v>0</v>
          </cell>
          <cell r="N3593">
            <v>0</v>
          </cell>
          <cell r="O3593">
            <v>0</v>
          </cell>
        </row>
        <row r="3594">
          <cell r="A3594" t="str">
            <v>RomaniaINVESTMENT SECURITIES</v>
          </cell>
          <cell r="B3594">
            <v>-0.6</v>
          </cell>
          <cell r="C3594">
            <v>-0.6</v>
          </cell>
          <cell r="D3594">
            <v>-0.6</v>
          </cell>
          <cell r="E3594">
            <v>-0.6</v>
          </cell>
          <cell r="F3594">
            <v>-0.6</v>
          </cell>
          <cell r="G3594">
            <v>0</v>
          </cell>
          <cell r="H3594">
            <v>0</v>
          </cell>
          <cell r="I3594">
            <v>0</v>
          </cell>
          <cell r="J3594">
            <v>0</v>
          </cell>
          <cell r="K3594">
            <v>0</v>
          </cell>
          <cell r="L3594">
            <v>-0.6</v>
          </cell>
          <cell r="M3594">
            <v>-0.6</v>
          </cell>
          <cell r="N3594">
            <v>-0.6</v>
          </cell>
          <cell r="O3594">
            <v>-0.6</v>
          </cell>
        </row>
        <row r="3595">
          <cell r="A3595" t="str">
            <v>RomaniaINV IN NON CONSOL AFFILIATES</v>
          </cell>
          <cell r="B3595">
            <v>8987345.6999999993</v>
          </cell>
          <cell r="C3595">
            <v>8987345.6999999993</v>
          </cell>
          <cell r="D3595">
            <v>4876355.7</v>
          </cell>
          <cell r="E3595">
            <v>4876355.7</v>
          </cell>
          <cell r="F3595">
            <v>4876355.7</v>
          </cell>
          <cell r="G3595">
            <v>4876355.7</v>
          </cell>
          <cell r="H3595">
            <v>4876355.7</v>
          </cell>
          <cell r="I3595">
            <v>4876355.7</v>
          </cell>
          <cell r="J3595">
            <v>4876355.7</v>
          </cell>
          <cell r="K3595">
            <v>4876355.7</v>
          </cell>
          <cell r="L3595">
            <v>4876355.7</v>
          </cell>
          <cell r="M3595">
            <v>8987345.6999999993</v>
          </cell>
          <cell r="N3595">
            <v>8987345.6999999993</v>
          </cell>
          <cell r="O3595">
            <v>8987345.6999999993</v>
          </cell>
        </row>
        <row r="3596">
          <cell r="A3596" t="str">
            <v>RomaniaINVESTMENT IN JOINT VENTURE</v>
          </cell>
          <cell r="B3596">
            <v>0</v>
          </cell>
          <cell r="C3596">
            <v>0</v>
          </cell>
          <cell r="D3596">
            <v>0</v>
          </cell>
          <cell r="E3596">
            <v>0</v>
          </cell>
          <cell r="F3596">
            <v>0</v>
          </cell>
          <cell r="G3596">
            <v>0</v>
          </cell>
          <cell r="H3596">
            <v>0</v>
          </cell>
          <cell r="I3596">
            <v>0</v>
          </cell>
          <cell r="J3596">
            <v>0</v>
          </cell>
          <cell r="K3596">
            <v>0</v>
          </cell>
          <cell r="L3596">
            <v>0</v>
          </cell>
          <cell r="M3596">
            <v>0</v>
          </cell>
          <cell r="N3596">
            <v>0</v>
          </cell>
          <cell r="O3596">
            <v>0</v>
          </cell>
        </row>
        <row r="3597">
          <cell r="A3597" t="str">
            <v>RomaniaALL OTHER RECEIVABLES (NON-FINANCING)</v>
          </cell>
          <cell r="B3597">
            <v>0.5</v>
          </cell>
          <cell r="C3597">
            <v>0.5</v>
          </cell>
          <cell r="D3597">
            <v>0.5</v>
          </cell>
          <cell r="E3597">
            <v>0.5</v>
          </cell>
          <cell r="F3597">
            <v>0.5</v>
          </cell>
          <cell r="G3597">
            <v>0</v>
          </cell>
          <cell r="H3597">
            <v>0</v>
          </cell>
          <cell r="I3597">
            <v>0</v>
          </cell>
          <cell r="J3597">
            <v>0</v>
          </cell>
          <cell r="K3597">
            <v>0</v>
          </cell>
          <cell r="L3597">
            <v>0.5</v>
          </cell>
          <cell r="M3597">
            <v>0</v>
          </cell>
          <cell r="N3597">
            <v>0</v>
          </cell>
          <cell r="O3597">
            <v>0</v>
          </cell>
        </row>
        <row r="3598">
          <cell r="A3598" t="str">
            <v>RomaniaELTO (NET)</v>
          </cell>
          <cell r="B3598">
            <v>0</v>
          </cell>
          <cell r="C3598">
            <v>0</v>
          </cell>
          <cell r="D3598">
            <v>0</v>
          </cell>
          <cell r="E3598">
            <v>0</v>
          </cell>
          <cell r="F3598">
            <v>0</v>
          </cell>
          <cell r="G3598">
            <v>0</v>
          </cell>
          <cell r="H3598">
            <v>0</v>
          </cell>
          <cell r="I3598">
            <v>0</v>
          </cell>
          <cell r="J3598">
            <v>0</v>
          </cell>
          <cell r="K3598">
            <v>0</v>
          </cell>
          <cell r="L3598">
            <v>0</v>
          </cell>
          <cell r="M3598">
            <v>0</v>
          </cell>
          <cell r="N3598">
            <v>0</v>
          </cell>
          <cell r="O3598">
            <v>0</v>
          </cell>
        </row>
        <row r="3599">
          <cell r="A3599" t="str">
            <v>RomaniaGOODWILL</v>
          </cell>
          <cell r="B3599">
            <v>-0.95</v>
          </cell>
          <cell r="C3599">
            <v>-0.95</v>
          </cell>
          <cell r="D3599">
            <v>-0.95</v>
          </cell>
          <cell r="E3599">
            <v>-0.95</v>
          </cell>
          <cell r="F3599">
            <v>-0.95</v>
          </cell>
          <cell r="G3599">
            <v>0</v>
          </cell>
          <cell r="H3599">
            <v>0</v>
          </cell>
          <cell r="I3599">
            <v>0</v>
          </cell>
          <cell r="J3599">
            <v>0</v>
          </cell>
          <cell r="K3599">
            <v>0</v>
          </cell>
          <cell r="L3599">
            <v>-0.95</v>
          </cell>
          <cell r="M3599">
            <v>-0.95</v>
          </cell>
          <cell r="N3599">
            <v>-0.95</v>
          </cell>
          <cell r="O3599">
            <v>-0.95</v>
          </cell>
        </row>
        <row r="3600">
          <cell r="A3600" t="str">
            <v>RomaniaOTHER ASSETS</v>
          </cell>
          <cell r="B3600">
            <v>-0.4</v>
          </cell>
          <cell r="C3600">
            <v>-0.4</v>
          </cell>
          <cell r="D3600">
            <v>-0.4</v>
          </cell>
          <cell r="E3600">
            <v>-0.4</v>
          </cell>
          <cell r="F3600">
            <v>-0.4</v>
          </cell>
          <cell r="G3600">
            <v>0</v>
          </cell>
          <cell r="H3600">
            <v>0</v>
          </cell>
          <cell r="I3600">
            <v>0</v>
          </cell>
          <cell r="J3600">
            <v>0</v>
          </cell>
          <cell r="K3600">
            <v>0</v>
          </cell>
          <cell r="L3600">
            <v>-0.4</v>
          </cell>
          <cell r="M3600">
            <v>-0.4</v>
          </cell>
          <cell r="N3600">
            <v>-0.4</v>
          </cell>
          <cell r="O3600">
            <v>-0.4</v>
          </cell>
        </row>
        <row r="3601">
          <cell r="A3601" t="str">
            <v>RomaniaACCOUNTS PAYABLE</v>
          </cell>
          <cell r="B3601">
            <v>2125057.5299999998</v>
          </cell>
          <cell r="C3601">
            <v>2166517.2400000002</v>
          </cell>
          <cell r="D3601">
            <v>2200683.62</v>
          </cell>
          <cell r="E3601">
            <v>2215904.9900000002</v>
          </cell>
          <cell r="F3601">
            <v>2215904.9900000002</v>
          </cell>
          <cell r="G3601">
            <v>2166517.2400000002</v>
          </cell>
          <cell r="H3601">
            <v>2166517.2400000002</v>
          </cell>
          <cell r="I3601">
            <v>2166517.2400000002</v>
          </cell>
          <cell r="J3601">
            <v>2166517.2400000002</v>
          </cell>
          <cell r="K3601">
            <v>2166517.2400000002</v>
          </cell>
          <cell r="L3601">
            <v>2086114.22</v>
          </cell>
          <cell r="M3601">
            <v>2125057.5299999998</v>
          </cell>
          <cell r="N3601">
            <v>2125057.5299999998</v>
          </cell>
          <cell r="O3601">
            <v>2125057.5299999998</v>
          </cell>
        </row>
        <row r="3602">
          <cell r="A3602" t="str">
            <v>RomaniaDEFERRED INCOME TAXES</v>
          </cell>
          <cell r="B3602">
            <v>-89390</v>
          </cell>
          <cell r="C3602">
            <v>-89390</v>
          </cell>
          <cell r="D3602">
            <v>-89390</v>
          </cell>
          <cell r="E3602">
            <v>-89390</v>
          </cell>
          <cell r="F3602">
            <v>-89390</v>
          </cell>
          <cell r="G3602">
            <v>-89390</v>
          </cell>
          <cell r="H3602">
            <v>-89390</v>
          </cell>
          <cell r="I3602">
            <v>-89390</v>
          </cell>
          <cell r="J3602">
            <v>-89390</v>
          </cell>
          <cell r="K3602">
            <v>-89390</v>
          </cell>
          <cell r="L3602">
            <v>-89390</v>
          </cell>
          <cell r="M3602">
            <v>-89390</v>
          </cell>
          <cell r="N3602">
            <v>-89390</v>
          </cell>
          <cell r="O3602">
            <v>-89390</v>
          </cell>
        </row>
        <row r="3603">
          <cell r="A3603" t="str">
            <v>RomaniaWRITE-OFF (MEMO)</v>
          </cell>
          <cell r="B3603">
            <v>0</v>
          </cell>
          <cell r="C3603">
            <v>0</v>
          </cell>
          <cell r="D3603">
            <v>0</v>
          </cell>
          <cell r="E3603">
            <v>0</v>
          </cell>
          <cell r="F3603">
            <v>0</v>
          </cell>
          <cell r="G3603">
            <v>0</v>
          </cell>
          <cell r="H3603">
            <v>0</v>
          </cell>
          <cell r="I3603">
            <v>0</v>
          </cell>
          <cell r="J3603">
            <v>0</v>
          </cell>
          <cell r="K3603">
            <v>0</v>
          </cell>
          <cell r="L3603">
            <v>0</v>
          </cell>
          <cell r="M3603">
            <v>0</v>
          </cell>
          <cell r="N3603">
            <v>0</v>
          </cell>
          <cell r="O3603">
            <v>0</v>
          </cell>
        </row>
        <row r="3604">
          <cell r="A3604" t="str">
            <v>RomaniaINSURANCE RESERVES AND ANNUITY BENEFITS</v>
          </cell>
          <cell r="B3604">
            <v>0</v>
          </cell>
          <cell r="C3604">
            <v>0</v>
          </cell>
          <cell r="D3604">
            <v>0</v>
          </cell>
          <cell r="E3604">
            <v>0</v>
          </cell>
          <cell r="F3604">
            <v>0</v>
          </cell>
          <cell r="G3604">
            <v>0</v>
          </cell>
          <cell r="H3604">
            <v>0</v>
          </cell>
          <cell r="I3604">
            <v>0</v>
          </cell>
          <cell r="J3604">
            <v>0</v>
          </cell>
          <cell r="K3604">
            <v>0</v>
          </cell>
          <cell r="L3604">
            <v>0</v>
          </cell>
          <cell r="M3604">
            <v>0</v>
          </cell>
          <cell r="N3604">
            <v>0</v>
          </cell>
          <cell r="O3604">
            <v>0</v>
          </cell>
        </row>
        <row r="3605">
          <cell r="A3605" t="str">
            <v>RomaniaALL OTHER NON DEBT LIABILITIES</v>
          </cell>
          <cell r="B3605">
            <v>0.55000000000000004</v>
          </cell>
          <cell r="C3605">
            <v>0.55000000000000004</v>
          </cell>
          <cell r="D3605">
            <v>0.55000000000000004</v>
          </cell>
          <cell r="E3605">
            <v>0.55000000000000004</v>
          </cell>
          <cell r="F3605">
            <v>0.55000000000000004</v>
          </cell>
          <cell r="G3605">
            <v>0</v>
          </cell>
          <cell r="H3605">
            <v>0</v>
          </cell>
          <cell r="I3605">
            <v>0</v>
          </cell>
          <cell r="J3605">
            <v>0</v>
          </cell>
          <cell r="K3605">
            <v>0</v>
          </cell>
          <cell r="L3605">
            <v>0.55000000000000004</v>
          </cell>
          <cell r="M3605">
            <v>0</v>
          </cell>
          <cell r="N3605">
            <v>0</v>
          </cell>
          <cell r="O3605">
            <v>0</v>
          </cell>
        </row>
        <row r="3606">
          <cell r="A3606" t="str">
            <v>RomaniaMINORITY INTEREST (BS)</v>
          </cell>
          <cell r="B3606">
            <v>0</v>
          </cell>
          <cell r="C3606">
            <v>0</v>
          </cell>
          <cell r="D3606">
            <v>0</v>
          </cell>
          <cell r="E3606">
            <v>0</v>
          </cell>
          <cell r="F3606">
            <v>0</v>
          </cell>
          <cell r="G3606">
            <v>0</v>
          </cell>
          <cell r="H3606">
            <v>0</v>
          </cell>
          <cell r="I3606">
            <v>0</v>
          </cell>
          <cell r="J3606">
            <v>0</v>
          </cell>
          <cell r="K3606">
            <v>0</v>
          </cell>
          <cell r="L3606">
            <v>0</v>
          </cell>
          <cell r="M3606">
            <v>0</v>
          </cell>
          <cell r="N3606">
            <v>0</v>
          </cell>
          <cell r="O3606">
            <v>0</v>
          </cell>
        </row>
        <row r="3607">
          <cell r="A3607" t="str">
            <v>RomaniaASIA PACIFIC ENI DIVIDEND</v>
          </cell>
          <cell r="B3607">
            <v>0</v>
          </cell>
          <cell r="C3607">
            <v>0</v>
          </cell>
          <cell r="D3607">
            <v>0</v>
          </cell>
          <cell r="E3607">
            <v>0</v>
          </cell>
          <cell r="F3607">
            <v>0</v>
          </cell>
          <cell r="G3607">
            <v>0</v>
          </cell>
          <cell r="H3607">
            <v>0</v>
          </cell>
          <cell r="I3607">
            <v>0</v>
          </cell>
          <cell r="J3607">
            <v>0</v>
          </cell>
          <cell r="K3607">
            <v>0</v>
          </cell>
          <cell r="L3607">
            <v>0</v>
          </cell>
          <cell r="M3607">
            <v>0</v>
          </cell>
          <cell r="N3607">
            <v>0</v>
          </cell>
          <cell r="O3607">
            <v>0</v>
          </cell>
        </row>
        <row r="3608">
          <cell r="A3608" t="str">
            <v>RomaniaFINANCING INCOME</v>
          </cell>
          <cell r="B3608">
            <v>0</v>
          </cell>
          <cell r="C3608">
            <v>0</v>
          </cell>
          <cell r="D3608">
            <v>0</v>
          </cell>
          <cell r="E3608">
            <v>0</v>
          </cell>
          <cell r="F3608">
            <v>0</v>
          </cell>
          <cell r="G3608">
            <v>0</v>
          </cell>
          <cell r="H3608">
            <v>0</v>
          </cell>
          <cell r="I3608">
            <v>0</v>
          </cell>
          <cell r="J3608">
            <v>0</v>
          </cell>
          <cell r="K3608">
            <v>0</v>
          </cell>
          <cell r="L3608">
            <v>0</v>
          </cell>
          <cell r="M3608">
            <v>0</v>
          </cell>
          <cell r="N3608">
            <v>0</v>
          </cell>
          <cell r="O3608">
            <v>0</v>
          </cell>
        </row>
        <row r="3609">
          <cell r="A3609" t="str">
            <v>RomaniaINSURANCE PREMIUM INCOME</v>
          </cell>
          <cell r="B3609">
            <v>0</v>
          </cell>
          <cell r="C3609">
            <v>0</v>
          </cell>
          <cell r="D3609">
            <v>0</v>
          </cell>
          <cell r="E3609">
            <v>0</v>
          </cell>
          <cell r="F3609">
            <v>0</v>
          </cell>
          <cell r="G3609">
            <v>0</v>
          </cell>
          <cell r="H3609">
            <v>0</v>
          </cell>
          <cell r="I3609">
            <v>0</v>
          </cell>
          <cell r="J3609">
            <v>0</v>
          </cell>
          <cell r="K3609">
            <v>0</v>
          </cell>
          <cell r="L3609">
            <v>0</v>
          </cell>
          <cell r="M3609">
            <v>0</v>
          </cell>
          <cell r="N3609">
            <v>0</v>
          </cell>
          <cell r="O3609">
            <v>0</v>
          </cell>
        </row>
        <row r="3610">
          <cell r="A3610" t="str">
            <v>RomaniaINSURANCE INCOME (COMMISSIONS)</v>
          </cell>
          <cell r="B3610">
            <v>0</v>
          </cell>
          <cell r="C3610">
            <v>0</v>
          </cell>
          <cell r="D3610">
            <v>0</v>
          </cell>
          <cell r="E3610">
            <v>0</v>
          </cell>
          <cell r="F3610">
            <v>0</v>
          </cell>
          <cell r="G3610">
            <v>0</v>
          </cell>
          <cell r="H3610">
            <v>0</v>
          </cell>
          <cell r="I3610">
            <v>0</v>
          </cell>
          <cell r="J3610">
            <v>0</v>
          </cell>
          <cell r="K3610">
            <v>0</v>
          </cell>
          <cell r="L3610">
            <v>0</v>
          </cell>
          <cell r="M3610">
            <v>0</v>
          </cell>
          <cell r="N3610">
            <v>0</v>
          </cell>
          <cell r="O3610">
            <v>0</v>
          </cell>
        </row>
        <row r="3611">
          <cell r="A3611" t="str">
            <v>RomaniaSUNDRY INCOME</v>
          </cell>
          <cell r="B3611">
            <v>0</v>
          </cell>
          <cell r="C3611">
            <v>0</v>
          </cell>
          <cell r="D3611">
            <v>0</v>
          </cell>
          <cell r="E3611">
            <v>0</v>
          </cell>
          <cell r="F3611">
            <v>0</v>
          </cell>
          <cell r="G3611">
            <v>0</v>
          </cell>
          <cell r="H3611">
            <v>0</v>
          </cell>
          <cell r="I3611">
            <v>0</v>
          </cell>
          <cell r="J3611">
            <v>0</v>
          </cell>
          <cell r="K3611">
            <v>0</v>
          </cell>
          <cell r="L3611">
            <v>0</v>
          </cell>
          <cell r="M3611">
            <v>0</v>
          </cell>
          <cell r="N3611">
            <v>0</v>
          </cell>
          <cell r="O3611">
            <v>0</v>
          </cell>
        </row>
        <row r="3612">
          <cell r="A3612" t="str">
            <v>RomaniaINTEREST EXPENSE</v>
          </cell>
          <cell r="B3612">
            <v>146821.44</v>
          </cell>
          <cell r="C3612">
            <v>118456.3</v>
          </cell>
          <cell r="D3612">
            <v>97618.22</v>
          </cell>
          <cell r="E3612">
            <v>43489.63</v>
          </cell>
          <cell r="F3612">
            <v>406385.59</v>
          </cell>
          <cell r="G3612">
            <v>118456.3</v>
          </cell>
          <cell r="H3612">
            <v>118456.3</v>
          </cell>
          <cell r="I3612">
            <v>118456.3</v>
          </cell>
          <cell r="J3612">
            <v>118456.3</v>
          </cell>
          <cell r="K3612">
            <v>473825.2</v>
          </cell>
          <cell r="L3612">
            <v>35554.83</v>
          </cell>
          <cell r="M3612">
            <v>587285.76000000001</v>
          </cell>
          <cell r="N3612">
            <v>587285.76000000001</v>
          </cell>
          <cell r="O3612">
            <v>587285.76000000001</v>
          </cell>
        </row>
        <row r="3613">
          <cell r="A3613" t="str">
            <v>RomaniaINTEREST EXPENSE REDUCTIONS / BUS SHARING</v>
          </cell>
          <cell r="B3613">
            <v>0</v>
          </cell>
          <cell r="C3613">
            <v>0</v>
          </cell>
          <cell r="D3613">
            <v>0</v>
          </cell>
          <cell r="E3613">
            <v>0</v>
          </cell>
          <cell r="F3613">
            <v>0</v>
          </cell>
          <cell r="G3613">
            <v>0</v>
          </cell>
          <cell r="H3613">
            <v>0</v>
          </cell>
          <cell r="I3613">
            <v>0</v>
          </cell>
          <cell r="J3613">
            <v>0</v>
          </cell>
          <cell r="K3613">
            <v>0</v>
          </cell>
          <cell r="L3613">
            <v>0</v>
          </cell>
          <cell r="M3613">
            <v>0</v>
          </cell>
          <cell r="N3613">
            <v>0</v>
          </cell>
          <cell r="O3613">
            <v>0</v>
          </cell>
        </row>
        <row r="3614">
          <cell r="A3614" t="str">
            <v>RomaniaALLOCATED COST OF PREFERRED EQUITY</v>
          </cell>
          <cell r="B3614">
            <v>1414.37</v>
          </cell>
          <cell r="C3614">
            <v>1207.1199999999999</v>
          </cell>
          <cell r="D3614">
            <v>949.56</v>
          </cell>
          <cell r="E3614">
            <v>354.08</v>
          </cell>
          <cell r="F3614">
            <v>3925.13</v>
          </cell>
          <cell r="G3614">
            <v>1207.1199999999999</v>
          </cell>
          <cell r="H3614">
            <v>1207.1199999999999</v>
          </cell>
          <cell r="I3614">
            <v>1207.1199999999999</v>
          </cell>
          <cell r="J3614">
            <v>1207.1199999999999</v>
          </cell>
          <cell r="K3614">
            <v>4828.4799999999996</v>
          </cell>
          <cell r="L3614">
            <v>401.58</v>
          </cell>
          <cell r="M3614">
            <v>5657.48</v>
          </cell>
          <cell r="N3614">
            <v>5657.48</v>
          </cell>
          <cell r="O3614">
            <v>5657.48</v>
          </cell>
        </row>
        <row r="3615">
          <cell r="A3615" t="str">
            <v>RomaniaSALARIES &amp; BENEFITS</v>
          </cell>
          <cell r="B3615">
            <v>0</v>
          </cell>
          <cell r="C3615">
            <v>0</v>
          </cell>
          <cell r="D3615">
            <v>0</v>
          </cell>
          <cell r="E3615">
            <v>0</v>
          </cell>
          <cell r="F3615">
            <v>0</v>
          </cell>
          <cell r="G3615">
            <v>0</v>
          </cell>
          <cell r="H3615">
            <v>0</v>
          </cell>
          <cell r="I3615">
            <v>0</v>
          </cell>
          <cell r="J3615">
            <v>0</v>
          </cell>
          <cell r="K3615">
            <v>0</v>
          </cell>
          <cell r="L3615">
            <v>0</v>
          </cell>
          <cell r="M3615">
            <v>0</v>
          </cell>
          <cell r="N3615">
            <v>0</v>
          </cell>
          <cell r="O3615">
            <v>0</v>
          </cell>
        </row>
        <row r="3616">
          <cell r="A3616" t="str">
            <v>RomaniaLOSSES ON OTHER ASSETS</v>
          </cell>
          <cell r="B3616">
            <v>0</v>
          </cell>
          <cell r="C3616">
            <v>0</v>
          </cell>
          <cell r="D3616">
            <v>0</v>
          </cell>
          <cell r="E3616">
            <v>0</v>
          </cell>
          <cell r="F3616">
            <v>0</v>
          </cell>
          <cell r="G3616">
            <v>0</v>
          </cell>
          <cell r="H3616">
            <v>0</v>
          </cell>
          <cell r="I3616">
            <v>0</v>
          </cell>
          <cell r="J3616">
            <v>0</v>
          </cell>
          <cell r="K3616">
            <v>0</v>
          </cell>
          <cell r="L3616">
            <v>0</v>
          </cell>
          <cell r="M3616">
            <v>0</v>
          </cell>
          <cell r="N3616">
            <v>0</v>
          </cell>
          <cell r="O3616">
            <v>0</v>
          </cell>
        </row>
        <row r="3617">
          <cell r="A3617" t="str">
            <v>RomaniaCOST OF GOODS SOLD</v>
          </cell>
          <cell r="B3617">
            <v>0</v>
          </cell>
          <cell r="C3617">
            <v>0</v>
          </cell>
          <cell r="D3617">
            <v>0</v>
          </cell>
          <cell r="E3617">
            <v>0</v>
          </cell>
          <cell r="F3617">
            <v>0</v>
          </cell>
          <cell r="G3617">
            <v>0</v>
          </cell>
          <cell r="H3617">
            <v>0</v>
          </cell>
          <cell r="I3617">
            <v>0</v>
          </cell>
          <cell r="J3617">
            <v>0</v>
          </cell>
          <cell r="K3617">
            <v>0</v>
          </cell>
          <cell r="L3617">
            <v>0</v>
          </cell>
          <cell r="M3617">
            <v>0</v>
          </cell>
          <cell r="N3617">
            <v>0</v>
          </cell>
          <cell r="O3617">
            <v>0</v>
          </cell>
        </row>
        <row r="3618">
          <cell r="A3618" t="str">
            <v>RomaniaCOST OF GOODS SOLD - DISTRIBUTION</v>
          </cell>
          <cell r="B3618">
            <v>0</v>
          </cell>
          <cell r="C3618">
            <v>0</v>
          </cell>
          <cell r="D3618">
            <v>0</v>
          </cell>
          <cell r="E3618">
            <v>0</v>
          </cell>
          <cell r="F3618">
            <v>0</v>
          </cell>
          <cell r="G3618">
            <v>0</v>
          </cell>
          <cell r="H3618">
            <v>0</v>
          </cell>
          <cell r="I3618">
            <v>0</v>
          </cell>
          <cell r="J3618">
            <v>0</v>
          </cell>
          <cell r="K3618">
            <v>0</v>
          </cell>
          <cell r="L3618">
            <v>0</v>
          </cell>
          <cell r="M3618">
            <v>0</v>
          </cell>
          <cell r="N3618">
            <v>0</v>
          </cell>
          <cell r="O3618">
            <v>0</v>
          </cell>
        </row>
        <row r="3619">
          <cell r="A3619" t="str">
            <v>RomaniaPOSTAGE</v>
          </cell>
          <cell r="B3619">
            <v>0</v>
          </cell>
          <cell r="C3619">
            <v>0</v>
          </cell>
          <cell r="D3619">
            <v>0</v>
          </cell>
          <cell r="E3619">
            <v>0</v>
          </cell>
          <cell r="F3619">
            <v>0</v>
          </cell>
          <cell r="G3619">
            <v>0</v>
          </cell>
          <cell r="H3619">
            <v>0</v>
          </cell>
          <cell r="I3619">
            <v>0</v>
          </cell>
          <cell r="J3619">
            <v>0</v>
          </cell>
          <cell r="K3619">
            <v>0</v>
          </cell>
          <cell r="L3619">
            <v>0</v>
          </cell>
          <cell r="M3619">
            <v>0</v>
          </cell>
          <cell r="N3619">
            <v>0</v>
          </cell>
          <cell r="O3619">
            <v>0</v>
          </cell>
        </row>
        <row r="3620">
          <cell r="A3620" t="str">
            <v>RomaniaTELEPHONE</v>
          </cell>
          <cell r="B3620">
            <v>0</v>
          </cell>
          <cell r="C3620">
            <v>0</v>
          </cell>
          <cell r="D3620">
            <v>0</v>
          </cell>
          <cell r="E3620">
            <v>0</v>
          </cell>
          <cell r="F3620">
            <v>0</v>
          </cell>
          <cell r="G3620">
            <v>0</v>
          </cell>
          <cell r="H3620">
            <v>0</v>
          </cell>
          <cell r="I3620">
            <v>0</v>
          </cell>
          <cell r="J3620">
            <v>0</v>
          </cell>
          <cell r="K3620">
            <v>0</v>
          </cell>
          <cell r="L3620">
            <v>0</v>
          </cell>
          <cell r="M3620">
            <v>0</v>
          </cell>
          <cell r="N3620">
            <v>0</v>
          </cell>
          <cell r="O3620">
            <v>0</v>
          </cell>
        </row>
        <row r="3621">
          <cell r="A3621" t="str">
            <v>RomaniaCUSTOMER SERVICE / COLLECTIONS</v>
          </cell>
          <cell r="B3621">
            <v>0</v>
          </cell>
          <cell r="C3621">
            <v>0</v>
          </cell>
          <cell r="D3621">
            <v>0</v>
          </cell>
          <cell r="E3621">
            <v>0</v>
          </cell>
          <cell r="F3621">
            <v>0</v>
          </cell>
          <cell r="G3621">
            <v>0</v>
          </cell>
          <cell r="H3621">
            <v>0</v>
          </cell>
          <cell r="I3621">
            <v>0</v>
          </cell>
          <cell r="J3621">
            <v>0</v>
          </cell>
          <cell r="K3621">
            <v>0</v>
          </cell>
          <cell r="L3621">
            <v>0</v>
          </cell>
          <cell r="M3621">
            <v>0</v>
          </cell>
          <cell r="N3621">
            <v>0</v>
          </cell>
          <cell r="O3621">
            <v>0</v>
          </cell>
        </row>
        <row r="3622">
          <cell r="A3622" t="str">
            <v>RomaniaSTATIONARY - OFFICE SUPPLIES</v>
          </cell>
          <cell r="B3622">
            <v>0</v>
          </cell>
          <cell r="C3622">
            <v>0</v>
          </cell>
          <cell r="D3622">
            <v>0</v>
          </cell>
          <cell r="E3622">
            <v>0</v>
          </cell>
          <cell r="F3622">
            <v>0</v>
          </cell>
          <cell r="G3622">
            <v>0</v>
          </cell>
          <cell r="H3622">
            <v>0</v>
          </cell>
          <cell r="I3622">
            <v>0</v>
          </cell>
          <cell r="J3622">
            <v>0</v>
          </cell>
          <cell r="K3622">
            <v>0</v>
          </cell>
          <cell r="L3622">
            <v>0</v>
          </cell>
          <cell r="M3622">
            <v>0</v>
          </cell>
          <cell r="N3622">
            <v>0</v>
          </cell>
          <cell r="O3622">
            <v>0</v>
          </cell>
        </row>
        <row r="3623">
          <cell r="A3623" t="str">
            <v>RomaniaT&amp;L</v>
          </cell>
          <cell r="B3623">
            <v>0</v>
          </cell>
          <cell r="C3623">
            <v>0</v>
          </cell>
          <cell r="D3623">
            <v>0</v>
          </cell>
          <cell r="E3623">
            <v>0</v>
          </cell>
          <cell r="F3623">
            <v>0</v>
          </cell>
          <cell r="G3623">
            <v>0</v>
          </cell>
          <cell r="H3623">
            <v>0</v>
          </cell>
          <cell r="I3623">
            <v>0</v>
          </cell>
          <cell r="J3623">
            <v>0</v>
          </cell>
          <cell r="K3623">
            <v>0</v>
          </cell>
          <cell r="L3623">
            <v>0</v>
          </cell>
          <cell r="M3623">
            <v>0</v>
          </cell>
          <cell r="N3623">
            <v>0</v>
          </cell>
          <cell r="O3623">
            <v>0</v>
          </cell>
        </row>
        <row r="3624">
          <cell r="A3624" t="str">
            <v>RomaniaRENTAL - BLDG/FACILITIES</v>
          </cell>
          <cell r="B3624">
            <v>0</v>
          </cell>
          <cell r="C3624">
            <v>0</v>
          </cell>
          <cell r="D3624">
            <v>0</v>
          </cell>
          <cell r="E3624">
            <v>0</v>
          </cell>
          <cell r="F3624">
            <v>0</v>
          </cell>
          <cell r="G3624">
            <v>0</v>
          </cell>
          <cell r="H3624">
            <v>0</v>
          </cell>
          <cell r="I3624">
            <v>0</v>
          </cell>
          <cell r="J3624">
            <v>0</v>
          </cell>
          <cell r="K3624">
            <v>0</v>
          </cell>
          <cell r="L3624">
            <v>0</v>
          </cell>
          <cell r="M3624">
            <v>0</v>
          </cell>
          <cell r="N3624">
            <v>0</v>
          </cell>
          <cell r="O3624">
            <v>0</v>
          </cell>
        </row>
        <row r="3625">
          <cell r="A3625" t="str">
            <v>RomaniaRENTAL - FURNITURE/EQUIP</v>
          </cell>
          <cell r="B3625">
            <v>0</v>
          </cell>
          <cell r="C3625">
            <v>0</v>
          </cell>
          <cell r="D3625">
            <v>0</v>
          </cell>
          <cell r="E3625">
            <v>0</v>
          </cell>
          <cell r="F3625">
            <v>0</v>
          </cell>
          <cell r="G3625">
            <v>0</v>
          </cell>
          <cell r="H3625">
            <v>0</v>
          </cell>
          <cell r="I3625">
            <v>0</v>
          </cell>
          <cell r="J3625">
            <v>0</v>
          </cell>
          <cell r="K3625">
            <v>0</v>
          </cell>
          <cell r="L3625">
            <v>0</v>
          </cell>
          <cell r="M3625">
            <v>0</v>
          </cell>
          <cell r="N3625">
            <v>0</v>
          </cell>
          <cell r="O3625">
            <v>0</v>
          </cell>
        </row>
        <row r="3626">
          <cell r="A3626" t="str">
            <v>RomaniaRENTAL - COMPUTERS</v>
          </cell>
          <cell r="B3626">
            <v>0</v>
          </cell>
          <cell r="C3626">
            <v>0</v>
          </cell>
          <cell r="D3626">
            <v>0</v>
          </cell>
          <cell r="E3626">
            <v>0</v>
          </cell>
          <cell r="F3626">
            <v>0</v>
          </cell>
          <cell r="G3626">
            <v>0</v>
          </cell>
          <cell r="H3626">
            <v>0</v>
          </cell>
          <cell r="I3626">
            <v>0</v>
          </cell>
          <cell r="J3626">
            <v>0</v>
          </cell>
          <cell r="K3626">
            <v>0</v>
          </cell>
          <cell r="L3626">
            <v>0</v>
          </cell>
          <cell r="M3626">
            <v>0</v>
          </cell>
          <cell r="N3626">
            <v>0</v>
          </cell>
          <cell r="O3626">
            <v>0</v>
          </cell>
        </row>
        <row r="3627">
          <cell r="A3627" t="str">
            <v>RomaniaLEASE IN - LEASE OUT</v>
          </cell>
          <cell r="B3627">
            <v>0</v>
          </cell>
          <cell r="C3627">
            <v>0</v>
          </cell>
          <cell r="D3627">
            <v>0</v>
          </cell>
          <cell r="E3627">
            <v>0</v>
          </cell>
          <cell r="F3627">
            <v>0</v>
          </cell>
          <cell r="G3627">
            <v>0</v>
          </cell>
          <cell r="H3627">
            <v>0</v>
          </cell>
          <cell r="I3627">
            <v>0</v>
          </cell>
          <cell r="J3627">
            <v>0</v>
          </cell>
          <cell r="K3627">
            <v>0</v>
          </cell>
          <cell r="L3627">
            <v>0</v>
          </cell>
          <cell r="M3627">
            <v>0</v>
          </cell>
          <cell r="N3627">
            <v>0</v>
          </cell>
          <cell r="O3627">
            <v>0</v>
          </cell>
        </row>
        <row r="3628">
          <cell r="A3628" t="str">
            <v>RomaniaFURNITURE / EQUIPMENT / COMPUTER EXP</v>
          </cell>
          <cell r="B3628">
            <v>0</v>
          </cell>
          <cell r="C3628">
            <v>0</v>
          </cell>
          <cell r="D3628">
            <v>0</v>
          </cell>
          <cell r="E3628">
            <v>0</v>
          </cell>
          <cell r="F3628">
            <v>0</v>
          </cell>
          <cell r="G3628">
            <v>0</v>
          </cell>
          <cell r="H3628">
            <v>0</v>
          </cell>
          <cell r="I3628">
            <v>0</v>
          </cell>
          <cell r="J3628">
            <v>0</v>
          </cell>
          <cell r="K3628">
            <v>0</v>
          </cell>
          <cell r="L3628">
            <v>0</v>
          </cell>
          <cell r="M3628">
            <v>0</v>
          </cell>
          <cell r="N3628">
            <v>0</v>
          </cell>
          <cell r="O3628">
            <v>0</v>
          </cell>
        </row>
        <row r="3629">
          <cell r="A3629" t="str">
            <v>RomaniaSOFTWARE EXPENSE</v>
          </cell>
          <cell r="B3629">
            <v>0</v>
          </cell>
          <cell r="C3629">
            <v>0</v>
          </cell>
          <cell r="D3629">
            <v>0</v>
          </cell>
          <cell r="E3629">
            <v>0</v>
          </cell>
          <cell r="F3629">
            <v>0</v>
          </cell>
          <cell r="G3629">
            <v>0</v>
          </cell>
          <cell r="H3629">
            <v>0</v>
          </cell>
          <cell r="I3629">
            <v>0</v>
          </cell>
          <cell r="J3629">
            <v>0</v>
          </cell>
          <cell r="K3629">
            <v>0</v>
          </cell>
          <cell r="L3629">
            <v>0</v>
          </cell>
          <cell r="M3629">
            <v>0</v>
          </cell>
          <cell r="N3629">
            <v>0</v>
          </cell>
          <cell r="O3629">
            <v>0</v>
          </cell>
        </row>
        <row r="3630">
          <cell r="A3630" t="str">
            <v>RomaniaAMORTIZATION OF INTANGIBLES</v>
          </cell>
          <cell r="B3630">
            <v>0</v>
          </cell>
          <cell r="C3630">
            <v>0</v>
          </cell>
          <cell r="D3630">
            <v>0</v>
          </cell>
          <cell r="E3630">
            <v>0</v>
          </cell>
          <cell r="F3630">
            <v>0</v>
          </cell>
          <cell r="G3630">
            <v>0</v>
          </cell>
          <cell r="H3630">
            <v>0</v>
          </cell>
          <cell r="I3630">
            <v>0</v>
          </cell>
          <cell r="J3630">
            <v>0</v>
          </cell>
          <cell r="K3630">
            <v>0</v>
          </cell>
          <cell r="L3630">
            <v>0</v>
          </cell>
          <cell r="M3630">
            <v>0</v>
          </cell>
          <cell r="N3630">
            <v>0</v>
          </cell>
          <cell r="O3630">
            <v>0</v>
          </cell>
        </row>
        <row r="3631">
          <cell r="A3631" t="str">
            <v>RomaniaELTO MAINTENANCE</v>
          </cell>
          <cell r="B3631">
            <v>0</v>
          </cell>
          <cell r="C3631">
            <v>0</v>
          </cell>
          <cell r="D3631">
            <v>0</v>
          </cell>
          <cell r="E3631">
            <v>0</v>
          </cell>
          <cell r="F3631">
            <v>0</v>
          </cell>
          <cell r="G3631">
            <v>0</v>
          </cell>
          <cell r="H3631">
            <v>0</v>
          </cell>
          <cell r="I3631">
            <v>0</v>
          </cell>
          <cell r="J3631">
            <v>0</v>
          </cell>
          <cell r="K3631">
            <v>0</v>
          </cell>
          <cell r="L3631">
            <v>0</v>
          </cell>
          <cell r="M3631">
            <v>0</v>
          </cell>
          <cell r="N3631">
            <v>0</v>
          </cell>
          <cell r="O3631">
            <v>0</v>
          </cell>
        </row>
        <row r="3632">
          <cell r="A3632" t="str">
            <v>RomaniaELTO OTHER</v>
          </cell>
          <cell r="B3632">
            <v>0</v>
          </cell>
          <cell r="C3632">
            <v>0</v>
          </cell>
          <cell r="D3632">
            <v>0</v>
          </cell>
          <cell r="E3632">
            <v>0</v>
          </cell>
          <cell r="F3632">
            <v>0</v>
          </cell>
          <cell r="G3632">
            <v>0</v>
          </cell>
          <cell r="H3632">
            <v>0</v>
          </cell>
          <cell r="I3632">
            <v>0</v>
          </cell>
          <cell r="J3632">
            <v>0</v>
          </cell>
          <cell r="K3632">
            <v>0</v>
          </cell>
          <cell r="L3632">
            <v>0</v>
          </cell>
          <cell r="M3632">
            <v>0</v>
          </cell>
          <cell r="N3632">
            <v>0</v>
          </cell>
          <cell r="O3632">
            <v>0</v>
          </cell>
        </row>
        <row r="3633">
          <cell r="A3633" t="str">
            <v>RomaniaLEGAL</v>
          </cell>
          <cell r="B3633">
            <v>0</v>
          </cell>
          <cell r="C3633">
            <v>0</v>
          </cell>
          <cell r="D3633">
            <v>0</v>
          </cell>
          <cell r="E3633">
            <v>0</v>
          </cell>
          <cell r="F3633">
            <v>0</v>
          </cell>
          <cell r="G3633">
            <v>0</v>
          </cell>
          <cell r="H3633">
            <v>0</v>
          </cell>
          <cell r="I3633">
            <v>0</v>
          </cell>
          <cell r="J3633">
            <v>0</v>
          </cell>
          <cell r="K3633">
            <v>0</v>
          </cell>
          <cell r="L3633">
            <v>0</v>
          </cell>
          <cell r="M3633">
            <v>0</v>
          </cell>
          <cell r="N3633">
            <v>0</v>
          </cell>
          <cell r="O3633">
            <v>0</v>
          </cell>
        </row>
        <row r="3634">
          <cell r="A3634" t="str">
            <v>RomaniaADVERTISING</v>
          </cell>
          <cell r="B3634">
            <v>0</v>
          </cell>
          <cell r="C3634">
            <v>0</v>
          </cell>
          <cell r="D3634">
            <v>0</v>
          </cell>
          <cell r="E3634">
            <v>0</v>
          </cell>
          <cell r="F3634">
            <v>0</v>
          </cell>
          <cell r="G3634">
            <v>0</v>
          </cell>
          <cell r="H3634">
            <v>0</v>
          </cell>
          <cell r="I3634">
            <v>0</v>
          </cell>
          <cell r="J3634">
            <v>0</v>
          </cell>
          <cell r="K3634">
            <v>0</v>
          </cell>
          <cell r="L3634">
            <v>0</v>
          </cell>
          <cell r="M3634">
            <v>0</v>
          </cell>
          <cell r="N3634">
            <v>0</v>
          </cell>
          <cell r="O3634">
            <v>0</v>
          </cell>
        </row>
        <row r="3635">
          <cell r="A3635" t="str">
            <v>RomaniaSALES PROMOTIONS</v>
          </cell>
          <cell r="B3635">
            <v>0</v>
          </cell>
          <cell r="C3635">
            <v>0</v>
          </cell>
          <cell r="D3635">
            <v>0</v>
          </cell>
          <cell r="E3635">
            <v>0</v>
          </cell>
          <cell r="F3635">
            <v>0</v>
          </cell>
          <cell r="G3635">
            <v>0</v>
          </cell>
          <cell r="H3635">
            <v>0</v>
          </cell>
          <cell r="I3635">
            <v>0</v>
          </cell>
          <cell r="J3635">
            <v>0</v>
          </cell>
          <cell r="K3635">
            <v>0</v>
          </cell>
          <cell r="L3635">
            <v>0</v>
          </cell>
          <cell r="M3635">
            <v>0</v>
          </cell>
          <cell r="N3635">
            <v>0</v>
          </cell>
          <cell r="O3635">
            <v>0</v>
          </cell>
        </row>
        <row r="3636">
          <cell r="A3636" t="str">
            <v>RomaniaDIRECT MAIL</v>
          </cell>
          <cell r="B3636">
            <v>0</v>
          </cell>
          <cell r="C3636">
            <v>0</v>
          </cell>
          <cell r="D3636">
            <v>0</v>
          </cell>
          <cell r="E3636">
            <v>0</v>
          </cell>
          <cell r="F3636">
            <v>0</v>
          </cell>
          <cell r="G3636">
            <v>0</v>
          </cell>
          <cell r="H3636">
            <v>0</v>
          </cell>
          <cell r="I3636">
            <v>0</v>
          </cell>
          <cell r="J3636">
            <v>0</v>
          </cell>
          <cell r="K3636">
            <v>0</v>
          </cell>
          <cell r="L3636">
            <v>0</v>
          </cell>
          <cell r="M3636">
            <v>0</v>
          </cell>
          <cell r="N3636">
            <v>0</v>
          </cell>
          <cell r="O3636">
            <v>0</v>
          </cell>
        </row>
        <row r="3637">
          <cell r="A3637" t="str">
            <v>RomaniaDATA PROCESSING</v>
          </cell>
          <cell r="B3637">
            <v>0</v>
          </cell>
          <cell r="C3637">
            <v>0</v>
          </cell>
          <cell r="D3637">
            <v>0</v>
          </cell>
          <cell r="E3637">
            <v>0</v>
          </cell>
          <cell r="F3637">
            <v>0</v>
          </cell>
          <cell r="G3637">
            <v>0</v>
          </cell>
          <cell r="H3637">
            <v>0</v>
          </cell>
          <cell r="I3637">
            <v>0</v>
          </cell>
          <cell r="J3637">
            <v>0</v>
          </cell>
          <cell r="K3637">
            <v>0</v>
          </cell>
          <cell r="L3637">
            <v>0</v>
          </cell>
          <cell r="M3637">
            <v>0</v>
          </cell>
          <cell r="N3637">
            <v>0</v>
          </cell>
          <cell r="O3637">
            <v>0</v>
          </cell>
        </row>
        <row r="3638">
          <cell r="A3638" t="str">
            <v>RomaniaCONSULTING</v>
          </cell>
          <cell r="B3638">
            <v>0</v>
          </cell>
          <cell r="C3638">
            <v>0</v>
          </cell>
          <cell r="D3638">
            <v>0</v>
          </cell>
          <cell r="E3638">
            <v>0</v>
          </cell>
          <cell r="F3638">
            <v>0</v>
          </cell>
          <cell r="G3638">
            <v>0</v>
          </cell>
          <cell r="H3638">
            <v>0</v>
          </cell>
          <cell r="I3638">
            <v>0</v>
          </cell>
          <cell r="J3638">
            <v>0</v>
          </cell>
          <cell r="K3638">
            <v>0</v>
          </cell>
          <cell r="L3638">
            <v>0</v>
          </cell>
          <cell r="M3638">
            <v>0</v>
          </cell>
          <cell r="N3638">
            <v>0</v>
          </cell>
          <cell r="O3638">
            <v>0</v>
          </cell>
        </row>
        <row r="3639">
          <cell r="A3639" t="str">
            <v>RomaniaTEMP SERVICES</v>
          </cell>
          <cell r="B3639">
            <v>0</v>
          </cell>
          <cell r="C3639">
            <v>0</v>
          </cell>
          <cell r="D3639">
            <v>0</v>
          </cell>
          <cell r="E3639">
            <v>0</v>
          </cell>
          <cell r="F3639">
            <v>0</v>
          </cell>
          <cell r="G3639">
            <v>0</v>
          </cell>
          <cell r="H3639">
            <v>0</v>
          </cell>
          <cell r="I3639">
            <v>0</v>
          </cell>
          <cell r="J3639">
            <v>0</v>
          </cell>
          <cell r="K3639">
            <v>0</v>
          </cell>
          <cell r="L3639">
            <v>0</v>
          </cell>
          <cell r="M3639">
            <v>0</v>
          </cell>
          <cell r="N3639">
            <v>0</v>
          </cell>
          <cell r="O3639">
            <v>0</v>
          </cell>
        </row>
        <row r="3640">
          <cell r="A3640" t="str">
            <v>RomaniaGDC CHARGES</v>
          </cell>
          <cell r="B3640">
            <v>0</v>
          </cell>
          <cell r="C3640">
            <v>0</v>
          </cell>
          <cell r="D3640">
            <v>0</v>
          </cell>
          <cell r="E3640">
            <v>0</v>
          </cell>
          <cell r="F3640">
            <v>0</v>
          </cell>
          <cell r="G3640">
            <v>0</v>
          </cell>
          <cell r="H3640">
            <v>0</v>
          </cell>
          <cell r="I3640">
            <v>0</v>
          </cell>
          <cell r="J3640">
            <v>0</v>
          </cell>
          <cell r="K3640">
            <v>0</v>
          </cell>
          <cell r="L3640">
            <v>0</v>
          </cell>
          <cell r="M3640">
            <v>0</v>
          </cell>
          <cell r="N3640">
            <v>0</v>
          </cell>
          <cell r="O3640">
            <v>0</v>
          </cell>
        </row>
        <row r="3641">
          <cell r="A3641" t="str">
            <v>RomaniaTRAINING AND EDUCATION</v>
          </cell>
          <cell r="B3641">
            <v>0</v>
          </cell>
          <cell r="C3641">
            <v>0</v>
          </cell>
          <cell r="D3641">
            <v>0</v>
          </cell>
          <cell r="E3641">
            <v>0</v>
          </cell>
          <cell r="F3641">
            <v>0</v>
          </cell>
          <cell r="G3641">
            <v>0</v>
          </cell>
          <cell r="H3641">
            <v>0</v>
          </cell>
          <cell r="I3641">
            <v>0</v>
          </cell>
          <cell r="J3641">
            <v>0</v>
          </cell>
          <cell r="K3641">
            <v>0</v>
          </cell>
          <cell r="L3641">
            <v>0</v>
          </cell>
          <cell r="M3641">
            <v>0</v>
          </cell>
          <cell r="N3641">
            <v>0</v>
          </cell>
          <cell r="O3641">
            <v>0</v>
          </cell>
        </row>
        <row r="3642">
          <cell r="A3642" t="str">
            <v>RomaniaOUTSIDE SERVICES  AND FEES</v>
          </cell>
          <cell r="B3642">
            <v>0</v>
          </cell>
          <cell r="C3642">
            <v>0</v>
          </cell>
          <cell r="D3642">
            <v>0</v>
          </cell>
          <cell r="E3642">
            <v>0</v>
          </cell>
          <cell r="F3642">
            <v>0</v>
          </cell>
          <cell r="G3642">
            <v>0</v>
          </cell>
          <cell r="H3642">
            <v>0</v>
          </cell>
          <cell r="I3642">
            <v>0</v>
          </cell>
          <cell r="J3642">
            <v>0</v>
          </cell>
          <cell r="K3642">
            <v>0</v>
          </cell>
          <cell r="L3642">
            <v>0</v>
          </cell>
          <cell r="M3642">
            <v>0</v>
          </cell>
          <cell r="N3642">
            <v>0</v>
          </cell>
          <cell r="O3642">
            <v>0</v>
          </cell>
        </row>
        <row r="3643">
          <cell r="A3643" t="str">
            <v>RomaniaSTATE, FOREIGN, LOCAL TAXES</v>
          </cell>
          <cell r="B3643">
            <v>0</v>
          </cell>
          <cell r="C3643">
            <v>0</v>
          </cell>
          <cell r="D3643">
            <v>0</v>
          </cell>
          <cell r="E3643">
            <v>0</v>
          </cell>
          <cell r="F3643">
            <v>0</v>
          </cell>
          <cell r="G3643">
            <v>0</v>
          </cell>
          <cell r="H3643">
            <v>0</v>
          </cell>
          <cell r="I3643">
            <v>0</v>
          </cell>
          <cell r="J3643">
            <v>0</v>
          </cell>
          <cell r="K3643">
            <v>0</v>
          </cell>
          <cell r="L3643">
            <v>0</v>
          </cell>
          <cell r="M3643">
            <v>0</v>
          </cell>
          <cell r="N3643">
            <v>0</v>
          </cell>
          <cell r="O3643">
            <v>0</v>
          </cell>
        </row>
        <row r="3644">
          <cell r="A3644" t="str">
            <v>RomaniaS/L TAX - INSURANCE PREMIUMS</v>
          </cell>
          <cell r="B3644">
            <v>0</v>
          </cell>
          <cell r="C3644">
            <v>0</v>
          </cell>
          <cell r="D3644">
            <v>0</v>
          </cell>
          <cell r="E3644">
            <v>0</v>
          </cell>
          <cell r="F3644">
            <v>0</v>
          </cell>
          <cell r="G3644">
            <v>0</v>
          </cell>
          <cell r="H3644">
            <v>0</v>
          </cell>
          <cell r="I3644">
            <v>0</v>
          </cell>
          <cell r="J3644">
            <v>0</v>
          </cell>
          <cell r="K3644">
            <v>0</v>
          </cell>
          <cell r="L3644">
            <v>0</v>
          </cell>
          <cell r="M3644">
            <v>0</v>
          </cell>
          <cell r="N3644">
            <v>0</v>
          </cell>
          <cell r="O3644">
            <v>0</v>
          </cell>
        </row>
        <row r="3645">
          <cell r="A3645" t="str">
            <v>RomaniaSATELLITE LEASE EXPENSE</v>
          </cell>
          <cell r="B3645">
            <v>0</v>
          </cell>
          <cell r="C3645">
            <v>0</v>
          </cell>
          <cell r="D3645">
            <v>0</v>
          </cell>
          <cell r="E3645">
            <v>0</v>
          </cell>
          <cell r="F3645">
            <v>0</v>
          </cell>
          <cell r="G3645">
            <v>0</v>
          </cell>
          <cell r="H3645">
            <v>0</v>
          </cell>
          <cell r="I3645">
            <v>0</v>
          </cell>
          <cell r="J3645">
            <v>0</v>
          </cell>
          <cell r="K3645">
            <v>0</v>
          </cell>
          <cell r="L3645">
            <v>0</v>
          </cell>
          <cell r="M3645">
            <v>0</v>
          </cell>
          <cell r="N3645">
            <v>0</v>
          </cell>
          <cell r="O3645">
            <v>0</v>
          </cell>
        </row>
        <row r="3646">
          <cell r="A3646" t="str">
            <v>RomaniaBUSINESS SHARE EXPENSE</v>
          </cell>
          <cell r="B3646">
            <v>0</v>
          </cell>
          <cell r="C3646">
            <v>0</v>
          </cell>
          <cell r="D3646">
            <v>0</v>
          </cell>
          <cell r="E3646">
            <v>0</v>
          </cell>
          <cell r="F3646">
            <v>0</v>
          </cell>
          <cell r="G3646">
            <v>0</v>
          </cell>
          <cell r="H3646">
            <v>0</v>
          </cell>
          <cell r="I3646">
            <v>0</v>
          </cell>
          <cell r="J3646">
            <v>0</v>
          </cell>
          <cell r="K3646">
            <v>0</v>
          </cell>
          <cell r="L3646">
            <v>0</v>
          </cell>
          <cell r="M3646">
            <v>0</v>
          </cell>
          <cell r="N3646">
            <v>0</v>
          </cell>
          <cell r="O3646">
            <v>0</v>
          </cell>
        </row>
        <row r="3647">
          <cell r="A3647" t="str">
            <v>RomaniaINSURANCE AFFILIATE EXPENSE</v>
          </cell>
          <cell r="B3647">
            <v>0</v>
          </cell>
          <cell r="C3647">
            <v>0</v>
          </cell>
          <cell r="D3647">
            <v>0</v>
          </cell>
          <cell r="E3647">
            <v>0</v>
          </cell>
          <cell r="F3647">
            <v>0</v>
          </cell>
          <cell r="G3647">
            <v>0</v>
          </cell>
          <cell r="H3647">
            <v>0</v>
          </cell>
          <cell r="I3647">
            <v>0</v>
          </cell>
          <cell r="J3647">
            <v>0</v>
          </cell>
          <cell r="K3647">
            <v>0</v>
          </cell>
          <cell r="L3647">
            <v>0</v>
          </cell>
          <cell r="M3647">
            <v>0</v>
          </cell>
          <cell r="N3647">
            <v>0</v>
          </cell>
          <cell r="O3647">
            <v>0</v>
          </cell>
        </row>
        <row r="3648">
          <cell r="A3648" t="str">
            <v>RomaniaOTHER FACILITY EXPENSE</v>
          </cell>
          <cell r="B3648">
            <v>0</v>
          </cell>
          <cell r="C3648">
            <v>0</v>
          </cell>
          <cell r="D3648">
            <v>0</v>
          </cell>
          <cell r="E3648">
            <v>0</v>
          </cell>
          <cell r="F3648">
            <v>0</v>
          </cell>
          <cell r="G3648">
            <v>0</v>
          </cell>
          <cell r="H3648">
            <v>0</v>
          </cell>
          <cell r="I3648">
            <v>0</v>
          </cell>
          <cell r="J3648">
            <v>0</v>
          </cell>
          <cell r="K3648">
            <v>0</v>
          </cell>
          <cell r="L3648">
            <v>0</v>
          </cell>
          <cell r="M3648">
            <v>0</v>
          </cell>
          <cell r="N3648">
            <v>0</v>
          </cell>
          <cell r="O3648">
            <v>0</v>
          </cell>
        </row>
        <row r="3649">
          <cell r="A3649" t="str">
            <v>RomaniaGROSS OP &amp; ADMIN BUS SHARE</v>
          </cell>
          <cell r="B3649">
            <v>0</v>
          </cell>
          <cell r="C3649">
            <v>0</v>
          </cell>
          <cell r="D3649">
            <v>0</v>
          </cell>
          <cell r="E3649">
            <v>0</v>
          </cell>
          <cell r="F3649">
            <v>0</v>
          </cell>
          <cell r="G3649">
            <v>0</v>
          </cell>
          <cell r="H3649">
            <v>0</v>
          </cell>
          <cell r="I3649">
            <v>0</v>
          </cell>
          <cell r="J3649">
            <v>0</v>
          </cell>
          <cell r="K3649">
            <v>0</v>
          </cell>
          <cell r="L3649">
            <v>0</v>
          </cell>
          <cell r="M3649">
            <v>0</v>
          </cell>
          <cell r="N3649">
            <v>0</v>
          </cell>
          <cell r="O3649">
            <v>0</v>
          </cell>
        </row>
        <row r="3650">
          <cell r="A3650" t="str">
            <v>RomaniaOTHER EXPENSE</v>
          </cell>
          <cell r="B3650">
            <v>0</v>
          </cell>
          <cell r="C3650">
            <v>0</v>
          </cell>
          <cell r="D3650">
            <v>0</v>
          </cell>
          <cell r="E3650">
            <v>0</v>
          </cell>
          <cell r="F3650">
            <v>0</v>
          </cell>
          <cell r="G3650">
            <v>0</v>
          </cell>
          <cell r="H3650">
            <v>0</v>
          </cell>
          <cell r="I3650">
            <v>0</v>
          </cell>
          <cell r="J3650">
            <v>0</v>
          </cell>
          <cell r="K3650">
            <v>0</v>
          </cell>
          <cell r="L3650">
            <v>0</v>
          </cell>
          <cell r="M3650">
            <v>0</v>
          </cell>
          <cell r="N3650">
            <v>0</v>
          </cell>
          <cell r="O3650">
            <v>0</v>
          </cell>
        </row>
        <row r="3651">
          <cell r="A3651" t="str">
            <v>RomaniaGECC INTERCO EXPENSES EXCL GECIS</v>
          </cell>
          <cell r="B3651">
            <v>0</v>
          </cell>
          <cell r="C3651">
            <v>0</v>
          </cell>
          <cell r="D3651">
            <v>0</v>
          </cell>
          <cell r="E3651">
            <v>0</v>
          </cell>
          <cell r="F3651">
            <v>0</v>
          </cell>
          <cell r="G3651">
            <v>0</v>
          </cell>
          <cell r="H3651">
            <v>0</v>
          </cell>
          <cell r="I3651">
            <v>0</v>
          </cell>
          <cell r="J3651">
            <v>0</v>
          </cell>
          <cell r="K3651">
            <v>0</v>
          </cell>
          <cell r="L3651">
            <v>0</v>
          </cell>
          <cell r="M3651">
            <v>0</v>
          </cell>
          <cell r="N3651">
            <v>0</v>
          </cell>
          <cell r="O3651">
            <v>0</v>
          </cell>
        </row>
        <row r="3652">
          <cell r="A3652" t="str">
            <v>RomaniaGECIS INTERCO CHARGES</v>
          </cell>
          <cell r="B3652">
            <v>0</v>
          </cell>
          <cell r="C3652">
            <v>0</v>
          </cell>
          <cell r="D3652">
            <v>0</v>
          </cell>
          <cell r="E3652">
            <v>0</v>
          </cell>
          <cell r="F3652">
            <v>0</v>
          </cell>
          <cell r="G3652">
            <v>0</v>
          </cell>
          <cell r="H3652">
            <v>0</v>
          </cell>
          <cell r="I3652">
            <v>0</v>
          </cell>
          <cell r="J3652">
            <v>0</v>
          </cell>
          <cell r="K3652">
            <v>0</v>
          </cell>
          <cell r="L3652">
            <v>0</v>
          </cell>
          <cell r="M3652">
            <v>0</v>
          </cell>
          <cell r="N3652">
            <v>0</v>
          </cell>
          <cell r="O3652">
            <v>0</v>
          </cell>
        </row>
        <row r="3653">
          <cell r="A3653" t="str">
            <v>RomaniaLOSS ADJUSTED EXPENSE</v>
          </cell>
          <cell r="B3653">
            <v>0</v>
          </cell>
          <cell r="C3653">
            <v>0</v>
          </cell>
          <cell r="D3653">
            <v>0</v>
          </cell>
          <cell r="E3653">
            <v>0</v>
          </cell>
          <cell r="F3653">
            <v>0</v>
          </cell>
          <cell r="G3653">
            <v>0</v>
          </cell>
          <cell r="H3653">
            <v>0</v>
          </cell>
          <cell r="I3653">
            <v>0</v>
          </cell>
          <cell r="J3653">
            <v>0</v>
          </cell>
          <cell r="K3653">
            <v>0</v>
          </cell>
          <cell r="L3653">
            <v>0</v>
          </cell>
          <cell r="M3653">
            <v>0</v>
          </cell>
          <cell r="N3653">
            <v>0</v>
          </cell>
          <cell r="O3653">
            <v>0</v>
          </cell>
        </row>
        <row r="3654">
          <cell r="A3654" t="str">
            <v>RomaniaALL OTHER EXPENSES</v>
          </cell>
          <cell r="B3654">
            <v>0</v>
          </cell>
          <cell r="C3654">
            <v>0</v>
          </cell>
          <cell r="D3654">
            <v>0</v>
          </cell>
          <cell r="E3654">
            <v>0</v>
          </cell>
          <cell r="F3654">
            <v>0</v>
          </cell>
          <cell r="G3654">
            <v>0</v>
          </cell>
          <cell r="H3654">
            <v>0</v>
          </cell>
          <cell r="I3654">
            <v>0</v>
          </cell>
          <cell r="J3654">
            <v>0</v>
          </cell>
          <cell r="K3654">
            <v>0</v>
          </cell>
          <cell r="L3654">
            <v>0</v>
          </cell>
          <cell r="M3654">
            <v>0</v>
          </cell>
          <cell r="N3654">
            <v>0</v>
          </cell>
          <cell r="O3654">
            <v>0</v>
          </cell>
        </row>
        <row r="3655">
          <cell r="A3655" t="str">
            <v>RomaniaASSESSMENTS</v>
          </cell>
          <cell r="B3655">
            <v>0</v>
          </cell>
          <cell r="C3655">
            <v>0</v>
          </cell>
          <cell r="D3655">
            <v>0</v>
          </cell>
          <cell r="E3655">
            <v>0</v>
          </cell>
          <cell r="F3655">
            <v>0</v>
          </cell>
          <cell r="G3655">
            <v>0</v>
          </cell>
          <cell r="H3655">
            <v>0</v>
          </cell>
          <cell r="I3655">
            <v>0</v>
          </cell>
          <cell r="J3655">
            <v>0</v>
          </cell>
          <cell r="K3655">
            <v>0</v>
          </cell>
          <cell r="L3655">
            <v>0</v>
          </cell>
          <cell r="M3655">
            <v>0</v>
          </cell>
          <cell r="N3655">
            <v>0</v>
          </cell>
          <cell r="O3655">
            <v>0</v>
          </cell>
        </row>
        <row r="3656">
          <cell r="A3656" t="str">
            <v>RomaniaFAS 91</v>
          </cell>
          <cell r="B3656">
            <v>0</v>
          </cell>
          <cell r="C3656">
            <v>0</v>
          </cell>
          <cell r="D3656">
            <v>0</v>
          </cell>
          <cell r="E3656">
            <v>0</v>
          </cell>
          <cell r="F3656">
            <v>0</v>
          </cell>
          <cell r="G3656">
            <v>0</v>
          </cell>
          <cell r="H3656">
            <v>0</v>
          </cell>
          <cell r="I3656">
            <v>0</v>
          </cell>
          <cell r="J3656">
            <v>0</v>
          </cell>
          <cell r="K3656">
            <v>0</v>
          </cell>
          <cell r="L3656">
            <v>0</v>
          </cell>
          <cell r="M3656">
            <v>0</v>
          </cell>
          <cell r="N3656">
            <v>0</v>
          </cell>
          <cell r="O3656">
            <v>0</v>
          </cell>
        </row>
        <row r="3657">
          <cell r="A3657" t="str">
            <v>RomaniaGOODWILL AMORTIZATION</v>
          </cell>
          <cell r="B3657">
            <v>0</v>
          </cell>
          <cell r="C3657">
            <v>0</v>
          </cell>
          <cell r="D3657">
            <v>0</v>
          </cell>
          <cell r="E3657">
            <v>0</v>
          </cell>
          <cell r="F3657">
            <v>0</v>
          </cell>
          <cell r="G3657">
            <v>0</v>
          </cell>
          <cell r="H3657">
            <v>0</v>
          </cell>
          <cell r="I3657">
            <v>0</v>
          </cell>
          <cell r="J3657">
            <v>0</v>
          </cell>
          <cell r="K3657">
            <v>0</v>
          </cell>
          <cell r="L3657">
            <v>0</v>
          </cell>
          <cell r="M3657">
            <v>0</v>
          </cell>
          <cell r="N3657">
            <v>0</v>
          </cell>
          <cell r="O3657">
            <v>0</v>
          </cell>
        </row>
        <row r="3658">
          <cell r="A3658" t="str">
            <v>RomaniaDEPRECIATION EXPENSE</v>
          </cell>
          <cell r="B3658">
            <v>0</v>
          </cell>
          <cell r="C3658">
            <v>0</v>
          </cell>
          <cell r="D3658">
            <v>0</v>
          </cell>
          <cell r="E3658">
            <v>0</v>
          </cell>
          <cell r="F3658">
            <v>0</v>
          </cell>
          <cell r="G3658">
            <v>0</v>
          </cell>
          <cell r="H3658">
            <v>0</v>
          </cell>
          <cell r="I3658">
            <v>0</v>
          </cell>
          <cell r="J3658">
            <v>0</v>
          </cell>
          <cell r="K3658">
            <v>0</v>
          </cell>
          <cell r="L3658">
            <v>0</v>
          </cell>
          <cell r="M3658">
            <v>0</v>
          </cell>
          <cell r="N3658">
            <v>0</v>
          </cell>
          <cell r="O3658">
            <v>0</v>
          </cell>
        </row>
        <row r="3659">
          <cell r="A3659" t="str">
            <v>RomaniaELTO AMORTIZATION</v>
          </cell>
          <cell r="B3659">
            <v>0</v>
          </cell>
          <cell r="C3659">
            <v>0</v>
          </cell>
          <cell r="D3659">
            <v>0</v>
          </cell>
          <cell r="E3659">
            <v>0</v>
          </cell>
          <cell r="F3659">
            <v>0</v>
          </cell>
          <cell r="G3659">
            <v>0</v>
          </cell>
          <cell r="H3659">
            <v>0</v>
          </cell>
          <cell r="I3659">
            <v>0</v>
          </cell>
          <cell r="J3659">
            <v>0</v>
          </cell>
          <cell r="K3659">
            <v>0</v>
          </cell>
          <cell r="L3659">
            <v>0</v>
          </cell>
          <cell r="M3659">
            <v>0</v>
          </cell>
          <cell r="N3659">
            <v>0</v>
          </cell>
          <cell r="O3659">
            <v>0</v>
          </cell>
        </row>
        <row r="3660">
          <cell r="A3660" t="str">
            <v>RomaniaINSURANCE LOSSES AND BENEFITS</v>
          </cell>
          <cell r="B3660">
            <v>0</v>
          </cell>
          <cell r="C3660">
            <v>0</v>
          </cell>
          <cell r="D3660">
            <v>0</v>
          </cell>
          <cell r="E3660">
            <v>0</v>
          </cell>
          <cell r="F3660">
            <v>0</v>
          </cell>
          <cell r="G3660">
            <v>0</v>
          </cell>
          <cell r="H3660">
            <v>0</v>
          </cell>
          <cell r="I3660">
            <v>0</v>
          </cell>
          <cell r="J3660">
            <v>0</v>
          </cell>
          <cell r="K3660">
            <v>0</v>
          </cell>
          <cell r="L3660">
            <v>0</v>
          </cell>
          <cell r="M3660">
            <v>0</v>
          </cell>
          <cell r="N3660">
            <v>0</v>
          </cell>
          <cell r="O3660">
            <v>0</v>
          </cell>
        </row>
        <row r="3661">
          <cell r="A3661" t="str">
            <v>RomaniaWRITE OFFS</v>
          </cell>
          <cell r="B3661">
            <v>0</v>
          </cell>
          <cell r="C3661">
            <v>0</v>
          </cell>
          <cell r="D3661">
            <v>0</v>
          </cell>
          <cell r="E3661">
            <v>0</v>
          </cell>
          <cell r="F3661">
            <v>0</v>
          </cell>
          <cell r="G3661">
            <v>0</v>
          </cell>
          <cell r="H3661">
            <v>0</v>
          </cell>
          <cell r="I3661">
            <v>0</v>
          </cell>
          <cell r="J3661">
            <v>0</v>
          </cell>
          <cell r="K3661">
            <v>0</v>
          </cell>
          <cell r="L3661">
            <v>0</v>
          </cell>
          <cell r="M3661">
            <v>0</v>
          </cell>
          <cell r="N3661">
            <v>0</v>
          </cell>
          <cell r="O3661">
            <v>0</v>
          </cell>
        </row>
        <row r="3662">
          <cell r="A3662" t="str">
            <v>RomaniaRESERVE CHANGE</v>
          </cell>
          <cell r="B3662">
            <v>0</v>
          </cell>
          <cell r="C3662">
            <v>0</v>
          </cell>
          <cell r="D3662">
            <v>0</v>
          </cell>
          <cell r="E3662">
            <v>0</v>
          </cell>
          <cell r="F3662">
            <v>0</v>
          </cell>
          <cell r="G3662">
            <v>0</v>
          </cell>
          <cell r="H3662">
            <v>0</v>
          </cell>
          <cell r="I3662">
            <v>0</v>
          </cell>
          <cell r="J3662">
            <v>0</v>
          </cell>
          <cell r="K3662">
            <v>0</v>
          </cell>
          <cell r="L3662">
            <v>0</v>
          </cell>
          <cell r="M3662">
            <v>0</v>
          </cell>
          <cell r="N3662">
            <v>0</v>
          </cell>
          <cell r="O3662">
            <v>0</v>
          </cell>
        </row>
        <row r="3663">
          <cell r="A3663" t="str">
            <v>RomaniaMINORITY INTEREST</v>
          </cell>
          <cell r="B3663">
            <v>0</v>
          </cell>
          <cell r="C3663">
            <v>0</v>
          </cell>
          <cell r="D3663">
            <v>0</v>
          </cell>
          <cell r="E3663">
            <v>0</v>
          </cell>
          <cell r="F3663">
            <v>0</v>
          </cell>
          <cell r="G3663">
            <v>0</v>
          </cell>
          <cell r="H3663">
            <v>0</v>
          </cell>
          <cell r="I3663">
            <v>0</v>
          </cell>
          <cell r="J3663">
            <v>0</v>
          </cell>
          <cell r="K3663">
            <v>0</v>
          </cell>
          <cell r="L3663">
            <v>0</v>
          </cell>
          <cell r="M3663">
            <v>0</v>
          </cell>
          <cell r="N3663">
            <v>0</v>
          </cell>
          <cell r="O3663">
            <v>0</v>
          </cell>
        </row>
        <row r="3664">
          <cell r="A3664" t="str">
            <v>RomaniaINCOME TAXES</v>
          </cell>
          <cell r="B3664">
            <v>-51387.5</v>
          </cell>
          <cell r="C3664">
            <v>-41459.71</v>
          </cell>
          <cell r="D3664">
            <v>-34166.379999999997</v>
          </cell>
          <cell r="E3664">
            <v>-15221.37</v>
          </cell>
          <cell r="F3664">
            <v>-142234.96</v>
          </cell>
          <cell r="G3664">
            <v>-41459.705000000002</v>
          </cell>
          <cell r="H3664">
            <v>-41459.705000000002</v>
          </cell>
          <cell r="I3664">
            <v>-41459.705000000002</v>
          </cell>
          <cell r="J3664">
            <v>-41459.705000000002</v>
          </cell>
          <cell r="K3664">
            <v>-165838.82</v>
          </cell>
          <cell r="L3664">
            <v>-12444.19</v>
          </cell>
          <cell r="M3664">
            <v>-205550</v>
          </cell>
          <cell r="N3664">
            <v>-205550</v>
          </cell>
          <cell r="O3664">
            <v>-205550</v>
          </cell>
        </row>
        <row r="3665">
          <cell r="A3665" t="str">
            <v>RomaniaCUMULATIVE TRANSITION ADJUSTMENT</v>
          </cell>
          <cell r="B3665">
            <v>0</v>
          </cell>
          <cell r="C3665">
            <v>0</v>
          </cell>
          <cell r="D3665">
            <v>0</v>
          </cell>
          <cell r="E3665">
            <v>0</v>
          </cell>
          <cell r="F3665">
            <v>0</v>
          </cell>
          <cell r="G3665">
            <v>0</v>
          </cell>
          <cell r="H3665">
            <v>0</v>
          </cell>
          <cell r="I3665">
            <v>0</v>
          </cell>
          <cell r="J3665">
            <v>0</v>
          </cell>
          <cell r="K3665">
            <v>0</v>
          </cell>
          <cell r="L3665">
            <v>0</v>
          </cell>
          <cell r="M3665">
            <v>0</v>
          </cell>
          <cell r="N3665">
            <v>0</v>
          </cell>
          <cell r="O3665">
            <v>0</v>
          </cell>
        </row>
        <row r="3666">
          <cell r="A3666" t="str">
            <v>RomaniaASIA PACIFIC NI DIVIDEND</v>
          </cell>
          <cell r="B3666">
            <v>0</v>
          </cell>
          <cell r="C3666">
            <v>0</v>
          </cell>
          <cell r="D3666">
            <v>0</v>
          </cell>
          <cell r="E3666">
            <v>0</v>
          </cell>
          <cell r="F3666">
            <v>0</v>
          </cell>
          <cell r="G3666">
            <v>0</v>
          </cell>
          <cell r="H3666">
            <v>0</v>
          </cell>
          <cell r="I3666">
            <v>0</v>
          </cell>
          <cell r="J3666">
            <v>0</v>
          </cell>
          <cell r="K3666">
            <v>0</v>
          </cell>
          <cell r="L3666">
            <v>0</v>
          </cell>
          <cell r="M3666">
            <v>0</v>
          </cell>
          <cell r="N3666">
            <v>0</v>
          </cell>
          <cell r="O3666">
            <v>0</v>
          </cell>
        </row>
        <row r="3667">
          <cell r="A3667" t="str">
            <v>RomaniaNet Income</v>
          </cell>
          <cell r="B3667">
            <v>96848.31</v>
          </cell>
          <cell r="C3667">
            <v>78203.710000000006</v>
          </cell>
          <cell r="D3667">
            <v>64401.4</v>
          </cell>
          <cell r="E3667">
            <v>28622.34</v>
          </cell>
          <cell r="F3667">
            <v>268075.76</v>
          </cell>
          <cell r="G3667">
            <v>78203.714999999997</v>
          </cell>
          <cell r="H3667">
            <v>78203.714999999997</v>
          </cell>
          <cell r="I3667">
            <v>78203.714999999997</v>
          </cell>
          <cell r="J3667">
            <v>78203.714999999997</v>
          </cell>
          <cell r="K3667">
            <v>312814.86</v>
          </cell>
          <cell r="L3667">
            <v>23512.22</v>
          </cell>
          <cell r="M3667">
            <v>387393.24</v>
          </cell>
          <cell r="N3667">
            <v>387393.24</v>
          </cell>
          <cell r="O3667">
            <v>387393.24</v>
          </cell>
        </row>
        <row r="3668">
          <cell r="A3668" t="str">
            <v>RomaniaSubPart F</v>
          </cell>
          <cell r="B3668">
            <v>0</v>
          </cell>
          <cell r="C3668">
            <v>0</v>
          </cell>
          <cell r="D3668">
            <v>0</v>
          </cell>
          <cell r="E3668">
            <v>0</v>
          </cell>
          <cell r="F3668">
            <v>0</v>
          </cell>
          <cell r="G3668">
            <v>0</v>
          </cell>
          <cell r="H3668">
            <v>0</v>
          </cell>
          <cell r="I3668">
            <v>0</v>
          </cell>
          <cell r="J3668">
            <v>0</v>
          </cell>
          <cell r="K3668">
            <v>0</v>
          </cell>
          <cell r="L3668">
            <v>0</v>
          </cell>
          <cell r="M3668">
            <v>0</v>
          </cell>
          <cell r="N3668">
            <v>0</v>
          </cell>
          <cell r="O3668">
            <v>0</v>
          </cell>
        </row>
        <row r="3669">
          <cell r="A3669" t="str">
            <v>RomaniaAssets</v>
          </cell>
          <cell r="B3669">
            <v>8987344.0500000007</v>
          </cell>
          <cell r="C3669">
            <v>8987344.0500000007</v>
          </cell>
          <cell r="D3669">
            <v>4876354.05</v>
          </cell>
          <cell r="E3669">
            <v>4876354.05</v>
          </cell>
          <cell r="F3669">
            <v>4876354.05</v>
          </cell>
          <cell r="G3669">
            <v>4876355.7</v>
          </cell>
          <cell r="H3669">
            <v>4876355.7</v>
          </cell>
          <cell r="I3669">
            <v>4876355.7</v>
          </cell>
          <cell r="J3669">
            <v>4876355.7</v>
          </cell>
          <cell r="K3669">
            <v>4876355.7</v>
          </cell>
          <cell r="L3669">
            <v>4876354.05</v>
          </cell>
          <cell r="M3669">
            <v>8987343.75</v>
          </cell>
          <cell r="N3669">
            <v>8987343.75</v>
          </cell>
          <cell r="O3669">
            <v>8987343.75</v>
          </cell>
        </row>
        <row r="3670">
          <cell r="A3670" t="str">
            <v>RomaniaEnding Net Investment (ENI) incl Asia</v>
          </cell>
          <cell r="B3670">
            <v>11023012.130000001</v>
          </cell>
          <cell r="C3670">
            <v>11064471.84</v>
          </cell>
          <cell r="D3670">
            <v>6987648.2199999997</v>
          </cell>
          <cell r="E3670">
            <v>7002869.5899999999</v>
          </cell>
          <cell r="F3670">
            <v>7002869.5899999999</v>
          </cell>
          <cell r="G3670">
            <v>6953482.9400000004</v>
          </cell>
          <cell r="H3670">
            <v>6953482.9400000004</v>
          </cell>
          <cell r="I3670">
            <v>6953482.9400000004</v>
          </cell>
          <cell r="J3670">
            <v>6953482.9400000004</v>
          </cell>
          <cell r="K3670">
            <v>6953482.9400000004</v>
          </cell>
          <cell r="L3670">
            <v>6873078.8200000003</v>
          </cell>
          <cell r="M3670">
            <v>11023011.279999999</v>
          </cell>
          <cell r="N3670">
            <v>11023011.279999999</v>
          </cell>
          <cell r="O3670">
            <v>11023011.279999999</v>
          </cell>
        </row>
        <row r="3671">
          <cell r="A3671" t="str">
            <v>RomaniaANR YTD</v>
          </cell>
          <cell r="B3671">
            <v>0</v>
          </cell>
          <cell r="C3671">
            <v>0</v>
          </cell>
          <cell r="D3671">
            <v>0</v>
          </cell>
          <cell r="E3671">
            <v>0</v>
          </cell>
          <cell r="F3671">
            <v>0</v>
          </cell>
          <cell r="G3671">
            <v>0</v>
          </cell>
          <cell r="H3671">
            <v>0</v>
          </cell>
          <cell r="I3671">
            <v>0</v>
          </cell>
          <cell r="J3671">
            <v>0</v>
          </cell>
          <cell r="K3671">
            <v>0</v>
          </cell>
          <cell r="L3671">
            <v>0</v>
          </cell>
          <cell r="M3671">
            <v>0</v>
          </cell>
          <cell r="N3671">
            <v>0</v>
          </cell>
          <cell r="O3671">
            <v>0</v>
          </cell>
        </row>
        <row r="3672">
          <cell r="A3672" t="str">
            <v>RomaniaASA YTD</v>
          </cell>
          <cell r="B3672">
            <v>0</v>
          </cell>
          <cell r="C3672">
            <v>0</v>
          </cell>
          <cell r="D3672">
            <v>0</v>
          </cell>
          <cell r="E3672">
            <v>0</v>
          </cell>
          <cell r="F3672">
            <v>0</v>
          </cell>
          <cell r="G3672">
            <v>0</v>
          </cell>
          <cell r="H3672">
            <v>0</v>
          </cell>
          <cell r="I3672">
            <v>0</v>
          </cell>
          <cell r="J3672">
            <v>0</v>
          </cell>
          <cell r="K3672">
            <v>0</v>
          </cell>
          <cell r="L3672">
            <v>0</v>
          </cell>
          <cell r="M3672">
            <v>0</v>
          </cell>
          <cell r="N3672">
            <v>0</v>
          </cell>
          <cell r="O3672">
            <v>0</v>
          </cell>
        </row>
        <row r="3673">
          <cell r="A3673" t="str">
            <v>RomaniaANI YTD incl Asia - 5 pt</v>
          </cell>
          <cell r="B3673">
            <v>10788985.855</v>
          </cell>
          <cell r="C3673">
            <v>10880814.516666999</v>
          </cell>
          <cell r="D3673">
            <v>9907522.9425000008</v>
          </cell>
          <cell r="E3673">
            <v>9326592.2719999999</v>
          </cell>
          <cell r="F3673">
            <v>9326592.2719999999</v>
          </cell>
          <cell r="G3673">
            <v>6978176.2649999997</v>
          </cell>
          <cell r="H3673">
            <v>6969945.1566669997</v>
          </cell>
          <cell r="I3673">
            <v>6965829.6025</v>
          </cell>
          <cell r="J3673">
            <v>6963360.2699999996</v>
          </cell>
          <cell r="K3673">
            <v>6963360.2699999996</v>
          </cell>
          <cell r="L3673">
            <v>6937974.2050000001</v>
          </cell>
          <cell r="M3673">
            <v>4409204.5120000001</v>
          </cell>
          <cell r="N3673">
            <v>4409204.5120000001</v>
          </cell>
          <cell r="O3673">
            <v>4409204.5120000001</v>
          </cell>
        </row>
        <row r="3674">
          <cell r="A3674" t="str">
            <v>RomaniaOff Balance Sheet Assets</v>
          </cell>
          <cell r="B3674">
            <v>0</v>
          </cell>
          <cell r="C3674">
            <v>0</v>
          </cell>
          <cell r="D3674">
            <v>0</v>
          </cell>
          <cell r="E3674">
            <v>0</v>
          </cell>
          <cell r="F3674">
            <v>0</v>
          </cell>
          <cell r="G3674">
            <v>0</v>
          </cell>
          <cell r="H3674">
            <v>0</v>
          </cell>
          <cell r="I3674">
            <v>0</v>
          </cell>
          <cell r="J3674">
            <v>0</v>
          </cell>
          <cell r="K3674">
            <v>0</v>
          </cell>
          <cell r="L3674">
            <v>0</v>
          </cell>
          <cell r="M3674">
            <v>0</v>
          </cell>
          <cell r="N3674">
            <v>0</v>
          </cell>
          <cell r="O3674">
            <v>0</v>
          </cell>
        </row>
        <row r="3675">
          <cell r="A3675" t="str">
            <v>RomaniaJV Receivables</v>
          </cell>
          <cell r="B3675">
            <v>0</v>
          </cell>
          <cell r="C3675">
            <v>0</v>
          </cell>
          <cell r="D3675">
            <v>0</v>
          </cell>
          <cell r="E3675">
            <v>0</v>
          </cell>
          <cell r="F3675">
            <v>0</v>
          </cell>
          <cell r="G3675">
            <v>0</v>
          </cell>
          <cell r="H3675">
            <v>0</v>
          </cell>
          <cell r="I3675">
            <v>0</v>
          </cell>
          <cell r="J3675">
            <v>0</v>
          </cell>
          <cell r="K3675">
            <v>0</v>
          </cell>
          <cell r="L3675">
            <v>0</v>
          </cell>
          <cell r="M3675">
            <v>0</v>
          </cell>
          <cell r="N3675">
            <v>0</v>
          </cell>
          <cell r="O3675">
            <v>0</v>
          </cell>
        </row>
        <row r="3676">
          <cell r="A3676" t="str">
            <v>Romania30+ DELINQUENCY $</v>
          </cell>
          <cell r="B3676">
            <v>0</v>
          </cell>
          <cell r="C3676">
            <v>0</v>
          </cell>
          <cell r="D3676">
            <v>0</v>
          </cell>
          <cell r="E3676">
            <v>0</v>
          </cell>
          <cell r="F3676">
            <v>0</v>
          </cell>
          <cell r="G3676">
            <v>0</v>
          </cell>
          <cell r="H3676">
            <v>0</v>
          </cell>
          <cell r="I3676">
            <v>0</v>
          </cell>
          <cell r="J3676">
            <v>0</v>
          </cell>
          <cell r="K3676">
            <v>0</v>
          </cell>
          <cell r="L3676">
            <v>0</v>
          </cell>
          <cell r="M3676">
            <v>0</v>
          </cell>
          <cell r="N3676">
            <v>0</v>
          </cell>
          <cell r="O3676">
            <v>0</v>
          </cell>
        </row>
        <row r="3677">
          <cell r="A3677" t="str">
            <v>Romania90+ DELINQUENCY $</v>
          </cell>
          <cell r="B3677">
            <v>0</v>
          </cell>
          <cell r="C3677">
            <v>0</v>
          </cell>
          <cell r="D3677">
            <v>0</v>
          </cell>
          <cell r="E3677">
            <v>0</v>
          </cell>
          <cell r="F3677">
            <v>0</v>
          </cell>
          <cell r="G3677">
            <v>0</v>
          </cell>
          <cell r="H3677">
            <v>0</v>
          </cell>
          <cell r="I3677">
            <v>0</v>
          </cell>
          <cell r="J3677">
            <v>0</v>
          </cell>
          <cell r="K3677">
            <v>0</v>
          </cell>
          <cell r="L3677">
            <v>0</v>
          </cell>
          <cell r="M3677">
            <v>0</v>
          </cell>
          <cell r="N3677">
            <v>0</v>
          </cell>
          <cell r="O3677">
            <v>0</v>
          </cell>
        </row>
        <row r="3678">
          <cell r="A3678" t="str">
            <v>RomaniaTemporary Staff</v>
          </cell>
          <cell r="B3678">
            <v>0</v>
          </cell>
          <cell r="C3678">
            <v>0</v>
          </cell>
          <cell r="D3678">
            <v>0</v>
          </cell>
          <cell r="E3678">
            <v>0</v>
          </cell>
          <cell r="F3678">
            <v>0</v>
          </cell>
          <cell r="G3678">
            <v>0</v>
          </cell>
          <cell r="H3678">
            <v>0</v>
          </cell>
          <cell r="I3678">
            <v>0</v>
          </cell>
          <cell r="J3678">
            <v>0</v>
          </cell>
          <cell r="K3678">
            <v>0</v>
          </cell>
          <cell r="L3678">
            <v>0</v>
          </cell>
          <cell r="M3678">
            <v>0</v>
          </cell>
          <cell r="N3678">
            <v>0</v>
          </cell>
          <cell r="O3678">
            <v>0</v>
          </cell>
        </row>
        <row r="3679">
          <cell r="A3679" t="str">
            <v>RomaniaContractors</v>
          </cell>
          <cell r="B3679">
            <v>0</v>
          </cell>
          <cell r="C3679">
            <v>0</v>
          </cell>
          <cell r="D3679">
            <v>0</v>
          </cell>
          <cell r="E3679">
            <v>0</v>
          </cell>
          <cell r="F3679">
            <v>0</v>
          </cell>
          <cell r="G3679">
            <v>0</v>
          </cell>
          <cell r="H3679">
            <v>0</v>
          </cell>
          <cell r="I3679">
            <v>0</v>
          </cell>
          <cell r="J3679">
            <v>0</v>
          </cell>
          <cell r="K3679">
            <v>0</v>
          </cell>
          <cell r="L3679">
            <v>0</v>
          </cell>
          <cell r="M3679">
            <v>0</v>
          </cell>
          <cell r="N3679">
            <v>0</v>
          </cell>
          <cell r="O3679">
            <v>0</v>
          </cell>
        </row>
        <row r="3680">
          <cell r="A3680" t="str">
            <v>RomaniaOutsourced to LCC</v>
          </cell>
          <cell r="B3680">
            <v>0</v>
          </cell>
          <cell r="C3680">
            <v>0</v>
          </cell>
          <cell r="D3680">
            <v>0</v>
          </cell>
          <cell r="E3680">
            <v>0</v>
          </cell>
          <cell r="F3680">
            <v>0</v>
          </cell>
          <cell r="G3680">
            <v>0</v>
          </cell>
          <cell r="H3680">
            <v>0</v>
          </cell>
          <cell r="I3680">
            <v>0</v>
          </cell>
          <cell r="J3680">
            <v>0</v>
          </cell>
          <cell r="K3680">
            <v>0</v>
          </cell>
          <cell r="L3680">
            <v>0</v>
          </cell>
          <cell r="M3680">
            <v>0</v>
          </cell>
          <cell r="N3680">
            <v>0</v>
          </cell>
          <cell r="O3680">
            <v>0</v>
          </cell>
        </row>
        <row r="3681">
          <cell r="A3681" t="str">
            <v>RomaniaTotal Headcount</v>
          </cell>
          <cell r="B3681">
            <v>0</v>
          </cell>
          <cell r="C3681">
            <v>0</v>
          </cell>
          <cell r="D3681">
            <v>0</v>
          </cell>
          <cell r="E3681">
            <v>0</v>
          </cell>
          <cell r="F3681">
            <v>0</v>
          </cell>
          <cell r="G3681">
            <v>0</v>
          </cell>
          <cell r="H3681">
            <v>0</v>
          </cell>
          <cell r="I3681">
            <v>0</v>
          </cell>
          <cell r="J3681">
            <v>0</v>
          </cell>
          <cell r="K3681">
            <v>0</v>
          </cell>
          <cell r="L3681">
            <v>0</v>
          </cell>
          <cell r="M3681">
            <v>0</v>
          </cell>
          <cell r="N3681">
            <v>0</v>
          </cell>
          <cell r="O3681">
            <v>0</v>
          </cell>
        </row>
        <row r="3682">
          <cell r="A3682" t="str">
            <v>RomaniaTotal Workforce</v>
          </cell>
          <cell r="B3682">
            <v>0</v>
          </cell>
          <cell r="C3682">
            <v>0</v>
          </cell>
          <cell r="D3682">
            <v>0</v>
          </cell>
          <cell r="E3682">
            <v>0</v>
          </cell>
          <cell r="F3682">
            <v>0</v>
          </cell>
          <cell r="G3682">
            <v>0</v>
          </cell>
          <cell r="H3682">
            <v>0</v>
          </cell>
          <cell r="I3682">
            <v>0</v>
          </cell>
          <cell r="J3682">
            <v>0</v>
          </cell>
          <cell r="K3682">
            <v>0</v>
          </cell>
          <cell r="L3682">
            <v>0</v>
          </cell>
          <cell r="M3682">
            <v>0</v>
          </cell>
          <cell r="N3682">
            <v>0</v>
          </cell>
          <cell r="O3682">
            <v>0</v>
          </cell>
        </row>
        <row r="3683">
          <cell r="A3683" t="str">
            <v>RomaniaTotal Earned Revenue</v>
          </cell>
          <cell r="B3683">
            <v>0</v>
          </cell>
          <cell r="C3683">
            <v>0</v>
          </cell>
          <cell r="D3683">
            <v>0</v>
          </cell>
          <cell r="E3683">
            <v>0</v>
          </cell>
          <cell r="F3683">
            <v>0</v>
          </cell>
          <cell r="G3683">
            <v>0</v>
          </cell>
          <cell r="H3683">
            <v>0</v>
          </cell>
          <cell r="I3683">
            <v>0</v>
          </cell>
          <cell r="J3683">
            <v>0</v>
          </cell>
          <cell r="K3683">
            <v>0</v>
          </cell>
          <cell r="L3683">
            <v>0</v>
          </cell>
          <cell r="M3683">
            <v>0</v>
          </cell>
          <cell r="N3683">
            <v>0</v>
          </cell>
          <cell r="O3683">
            <v>0</v>
          </cell>
        </row>
        <row r="3684">
          <cell r="A3684" t="str">
            <v>RomaniaOrdinary Gains - PreTax</v>
          </cell>
          <cell r="B3684">
            <v>0</v>
          </cell>
          <cell r="C3684">
            <v>0</v>
          </cell>
          <cell r="D3684">
            <v>0</v>
          </cell>
          <cell r="E3684">
            <v>0</v>
          </cell>
          <cell r="F3684">
            <v>0</v>
          </cell>
          <cell r="G3684">
            <v>0</v>
          </cell>
          <cell r="H3684">
            <v>0</v>
          </cell>
          <cell r="I3684">
            <v>0</v>
          </cell>
          <cell r="J3684">
            <v>0</v>
          </cell>
          <cell r="K3684">
            <v>0</v>
          </cell>
          <cell r="L3684">
            <v>0</v>
          </cell>
          <cell r="M3684">
            <v>0</v>
          </cell>
          <cell r="N3684">
            <v>0</v>
          </cell>
          <cell r="O3684">
            <v>0</v>
          </cell>
        </row>
        <row r="3685">
          <cell r="A3685" t="str">
            <v>RomaniaOrdinary Gains - AfterTax</v>
          </cell>
          <cell r="B3685">
            <v>0</v>
          </cell>
          <cell r="C3685">
            <v>0</v>
          </cell>
          <cell r="D3685">
            <v>0</v>
          </cell>
          <cell r="E3685">
            <v>0</v>
          </cell>
          <cell r="F3685">
            <v>0</v>
          </cell>
          <cell r="G3685">
            <v>0</v>
          </cell>
          <cell r="H3685">
            <v>0</v>
          </cell>
          <cell r="I3685">
            <v>0</v>
          </cell>
          <cell r="J3685">
            <v>0</v>
          </cell>
          <cell r="K3685">
            <v>0</v>
          </cell>
          <cell r="L3685">
            <v>0</v>
          </cell>
          <cell r="M3685">
            <v>0</v>
          </cell>
          <cell r="N3685">
            <v>0</v>
          </cell>
          <cell r="O3685">
            <v>0</v>
          </cell>
        </row>
        <row r="3686">
          <cell r="A3686" t="str">
            <v>RomaniaTotal Volume</v>
          </cell>
          <cell r="B3686">
            <v>0</v>
          </cell>
          <cell r="C3686">
            <v>0</v>
          </cell>
          <cell r="D3686">
            <v>0</v>
          </cell>
          <cell r="E3686">
            <v>0</v>
          </cell>
          <cell r="F3686">
            <v>0</v>
          </cell>
          <cell r="G3686">
            <v>0</v>
          </cell>
          <cell r="H3686">
            <v>0</v>
          </cell>
          <cell r="I3686">
            <v>0</v>
          </cell>
          <cell r="J3686">
            <v>0</v>
          </cell>
          <cell r="K3686">
            <v>0</v>
          </cell>
          <cell r="L3686">
            <v>0</v>
          </cell>
          <cell r="M3686">
            <v>0</v>
          </cell>
          <cell r="N3686">
            <v>0</v>
          </cell>
          <cell r="O3686">
            <v>0</v>
          </cell>
        </row>
        <row r="3687">
          <cell r="A3687" t="str">
            <v>RomaniaTOTAL # ACTIVE ACCOUNTS</v>
          </cell>
          <cell r="B3687">
            <v>0</v>
          </cell>
          <cell r="C3687">
            <v>0</v>
          </cell>
          <cell r="D3687">
            <v>0</v>
          </cell>
          <cell r="E3687">
            <v>0</v>
          </cell>
          <cell r="F3687">
            <v>0</v>
          </cell>
          <cell r="G3687">
            <v>0</v>
          </cell>
          <cell r="H3687">
            <v>0</v>
          </cell>
          <cell r="I3687">
            <v>0</v>
          </cell>
          <cell r="J3687">
            <v>0</v>
          </cell>
          <cell r="K3687">
            <v>0</v>
          </cell>
          <cell r="L3687">
            <v>0</v>
          </cell>
          <cell r="M3687">
            <v>0</v>
          </cell>
          <cell r="N3687">
            <v>0</v>
          </cell>
          <cell r="O3687">
            <v>0</v>
          </cell>
        </row>
        <row r="3688">
          <cell r="A3688" t="str">
            <v>SBI India JVTOTAL FINANCING RECEIVABLES</v>
          </cell>
          <cell r="B3688">
            <v>0</v>
          </cell>
          <cell r="C3688">
            <v>0</v>
          </cell>
          <cell r="D3688">
            <v>0</v>
          </cell>
          <cell r="E3688">
            <v>0</v>
          </cell>
          <cell r="F3688">
            <v>0</v>
          </cell>
          <cell r="G3688">
            <v>0</v>
          </cell>
          <cell r="H3688">
            <v>0</v>
          </cell>
          <cell r="I3688">
            <v>0</v>
          </cell>
          <cell r="J3688">
            <v>0</v>
          </cell>
          <cell r="K3688">
            <v>0</v>
          </cell>
          <cell r="L3688">
            <v>0</v>
          </cell>
          <cell r="M3688">
            <v>0</v>
          </cell>
          <cell r="N3688">
            <v>0</v>
          </cell>
          <cell r="O3688">
            <v>0</v>
          </cell>
        </row>
        <row r="3689">
          <cell r="A3689" t="str">
            <v>SBI India JVRECEIVABLE RESERVES</v>
          </cell>
          <cell r="B3689">
            <v>0</v>
          </cell>
          <cell r="C3689">
            <v>0</v>
          </cell>
          <cell r="D3689">
            <v>0</v>
          </cell>
          <cell r="E3689">
            <v>0</v>
          </cell>
          <cell r="F3689">
            <v>0</v>
          </cell>
          <cell r="G3689">
            <v>0</v>
          </cell>
          <cell r="H3689">
            <v>0</v>
          </cell>
          <cell r="I3689">
            <v>0</v>
          </cell>
          <cell r="J3689">
            <v>0</v>
          </cell>
          <cell r="K3689">
            <v>0</v>
          </cell>
          <cell r="L3689">
            <v>0</v>
          </cell>
          <cell r="M3689">
            <v>0</v>
          </cell>
          <cell r="N3689">
            <v>0</v>
          </cell>
          <cell r="O3689">
            <v>0</v>
          </cell>
        </row>
        <row r="3690">
          <cell r="A3690" t="str">
            <v>SBI India JVCASH</v>
          </cell>
          <cell r="B3690">
            <v>0</v>
          </cell>
          <cell r="C3690">
            <v>0</v>
          </cell>
          <cell r="D3690">
            <v>0</v>
          </cell>
          <cell r="E3690">
            <v>0</v>
          </cell>
          <cell r="F3690">
            <v>0</v>
          </cell>
          <cell r="G3690">
            <v>0</v>
          </cell>
          <cell r="H3690">
            <v>0</v>
          </cell>
          <cell r="I3690">
            <v>0</v>
          </cell>
          <cell r="J3690">
            <v>0</v>
          </cell>
          <cell r="K3690">
            <v>0</v>
          </cell>
          <cell r="L3690">
            <v>0</v>
          </cell>
          <cell r="M3690">
            <v>0</v>
          </cell>
          <cell r="N3690">
            <v>0</v>
          </cell>
          <cell r="O3690">
            <v>0</v>
          </cell>
        </row>
        <row r="3691">
          <cell r="A3691" t="str">
            <v>SBI India JVINVESTMENT SECURITIES</v>
          </cell>
          <cell r="B3691">
            <v>0</v>
          </cell>
          <cell r="C3691">
            <v>0</v>
          </cell>
          <cell r="D3691">
            <v>0</v>
          </cell>
          <cell r="E3691">
            <v>0</v>
          </cell>
          <cell r="F3691">
            <v>0</v>
          </cell>
          <cell r="G3691">
            <v>0</v>
          </cell>
          <cell r="H3691">
            <v>0</v>
          </cell>
          <cell r="I3691">
            <v>0</v>
          </cell>
          <cell r="J3691">
            <v>0</v>
          </cell>
          <cell r="K3691">
            <v>0</v>
          </cell>
          <cell r="L3691">
            <v>0</v>
          </cell>
          <cell r="M3691">
            <v>0</v>
          </cell>
          <cell r="N3691">
            <v>0</v>
          </cell>
          <cell r="O3691">
            <v>0</v>
          </cell>
        </row>
        <row r="3692">
          <cell r="A3692" t="str">
            <v>SBI India JVINV IN NON CONSOL AFFILIATES</v>
          </cell>
          <cell r="B3692">
            <v>944325.16</v>
          </cell>
          <cell r="C3692">
            <v>748755</v>
          </cell>
          <cell r="D3692">
            <v>664235.6</v>
          </cell>
          <cell r="E3692">
            <v>542019.99</v>
          </cell>
          <cell r="F3692">
            <v>542019.99</v>
          </cell>
          <cell r="G3692">
            <v>5331644</v>
          </cell>
          <cell r="H3692">
            <v>6570644</v>
          </cell>
          <cell r="I3692">
            <v>8276644</v>
          </cell>
          <cell r="J3692">
            <v>10591644</v>
          </cell>
          <cell r="K3692">
            <v>10591644</v>
          </cell>
          <cell r="L3692">
            <v>1231364.43</v>
          </cell>
          <cell r="M3692">
            <v>10582902</v>
          </cell>
          <cell r="N3692">
            <v>26207335</v>
          </cell>
          <cell r="O3692">
            <v>44433735</v>
          </cell>
        </row>
        <row r="3693">
          <cell r="A3693" t="str">
            <v>SBI India JVINVESTMENT IN JOINT VENTURE</v>
          </cell>
          <cell r="B3693">
            <v>0</v>
          </cell>
          <cell r="C3693">
            <v>0</v>
          </cell>
          <cell r="D3693">
            <v>0</v>
          </cell>
          <cell r="E3693">
            <v>0</v>
          </cell>
          <cell r="F3693">
            <v>0</v>
          </cell>
          <cell r="G3693">
            <v>0</v>
          </cell>
          <cell r="H3693">
            <v>0</v>
          </cell>
          <cell r="I3693">
            <v>0</v>
          </cell>
          <cell r="J3693">
            <v>0</v>
          </cell>
          <cell r="K3693">
            <v>0</v>
          </cell>
          <cell r="L3693">
            <v>0</v>
          </cell>
          <cell r="M3693">
            <v>0</v>
          </cell>
          <cell r="N3693">
            <v>0</v>
          </cell>
          <cell r="O3693">
            <v>0</v>
          </cell>
        </row>
        <row r="3694">
          <cell r="A3694" t="str">
            <v>SBI India JVALL OTHER RECEIVABLES (NON-FINANCING)</v>
          </cell>
          <cell r="B3694">
            <v>0</v>
          </cell>
          <cell r="C3694">
            <v>0</v>
          </cell>
          <cell r="D3694">
            <v>0</v>
          </cell>
          <cell r="E3694">
            <v>0</v>
          </cell>
          <cell r="F3694">
            <v>0</v>
          </cell>
          <cell r="G3694">
            <v>0</v>
          </cell>
          <cell r="H3694">
            <v>0</v>
          </cell>
          <cell r="I3694">
            <v>0</v>
          </cell>
          <cell r="J3694">
            <v>0</v>
          </cell>
          <cell r="K3694">
            <v>0</v>
          </cell>
          <cell r="L3694">
            <v>0</v>
          </cell>
          <cell r="M3694">
            <v>0</v>
          </cell>
          <cell r="N3694">
            <v>0</v>
          </cell>
          <cell r="O3694">
            <v>0</v>
          </cell>
        </row>
        <row r="3695">
          <cell r="A3695" t="str">
            <v>SBI India JVELTO (NET)</v>
          </cell>
          <cell r="B3695">
            <v>0</v>
          </cell>
          <cell r="C3695">
            <v>0</v>
          </cell>
          <cell r="D3695">
            <v>0</v>
          </cell>
          <cell r="E3695">
            <v>0</v>
          </cell>
          <cell r="F3695">
            <v>0</v>
          </cell>
          <cell r="G3695">
            <v>0</v>
          </cell>
          <cell r="H3695">
            <v>0</v>
          </cell>
          <cell r="I3695">
            <v>0</v>
          </cell>
          <cell r="J3695">
            <v>0</v>
          </cell>
          <cell r="K3695">
            <v>0</v>
          </cell>
          <cell r="L3695">
            <v>0</v>
          </cell>
          <cell r="M3695">
            <v>0</v>
          </cell>
          <cell r="N3695">
            <v>0</v>
          </cell>
          <cell r="O3695">
            <v>0</v>
          </cell>
        </row>
        <row r="3696">
          <cell r="A3696" t="str">
            <v>SBI India JVGOODWILL</v>
          </cell>
          <cell r="B3696">
            <v>0</v>
          </cell>
          <cell r="C3696">
            <v>0</v>
          </cell>
          <cell r="D3696">
            <v>0</v>
          </cell>
          <cell r="E3696">
            <v>0</v>
          </cell>
          <cell r="F3696">
            <v>0</v>
          </cell>
          <cell r="G3696">
            <v>0</v>
          </cell>
          <cell r="H3696">
            <v>0</v>
          </cell>
          <cell r="I3696">
            <v>0</v>
          </cell>
          <cell r="J3696">
            <v>0</v>
          </cell>
          <cell r="K3696">
            <v>0</v>
          </cell>
          <cell r="L3696">
            <v>0</v>
          </cell>
          <cell r="M3696">
            <v>0</v>
          </cell>
          <cell r="N3696">
            <v>0</v>
          </cell>
          <cell r="O3696">
            <v>0</v>
          </cell>
        </row>
        <row r="3697">
          <cell r="A3697" t="str">
            <v>SBI India JVOTHER ASSETS</v>
          </cell>
          <cell r="B3697">
            <v>0</v>
          </cell>
          <cell r="C3697">
            <v>0</v>
          </cell>
          <cell r="D3697">
            <v>0</v>
          </cell>
          <cell r="E3697">
            <v>0</v>
          </cell>
          <cell r="F3697">
            <v>0</v>
          </cell>
          <cell r="G3697">
            <v>0</v>
          </cell>
          <cell r="H3697">
            <v>0</v>
          </cell>
          <cell r="I3697">
            <v>0</v>
          </cell>
          <cell r="J3697">
            <v>0</v>
          </cell>
          <cell r="K3697">
            <v>0</v>
          </cell>
          <cell r="L3697">
            <v>0</v>
          </cell>
          <cell r="M3697">
            <v>0</v>
          </cell>
          <cell r="N3697">
            <v>0</v>
          </cell>
          <cell r="O3697">
            <v>0</v>
          </cell>
        </row>
        <row r="3698">
          <cell r="A3698" t="str">
            <v>SBI India JVACCOUNTS PAYABLE</v>
          </cell>
          <cell r="B3698">
            <v>665372.12</v>
          </cell>
          <cell r="C3698">
            <v>696056.76</v>
          </cell>
          <cell r="D3698">
            <v>711391.33</v>
          </cell>
          <cell r="E3698">
            <v>734352.75</v>
          </cell>
          <cell r="F3698">
            <v>734352.75</v>
          </cell>
          <cell r="G3698">
            <v>734353</v>
          </cell>
          <cell r="H3698">
            <v>734353</v>
          </cell>
          <cell r="I3698">
            <v>734353</v>
          </cell>
          <cell r="J3698">
            <v>734353</v>
          </cell>
          <cell r="K3698">
            <v>734353</v>
          </cell>
          <cell r="L3698">
            <v>657776.87</v>
          </cell>
          <cell r="M3698">
            <v>665372</v>
          </cell>
          <cell r="N3698">
            <v>665372</v>
          </cell>
          <cell r="O3698">
            <v>665372</v>
          </cell>
        </row>
        <row r="3699">
          <cell r="A3699" t="str">
            <v>SBI India JVDEFERRED INCOME TAXES</v>
          </cell>
          <cell r="B3699">
            <v>3285155.17</v>
          </cell>
          <cell r="C3699">
            <v>3351797.17</v>
          </cell>
          <cell r="D3699">
            <v>3377527.18</v>
          </cell>
          <cell r="E3699">
            <v>3420901</v>
          </cell>
          <cell r="F3699">
            <v>3420901</v>
          </cell>
          <cell r="G3699">
            <v>3178677</v>
          </cell>
          <cell r="H3699">
            <v>2873827</v>
          </cell>
          <cell r="I3699">
            <v>2407627</v>
          </cell>
          <cell r="J3699">
            <v>1729677</v>
          </cell>
          <cell r="K3699">
            <v>1729677</v>
          </cell>
          <cell r="L3699">
            <v>3173764</v>
          </cell>
          <cell r="M3699">
            <v>1922628</v>
          </cell>
          <cell r="N3699">
            <v>-1028502</v>
          </cell>
          <cell r="O3699">
            <v>-5935642</v>
          </cell>
        </row>
        <row r="3700">
          <cell r="A3700" t="str">
            <v>SBI India JVWRITE-OFF (MEMO)</v>
          </cell>
          <cell r="B3700">
            <v>0</v>
          </cell>
          <cell r="C3700">
            <v>0</v>
          </cell>
          <cell r="D3700">
            <v>0</v>
          </cell>
          <cell r="E3700">
            <v>0</v>
          </cell>
          <cell r="F3700">
            <v>0</v>
          </cell>
          <cell r="G3700">
            <v>0</v>
          </cell>
          <cell r="H3700">
            <v>0</v>
          </cell>
          <cell r="I3700">
            <v>0</v>
          </cell>
          <cell r="J3700">
            <v>0</v>
          </cell>
          <cell r="K3700">
            <v>0</v>
          </cell>
          <cell r="L3700">
            <v>0</v>
          </cell>
          <cell r="M3700">
            <v>0</v>
          </cell>
          <cell r="N3700">
            <v>0</v>
          </cell>
          <cell r="O3700">
            <v>0</v>
          </cell>
        </row>
        <row r="3701">
          <cell r="A3701" t="str">
            <v>SBI India JVINSURANCE RESERVES AND ANNUITY BENEFITS</v>
          </cell>
          <cell r="B3701">
            <v>0</v>
          </cell>
          <cell r="C3701">
            <v>0</v>
          </cell>
          <cell r="D3701">
            <v>0</v>
          </cell>
          <cell r="E3701">
            <v>0</v>
          </cell>
          <cell r="F3701">
            <v>0</v>
          </cell>
          <cell r="G3701">
            <v>0</v>
          </cell>
          <cell r="H3701">
            <v>0</v>
          </cell>
          <cell r="I3701">
            <v>0</v>
          </cell>
          <cell r="J3701">
            <v>0</v>
          </cell>
          <cell r="K3701">
            <v>0</v>
          </cell>
          <cell r="L3701">
            <v>0</v>
          </cell>
          <cell r="M3701">
            <v>0</v>
          </cell>
          <cell r="N3701">
            <v>0</v>
          </cell>
          <cell r="O3701">
            <v>0</v>
          </cell>
        </row>
        <row r="3702">
          <cell r="A3702" t="str">
            <v>SBI India JVALL OTHER NON DEBT LIABILITIES</v>
          </cell>
          <cell r="B3702">
            <v>0</v>
          </cell>
          <cell r="C3702">
            <v>0</v>
          </cell>
          <cell r="D3702">
            <v>0</v>
          </cell>
          <cell r="E3702">
            <v>0</v>
          </cell>
          <cell r="F3702">
            <v>0</v>
          </cell>
          <cell r="G3702">
            <v>0</v>
          </cell>
          <cell r="H3702">
            <v>0</v>
          </cell>
          <cell r="I3702">
            <v>0</v>
          </cell>
          <cell r="J3702">
            <v>0</v>
          </cell>
          <cell r="K3702">
            <v>0</v>
          </cell>
          <cell r="L3702">
            <v>0</v>
          </cell>
          <cell r="M3702">
            <v>0</v>
          </cell>
          <cell r="N3702">
            <v>0</v>
          </cell>
          <cell r="O3702">
            <v>0</v>
          </cell>
        </row>
        <row r="3703">
          <cell r="A3703" t="str">
            <v>SBI India JVMINORITY INTEREST (BS)</v>
          </cell>
          <cell r="B3703">
            <v>0</v>
          </cell>
          <cell r="C3703">
            <v>0</v>
          </cell>
          <cell r="D3703">
            <v>0</v>
          </cell>
          <cell r="E3703">
            <v>0</v>
          </cell>
          <cell r="F3703">
            <v>0</v>
          </cell>
          <cell r="G3703">
            <v>0</v>
          </cell>
          <cell r="H3703">
            <v>0</v>
          </cell>
          <cell r="I3703">
            <v>0</v>
          </cell>
          <cell r="J3703">
            <v>0</v>
          </cell>
          <cell r="K3703">
            <v>0</v>
          </cell>
          <cell r="L3703">
            <v>0</v>
          </cell>
          <cell r="M3703">
            <v>0</v>
          </cell>
          <cell r="N3703">
            <v>0</v>
          </cell>
          <cell r="O3703">
            <v>0</v>
          </cell>
        </row>
        <row r="3704">
          <cell r="A3704" t="str">
            <v>SBI India JVASIA PACIFIC ENI DIVIDEND</v>
          </cell>
          <cell r="B3704">
            <v>0</v>
          </cell>
          <cell r="C3704">
            <v>0</v>
          </cell>
          <cell r="D3704">
            <v>0</v>
          </cell>
          <cell r="E3704">
            <v>0</v>
          </cell>
          <cell r="F3704">
            <v>0</v>
          </cell>
          <cell r="G3704">
            <v>0</v>
          </cell>
          <cell r="H3704">
            <v>0</v>
          </cell>
          <cell r="I3704">
            <v>0</v>
          </cell>
          <cell r="J3704">
            <v>0</v>
          </cell>
          <cell r="K3704">
            <v>0</v>
          </cell>
          <cell r="L3704">
            <v>0</v>
          </cell>
          <cell r="M3704">
            <v>0</v>
          </cell>
          <cell r="N3704">
            <v>0</v>
          </cell>
          <cell r="O3704">
            <v>0</v>
          </cell>
        </row>
        <row r="3705">
          <cell r="A3705" t="str">
            <v>SBI India JVFINANCING INCOME</v>
          </cell>
          <cell r="B3705">
            <v>0</v>
          </cell>
          <cell r="C3705">
            <v>0</v>
          </cell>
          <cell r="D3705">
            <v>0</v>
          </cell>
          <cell r="E3705">
            <v>0</v>
          </cell>
          <cell r="F3705">
            <v>0</v>
          </cell>
          <cell r="G3705">
            <v>0</v>
          </cell>
          <cell r="H3705">
            <v>0</v>
          </cell>
          <cell r="I3705">
            <v>0</v>
          </cell>
          <cell r="J3705">
            <v>0</v>
          </cell>
          <cell r="K3705">
            <v>0</v>
          </cell>
          <cell r="L3705">
            <v>0</v>
          </cell>
          <cell r="M3705">
            <v>0</v>
          </cell>
          <cell r="N3705">
            <v>0</v>
          </cell>
          <cell r="O3705">
            <v>0</v>
          </cell>
        </row>
        <row r="3706">
          <cell r="A3706" t="str">
            <v>SBI India JVINSURANCE PREMIUM INCOME</v>
          </cell>
          <cell r="B3706">
            <v>0</v>
          </cell>
          <cell r="C3706">
            <v>0</v>
          </cell>
          <cell r="D3706">
            <v>0</v>
          </cell>
          <cell r="E3706">
            <v>0</v>
          </cell>
          <cell r="F3706">
            <v>0</v>
          </cell>
          <cell r="G3706">
            <v>0</v>
          </cell>
          <cell r="H3706">
            <v>0</v>
          </cell>
          <cell r="I3706">
            <v>0</v>
          </cell>
          <cell r="J3706">
            <v>0</v>
          </cell>
          <cell r="K3706">
            <v>0</v>
          </cell>
          <cell r="L3706">
            <v>0</v>
          </cell>
          <cell r="M3706">
            <v>0</v>
          </cell>
          <cell r="N3706">
            <v>0</v>
          </cell>
          <cell r="O3706">
            <v>0</v>
          </cell>
        </row>
        <row r="3707">
          <cell r="A3707" t="str">
            <v>SBI India JVINSURANCE INCOME (COMMISSIONS)</v>
          </cell>
          <cell r="B3707">
            <v>0</v>
          </cell>
          <cell r="C3707">
            <v>0</v>
          </cell>
          <cell r="D3707">
            <v>0</v>
          </cell>
          <cell r="E3707">
            <v>0</v>
          </cell>
          <cell r="F3707">
            <v>0</v>
          </cell>
          <cell r="G3707">
            <v>0</v>
          </cell>
          <cell r="H3707">
            <v>0</v>
          </cell>
          <cell r="I3707">
            <v>0</v>
          </cell>
          <cell r="J3707">
            <v>0</v>
          </cell>
          <cell r="K3707">
            <v>0</v>
          </cell>
          <cell r="L3707">
            <v>0</v>
          </cell>
          <cell r="M3707">
            <v>0</v>
          </cell>
          <cell r="N3707">
            <v>0</v>
          </cell>
          <cell r="O3707">
            <v>0</v>
          </cell>
        </row>
        <row r="3708">
          <cell r="A3708" t="str">
            <v>SBI India JVSUNDRY INCOME</v>
          </cell>
          <cell r="B3708">
            <v>537916.88</v>
          </cell>
          <cell r="C3708">
            <v>190405.73</v>
          </cell>
          <cell r="D3708">
            <v>73514.13</v>
          </cell>
          <cell r="E3708">
            <v>123922.85</v>
          </cell>
          <cell r="F3708">
            <v>925759.59</v>
          </cell>
          <cell r="G3708">
            <v>-770000</v>
          </cell>
          <cell r="H3708">
            <v>-1239000</v>
          </cell>
          <cell r="I3708">
            <v>-1706000</v>
          </cell>
          <cell r="J3708">
            <v>-2315000</v>
          </cell>
          <cell r="K3708">
            <v>-6030000</v>
          </cell>
          <cell r="L3708">
            <v>-706106.1</v>
          </cell>
          <cell r="M3708">
            <v>-6056400</v>
          </cell>
          <cell r="N3708">
            <v>-11542800</v>
          </cell>
          <cell r="O3708">
            <v>-18226400</v>
          </cell>
        </row>
        <row r="3709">
          <cell r="A3709" t="str">
            <v>SBI India JVINTEREST EXPENSE</v>
          </cell>
          <cell r="B3709">
            <v>91860.63</v>
          </cell>
          <cell r="C3709">
            <v>69219.42</v>
          </cell>
          <cell r="D3709">
            <v>61556.18</v>
          </cell>
          <cell r="E3709">
            <v>45077.47</v>
          </cell>
          <cell r="F3709">
            <v>267713.7</v>
          </cell>
          <cell r="G3709">
            <v>178000</v>
          </cell>
          <cell r="H3709">
            <v>180000</v>
          </cell>
          <cell r="I3709">
            <v>186000</v>
          </cell>
          <cell r="J3709">
            <v>190000</v>
          </cell>
          <cell r="K3709">
            <v>734000</v>
          </cell>
          <cell r="L3709">
            <v>44676.78</v>
          </cell>
          <cell r="M3709">
            <v>777000</v>
          </cell>
          <cell r="N3709">
            <v>1370000</v>
          </cell>
          <cell r="O3709">
            <v>1817000</v>
          </cell>
        </row>
        <row r="3710">
          <cell r="A3710" t="str">
            <v>SBI India JVINTEREST EXPENSE REDUCTIONS / BUS SHARING</v>
          </cell>
          <cell r="B3710">
            <v>0</v>
          </cell>
          <cell r="C3710">
            <v>0</v>
          </cell>
          <cell r="D3710">
            <v>-109927.96</v>
          </cell>
          <cell r="E3710">
            <v>-63856.49</v>
          </cell>
          <cell r="F3710">
            <v>-173784.45</v>
          </cell>
          <cell r="G3710">
            <v>0</v>
          </cell>
          <cell r="H3710">
            <v>0</v>
          </cell>
          <cell r="I3710">
            <v>0</v>
          </cell>
          <cell r="J3710">
            <v>0</v>
          </cell>
          <cell r="K3710">
            <v>0</v>
          </cell>
          <cell r="L3710">
            <v>-47628.800000000003</v>
          </cell>
          <cell r="M3710">
            <v>0</v>
          </cell>
          <cell r="N3710">
            <v>0</v>
          </cell>
          <cell r="O3710">
            <v>0</v>
          </cell>
        </row>
        <row r="3711">
          <cell r="A3711" t="str">
            <v>SBI India JVALLOCATED COST OF PREFERRED EQUITY</v>
          </cell>
          <cell r="B3711">
            <v>673.44</v>
          </cell>
          <cell r="C3711">
            <v>520.42999999999995</v>
          </cell>
          <cell r="D3711">
            <v>414.21</v>
          </cell>
          <cell r="E3711">
            <v>245.21</v>
          </cell>
          <cell r="F3711">
            <v>1853.29</v>
          </cell>
          <cell r="G3711">
            <v>2000</v>
          </cell>
          <cell r="H3711">
            <v>2000</v>
          </cell>
          <cell r="I3711">
            <v>2000</v>
          </cell>
          <cell r="J3711">
            <v>2000</v>
          </cell>
          <cell r="K3711">
            <v>8000</v>
          </cell>
          <cell r="L3711">
            <v>297.95999999999998</v>
          </cell>
          <cell r="M3711">
            <v>6000</v>
          </cell>
          <cell r="N3711">
            <v>8000</v>
          </cell>
          <cell r="O3711">
            <v>11000</v>
          </cell>
        </row>
        <row r="3712">
          <cell r="A3712" t="str">
            <v>SBI India JVSALARIES &amp; BENEFITS</v>
          </cell>
          <cell r="B3712">
            <v>0</v>
          </cell>
          <cell r="C3712">
            <v>0</v>
          </cell>
          <cell r="D3712">
            <v>0</v>
          </cell>
          <cell r="E3712">
            <v>0</v>
          </cell>
          <cell r="F3712">
            <v>0</v>
          </cell>
          <cell r="G3712">
            <v>0</v>
          </cell>
          <cell r="H3712">
            <v>0</v>
          </cell>
          <cell r="I3712">
            <v>0</v>
          </cell>
          <cell r="J3712">
            <v>0</v>
          </cell>
          <cell r="K3712">
            <v>0</v>
          </cell>
          <cell r="L3712">
            <v>0</v>
          </cell>
          <cell r="M3712">
            <v>0</v>
          </cell>
          <cell r="N3712">
            <v>0</v>
          </cell>
          <cell r="O3712">
            <v>0</v>
          </cell>
        </row>
        <row r="3713">
          <cell r="A3713" t="str">
            <v>SBI India JVLOSSES ON OTHER ASSETS</v>
          </cell>
          <cell r="B3713">
            <v>0</v>
          </cell>
          <cell r="C3713">
            <v>0</v>
          </cell>
          <cell r="D3713">
            <v>0</v>
          </cell>
          <cell r="E3713">
            <v>0</v>
          </cell>
          <cell r="F3713">
            <v>0</v>
          </cell>
          <cell r="G3713">
            <v>0</v>
          </cell>
          <cell r="H3713">
            <v>0</v>
          </cell>
          <cell r="I3713">
            <v>0</v>
          </cell>
          <cell r="J3713">
            <v>0</v>
          </cell>
          <cell r="K3713">
            <v>0</v>
          </cell>
          <cell r="L3713">
            <v>0</v>
          </cell>
          <cell r="M3713">
            <v>0</v>
          </cell>
          <cell r="N3713">
            <v>0</v>
          </cell>
          <cell r="O3713">
            <v>0</v>
          </cell>
        </row>
        <row r="3714">
          <cell r="A3714" t="str">
            <v>SBI India JVCOST OF GOODS SOLD</v>
          </cell>
          <cell r="B3714">
            <v>0</v>
          </cell>
          <cell r="C3714">
            <v>0</v>
          </cell>
          <cell r="D3714">
            <v>0</v>
          </cell>
          <cell r="E3714">
            <v>0</v>
          </cell>
          <cell r="F3714">
            <v>0</v>
          </cell>
          <cell r="G3714">
            <v>0</v>
          </cell>
          <cell r="H3714">
            <v>0</v>
          </cell>
          <cell r="I3714">
            <v>0</v>
          </cell>
          <cell r="J3714">
            <v>0</v>
          </cell>
          <cell r="K3714">
            <v>0</v>
          </cell>
          <cell r="L3714">
            <v>0</v>
          </cell>
          <cell r="M3714">
            <v>0</v>
          </cell>
          <cell r="N3714">
            <v>0</v>
          </cell>
          <cell r="O3714">
            <v>0</v>
          </cell>
        </row>
        <row r="3715">
          <cell r="A3715" t="str">
            <v>SBI India JVCOST OF GOODS SOLD - DISTRIBUTION</v>
          </cell>
          <cell r="B3715">
            <v>0</v>
          </cell>
          <cell r="C3715">
            <v>0</v>
          </cell>
          <cell r="D3715">
            <v>0</v>
          </cell>
          <cell r="E3715">
            <v>0</v>
          </cell>
          <cell r="F3715">
            <v>0</v>
          </cell>
          <cell r="G3715">
            <v>0</v>
          </cell>
          <cell r="H3715">
            <v>0</v>
          </cell>
          <cell r="I3715">
            <v>0</v>
          </cell>
          <cell r="J3715">
            <v>0</v>
          </cell>
          <cell r="K3715">
            <v>0</v>
          </cell>
          <cell r="L3715">
            <v>0</v>
          </cell>
          <cell r="M3715">
            <v>0</v>
          </cell>
          <cell r="N3715">
            <v>0</v>
          </cell>
          <cell r="O3715">
            <v>0</v>
          </cell>
        </row>
        <row r="3716">
          <cell r="A3716" t="str">
            <v>SBI India JVPOSTAGE</v>
          </cell>
          <cell r="B3716">
            <v>0</v>
          </cell>
          <cell r="C3716">
            <v>0</v>
          </cell>
          <cell r="D3716">
            <v>0</v>
          </cell>
          <cell r="E3716">
            <v>0</v>
          </cell>
          <cell r="F3716">
            <v>0</v>
          </cell>
          <cell r="G3716">
            <v>0</v>
          </cell>
          <cell r="H3716">
            <v>0</v>
          </cell>
          <cell r="I3716">
            <v>0</v>
          </cell>
          <cell r="J3716">
            <v>0</v>
          </cell>
          <cell r="K3716">
            <v>0</v>
          </cell>
          <cell r="L3716">
            <v>0</v>
          </cell>
          <cell r="M3716">
            <v>0</v>
          </cell>
          <cell r="N3716">
            <v>0</v>
          </cell>
          <cell r="O3716">
            <v>0</v>
          </cell>
        </row>
        <row r="3717">
          <cell r="A3717" t="str">
            <v>SBI India JVTELEPHONE</v>
          </cell>
          <cell r="B3717">
            <v>0</v>
          </cell>
          <cell r="C3717">
            <v>0</v>
          </cell>
          <cell r="D3717">
            <v>0</v>
          </cell>
          <cell r="E3717">
            <v>0</v>
          </cell>
          <cell r="F3717">
            <v>0</v>
          </cell>
          <cell r="G3717">
            <v>0</v>
          </cell>
          <cell r="H3717">
            <v>0</v>
          </cell>
          <cell r="I3717">
            <v>0</v>
          </cell>
          <cell r="J3717">
            <v>0</v>
          </cell>
          <cell r="K3717">
            <v>0</v>
          </cell>
          <cell r="L3717">
            <v>0</v>
          </cell>
          <cell r="M3717">
            <v>0</v>
          </cell>
          <cell r="N3717">
            <v>0</v>
          </cell>
          <cell r="O3717">
            <v>0</v>
          </cell>
        </row>
        <row r="3718">
          <cell r="A3718" t="str">
            <v>SBI India JVCUSTOMER SERVICE / COLLECTIONS</v>
          </cell>
          <cell r="B3718">
            <v>0</v>
          </cell>
          <cell r="C3718">
            <v>0</v>
          </cell>
          <cell r="D3718">
            <v>0</v>
          </cell>
          <cell r="E3718">
            <v>0</v>
          </cell>
          <cell r="F3718">
            <v>0</v>
          </cell>
          <cell r="G3718">
            <v>0</v>
          </cell>
          <cell r="H3718">
            <v>0</v>
          </cell>
          <cell r="I3718">
            <v>0</v>
          </cell>
          <cell r="J3718">
            <v>0</v>
          </cell>
          <cell r="K3718">
            <v>0</v>
          </cell>
          <cell r="L3718">
            <v>0</v>
          </cell>
          <cell r="M3718">
            <v>0</v>
          </cell>
          <cell r="N3718">
            <v>0</v>
          </cell>
          <cell r="O3718">
            <v>0</v>
          </cell>
        </row>
        <row r="3719">
          <cell r="A3719" t="str">
            <v>SBI India JVSTATIONARY - OFFICE SUPPLIES</v>
          </cell>
          <cell r="B3719">
            <v>0</v>
          </cell>
          <cell r="C3719">
            <v>0</v>
          </cell>
          <cell r="D3719">
            <v>0</v>
          </cell>
          <cell r="E3719">
            <v>0</v>
          </cell>
          <cell r="F3719">
            <v>0</v>
          </cell>
          <cell r="G3719">
            <v>0</v>
          </cell>
          <cell r="H3719">
            <v>0</v>
          </cell>
          <cell r="I3719">
            <v>0</v>
          </cell>
          <cell r="J3719">
            <v>0</v>
          </cell>
          <cell r="K3719">
            <v>0</v>
          </cell>
          <cell r="L3719">
            <v>0</v>
          </cell>
          <cell r="M3719">
            <v>0</v>
          </cell>
          <cell r="N3719">
            <v>0</v>
          </cell>
          <cell r="O3719">
            <v>0</v>
          </cell>
        </row>
        <row r="3720">
          <cell r="A3720" t="str">
            <v>SBI India JVT&amp;L</v>
          </cell>
          <cell r="B3720">
            <v>0</v>
          </cell>
          <cell r="C3720">
            <v>0</v>
          </cell>
          <cell r="D3720">
            <v>0</v>
          </cell>
          <cell r="E3720">
            <v>0</v>
          </cell>
          <cell r="F3720">
            <v>0</v>
          </cell>
          <cell r="G3720">
            <v>0</v>
          </cell>
          <cell r="H3720">
            <v>0</v>
          </cell>
          <cell r="I3720">
            <v>0</v>
          </cell>
          <cell r="J3720">
            <v>0</v>
          </cell>
          <cell r="K3720">
            <v>0</v>
          </cell>
          <cell r="L3720">
            <v>0</v>
          </cell>
          <cell r="M3720">
            <v>0</v>
          </cell>
          <cell r="N3720">
            <v>0</v>
          </cell>
          <cell r="O3720">
            <v>0</v>
          </cell>
        </row>
        <row r="3721">
          <cell r="A3721" t="str">
            <v>SBI India JVRENTAL - BLDG/FACILITIES</v>
          </cell>
          <cell r="B3721">
            <v>0</v>
          </cell>
          <cell r="C3721">
            <v>0</v>
          </cell>
          <cell r="D3721">
            <v>0</v>
          </cell>
          <cell r="E3721">
            <v>0</v>
          </cell>
          <cell r="F3721">
            <v>0</v>
          </cell>
          <cell r="G3721">
            <v>0</v>
          </cell>
          <cell r="H3721">
            <v>0</v>
          </cell>
          <cell r="I3721">
            <v>0</v>
          </cell>
          <cell r="J3721">
            <v>0</v>
          </cell>
          <cell r="K3721">
            <v>0</v>
          </cell>
          <cell r="L3721">
            <v>0</v>
          </cell>
          <cell r="M3721">
            <v>0</v>
          </cell>
          <cell r="N3721">
            <v>0</v>
          </cell>
          <cell r="O3721">
            <v>0</v>
          </cell>
        </row>
        <row r="3722">
          <cell r="A3722" t="str">
            <v>SBI India JVRENTAL - FURNITURE/EQUIP</v>
          </cell>
          <cell r="B3722">
            <v>0</v>
          </cell>
          <cell r="C3722">
            <v>0</v>
          </cell>
          <cell r="D3722">
            <v>0</v>
          </cell>
          <cell r="E3722">
            <v>0</v>
          </cell>
          <cell r="F3722">
            <v>0</v>
          </cell>
          <cell r="G3722">
            <v>0</v>
          </cell>
          <cell r="H3722">
            <v>0</v>
          </cell>
          <cell r="I3722">
            <v>0</v>
          </cell>
          <cell r="J3722">
            <v>0</v>
          </cell>
          <cell r="K3722">
            <v>0</v>
          </cell>
          <cell r="L3722">
            <v>0</v>
          </cell>
          <cell r="M3722">
            <v>0</v>
          </cell>
          <cell r="N3722">
            <v>0</v>
          </cell>
          <cell r="O3722">
            <v>0</v>
          </cell>
        </row>
        <row r="3723">
          <cell r="A3723" t="str">
            <v>SBI India JVRENTAL - COMPUTERS</v>
          </cell>
          <cell r="B3723">
            <v>0</v>
          </cell>
          <cell r="C3723">
            <v>0</v>
          </cell>
          <cell r="D3723">
            <v>0</v>
          </cell>
          <cell r="E3723">
            <v>0</v>
          </cell>
          <cell r="F3723">
            <v>0</v>
          </cell>
          <cell r="G3723">
            <v>0</v>
          </cell>
          <cell r="H3723">
            <v>0</v>
          </cell>
          <cell r="I3723">
            <v>0</v>
          </cell>
          <cell r="J3723">
            <v>0</v>
          </cell>
          <cell r="K3723">
            <v>0</v>
          </cell>
          <cell r="L3723">
            <v>0</v>
          </cell>
          <cell r="M3723">
            <v>0</v>
          </cell>
          <cell r="N3723">
            <v>0</v>
          </cell>
          <cell r="O3723">
            <v>0</v>
          </cell>
        </row>
        <row r="3724">
          <cell r="A3724" t="str">
            <v>SBI India JVLEASE IN - LEASE OUT</v>
          </cell>
          <cell r="B3724">
            <v>0</v>
          </cell>
          <cell r="C3724">
            <v>0</v>
          </cell>
          <cell r="D3724">
            <v>0</v>
          </cell>
          <cell r="E3724">
            <v>0</v>
          </cell>
          <cell r="F3724">
            <v>0</v>
          </cell>
          <cell r="G3724">
            <v>0</v>
          </cell>
          <cell r="H3724">
            <v>0</v>
          </cell>
          <cell r="I3724">
            <v>0</v>
          </cell>
          <cell r="J3724">
            <v>0</v>
          </cell>
          <cell r="K3724">
            <v>0</v>
          </cell>
          <cell r="L3724">
            <v>0</v>
          </cell>
          <cell r="M3724">
            <v>0</v>
          </cell>
          <cell r="N3724">
            <v>0</v>
          </cell>
          <cell r="O3724">
            <v>0</v>
          </cell>
        </row>
        <row r="3725">
          <cell r="A3725" t="str">
            <v>SBI India JVFURNITURE / EQUIPMENT / COMPUTER EXP</v>
          </cell>
          <cell r="B3725">
            <v>0</v>
          </cell>
          <cell r="C3725">
            <v>0</v>
          </cell>
          <cell r="D3725">
            <v>0</v>
          </cell>
          <cell r="E3725">
            <v>0</v>
          </cell>
          <cell r="F3725">
            <v>0</v>
          </cell>
          <cell r="G3725">
            <v>0</v>
          </cell>
          <cell r="H3725">
            <v>0</v>
          </cell>
          <cell r="I3725">
            <v>0</v>
          </cell>
          <cell r="J3725">
            <v>0</v>
          </cell>
          <cell r="K3725">
            <v>0</v>
          </cell>
          <cell r="L3725">
            <v>0</v>
          </cell>
          <cell r="M3725">
            <v>0</v>
          </cell>
          <cell r="N3725">
            <v>0</v>
          </cell>
          <cell r="O3725">
            <v>0</v>
          </cell>
        </row>
        <row r="3726">
          <cell r="A3726" t="str">
            <v>SBI India JVSOFTWARE EXPENSE</v>
          </cell>
          <cell r="B3726">
            <v>0</v>
          </cell>
          <cell r="C3726">
            <v>0</v>
          </cell>
          <cell r="D3726">
            <v>0</v>
          </cell>
          <cell r="E3726">
            <v>0</v>
          </cell>
          <cell r="F3726">
            <v>0</v>
          </cell>
          <cell r="G3726">
            <v>0</v>
          </cell>
          <cell r="H3726">
            <v>0</v>
          </cell>
          <cell r="I3726">
            <v>0</v>
          </cell>
          <cell r="J3726">
            <v>0</v>
          </cell>
          <cell r="K3726">
            <v>0</v>
          </cell>
          <cell r="L3726">
            <v>0</v>
          </cell>
          <cell r="M3726">
            <v>0</v>
          </cell>
          <cell r="N3726">
            <v>0</v>
          </cell>
          <cell r="O3726">
            <v>0</v>
          </cell>
        </row>
        <row r="3727">
          <cell r="A3727" t="str">
            <v>SBI India JVAMORTIZATION OF INTANGIBLES</v>
          </cell>
          <cell r="B3727">
            <v>0</v>
          </cell>
          <cell r="C3727">
            <v>0</v>
          </cell>
          <cell r="D3727">
            <v>0</v>
          </cell>
          <cell r="E3727">
            <v>0</v>
          </cell>
          <cell r="F3727">
            <v>0</v>
          </cell>
          <cell r="G3727">
            <v>0</v>
          </cell>
          <cell r="H3727">
            <v>0</v>
          </cell>
          <cell r="I3727">
            <v>0</v>
          </cell>
          <cell r="J3727">
            <v>0</v>
          </cell>
          <cell r="K3727">
            <v>0</v>
          </cell>
          <cell r="L3727">
            <v>0</v>
          </cell>
          <cell r="M3727">
            <v>0</v>
          </cell>
          <cell r="N3727">
            <v>0</v>
          </cell>
          <cell r="O3727">
            <v>0</v>
          </cell>
        </row>
        <row r="3728">
          <cell r="A3728" t="str">
            <v>SBI India JVELTO MAINTENANCE</v>
          </cell>
          <cell r="B3728">
            <v>0</v>
          </cell>
          <cell r="C3728">
            <v>0</v>
          </cell>
          <cell r="D3728">
            <v>0</v>
          </cell>
          <cell r="E3728">
            <v>0</v>
          </cell>
          <cell r="F3728">
            <v>0</v>
          </cell>
          <cell r="G3728">
            <v>0</v>
          </cell>
          <cell r="H3728">
            <v>0</v>
          </cell>
          <cell r="I3728">
            <v>0</v>
          </cell>
          <cell r="J3728">
            <v>0</v>
          </cell>
          <cell r="K3728">
            <v>0</v>
          </cell>
          <cell r="L3728">
            <v>0</v>
          </cell>
          <cell r="M3728">
            <v>0</v>
          </cell>
          <cell r="N3728">
            <v>0</v>
          </cell>
          <cell r="O3728">
            <v>0</v>
          </cell>
        </row>
        <row r="3729">
          <cell r="A3729" t="str">
            <v>SBI India JVELTO OTHER</v>
          </cell>
          <cell r="B3729">
            <v>0</v>
          </cell>
          <cell r="C3729">
            <v>0</v>
          </cell>
          <cell r="D3729">
            <v>0</v>
          </cell>
          <cell r="E3729">
            <v>0</v>
          </cell>
          <cell r="F3729">
            <v>0</v>
          </cell>
          <cell r="G3729">
            <v>0</v>
          </cell>
          <cell r="H3729">
            <v>0</v>
          </cell>
          <cell r="I3729">
            <v>0</v>
          </cell>
          <cell r="J3729">
            <v>0</v>
          </cell>
          <cell r="K3729">
            <v>0</v>
          </cell>
          <cell r="L3729">
            <v>0</v>
          </cell>
          <cell r="M3729">
            <v>0</v>
          </cell>
          <cell r="N3729">
            <v>0</v>
          </cell>
          <cell r="O3729">
            <v>0</v>
          </cell>
        </row>
        <row r="3730">
          <cell r="A3730" t="str">
            <v>SBI India JVLEGAL</v>
          </cell>
          <cell r="B3730">
            <v>0</v>
          </cell>
          <cell r="C3730">
            <v>0</v>
          </cell>
          <cell r="D3730">
            <v>0</v>
          </cell>
          <cell r="E3730">
            <v>0</v>
          </cell>
          <cell r="F3730">
            <v>0</v>
          </cell>
          <cell r="G3730">
            <v>0</v>
          </cell>
          <cell r="H3730">
            <v>0</v>
          </cell>
          <cell r="I3730">
            <v>0</v>
          </cell>
          <cell r="J3730">
            <v>0</v>
          </cell>
          <cell r="K3730">
            <v>0</v>
          </cell>
          <cell r="L3730">
            <v>0</v>
          </cell>
          <cell r="M3730">
            <v>0</v>
          </cell>
          <cell r="N3730">
            <v>0</v>
          </cell>
          <cell r="O3730">
            <v>0</v>
          </cell>
        </row>
        <row r="3731">
          <cell r="A3731" t="str">
            <v>SBI India JVADVERTISING</v>
          </cell>
          <cell r="B3731">
            <v>0</v>
          </cell>
          <cell r="C3731">
            <v>0</v>
          </cell>
          <cell r="D3731">
            <v>0</v>
          </cell>
          <cell r="E3731">
            <v>0</v>
          </cell>
          <cell r="F3731">
            <v>0</v>
          </cell>
          <cell r="G3731">
            <v>0</v>
          </cell>
          <cell r="H3731">
            <v>0</v>
          </cell>
          <cell r="I3731">
            <v>0</v>
          </cell>
          <cell r="J3731">
            <v>0</v>
          </cell>
          <cell r="K3731">
            <v>0</v>
          </cell>
          <cell r="L3731">
            <v>0</v>
          </cell>
          <cell r="M3731">
            <v>0</v>
          </cell>
          <cell r="N3731">
            <v>0</v>
          </cell>
          <cell r="O3731">
            <v>0</v>
          </cell>
        </row>
        <row r="3732">
          <cell r="A3732" t="str">
            <v>SBI India JVSALES PROMOTIONS</v>
          </cell>
          <cell r="B3732">
            <v>0</v>
          </cell>
          <cell r="C3732">
            <v>0</v>
          </cell>
          <cell r="D3732">
            <v>0</v>
          </cell>
          <cell r="E3732">
            <v>0</v>
          </cell>
          <cell r="F3732">
            <v>0</v>
          </cell>
          <cell r="G3732">
            <v>0</v>
          </cell>
          <cell r="H3732">
            <v>0</v>
          </cell>
          <cell r="I3732">
            <v>0</v>
          </cell>
          <cell r="J3732">
            <v>0</v>
          </cell>
          <cell r="K3732">
            <v>0</v>
          </cell>
          <cell r="L3732">
            <v>0</v>
          </cell>
          <cell r="M3732">
            <v>0</v>
          </cell>
          <cell r="N3732">
            <v>0</v>
          </cell>
          <cell r="O3732">
            <v>0</v>
          </cell>
        </row>
        <row r="3733">
          <cell r="A3733" t="str">
            <v>SBI India JVDIRECT MAIL</v>
          </cell>
          <cell r="B3733">
            <v>0</v>
          </cell>
          <cell r="C3733">
            <v>0</v>
          </cell>
          <cell r="D3733">
            <v>0</v>
          </cell>
          <cell r="E3733">
            <v>0</v>
          </cell>
          <cell r="F3733">
            <v>0</v>
          </cell>
          <cell r="G3733">
            <v>0</v>
          </cell>
          <cell r="H3733">
            <v>0</v>
          </cell>
          <cell r="I3733">
            <v>0</v>
          </cell>
          <cell r="J3733">
            <v>0</v>
          </cell>
          <cell r="K3733">
            <v>0</v>
          </cell>
          <cell r="L3733">
            <v>0</v>
          </cell>
          <cell r="M3733">
            <v>0</v>
          </cell>
          <cell r="N3733">
            <v>0</v>
          </cell>
          <cell r="O3733">
            <v>0</v>
          </cell>
        </row>
        <row r="3734">
          <cell r="A3734" t="str">
            <v>SBI India JVDATA PROCESSING</v>
          </cell>
          <cell r="B3734">
            <v>0</v>
          </cell>
          <cell r="C3734">
            <v>0</v>
          </cell>
          <cell r="D3734">
            <v>0</v>
          </cell>
          <cell r="E3734">
            <v>0</v>
          </cell>
          <cell r="F3734">
            <v>0</v>
          </cell>
          <cell r="G3734">
            <v>0</v>
          </cell>
          <cell r="H3734">
            <v>0</v>
          </cell>
          <cell r="I3734">
            <v>0</v>
          </cell>
          <cell r="J3734">
            <v>0</v>
          </cell>
          <cell r="K3734">
            <v>0</v>
          </cell>
          <cell r="L3734">
            <v>0</v>
          </cell>
          <cell r="M3734">
            <v>0</v>
          </cell>
          <cell r="N3734">
            <v>0</v>
          </cell>
          <cell r="O3734">
            <v>0</v>
          </cell>
        </row>
        <row r="3735">
          <cell r="A3735" t="str">
            <v>SBI India JVCONSULTING</v>
          </cell>
          <cell r="B3735">
            <v>0</v>
          </cell>
          <cell r="C3735">
            <v>0</v>
          </cell>
          <cell r="D3735">
            <v>0</v>
          </cell>
          <cell r="E3735">
            <v>0</v>
          </cell>
          <cell r="F3735">
            <v>0</v>
          </cell>
          <cell r="G3735">
            <v>0</v>
          </cell>
          <cell r="H3735">
            <v>0</v>
          </cell>
          <cell r="I3735">
            <v>0</v>
          </cell>
          <cell r="J3735">
            <v>0</v>
          </cell>
          <cell r="K3735">
            <v>0</v>
          </cell>
          <cell r="L3735">
            <v>0</v>
          </cell>
          <cell r="M3735">
            <v>0</v>
          </cell>
          <cell r="N3735">
            <v>0</v>
          </cell>
          <cell r="O3735">
            <v>0</v>
          </cell>
        </row>
        <row r="3736">
          <cell r="A3736" t="str">
            <v>SBI India JVTEMP SERVICES</v>
          </cell>
          <cell r="B3736">
            <v>0</v>
          </cell>
          <cell r="C3736">
            <v>0</v>
          </cell>
          <cell r="D3736">
            <v>0</v>
          </cell>
          <cell r="E3736">
            <v>0</v>
          </cell>
          <cell r="F3736">
            <v>0</v>
          </cell>
          <cell r="G3736">
            <v>0</v>
          </cell>
          <cell r="H3736">
            <v>0</v>
          </cell>
          <cell r="I3736">
            <v>0</v>
          </cell>
          <cell r="J3736">
            <v>0</v>
          </cell>
          <cell r="K3736">
            <v>0</v>
          </cell>
          <cell r="L3736">
            <v>0</v>
          </cell>
          <cell r="M3736">
            <v>0</v>
          </cell>
          <cell r="N3736">
            <v>0</v>
          </cell>
          <cell r="O3736">
            <v>0</v>
          </cell>
        </row>
        <row r="3737">
          <cell r="A3737" t="str">
            <v>SBI India JVGDC CHARGES</v>
          </cell>
          <cell r="B3737">
            <v>0</v>
          </cell>
          <cell r="C3737">
            <v>0</v>
          </cell>
          <cell r="D3737">
            <v>0</v>
          </cell>
          <cell r="E3737">
            <v>0</v>
          </cell>
          <cell r="F3737">
            <v>0</v>
          </cell>
          <cell r="G3737">
            <v>0</v>
          </cell>
          <cell r="H3737">
            <v>0</v>
          </cell>
          <cell r="I3737">
            <v>0</v>
          </cell>
          <cell r="J3737">
            <v>0</v>
          </cell>
          <cell r="K3737">
            <v>0</v>
          </cell>
          <cell r="L3737">
            <v>0</v>
          </cell>
          <cell r="M3737">
            <v>0</v>
          </cell>
          <cell r="N3737">
            <v>0</v>
          </cell>
          <cell r="O3737">
            <v>0</v>
          </cell>
        </row>
        <row r="3738">
          <cell r="A3738" t="str">
            <v>SBI India JVTRAINING AND EDUCATION</v>
          </cell>
          <cell r="B3738">
            <v>0</v>
          </cell>
          <cell r="C3738">
            <v>0</v>
          </cell>
          <cell r="D3738">
            <v>0</v>
          </cell>
          <cell r="E3738">
            <v>0</v>
          </cell>
          <cell r="F3738">
            <v>0</v>
          </cell>
          <cell r="G3738">
            <v>0</v>
          </cell>
          <cell r="H3738">
            <v>0</v>
          </cell>
          <cell r="I3738">
            <v>0</v>
          </cell>
          <cell r="J3738">
            <v>0</v>
          </cell>
          <cell r="K3738">
            <v>0</v>
          </cell>
          <cell r="L3738">
            <v>0</v>
          </cell>
          <cell r="M3738">
            <v>0</v>
          </cell>
          <cell r="N3738">
            <v>0</v>
          </cell>
          <cell r="O3738">
            <v>0</v>
          </cell>
        </row>
        <row r="3739">
          <cell r="A3739" t="str">
            <v>SBI India JVOUTSIDE SERVICES  AND FEES</v>
          </cell>
          <cell r="B3739">
            <v>0</v>
          </cell>
          <cell r="C3739">
            <v>0</v>
          </cell>
          <cell r="D3739">
            <v>0</v>
          </cell>
          <cell r="E3739">
            <v>0</v>
          </cell>
          <cell r="F3739">
            <v>0</v>
          </cell>
          <cell r="G3739">
            <v>0</v>
          </cell>
          <cell r="H3739">
            <v>0</v>
          </cell>
          <cell r="I3739">
            <v>0</v>
          </cell>
          <cell r="J3739">
            <v>0</v>
          </cell>
          <cell r="K3739">
            <v>0</v>
          </cell>
          <cell r="L3739">
            <v>0</v>
          </cell>
          <cell r="M3739">
            <v>0</v>
          </cell>
          <cell r="N3739">
            <v>0</v>
          </cell>
          <cell r="O3739">
            <v>0</v>
          </cell>
        </row>
        <row r="3740">
          <cell r="A3740" t="str">
            <v>SBI India JVSTATE, FOREIGN, LOCAL TAXES</v>
          </cell>
          <cell r="B3740">
            <v>0</v>
          </cell>
          <cell r="C3740">
            <v>0</v>
          </cell>
          <cell r="D3740">
            <v>0</v>
          </cell>
          <cell r="E3740">
            <v>0</v>
          </cell>
          <cell r="F3740">
            <v>0</v>
          </cell>
          <cell r="G3740">
            <v>0</v>
          </cell>
          <cell r="H3740">
            <v>0</v>
          </cell>
          <cell r="I3740">
            <v>0</v>
          </cell>
          <cell r="J3740">
            <v>0</v>
          </cell>
          <cell r="K3740">
            <v>0</v>
          </cell>
          <cell r="L3740">
            <v>0</v>
          </cell>
          <cell r="M3740">
            <v>0</v>
          </cell>
          <cell r="N3740">
            <v>0</v>
          </cell>
          <cell r="O3740">
            <v>0</v>
          </cell>
        </row>
        <row r="3741">
          <cell r="A3741" t="str">
            <v>SBI India JVS/L TAX - INSURANCE PREMIUMS</v>
          </cell>
          <cell r="B3741">
            <v>0</v>
          </cell>
          <cell r="C3741">
            <v>0</v>
          </cell>
          <cell r="D3741">
            <v>0</v>
          </cell>
          <cell r="E3741">
            <v>0</v>
          </cell>
          <cell r="F3741">
            <v>0</v>
          </cell>
          <cell r="G3741">
            <v>0</v>
          </cell>
          <cell r="H3741">
            <v>0</v>
          </cell>
          <cell r="I3741">
            <v>0</v>
          </cell>
          <cell r="J3741">
            <v>0</v>
          </cell>
          <cell r="K3741">
            <v>0</v>
          </cell>
          <cell r="L3741">
            <v>0</v>
          </cell>
          <cell r="M3741">
            <v>0</v>
          </cell>
          <cell r="N3741">
            <v>0</v>
          </cell>
          <cell r="O3741">
            <v>0</v>
          </cell>
        </row>
        <row r="3742">
          <cell r="A3742" t="str">
            <v>SBI India JVSATELLITE LEASE EXPENSE</v>
          </cell>
          <cell r="B3742">
            <v>0</v>
          </cell>
          <cell r="C3742">
            <v>0</v>
          </cell>
          <cell r="D3742">
            <v>0</v>
          </cell>
          <cell r="E3742">
            <v>0</v>
          </cell>
          <cell r="F3742">
            <v>0</v>
          </cell>
          <cell r="G3742">
            <v>0</v>
          </cell>
          <cell r="H3742">
            <v>0</v>
          </cell>
          <cell r="I3742">
            <v>0</v>
          </cell>
          <cell r="J3742">
            <v>0</v>
          </cell>
          <cell r="K3742">
            <v>0</v>
          </cell>
          <cell r="L3742">
            <v>0</v>
          </cell>
          <cell r="M3742">
            <v>0</v>
          </cell>
          <cell r="N3742">
            <v>0</v>
          </cell>
          <cell r="O3742">
            <v>0</v>
          </cell>
        </row>
        <row r="3743">
          <cell r="A3743" t="str">
            <v>SBI India JVBUSINESS SHARE EXPENSE</v>
          </cell>
          <cell r="B3743">
            <v>0</v>
          </cell>
          <cell r="C3743">
            <v>0</v>
          </cell>
          <cell r="D3743">
            <v>0</v>
          </cell>
          <cell r="E3743">
            <v>0</v>
          </cell>
          <cell r="F3743">
            <v>0</v>
          </cell>
          <cell r="G3743">
            <v>0</v>
          </cell>
          <cell r="H3743">
            <v>0</v>
          </cell>
          <cell r="I3743">
            <v>0</v>
          </cell>
          <cell r="J3743">
            <v>0</v>
          </cell>
          <cell r="K3743">
            <v>0</v>
          </cell>
          <cell r="L3743">
            <v>0</v>
          </cell>
          <cell r="M3743">
            <v>0</v>
          </cell>
          <cell r="N3743">
            <v>0</v>
          </cell>
          <cell r="O3743">
            <v>0</v>
          </cell>
        </row>
        <row r="3744">
          <cell r="A3744" t="str">
            <v>SBI India JVINSURANCE AFFILIATE EXPENSE</v>
          </cell>
          <cell r="B3744">
            <v>0</v>
          </cell>
          <cell r="C3744">
            <v>0</v>
          </cell>
          <cell r="D3744">
            <v>0</v>
          </cell>
          <cell r="E3744">
            <v>0</v>
          </cell>
          <cell r="F3744">
            <v>0</v>
          </cell>
          <cell r="G3744">
            <v>0</v>
          </cell>
          <cell r="H3744">
            <v>0</v>
          </cell>
          <cell r="I3744">
            <v>0</v>
          </cell>
          <cell r="J3744">
            <v>0</v>
          </cell>
          <cell r="K3744">
            <v>0</v>
          </cell>
          <cell r="L3744">
            <v>0</v>
          </cell>
          <cell r="M3744">
            <v>0</v>
          </cell>
          <cell r="N3744">
            <v>0</v>
          </cell>
          <cell r="O3744">
            <v>0</v>
          </cell>
        </row>
        <row r="3745">
          <cell r="A3745" t="str">
            <v>SBI India JVOTHER FACILITY EXPENSE</v>
          </cell>
          <cell r="B3745">
            <v>0</v>
          </cell>
          <cell r="C3745">
            <v>0</v>
          </cell>
          <cell r="D3745">
            <v>0</v>
          </cell>
          <cell r="E3745">
            <v>0</v>
          </cell>
          <cell r="F3745">
            <v>0</v>
          </cell>
          <cell r="G3745">
            <v>0</v>
          </cell>
          <cell r="H3745">
            <v>0</v>
          </cell>
          <cell r="I3745">
            <v>0</v>
          </cell>
          <cell r="J3745">
            <v>0</v>
          </cell>
          <cell r="K3745">
            <v>0</v>
          </cell>
          <cell r="L3745">
            <v>0</v>
          </cell>
          <cell r="M3745">
            <v>0</v>
          </cell>
          <cell r="N3745">
            <v>0</v>
          </cell>
          <cell r="O3745">
            <v>0</v>
          </cell>
        </row>
        <row r="3746">
          <cell r="A3746" t="str">
            <v>SBI India JVGROSS OP &amp; ADMIN BUS SHARE</v>
          </cell>
          <cell r="B3746">
            <v>0</v>
          </cell>
          <cell r="C3746">
            <v>0</v>
          </cell>
          <cell r="D3746">
            <v>0</v>
          </cell>
          <cell r="E3746">
            <v>200000</v>
          </cell>
          <cell r="F3746">
            <v>200000</v>
          </cell>
          <cell r="G3746">
            <v>137000</v>
          </cell>
          <cell r="H3746">
            <v>138000</v>
          </cell>
          <cell r="I3746">
            <v>138000</v>
          </cell>
          <cell r="J3746">
            <v>138000</v>
          </cell>
          <cell r="K3746">
            <v>551000</v>
          </cell>
          <cell r="L3746">
            <v>137499</v>
          </cell>
          <cell r="M3746">
            <v>0</v>
          </cell>
          <cell r="N3746">
            <v>0</v>
          </cell>
          <cell r="O3746">
            <v>0</v>
          </cell>
        </row>
        <row r="3747">
          <cell r="A3747" t="str">
            <v>SBI India JVOTHER EXPENSE</v>
          </cell>
          <cell r="B3747">
            <v>0</v>
          </cell>
          <cell r="C3747">
            <v>0</v>
          </cell>
          <cell r="D3747">
            <v>0</v>
          </cell>
          <cell r="E3747">
            <v>0</v>
          </cell>
          <cell r="F3747">
            <v>0</v>
          </cell>
          <cell r="G3747">
            <v>0</v>
          </cell>
          <cell r="H3747">
            <v>0</v>
          </cell>
          <cell r="I3747">
            <v>0</v>
          </cell>
          <cell r="J3747">
            <v>0</v>
          </cell>
          <cell r="K3747">
            <v>0</v>
          </cell>
          <cell r="L3747">
            <v>0</v>
          </cell>
          <cell r="M3747">
            <v>0</v>
          </cell>
          <cell r="N3747">
            <v>0</v>
          </cell>
          <cell r="O3747">
            <v>0</v>
          </cell>
        </row>
        <row r="3748">
          <cell r="A3748" t="str">
            <v>SBI India JVGECC INTERCO EXPENSES EXCL GECIS</v>
          </cell>
          <cell r="B3748">
            <v>0</v>
          </cell>
          <cell r="C3748">
            <v>0</v>
          </cell>
          <cell r="D3748">
            <v>0</v>
          </cell>
          <cell r="E3748">
            <v>0</v>
          </cell>
          <cell r="F3748">
            <v>0</v>
          </cell>
          <cell r="G3748">
            <v>0</v>
          </cell>
          <cell r="H3748">
            <v>0</v>
          </cell>
          <cell r="I3748">
            <v>0</v>
          </cell>
          <cell r="J3748">
            <v>0</v>
          </cell>
          <cell r="K3748">
            <v>0</v>
          </cell>
          <cell r="L3748">
            <v>0</v>
          </cell>
          <cell r="M3748">
            <v>0</v>
          </cell>
          <cell r="N3748">
            <v>0</v>
          </cell>
          <cell r="O3748">
            <v>0</v>
          </cell>
        </row>
        <row r="3749">
          <cell r="A3749" t="str">
            <v>SBI India JVGECIS INTERCO CHARGES</v>
          </cell>
          <cell r="B3749">
            <v>0</v>
          </cell>
          <cell r="C3749">
            <v>0</v>
          </cell>
          <cell r="D3749">
            <v>0</v>
          </cell>
          <cell r="E3749">
            <v>0</v>
          </cell>
          <cell r="F3749">
            <v>0</v>
          </cell>
          <cell r="G3749">
            <v>0</v>
          </cell>
          <cell r="H3749">
            <v>0</v>
          </cell>
          <cell r="I3749">
            <v>0</v>
          </cell>
          <cell r="J3749">
            <v>0</v>
          </cell>
          <cell r="K3749">
            <v>0</v>
          </cell>
          <cell r="L3749">
            <v>0</v>
          </cell>
          <cell r="M3749">
            <v>0</v>
          </cell>
          <cell r="N3749">
            <v>0</v>
          </cell>
          <cell r="O3749">
            <v>0</v>
          </cell>
        </row>
        <row r="3750">
          <cell r="A3750" t="str">
            <v>SBI India JVLOSS ADJUSTED EXPENSE</v>
          </cell>
          <cell r="B3750">
            <v>0</v>
          </cell>
          <cell r="C3750">
            <v>0</v>
          </cell>
          <cell r="D3750">
            <v>0</v>
          </cell>
          <cell r="E3750">
            <v>0</v>
          </cell>
          <cell r="F3750">
            <v>0</v>
          </cell>
          <cell r="G3750">
            <v>0</v>
          </cell>
          <cell r="H3750">
            <v>0</v>
          </cell>
          <cell r="I3750">
            <v>0</v>
          </cell>
          <cell r="J3750">
            <v>0</v>
          </cell>
          <cell r="K3750">
            <v>0</v>
          </cell>
          <cell r="L3750">
            <v>0</v>
          </cell>
          <cell r="M3750">
            <v>0</v>
          </cell>
          <cell r="N3750">
            <v>0</v>
          </cell>
          <cell r="O3750">
            <v>0</v>
          </cell>
        </row>
        <row r="3751">
          <cell r="A3751" t="str">
            <v>SBI India JVALL OTHER EXPENSES</v>
          </cell>
          <cell r="B3751">
            <v>0</v>
          </cell>
          <cell r="C3751">
            <v>0</v>
          </cell>
          <cell r="D3751">
            <v>0</v>
          </cell>
          <cell r="E3751">
            <v>0</v>
          </cell>
          <cell r="F3751">
            <v>0</v>
          </cell>
          <cell r="G3751">
            <v>0</v>
          </cell>
          <cell r="H3751">
            <v>0</v>
          </cell>
          <cell r="I3751">
            <v>0</v>
          </cell>
          <cell r="J3751">
            <v>0</v>
          </cell>
          <cell r="K3751">
            <v>0</v>
          </cell>
          <cell r="L3751">
            <v>0</v>
          </cell>
          <cell r="M3751">
            <v>0</v>
          </cell>
          <cell r="N3751">
            <v>0</v>
          </cell>
          <cell r="O3751">
            <v>0</v>
          </cell>
        </row>
        <row r="3752">
          <cell r="A3752" t="str">
            <v>SBI India JVASSESSMENTS</v>
          </cell>
          <cell r="B3752">
            <v>4375.8500000000004</v>
          </cell>
          <cell r="C3752">
            <v>12748.03</v>
          </cell>
          <cell r="D3752">
            <v>-17992.91</v>
          </cell>
          <cell r="E3752">
            <v>4964.88</v>
          </cell>
          <cell r="F3752">
            <v>4095.85</v>
          </cell>
          <cell r="G3752">
            <v>48000</v>
          </cell>
          <cell r="H3752">
            <v>48000</v>
          </cell>
          <cell r="I3752">
            <v>48000</v>
          </cell>
          <cell r="J3752">
            <v>48000</v>
          </cell>
          <cell r="K3752">
            <v>192000</v>
          </cell>
          <cell r="L3752">
            <v>4246.3500000000004</v>
          </cell>
          <cell r="M3752">
            <v>670000</v>
          </cell>
          <cell r="N3752">
            <v>950000</v>
          </cell>
          <cell r="O3752">
            <v>1000000</v>
          </cell>
        </row>
        <row r="3753">
          <cell r="A3753" t="str">
            <v>SBI India JVFAS 91</v>
          </cell>
          <cell r="B3753">
            <v>0</v>
          </cell>
          <cell r="C3753">
            <v>0</v>
          </cell>
          <cell r="D3753">
            <v>0</v>
          </cell>
          <cell r="E3753">
            <v>0</v>
          </cell>
          <cell r="F3753">
            <v>0</v>
          </cell>
          <cell r="G3753">
            <v>0</v>
          </cell>
          <cell r="H3753">
            <v>0</v>
          </cell>
          <cell r="I3753">
            <v>0</v>
          </cell>
          <cell r="J3753">
            <v>0</v>
          </cell>
          <cell r="K3753">
            <v>0</v>
          </cell>
          <cell r="L3753">
            <v>0</v>
          </cell>
          <cell r="M3753">
            <v>0</v>
          </cell>
          <cell r="N3753">
            <v>0</v>
          </cell>
          <cell r="O3753">
            <v>0</v>
          </cell>
        </row>
        <row r="3754">
          <cell r="A3754" t="str">
            <v>SBI India JVGOODWILL AMORTIZATION</v>
          </cell>
          <cell r="B3754">
            <v>0</v>
          </cell>
          <cell r="C3754">
            <v>0</v>
          </cell>
          <cell r="D3754">
            <v>0</v>
          </cell>
          <cell r="E3754">
            <v>0</v>
          </cell>
          <cell r="F3754">
            <v>0</v>
          </cell>
          <cell r="G3754">
            <v>0</v>
          </cell>
          <cell r="H3754">
            <v>0</v>
          </cell>
          <cell r="I3754">
            <v>0</v>
          </cell>
          <cell r="J3754">
            <v>0</v>
          </cell>
          <cell r="K3754">
            <v>0</v>
          </cell>
          <cell r="L3754">
            <v>0</v>
          </cell>
          <cell r="M3754">
            <v>0</v>
          </cell>
          <cell r="N3754">
            <v>0</v>
          </cell>
          <cell r="O3754">
            <v>0</v>
          </cell>
        </row>
        <row r="3755">
          <cell r="A3755" t="str">
            <v>SBI India JVDEPRECIATION EXPENSE</v>
          </cell>
          <cell r="B3755">
            <v>0</v>
          </cell>
          <cell r="C3755">
            <v>0</v>
          </cell>
          <cell r="D3755">
            <v>0</v>
          </cell>
          <cell r="E3755">
            <v>0</v>
          </cell>
          <cell r="F3755">
            <v>0</v>
          </cell>
          <cell r="G3755">
            <v>0</v>
          </cell>
          <cell r="H3755">
            <v>0</v>
          </cell>
          <cell r="I3755">
            <v>0</v>
          </cell>
          <cell r="J3755">
            <v>0</v>
          </cell>
          <cell r="K3755">
            <v>0</v>
          </cell>
          <cell r="L3755">
            <v>0</v>
          </cell>
          <cell r="M3755">
            <v>0</v>
          </cell>
          <cell r="N3755">
            <v>0</v>
          </cell>
          <cell r="O3755">
            <v>0</v>
          </cell>
        </row>
        <row r="3756">
          <cell r="A3756" t="str">
            <v>SBI India JVELTO AMORTIZATION</v>
          </cell>
          <cell r="B3756">
            <v>0</v>
          </cell>
          <cell r="C3756">
            <v>0</v>
          </cell>
          <cell r="D3756">
            <v>0</v>
          </cell>
          <cell r="E3756">
            <v>0</v>
          </cell>
          <cell r="F3756">
            <v>0</v>
          </cell>
          <cell r="G3756">
            <v>0</v>
          </cell>
          <cell r="H3756">
            <v>0</v>
          </cell>
          <cell r="I3756">
            <v>0</v>
          </cell>
          <cell r="J3756">
            <v>0</v>
          </cell>
          <cell r="K3756">
            <v>0</v>
          </cell>
          <cell r="L3756">
            <v>0</v>
          </cell>
          <cell r="M3756">
            <v>0</v>
          </cell>
          <cell r="N3756">
            <v>0</v>
          </cell>
          <cell r="O3756">
            <v>0</v>
          </cell>
        </row>
        <row r="3757">
          <cell r="A3757" t="str">
            <v>SBI India JVINSURANCE LOSSES AND BENEFITS</v>
          </cell>
          <cell r="B3757">
            <v>0</v>
          </cell>
          <cell r="C3757">
            <v>0</v>
          </cell>
          <cell r="D3757">
            <v>0</v>
          </cell>
          <cell r="E3757">
            <v>0</v>
          </cell>
          <cell r="F3757">
            <v>0</v>
          </cell>
          <cell r="G3757">
            <v>0</v>
          </cell>
          <cell r="H3757">
            <v>0</v>
          </cell>
          <cell r="I3757">
            <v>0</v>
          </cell>
          <cell r="J3757">
            <v>0</v>
          </cell>
          <cell r="K3757">
            <v>0</v>
          </cell>
          <cell r="L3757">
            <v>0</v>
          </cell>
          <cell r="M3757">
            <v>0</v>
          </cell>
          <cell r="N3757">
            <v>0</v>
          </cell>
          <cell r="O3757">
            <v>0</v>
          </cell>
        </row>
        <row r="3758">
          <cell r="A3758" t="str">
            <v>SBI India JVWRITE OFFS</v>
          </cell>
          <cell r="B3758">
            <v>0</v>
          </cell>
          <cell r="C3758">
            <v>0</v>
          </cell>
          <cell r="D3758">
            <v>0</v>
          </cell>
          <cell r="E3758">
            <v>0</v>
          </cell>
          <cell r="F3758">
            <v>0</v>
          </cell>
          <cell r="G3758">
            <v>0</v>
          </cell>
          <cell r="H3758">
            <v>0</v>
          </cell>
          <cell r="I3758">
            <v>0</v>
          </cell>
          <cell r="J3758">
            <v>0</v>
          </cell>
          <cell r="K3758">
            <v>0</v>
          </cell>
          <cell r="L3758">
            <v>0</v>
          </cell>
          <cell r="M3758">
            <v>0</v>
          </cell>
          <cell r="N3758">
            <v>0</v>
          </cell>
          <cell r="O3758">
            <v>0</v>
          </cell>
        </row>
        <row r="3759">
          <cell r="A3759" t="str">
            <v>SBI India JVRESERVE CHANGE</v>
          </cell>
          <cell r="B3759">
            <v>0</v>
          </cell>
          <cell r="C3759">
            <v>0</v>
          </cell>
          <cell r="D3759">
            <v>0</v>
          </cell>
          <cell r="E3759">
            <v>0</v>
          </cell>
          <cell r="F3759">
            <v>0</v>
          </cell>
          <cell r="G3759">
            <v>0</v>
          </cell>
          <cell r="H3759">
            <v>0</v>
          </cell>
          <cell r="I3759">
            <v>0</v>
          </cell>
          <cell r="J3759">
            <v>0</v>
          </cell>
          <cell r="K3759">
            <v>0</v>
          </cell>
          <cell r="L3759">
            <v>0</v>
          </cell>
          <cell r="M3759">
            <v>0</v>
          </cell>
          <cell r="N3759">
            <v>0</v>
          </cell>
          <cell r="O3759">
            <v>0</v>
          </cell>
        </row>
        <row r="3760">
          <cell r="A3760" t="str">
            <v>SBI India JVMINORITY INTEREST</v>
          </cell>
          <cell r="B3760">
            <v>0</v>
          </cell>
          <cell r="C3760">
            <v>0</v>
          </cell>
          <cell r="D3760">
            <v>0</v>
          </cell>
          <cell r="E3760">
            <v>0</v>
          </cell>
          <cell r="F3760">
            <v>0</v>
          </cell>
          <cell r="G3760">
            <v>0</v>
          </cell>
          <cell r="H3760">
            <v>0</v>
          </cell>
          <cell r="I3760">
            <v>0</v>
          </cell>
          <cell r="J3760">
            <v>0</v>
          </cell>
          <cell r="K3760">
            <v>0</v>
          </cell>
          <cell r="L3760">
            <v>0</v>
          </cell>
          <cell r="M3760">
            <v>0</v>
          </cell>
          <cell r="N3760">
            <v>0</v>
          </cell>
          <cell r="O3760">
            <v>0</v>
          </cell>
        </row>
        <row r="3761">
          <cell r="A3761" t="str">
            <v>SBI India JVINCOME TAXES</v>
          </cell>
          <cell r="B3761">
            <v>-220974.78</v>
          </cell>
          <cell r="C3761">
            <v>-96309.22</v>
          </cell>
          <cell r="D3761">
            <v>-2502.87</v>
          </cell>
          <cell r="E3761">
            <v>-108538.43</v>
          </cell>
          <cell r="F3761">
            <v>-428325.3</v>
          </cell>
          <cell r="G3761">
            <v>142000</v>
          </cell>
          <cell r="H3761">
            <v>305000</v>
          </cell>
          <cell r="I3761">
            <v>466000</v>
          </cell>
          <cell r="J3761">
            <v>678000</v>
          </cell>
          <cell r="K3761">
            <v>1591000</v>
          </cell>
          <cell r="L3761">
            <v>198556.93</v>
          </cell>
          <cell r="M3761">
            <v>1611190</v>
          </cell>
          <cell r="N3761">
            <v>3225180</v>
          </cell>
          <cell r="O3761">
            <v>5389440</v>
          </cell>
        </row>
        <row r="3762">
          <cell r="A3762" t="str">
            <v>SBI India JVCUMULATIVE TRANSITION ADJUSTMENT</v>
          </cell>
          <cell r="B3762">
            <v>0</v>
          </cell>
          <cell r="C3762">
            <v>0</v>
          </cell>
          <cell r="D3762">
            <v>0</v>
          </cell>
          <cell r="E3762">
            <v>0</v>
          </cell>
          <cell r="F3762">
            <v>0</v>
          </cell>
          <cell r="G3762">
            <v>0</v>
          </cell>
          <cell r="H3762">
            <v>0</v>
          </cell>
          <cell r="I3762">
            <v>0</v>
          </cell>
          <cell r="J3762">
            <v>0</v>
          </cell>
          <cell r="K3762">
            <v>0</v>
          </cell>
          <cell r="L3762">
            <v>0</v>
          </cell>
          <cell r="M3762">
            <v>0</v>
          </cell>
          <cell r="N3762">
            <v>0</v>
          </cell>
          <cell r="O3762">
            <v>0</v>
          </cell>
        </row>
        <row r="3763">
          <cell r="A3763" t="str">
            <v>SBI India JVASIA PACIFIC NI DIVIDEND</v>
          </cell>
          <cell r="B3763">
            <v>0</v>
          </cell>
          <cell r="C3763">
            <v>0</v>
          </cell>
          <cell r="D3763">
            <v>0</v>
          </cell>
          <cell r="E3763">
            <v>0</v>
          </cell>
          <cell r="F3763">
            <v>0</v>
          </cell>
          <cell r="G3763">
            <v>0</v>
          </cell>
          <cell r="H3763">
            <v>0</v>
          </cell>
          <cell r="I3763">
            <v>0</v>
          </cell>
          <cell r="J3763">
            <v>0</v>
          </cell>
          <cell r="K3763">
            <v>0</v>
          </cell>
          <cell r="L3763">
            <v>0</v>
          </cell>
          <cell r="M3763">
            <v>0</v>
          </cell>
          <cell r="N3763">
            <v>0</v>
          </cell>
          <cell r="O3763">
            <v>0</v>
          </cell>
        </row>
        <row r="3764">
          <cell r="A3764" t="str">
            <v>SBI India JVNet Income</v>
          </cell>
          <cell r="B3764">
            <v>413852.02</v>
          </cell>
          <cell r="C3764">
            <v>176584.39</v>
          </cell>
          <cell r="D3764">
            <v>5060.78</v>
          </cell>
          <cell r="E3764">
            <v>201815.49</v>
          </cell>
          <cell r="F3764">
            <v>797312.68</v>
          </cell>
          <cell r="G3764">
            <v>-263000</v>
          </cell>
          <cell r="H3764">
            <v>-566000</v>
          </cell>
          <cell r="I3764">
            <v>-866000</v>
          </cell>
          <cell r="J3764">
            <v>-1259000</v>
          </cell>
          <cell r="K3764">
            <v>-2954000</v>
          </cell>
          <cell r="L3764">
            <v>-368457.88</v>
          </cell>
          <cell r="M3764">
            <v>-2992210</v>
          </cell>
          <cell r="N3764">
            <v>-5989620</v>
          </cell>
          <cell r="O3764">
            <v>-10008960</v>
          </cell>
        </row>
        <row r="3765">
          <cell r="A3765" t="str">
            <v>SBI India JVSubPart F</v>
          </cell>
          <cell r="B3765">
            <v>0</v>
          </cell>
          <cell r="C3765">
            <v>0</v>
          </cell>
          <cell r="D3765">
            <v>0</v>
          </cell>
          <cell r="E3765">
            <v>0</v>
          </cell>
          <cell r="F3765">
            <v>0</v>
          </cell>
          <cell r="G3765">
            <v>0</v>
          </cell>
          <cell r="H3765">
            <v>0</v>
          </cell>
          <cell r="I3765">
            <v>0</v>
          </cell>
          <cell r="J3765">
            <v>0</v>
          </cell>
          <cell r="K3765">
            <v>0</v>
          </cell>
          <cell r="L3765">
            <v>0</v>
          </cell>
          <cell r="M3765">
            <v>0</v>
          </cell>
          <cell r="N3765">
            <v>0</v>
          </cell>
          <cell r="O3765">
            <v>0</v>
          </cell>
        </row>
        <row r="3766">
          <cell r="A3766" t="str">
            <v>SBI India JVAssets</v>
          </cell>
          <cell r="B3766">
            <v>944325.16</v>
          </cell>
          <cell r="C3766">
            <v>748755</v>
          </cell>
          <cell r="D3766">
            <v>664235.6</v>
          </cell>
          <cell r="E3766">
            <v>542019.99</v>
          </cell>
          <cell r="F3766">
            <v>542019.99</v>
          </cell>
          <cell r="G3766">
            <v>5331644</v>
          </cell>
          <cell r="H3766">
            <v>6570644</v>
          </cell>
          <cell r="I3766">
            <v>8276644</v>
          </cell>
          <cell r="J3766">
            <v>10591644</v>
          </cell>
          <cell r="K3766">
            <v>10591644</v>
          </cell>
          <cell r="L3766">
            <v>1231364.43</v>
          </cell>
          <cell r="M3766">
            <v>10582902</v>
          </cell>
          <cell r="N3766">
            <v>26207335</v>
          </cell>
          <cell r="O3766">
            <v>44433735</v>
          </cell>
        </row>
        <row r="3767">
          <cell r="A3767" t="str">
            <v>SBI India JVEnding Net Investment (ENI) incl Asia</v>
          </cell>
          <cell r="B3767">
            <v>4894852.45</v>
          </cell>
          <cell r="C3767">
            <v>4796608.93</v>
          </cell>
          <cell r="D3767">
            <v>4753154.1100000003</v>
          </cell>
          <cell r="E3767">
            <v>4697273.74</v>
          </cell>
          <cell r="F3767">
            <v>4697273.74</v>
          </cell>
          <cell r="G3767">
            <v>9244674</v>
          </cell>
          <cell r="H3767">
            <v>10178824</v>
          </cell>
          <cell r="I3767">
            <v>11418624</v>
          </cell>
          <cell r="J3767">
            <v>13055674</v>
          </cell>
          <cell r="K3767">
            <v>13055674</v>
          </cell>
          <cell r="L3767">
            <v>5062905.3</v>
          </cell>
          <cell r="M3767">
            <v>13170902</v>
          </cell>
          <cell r="N3767">
            <v>25844205</v>
          </cell>
          <cell r="O3767">
            <v>39163465</v>
          </cell>
        </row>
        <row r="3768">
          <cell r="A3768" t="str">
            <v>SBI India JVANR YTD</v>
          </cell>
          <cell r="B3768">
            <v>0</v>
          </cell>
          <cell r="C3768">
            <v>0</v>
          </cell>
          <cell r="D3768">
            <v>0</v>
          </cell>
          <cell r="E3768">
            <v>0</v>
          </cell>
          <cell r="F3768">
            <v>0</v>
          </cell>
          <cell r="G3768">
            <v>0</v>
          </cell>
          <cell r="H3768">
            <v>0</v>
          </cell>
          <cell r="I3768">
            <v>0</v>
          </cell>
          <cell r="J3768">
            <v>0</v>
          </cell>
          <cell r="K3768">
            <v>0</v>
          </cell>
          <cell r="L3768">
            <v>0</v>
          </cell>
          <cell r="M3768">
            <v>0</v>
          </cell>
          <cell r="N3768">
            <v>0</v>
          </cell>
          <cell r="O3768">
            <v>0</v>
          </cell>
        </row>
        <row r="3769">
          <cell r="A3769" t="str">
            <v>SBI India JVASA YTD</v>
          </cell>
          <cell r="B3769">
            <v>0</v>
          </cell>
          <cell r="C3769">
            <v>0</v>
          </cell>
          <cell r="D3769">
            <v>0</v>
          </cell>
          <cell r="E3769">
            <v>0</v>
          </cell>
          <cell r="F3769">
            <v>0</v>
          </cell>
          <cell r="G3769">
            <v>0</v>
          </cell>
          <cell r="H3769">
            <v>0</v>
          </cell>
          <cell r="I3769">
            <v>0</v>
          </cell>
          <cell r="J3769">
            <v>0</v>
          </cell>
          <cell r="K3769">
            <v>0</v>
          </cell>
          <cell r="L3769">
            <v>0</v>
          </cell>
          <cell r="M3769">
            <v>0</v>
          </cell>
          <cell r="N3769">
            <v>0</v>
          </cell>
          <cell r="O3769">
            <v>0</v>
          </cell>
        </row>
        <row r="3770">
          <cell r="A3770" t="str">
            <v>SBI India JVANI YTD incl Asia - 5 pt</v>
          </cell>
          <cell r="B3770">
            <v>5182964.4950000001</v>
          </cell>
          <cell r="C3770">
            <v>5054179.3066670001</v>
          </cell>
          <cell r="D3770">
            <v>4978923.0075000003</v>
          </cell>
          <cell r="E3770">
            <v>4922593.1540000001</v>
          </cell>
          <cell r="F3770">
            <v>4922593.1540000001</v>
          </cell>
          <cell r="G3770">
            <v>6970973.8700000001</v>
          </cell>
          <cell r="H3770">
            <v>8040257.2466670005</v>
          </cell>
          <cell r="I3770">
            <v>8884848.9350000005</v>
          </cell>
          <cell r="J3770">
            <v>9719013.9480000008</v>
          </cell>
          <cell r="K3770">
            <v>9719013.9480000008</v>
          </cell>
          <cell r="L3770">
            <v>4880089.5199999996</v>
          </cell>
          <cell r="M3770">
            <v>4442838</v>
          </cell>
          <cell r="N3770">
            <v>7803021.4000000004</v>
          </cell>
          <cell r="O3770">
            <v>13001534</v>
          </cell>
        </row>
        <row r="3771">
          <cell r="A3771" t="str">
            <v>SBI India JVOff Balance Sheet Assets</v>
          </cell>
          <cell r="B3771">
            <v>0</v>
          </cell>
          <cell r="C3771">
            <v>0</v>
          </cell>
          <cell r="D3771">
            <v>0</v>
          </cell>
          <cell r="E3771">
            <v>0</v>
          </cell>
          <cell r="F3771">
            <v>0</v>
          </cell>
          <cell r="G3771">
            <v>0</v>
          </cell>
          <cell r="H3771">
            <v>0</v>
          </cell>
          <cell r="I3771">
            <v>0</v>
          </cell>
          <cell r="J3771">
            <v>0</v>
          </cell>
          <cell r="K3771">
            <v>0</v>
          </cell>
          <cell r="L3771">
            <v>0</v>
          </cell>
          <cell r="M3771">
            <v>0</v>
          </cell>
          <cell r="N3771">
            <v>0</v>
          </cell>
          <cell r="O3771">
            <v>0</v>
          </cell>
        </row>
        <row r="3772">
          <cell r="A3772" t="str">
            <v>SBI India JVJV Receivables</v>
          </cell>
          <cell r="B3772">
            <v>0</v>
          </cell>
          <cell r="C3772">
            <v>0</v>
          </cell>
          <cell r="D3772">
            <v>0</v>
          </cell>
          <cell r="E3772">
            <v>0</v>
          </cell>
          <cell r="F3772">
            <v>0</v>
          </cell>
          <cell r="G3772">
            <v>0</v>
          </cell>
          <cell r="H3772">
            <v>0</v>
          </cell>
          <cell r="I3772">
            <v>0</v>
          </cell>
          <cell r="J3772">
            <v>0</v>
          </cell>
          <cell r="K3772">
            <v>0</v>
          </cell>
          <cell r="L3772">
            <v>89510500</v>
          </cell>
          <cell r="M3772">
            <v>0</v>
          </cell>
          <cell r="N3772">
            <v>0</v>
          </cell>
          <cell r="O3772">
            <v>0</v>
          </cell>
        </row>
        <row r="3773">
          <cell r="A3773" t="str">
            <v>SBI India JV30+ DELINQUENCY $</v>
          </cell>
          <cell r="B3773">
            <v>0</v>
          </cell>
          <cell r="C3773">
            <v>0</v>
          </cell>
          <cell r="D3773">
            <v>0</v>
          </cell>
          <cell r="E3773">
            <v>0</v>
          </cell>
          <cell r="F3773">
            <v>0</v>
          </cell>
          <cell r="G3773">
            <v>3174060</v>
          </cell>
          <cell r="H3773">
            <v>3430480</v>
          </cell>
          <cell r="I3773">
            <v>3784350</v>
          </cell>
          <cell r="J3773">
            <v>4266030</v>
          </cell>
          <cell r="K3773">
            <v>4266030</v>
          </cell>
          <cell r="L3773">
            <v>0</v>
          </cell>
          <cell r="M3773">
            <v>11324334</v>
          </cell>
          <cell r="N3773">
            <v>18326246</v>
          </cell>
          <cell r="O3773">
            <v>27157680</v>
          </cell>
        </row>
        <row r="3774">
          <cell r="A3774" t="str">
            <v>SBI India JV90+ DELINQUENCY $</v>
          </cell>
          <cell r="B3774">
            <v>0</v>
          </cell>
          <cell r="C3774">
            <v>0</v>
          </cell>
          <cell r="D3774">
            <v>0</v>
          </cell>
          <cell r="E3774">
            <v>0</v>
          </cell>
          <cell r="F3774">
            <v>0</v>
          </cell>
          <cell r="G3774">
            <v>892120</v>
          </cell>
          <cell r="H3774">
            <v>951130</v>
          </cell>
          <cell r="I3774">
            <v>1009970</v>
          </cell>
          <cell r="J3774">
            <v>1135760</v>
          </cell>
          <cell r="K3774">
            <v>1135760</v>
          </cell>
          <cell r="L3774">
            <v>0</v>
          </cell>
          <cell r="M3774">
            <v>3747621</v>
          </cell>
          <cell r="N3774">
            <v>6149747</v>
          </cell>
          <cell r="O3774">
            <v>9699171</v>
          </cell>
        </row>
        <row r="3775">
          <cell r="A3775" t="str">
            <v>SBI India JVTemporary Staff</v>
          </cell>
          <cell r="B3775">
            <v>0</v>
          </cell>
          <cell r="C3775">
            <v>0</v>
          </cell>
          <cell r="D3775">
            <v>0</v>
          </cell>
          <cell r="E3775">
            <v>0</v>
          </cell>
          <cell r="F3775">
            <v>0</v>
          </cell>
          <cell r="G3775">
            <v>0</v>
          </cell>
          <cell r="H3775">
            <v>0</v>
          </cell>
          <cell r="I3775">
            <v>0</v>
          </cell>
          <cell r="J3775">
            <v>0</v>
          </cell>
          <cell r="K3775">
            <v>0</v>
          </cell>
          <cell r="L3775">
            <v>0</v>
          </cell>
          <cell r="M3775">
            <v>0</v>
          </cell>
          <cell r="N3775">
            <v>0</v>
          </cell>
          <cell r="O3775">
            <v>0</v>
          </cell>
        </row>
        <row r="3776">
          <cell r="A3776" t="str">
            <v>SBI India JVContractors</v>
          </cell>
          <cell r="B3776">
            <v>0</v>
          </cell>
          <cell r="C3776">
            <v>0</v>
          </cell>
          <cell r="D3776">
            <v>0</v>
          </cell>
          <cell r="E3776">
            <v>0</v>
          </cell>
          <cell r="F3776">
            <v>0</v>
          </cell>
          <cell r="G3776">
            <v>0</v>
          </cell>
          <cell r="H3776">
            <v>0</v>
          </cell>
          <cell r="I3776">
            <v>0</v>
          </cell>
          <cell r="J3776">
            <v>0</v>
          </cell>
          <cell r="K3776">
            <v>0</v>
          </cell>
          <cell r="L3776">
            <v>0</v>
          </cell>
          <cell r="M3776">
            <v>0</v>
          </cell>
          <cell r="N3776">
            <v>0</v>
          </cell>
          <cell r="O3776">
            <v>0</v>
          </cell>
        </row>
        <row r="3777">
          <cell r="A3777" t="str">
            <v>SBI India JVOutsourced to LCC</v>
          </cell>
          <cell r="B3777">
            <v>0</v>
          </cell>
          <cell r="C3777">
            <v>0</v>
          </cell>
          <cell r="D3777">
            <v>0</v>
          </cell>
          <cell r="E3777">
            <v>0</v>
          </cell>
          <cell r="F3777">
            <v>0</v>
          </cell>
          <cell r="G3777">
            <v>0</v>
          </cell>
          <cell r="H3777">
            <v>0</v>
          </cell>
          <cell r="I3777">
            <v>0</v>
          </cell>
          <cell r="J3777">
            <v>0</v>
          </cell>
          <cell r="K3777">
            <v>0</v>
          </cell>
          <cell r="L3777">
            <v>0</v>
          </cell>
          <cell r="M3777">
            <v>0</v>
          </cell>
          <cell r="N3777">
            <v>0</v>
          </cell>
          <cell r="O3777">
            <v>0</v>
          </cell>
        </row>
        <row r="3778">
          <cell r="A3778" t="str">
            <v>SBI India JVTotal Headcount</v>
          </cell>
          <cell r="B3778">
            <v>0</v>
          </cell>
          <cell r="C3778">
            <v>0</v>
          </cell>
          <cell r="D3778">
            <v>0</v>
          </cell>
          <cell r="E3778">
            <v>0</v>
          </cell>
          <cell r="F3778">
            <v>0</v>
          </cell>
          <cell r="G3778">
            <v>0</v>
          </cell>
          <cell r="H3778">
            <v>0</v>
          </cell>
          <cell r="I3778">
            <v>0</v>
          </cell>
          <cell r="J3778">
            <v>0</v>
          </cell>
          <cell r="K3778">
            <v>0</v>
          </cell>
          <cell r="L3778">
            <v>0</v>
          </cell>
          <cell r="M3778">
            <v>0</v>
          </cell>
          <cell r="N3778">
            <v>0</v>
          </cell>
          <cell r="O3778">
            <v>0</v>
          </cell>
        </row>
        <row r="3779">
          <cell r="A3779" t="str">
            <v>SBI India JVTotal Workforce</v>
          </cell>
          <cell r="B3779">
            <v>0</v>
          </cell>
          <cell r="C3779">
            <v>0</v>
          </cell>
          <cell r="D3779">
            <v>0</v>
          </cell>
          <cell r="E3779">
            <v>0</v>
          </cell>
          <cell r="F3779">
            <v>0</v>
          </cell>
          <cell r="G3779">
            <v>0</v>
          </cell>
          <cell r="H3779">
            <v>0</v>
          </cell>
          <cell r="I3779">
            <v>0</v>
          </cell>
          <cell r="J3779">
            <v>0</v>
          </cell>
          <cell r="K3779">
            <v>0</v>
          </cell>
          <cell r="L3779">
            <v>0</v>
          </cell>
          <cell r="M3779">
            <v>0</v>
          </cell>
          <cell r="N3779">
            <v>0</v>
          </cell>
          <cell r="O3779">
            <v>0</v>
          </cell>
        </row>
        <row r="3780">
          <cell r="A3780" t="str">
            <v>SBI India JVTotal Earned Revenue</v>
          </cell>
          <cell r="B3780">
            <v>537916.88</v>
          </cell>
          <cell r="C3780">
            <v>190405.73</v>
          </cell>
          <cell r="D3780">
            <v>73514.13</v>
          </cell>
          <cell r="E3780">
            <v>123922.85</v>
          </cell>
          <cell r="F3780">
            <v>925759.59</v>
          </cell>
          <cell r="G3780">
            <v>-770000</v>
          </cell>
          <cell r="H3780">
            <v>-1239000</v>
          </cell>
          <cell r="I3780">
            <v>-1706000</v>
          </cell>
          <cell r="J3780">
            <v>-2315000</v>
          </cell>
          <cell r="K3780">
            <v>-6030000</v>
          </cell>
          <cell r="L3780">
            <v>-706106.1</v>
          </cell>
          <cell r="M3780">
            <v>-6056400</v>
          </cell>
          <cell r="N3780">
            <v>-11542800</v>
          </cell>
          <cell r="O3780">
            <v>-18226400</v>
          </cell>
        </row>
        <row r="3781">
          <cell r="A3781" t="str">
            <v>SBI India JVOrdinary Gains - PreTax</v>
          </cell>
          <cell r="B3781">
            <v>0</v>
          </cell>
          <cell r="C3781">
            <v>0</v>
          </cell>
          <cell r="D3781">
            <v>0</v>
          </cell>
          <cell r="E3781">
            <v>0</v>
          </cell>
          <cell r="F3781">
            <v>0</v>
          </cell>
          <cell r="G3781">
            <v>0</v>
          </cell>
          <cell r="H3781">
            <v>0</v>
          </cell>
          <cell r="I3781">
            <v>0</v>
          </cell>
          <cell r="J3781">
            <v>0</v>
          </cell>
          <cell r="K3781">
            <v>0</v>
          </cell>
          <cell r="L3781">
            <v>0</v>
          </cell>
          <cell r="M3781">
            <v>0</v>
          </cell>
          <cell r="N3781">
            <v>0</v>
          </cell>
          <cell r="O3781">
            <v>0</v>
          </cell>
        </row>
        <row r="3782">
          <cell r="A3782" t="str">
            <v>SBI India JVOrdinary Gains - AfterTax</v>
          </cell>
          <cell r="B3782">
            <v>0</v>
          </cell>
          <cell r="C3782">
            <v>0</v>
          </cell>
          <cell r="D3782">
            <v>0</v>
          </cell>
          <cell r="E3782">
            <v>0</v>
          </cell>
          <cell r="F3782">
            <v>0</v>
          </cell>
          <cell r="G3782">
            <v>0</v>
          </cell>
          <cell r="H3782">
            <v>0</v>
          </cell>
          <cell r="I3782">
            <v>0</v>
          </cell>
          <cell r="J3782">
            <v>0</v>
          </cell>
          <cell r="K3782">
            <v>0</v>
          </cell>
          <cell r="L3782">
            <v>0</v>
          </cell>
          <cell r="M3782">
            <v>0</v>
          </cell>
          <cell r="N3782">
            <v>0</v>
          </cell>
          <cell r="O3782">
            <v>0</v>
          </cell>
        </row>
        <row r="3783">
          <cell r="A3783" t="str">
            <v>SBI India JVTotal Volume</v>
          </cell>
          <cell r="B3783">
            <v>0</v>
          </cell>
          <cell r="C3783">
            <v>0</v>
          </cell>
          <cell r="D3783">
            <v>0</v>
          </cell>
          <cell r="E3783">
            <v>0</v>
          </cell>
          <cell r="F3783">
            <v>0</v>
          </cell>
          <cell r="G3783">
            <v>0</v>
          </cell>
          <cell r="H3783">
            <v>0</v>
          </cell>
          <cell r="I3783">
            <v>0</v>
          </cell>
          <cell r="J3783">
            <v>0</v>
          </cell>
          <cell r="K3783">
            <v>0</v>
          </cell>
          <cell r="L3783">
            <v>0</v>
          </cell>
          <cell r="M3783">
            <v>0</v>
          </cell>
          <cell r="N3783">
            <v>0</v>
          </cell>
          <cell r="O3783">
            <v>0</v>
          </cell>
        </row>
        <row r="3784">
          <cell r="A3784" t="str">
            <v>SBI India JVTOTAL # ACTIVE ACCOUNTS</v>
          </cell>
          <cell r="B3784">
            <v>0</v>
          </cell>
          <cell r="C3784">
            <v>0</v>
          </cell>
          <cell r="D3784">
            <v>0</v>
          </cell>
          <cell r="E3784">
            <v>0</v>
          </cell>
          <cell r="F3784">
            <v>0</v>
          </cell>
          <cell r="G3784">
            <v>0</v>
          </cell>
          <cell r="H3784">
            <v>0</v>
          </cell>
          <cell r="I3784">
            <v>0</v>
          </cell>
          <cell r="J3784">
            <v>0</v>
          </cell>
          <cell r="K3784">
            <v>0</v>
          </cell>
          <cell r="L3784">
            <v>0</v>
          </cell>
          <cell r="M3784">
            <v>0</v>
          </cell>
          <cell r="N3784">
            <v>0</v>
          </cell>
          <cell r="O3784">
            <v>0</v>
          </cell>
        </row>
        <row r="3785">
          <cell r="A3785" t="str">
            <v>SingaporeTOTAL FINANCING RECEIVABLES</v>
          </cell>
          <cell r="B3785">
            <v>0</v>
          </cell>
          <cell r="C3785">
            <v>0</v>
          </cell>
          <cell r="D3785">
            <v>0</v>
          </cell>
          <cell r="E3785">
            <v>0</v>
          </cell>
          <cell r="F3785">
            <v>0</v>
          </cell>
          <cell r="G3785">
            <v>0</v>
          </cell>
          <cell r="H3785">
            <v>0</v>
          </cell>
          <cell r="I3785">
            <v>0</v>
          </cell>
          <cell r="J3785">
            <v>0</v>
          </cell>
          <cell r="K3785">
            <v>0</v>
          </cell>
          <cell r="L3785">
            <v>0</v>
          </cell>
          <cell r="M3785">
            <v>0</v>
          </cell>
          <cell r="N3785">
            <v>0</v>
          </cell>
          <cell r="O3785">
            <v>0</v>
          </cell>
        </row>
        <row r="3786">
          <cell r="A3786" t="str">
            <v>SingaporeRECEIVABLE RESERVES</v>
          </cell>
          <cell r="B3786">
            <v>0</v>
          </cell>
          <cell r="C3786">
            <v>0</v>
          </cell>
          <cell r="D3786">
            <v>0</v>
          </cell>
          <cell r="E3786">
            <v>0</v>
          </cell>
          <cell r="F3786">
            <v>0</v>
          </cell>
          <cell r="G3786">
            <v>0</v>
          </cell>
          <cell r="H3786">
            <v>0</v>
          </cell>
          <cell r="I3786">
            <v>0</v>
          </cell>
          <cell r="J3786">
            <v>0</v>
          </cell>
          <cell r="K3786">
            <v>0</v>
          </cell>
          <cell r="L3786">
            <v>0</v>
          </cell>
          <cell r="M3786">
            <v>0</v>
          </cell>
          <cell r="N3786">
            <v>0</v>
          </cell>
          <cell r="O3786">
            <v>0</v>
          </cell>
        </row>
        <row r="3787">
          <cell r="A3787" t="str">
            <v>SingaporeCASH</v>
          </cell>
          <cell r="B3787">
            <v>0</v>
          </cell>
          <cell r="C3787">
            <v>0</v>
          </cell>
          <cell r="D3787">
            <v>0</v>
          </cell>
          <cell r="E3787">
            <v>0</v>
          </cell>
          <cell r="F3787">
            <v>0</v>
          </cell>
          <cell r="G3787">
            <v>0</v>
          </cell>
          <cell r="H3787">
            <v>0</v>
          </cell>
          <cell r="I3787">
            <v>0</v>
          </cell>
          <cell r="J3787">
            <v>0</v>
          </cell>
          <cell r="K3787">
            <v>0</v>
          </cell>
          <cell r="L3787">
            <v>0</v>
          </cell>
          <cell r="M3787">
            <v>0</v>
          </cell>
          <cell r="N3787">
            <v>0</v>
          </cell>
          <cell r="O3787">
            <v>0</v>
          </cell>
        </row>
        <row r="3788">
          <cell r="A3788" t="str">
            <v>SingaporeINVESTMENT SECURITIES</v>
          </cell>
          <cell r="B3788">
            <v>0</v>
          </cell>
          <cell r="C3788">
            <v>0</v>
          </cell>
          <cell r="D3788">
            <v>0</v>
          </cell>
          <cell r="E3788">
            <v>0</v>
          </cell>
          <cell r="F3788">
            <v>0</v>
          </cell>
          <cell r="G3788">
            <v>0</v>
          </cell>
          <cell r="H3788">
            <v>0</v>
          </cell>
          <cell r="I3788">
            <v>0</v>
          </cell>
          <cell r="J3788">
            <v>0</v>
          </cell>
          <cell r="K3788">
            <v>0</v>
          </cell>
          <cell r="L3788">
            <v>0</v>
          </cell>
          <cell r="M3788">
            <v>0</v>
          </cell>
          <cell r="N3788">
            <v>0</v>
          </cell>
          <cell r="O3788">
            <v>0</v>
          </cell>
        </row>
        <row r="3789">
          <cell r="A3789" t="str">
            <v>SingaporeINV IN NON CONSOL AFFILIATES</v>
          </cell>
          <cell r="B3789">
            <v>0</v>
          </cell>
          <cell r="C3789">
            <v>0</v>
          </cell>
          <cell r="D3789">
            <v>0</v>
          </cell>
          <cell r="E3789">
            <v>0</v>
          </cell>
          <cell r="F3789">
            <v>0</v>
          </cell>
          <cell r="G3789">
            <v>0</v>
          </cell>
          <cell r="H3789">
            <v>0</v>
          </cell>
          <cell r="I3789">
            <v>0</v>
          </cell>
          <cell r="J3789">
            <v>0</v>
          </cell>
          <cell r="K3789">
            <v>0</v>
          </cell>
          <cell r="L3789">
            <v>0</v>
          </cell>
          <cell r="M3789">
            <v>0</v>
          </cell>
          <cell r="N3789">
            <v>0</v>
          </cell>
          <cell r="O3789">
            <v>0</v>
          </cell>
        </row>
        <row r="3790">
          <cell r="A3790" t="str">
            <v>SingaporeINVESTMENT IN JOINT VENTURE</v>
          </cell>
          <cell r="B3790">
            <v>0</v>
          </cell>
          <cell r="C3790">
            <v>0</v>
          </cell>
          <cell r="D3790">
            <v>0</v>
          </cell>
          <cell r="E3790">
            <v>0</v>
          </cell>
          <cell r="F3790">
            <v>0</v>
          </cell>
          <cell r="G3790">
            <v>0</v>
          </cell>
          <cell r="H3790">
            <v>0</v>
          </cell>
          <cell r="I3790">
            <v>0</v>
          </cell>
          <cell r="J3790">
            <v>0</v>
          </cell>
          <cell r="K3790">
            <v>0</v>
          </cell>
          <cell r="L3790">
            <v>0</v>
          </cell>
          <cell r="M3790">
            <v>0</v>
          </cell>
          <cell r="N3790">
            <v>0</v>
          </cell>
          <cell r="O3790">
            <v>0</v>
          </cell>
        </row>
        <row r="3791">
          <cell r="A3791" t="str">
            <v>SingaporeALL OTHER RECEIVABLES (NON-FINANCING)</v>
          </cell>
          <cell r="B3791">
            <v>0</v>
          </cell>
          <cell r="C3791">
            <v>0</v>
          </cell>
          <cell r="D3791">
            <v>0</v>
          </cell>
          <cell r="E3791">
            <v>0</v>
          </cell>
          <cell r="F3791">
            <v>0</v>
          </cell>
          <cell r="G3791">
            <v>0</v>
          </cell>
          <cell r="H3791">
            <v>0</v>
          </cell>
          <cell r="I3791">
            <v>0</v>
          </cell>
          <cell r="J3791">
            <v>0</v>
          </cell>
          <cell r="K3791">
            <v>0</v>
          </cell>
          <cell r="L3791">
            <v>0</v>
          </cell>
          <cell r="M3791">
            <v>0</v>
          </cell>
          <cell r="N3791">
            <v>0</v>
          </cell>
          <cell r="O3791">
            <v>0</v>
          </cell>
        </row>
        <row r="3792">
          <cell r="A3792" t="str">
            <v>SingaporeELTO (NET)</v>
          </cell>
          <cell r="B3792">
            <v>0</v>
          </cell>
          <cell r="C3792">
            <v>0</v>
          </cell>
          <cell r="D3792">
            <v>0</v>
          </cell>
          <cell r="E3792">
            <v>0</v>
          </cell>
          <cell r="F3792">
            <v>0</v>
          </cell>
          <cell r="G3792">
            <v>0</v>
          </cell>
          <cell r="H3792">
            <v>0</v>
          </cell>
          <cell r="I3792">
            <v>0</v>
          </cell>
          <cell r="J3792">
            <v>0</v>
          </cell>
          <cell r="K3792">
            <v>0</v>
          </cell>
          <cell r="L3792">
            <v>0</v>
          </cell>
          <cell r="M3792">
            <v>0</v>
          </cell>
          <cell r="N3792">
            <v>0</v>
          </cell>
          <cell r="O3792">
            <v>0</v>
          </cell>
        </row>
        <row r="3793">
          <cell r="A3793" t="str">
            <v>SingaporeGOODWILL</v>
          </cell>
          <cell r="B3793">
            <v>0</v>
          </cell>
          <cell r="C3793">
            <v>0</v>
          </cell>
          <cell r="D3793">
            <v>0</v>
          </cell>
          <cell r="E3793">
            <v>0</v>
          </cell>
          <cell r="F3793">
            <v>0</v>
          </cell>
          <cell r="G3793">
            <v>0</v>
          </cell>
          <cell r="H3793">
            <v>0</v>
          </cell>
          <cell r="I3793">
            <v>0</v>
          </cell>
          <cell r="J3793">
            <v>0</v>
          </cell>
          <cell r="K3793">
            <v>0</v>
          </cell>
          <cell r="L3793">
            <v>0</v>
          </cell>
          <cell r="M3793">
            <v>0</v>
          </cell>
          <cell r="N3793">
            <v>0</v>
          </cell>
          <cell r="O3793">
            <v>0</v>
          </cell>
        </row>
        <row r="3794">
          <cell r="A3794" t="str">
            <v>SingaporeOTHER ASSETS</v>
          </cell>
          <cell r="B3794">
            <v>0</v>
          </cell>
          <cell r="C3794">
            <v>0</v>
          </cell>
          <cell r="D3794">
            <v>0</v>
          </cell>
          <cell r="E3794">
            <v>0</v>
          </cell>
          <cell r="F3794">
            <v>0</v>
          </cell>
          <cell r="G3794">
            <v>0</v>
          </cell>
          <cell r="H3794">
            <v>0</v>
          </cell>
          <cell r="I3794">
            <v>0</v>
          </cell>
          <cell r="J3794">
            <v>0</v>
          </cell>
          <cell r="K3794">
            <v>0</v>
          </cell>
          <cell r="L3794">
            <v>0</v>
          </cell>
          <cell r="M3794">
            <v>0</v>
          </cell>
          <cell r="N3794">
            <v>0</v>
          </cell>
          <cell r="O3794">
            <v>0</v>
          </cell>
        </row>
        <row r="3795">
          <cell r="A3795" t="str">
            <v>SingaporeACCOUNTS PAYABLE</v>
          </cell>
          <cell r="B3795">
            <v>1497995.92</v>
          </cell>
          <cell r="C3795">
            <v>1498071.55</v>
          </cell>
          <cell r="D3795">
            <v>1498183.71</v>
          </cell>
          <cell r="E3795">
            <v>332615.56</v>
          </cell>
          <cell r="F3795">
            <v>332615.56</v>
          </cell>
          <cell r="G3795">
            <v>0</v>
          </cell>
          <cell r="H3795">
            <v>0</v>
          </cell>
          <cell r="I3795">
            <v>0</v>
          </cell>
          <cell r="J3795">
            <v>0</v>
          </cell>
          <cell r="K3795">
            <v>0</v>
          </cell>
          <cell r="L3795">
            <v>332622.96999999997</v>
          </cell>
          <cell r="M3795">
            <v>1346347</v>
          </cell>
          <cell r="N3795">
            <v>1346732</v>
          </cell>
          <cell r="O3795">
            <v>1347117</v>
          </cell>
        </row>
        <row r="3796">
          <cell r="A3796" t="str">
            <v>SingaporeDEFERRED INCOME TAXES</v>
          </cell>
          <cell r="B3796">
            <v>-246692.25</v>
          </cell>
          <cell r="C3796">
            <v>-246670.93</v>
          </cell>
          <cell r="D3796">
            <v>-246712.39</v>
          </cell>
          <cell r="E3796">
            <v>1181141.96</v>
          </cell>
          <cell r="F3796">
            <v>1181141.96</v>
          </cell>
          <cell r="G3796">
            <v>0</v>
          </cell>
          <cell r="H3796">
            <v>0</v>
          </cell>
          <cell r="I3796">
            <v>0</v>
          </cell>
          <cell r="J3796">
            <v>0</v>
          </cell>
          <cell r="K3796">
            <v>0</v>
          </cell>
          <cell r="L3796">
            <v>1181134.55</v>
          </cell>
          <cell r="M3796">
            <v>-246910</v>
          </cell>
          <cell r="N3796">
            <v>-246910</v>
          </cell>
          <cell r="O3796">
            <v>-246910</v>
          </cell>
        </row>
        <row r="3797">
          <cell r="A3797" t="str">
            <v>SingaporeWRITE-OFF (MEMO)</v>
          </cell>
          <cell r="B3797">
            <v>0</v>
          </cell>
          <cell r="C3797">
            <v>0</v>
          </cell>
          <cell r="D3797">
            <v>0</v>
          </cell>
          <cell r="E3797">
            <v>0</v>
          </cell>
          <cell r="F3797">
            <v>0</v>
          </cell>
          <cell r="G3797">
            <v>0</v>
          </cell>
          <cell r="H3797">
            <v>0</v>
          </cell>
          <cell r="I3797">
            <v>0</v>
          </cell>
          <cell r="J3797">
            <v>0</v>
          </cell>
          <cell r="K3797">
            <v>0</v>
          </cell>
          <cell r="L3797">
            <v>0</v>
          </cell>
          <cell r="M3797">
            <v>0</v>
          </cell>
          <cell r="N3797">
            <v>0</v>
          </cell>
          <cell r="O3797">
            <v>0</v>
          </cell>
        </row>
        <row r="3798">
          <cell r="A3798" t="str">
            <v>SingaporeINSURANCE RESERVES AND ANNUITY BENEFITS</v>
          </cell>
          <cell r="B3798">
            <v>0</v>
          </cell>
          <cell r="C3798">
            <v>0</v>
          </cell>
          <cell r="D3798">
            <v>0</v>
          </cell>
          <cell r="E3798">
            <v>0</v>
          </cell>
          <cell r="F3798">
            <v>0</v>
          </cell>
          <cell r="G3798">
            <v>0</v>
          </cell>
          <cell r="H3798">
            <v>0</v>
          </cell>
          <cell r="I3798">
            <v>0</v>
          </cell>
          <cell r="J3798">
            <v>0</v>
          </cell>
          <cell r="K3798">
            <v>0</v>
          </cell>
          <cell r="L3798">
            <v>0</v>
          </cell>
          <cell r="M3798">
            <v>0</v>
          </cell>
          <cell r="N3798">
            <v>0</v>
          </cell>
          <cell r="O3798">
            <v>0</v>
          </cell>
        </row>
        <row r="3799">
          <cell r="A3799" t="str">
            <v>SingaporeALL OTHER NON DEBT LIABILITIES</v>
          </cell>
          <cell r="B3799">
            <v>-0.26</v>
          </cell>
          <cell r="C3799">
            <v>-0.26</v>
          </cell>
          <cell r="D3799">
            <v>-0.26</v>
          </cell>
          <cell r="E3799">
            <v>-0.26</v>
          </cell>
          <cell r="F3799">
            <v>-0.26</v>
          </cell>
          <cell r="G3799">
            <v>0</v>
          </cell>
          <cell r="H3799">
            <v>0</v>
          </cell>
          <cell r="I3799">
            <v>0</v>
          </cell>
          <cell r="J3799">
            <v>0</v>
          </cell>
          <cell r="K3799">
            <v>0</v>
          </cell>
          <cell r="L3799">
            <v>-0.26</v>
          </cell>
          <cell r="M3799">
            <v>0</v>
          </cell>
          <cell r="N3799">
            <v>0</v>
          </cell>
          <cell r="O3799">
            <v>0</v>
          </cell>
        </row>
        <row r="3800">
          <cell r="A3800" t="str">
            <v>SingaporeMINORITY INTEREST (BS)</v>
          </cell>
          <cell r="B3800">
            <v>0</v>
          </cell>
          <cell r="C3800">
            <v>0</v>
          </cell>
          <cell r="D3800">
            <v>0</v>
          </cell>
          <cell r="E3800">
            <v>0</v>
          </cell>
          <cell r="F3800">
            <v>0</v>
          </cell>
          <cell r="G3800">
            <v>0</v>
          </cell>
          <cell r="H3800">
            <v>0</v>
          </cell>
          <cell r="I3800">
            <v>0</v>
          </cell>
          <cell r="J3800">
            <v>0</v>
          </cell>
          <cell r="K3800">
            <v>0</v>
          </cell>
          <cell r="L3800">
            <v>0</v>
          </cell>
          <cell r="M3800">
            <v>0</v>
          </cell>
          <cell r="N3800">
            <v>0</v>
          </cell>
          <cell r="O3800">
            <v>0</v>
          </cell>
        </row>
        <row r="3801">
          <cell r="A3801" t="str">
            <v>SingaporeASIA PACIFIC ENI DIVIDEND</v>
          </cell>
          <cell r="B3801">
            <v>0</v>
          </cell>
          <cell r="C3801">
            <v>0</v>
          </cell>
          <cell r="D3801">
            <v>0</v>
          </cell>
          <cell r="E3801">
            <v>0</v>
          </cell>
          <cell r="F3801">
            <v>0</v>
          </cell>
          <cell r="G3801">
            <v>0</v>
          </cell>
          <cell r="H3801">
            <v>0</v>
          </cell>
          <cell r="I3801">
            <v>0</v>
          </cell>
          <cell r="J3801">
            <v>0</v>
          </cell>
          <cell r="K3801">
            <v>0</v>
          </cell>
          <cell r="L3801">
            <v>0</v>
          </cell>
          <cell r="M3801">
            <v>0</v>
          </cell>
          <cell r="N3801">
            <v>0</v>
          </cell>
          <cell r="O3801">
            <v>0</v>
          </cell>
        </row>
        <row r="3802">
          <cell r="A3802" t="str">
            <v>SingaporeFINANCING INCOME</v>
          </cell>
          <cell r="B3802">
            <v>0</v>
          </cell>
          <cell r="C3802">
            <v>0</v>
          </cell>
          <cell r="D3802">
            <v>0</v>
          </cell>
          <cell r="E3802">
            <v>0</v>
          </cell>
          <cell r="F3802">
            <v>0</v>
          </cell>
          <cell r="G3802">
            <v>0</v>
          </cell>
          <cell r="H3802">
            <v>-900000</v>
          </cell>
          <cell r="I3802">
            <v>-900000</v>
          </cell>
          <cell r="J3802">
            <v>-900000</v>
          </cell>
          <cell r="K3802">
            <v>-2700000</v>
          </cell>
          <cell r="L3802">
            <v>0</v>
          </cell>
          <cell r="M3802">
            <v>0</v>
          </cell>
          <cell r="N3802">
            <v>0</v>
          </cell>
          <cell r="O3802">
            <v>0</v>
          </cell>
        </row>
        <row r="3803">
          <cell r="A3803" t="str">
            <v>SingaporeINSURANCE PREMIUM INCOME</v>
          </cell>
          <cell r="B3803">
            <v>0</v>
          </cell>
          <cell r="C3803">
            <v>0</v>
          </cell>
          <cell r="D3803">
            <v>0</v>
          </cell>
          <cell r="E3803">
            <v>0</v>
          </cell>
          <cell r="F3803">
            <v>0</v>
          </cell>
          <cell r="G3803">
            <v>0</v>
          </cell>
          <cell r="H3803">
            <v>0</v>
          </cell>
          <cell r="I3803">
            <v>0</v>
          </cell>
          <cell r="J3803">
            <v>0</v>
          </cell>
          <cell r="K3803">
            <v>0</v>
          </cell>
          <cell r="L3803">
            <v>0</v>
          </cell>
          <cell r="M3803">
            <v>0</v>
          </cell>
          <cell r="N3803">
            <v>0</v>
          </cell>
          <cell r="O3803">
            <v>0</v>
          </cell>
        </row>
        <row r="3804">
          <cell r="A3804" t="str">
            <v>SingaporeINSURANCE INCOME (COMMISSIONS)</v>
          </cell>
          <cell r="B3804">
            <v>0</v>
          </cell>
          <cell r="C3804">
            <v>0</v>
          </cell>
          <cell r="D3804">
            <v>0</v>
          </cell>
          <cell r="E3804">
            <v>0</v>
          </cell>
          <cell r="F3804">
            <v>0</v>
          </cell>
          <cell r="G3804">
            <v>0</v>
          </cell>
          <cell r="H3804">
            <v>0</v>
          </cell>
          <cell r="I3804">
            <v>0</v>
          </cell>
          <cell r="J3804">
            <v>0</v>
          </cell>
          <cell r="K3804">
            <v>0</v>
          </cell>
          <cell r="L3804">
            <v>0</v>
          </cell>
          <cell r="M3804">
            <v>0</v>
          </cell>
          <cell r="N3804">
            <v>0</v>
          </cell>
          <cell r="O3804">
            <v>0</v>
          </cell>
        </row>
        <row r="3805">
          <cell r="A3805" t="str">
            <v>SingaporeSUNDRY INCOME</v>
          </cell>
          <cell r="B3805">
            <v>0</v>
          </cell>
          <cell r="C3805">
            <v>0</v>
          </cell>
          <cell r="D3805">
            <v>0</v>
          </cell>
          <cell r="E3805">
            <v>0</v>
          </cell>
          <cell r="F3805">
            <v>0</v>
          </cell>
          <cell r="G3805">
            <v>0</v>
          </cell>
          <cell r="H3805">
            <v>0</v>
          </cell>
          <cell r="I3805">
            <v>0</v>
          </cell>
          <cell r="J3805">
            <v>0</v>
          </cell>
          <cell r="K3805">
            <v>0</v>
          </cell>
          <cell r="L3805">
            <v>0</v>
          </cell>
          <cell r="M3805">
            <v>0</v>
          </cell>
          <cell r="N3805">
            <v>0</v>
          </cell>
          <cell r="O3805">
            <v>0</v>
          </cell>
        </row>
        <row r="3806">
          <cell r="A3806" t="str">
            <v>SingaporeINTEREST EXPENSE</v>
          </cell>
          <cell r="B3806">
            <v>0</v>
          </cell>
          <cell r="C3806">
            <v>0</v>
          </cell>
          <cell r="D3806">
            <v>0</v>
          </cell>
          <cell r="E3806">
            <v>0</v>
          </cell>
          <cell r="F3806">
            <v>0</v>
          </cell>
          <cell r="G3806">
            <v>0</v>
          </cell>
          <cell r="H3806">
            <v>0</v>
          </cell>
          <cell r="I3806">
            <v>0</v>
          </cell>
          <cell r="J3806">
            <v>0</v>
          </cell>
          <cell r="K3806">
            <v>0</v>
          </cell>
          <cell r="L3806">
            <v>0</v>
          </cell>
          <cell r="M3806">
            <v>0</v>
          </cell>
          <cell r="N3806">
            <v>0</v>
          </cell>
          <cell r="O3806">
            <v>0</v>
          </cell>
        </row>
        <row r="3807">
          <cell r="A3807" t="str">
            <v>SingaporeINTEREST EXPENSE REDUCTIONS / BUS SHARING</v>
          </cell>
          <cell r="B3807">
            <v>0</v>
          </cell>
          <cell r="C3807">
            <v>0</v>
          </cell>
          <cell r="D3807">
            <v>0</v>
          </cell>
          <cell r="E3807">
            <v>0</v>
          </cell>
          <cell r="F3807">
            <v>0</v>
          </cell>
          <cell r="G3807">
            <v>0</v>
          </cell>
          <cell r="H3807">
            <v>0</v>
          </cell>
          <cell r="I3807">
            <v>0</v>
          </cell>
          <cell r="J3807">
            <v>0</v>
          </cell>
          <cell r="K3807">
            <v>0</v>
          </cell>
          <cell r="L3807">
            <v>0</v>
          </cell>
          <cell r="M3807">
            <v>0</v>
          </cell>
          <cell r="N3807">
            <v>0</v>
          </cell>
          <cell r="O3807">
            <v>0</v>
          </cell>
        </row>
        <row r="3808">
          <cell r="A3808" t="str">
            <v>SingaporeALLOCATED COST OF PREFERRED EQUITY</v>
          </cell>
          <cell r="B3808">
            <v>0</v>
          </cell>
          <cell r="C3808">
            <v>0</v>
          </cell>
          <cell r="D3808">
            <v>0</v>
          </cell>
          <cell r="E3808">
            <v>0</v>
          </cell>
          <cell r="F3808">
            <v>0</v>
          </cell>
          <cell r="G3808">
            <v>0</v>
          </cell>
          <cell r="H3808">
            <v>0</v>
          </cell>
          <cell r="I3808">
            <v>0</v>
          </cell>
          <cell r="J3808">
            <v>0</v>
          </cell>
          <cell r="K3808">
            <v>0</v>
          </cell>
          <cell r="L3808">
            <v>0</v>
          </cell>
          <cell r="M3808">
            <v>0</v>
          </cell>
          <cell r="N3808">
            <v>0</v>
          </cell>
          <cell r="O3808">
            <v>0</v>
          </cell>
        </row>
        <row r="3809">
          <cell r="A3809" t="str">
            <v>SingaporeSALARIES &amp; BENEFITS</v>
          </cell>
          <cell r="B3809">
            <v>0</v>
          </cell>
          <cell r="C3809">
            <v>0</v>
          </cell>
          <cell r="D3809">
            <v>0</v>
          </cell>
          <cell r="E3809">
            <v>0</v>
          </cell>
          <cell r="F3809">
            <v>0</v>
          </cell>
          <cell r="G3809">
            <v>0</v>
          </cell>
          <cell r="H3809">
            <v>0</v>
          </cell>
          <cell r="I3809">
            <v>0</v>
          </cell>
          <cell r="J3809">
            <v>0</v>
          </cell>
          <cell r="K3809">
            <v>0</v>
          </cell>
          <cell r="L3809">
            <v>0</v>
          </cell>
          <cell r="M3809">
            <v>0</v>
          </cell>
          <cell r="N3809">
            <v>0</v>
          </cell>
          <cell r="O3809">
            <v>0</v>
          </cell>
        </row>
        <row r="3810">
          <cell r="A3810" t="str">
            <v>SingaporeLOSSES ON OTHER ASSETS</v>
          </cell>
          <cell r="B3810">
            <v>0</v>
          </cell>
          <cell r="C3810">
            <v>0</v>
          </cell>
          <cell r="D3810">
            <v>0</v>
          </cell>
          <cell r="E3810">
            <v>0</v>
          </cell>
          <cell r="F3810">
            <v>0</v>
          </cell>
          <cell r="G3810">
            <v>0</v>
          </cell>
          <cell r="H3810">
            <v>0</v>
          </cell>
          <cell r="I3810">
            <v>0</v>
          </cell>
          <cell r="J3810">
            <v>0</v>
          </cell>
          <cell r="K3810">
            <v>0</v>
          </cell>
          <cell r="L3810">
            <v>0</v>
          </cell>
          <cell r="M3810">
            <v>0</v>
          </cell>
          <cell r="N3810">
            <v>0</v>
          </cell>
          <cell r="O3810">
            <v>0</v>
          </cell>
        </row>
        <row r="3811">
          <cell r="A3811" t="str">
            <v>SingaporeCOST OF GOODS SOLD</v>
          </cell>
          <cell r="B3811">
            <v>0</v>
          </cell>
          <cell r="C3811">
            <v>0</v>
          </cell>
          <cell r="D3811">
            <v>0</v>
          </cell>
          <cell r="E3811">
            <v>0</v>
          </cell>
          <cell r="F3811">
            <v>0</v>
          </cell>
          <cell r="G3811">
            <v>0</v>
          </cell>
          <cell r="H3811">
            <v>0</v>
          </cell>
          <cell r="I3811">
            <v>0</v>
          </cell>
          <cell r="J3811">
            <v>0</v>
          </cell>
          <cell r="K3811">
            <v>0</v>
          </cell>
          <cell r="L3811">
            <v>0</v>
          </cell>
          <cell r="M3811">
            <v>0</v>
          </cell>
          <cell r="N3811">
            <v>0</v>
          </cell>
          <cell r="O3811">
            <v>0</v>
          </cell>
        </row>
        <row r="3812">
          <cell r="A3812" t="str">
            <v>SingaporeCOST OF GOODS SOLD - DISTRIBUTION</v>
          </cell>
          <cell r="B3812">
            <v>0</v>
          </cell>
          <cell r="C3812">
            <v>0</v>
          </cell>
          <cell r="D3812">
            <v>0</v>
          </cell>
          <cell r="E3812">
            <v>0</v>
          </cell>
          <cell r="F3812">
            <v>0</v>
          </cell>
          <cell r="G3812">
            <v>0</v>
          </cell>
          <cell r="H3812">
            <v>0</v>
          </cell>
          <cell r="I3812">
            <v>0</v>
          </cell>
          <cell r="J3812">
            <v>0</v>
          </cell>
          <cell r="K3812">
            <v>0</v>
          </cell>
          <cell r="L3812">
            <v>0</v>
          </cell>
          <cell r="M3812">
            <v>0</v>
          </cell>
          <cell r="N3812">
            <v>0</v>
          </cell>
          <cell r="O3812">
            <v>0</v>
          </cell>
        </row>
        <row r="3813">
          <cell r="A3813" t="str">
            <v>SingaporePOSTAGE</v>
          </cell>
          <cell r="B3813">
            <v>0</v>
          </cell>
          <cell r="C3813">
            <v>0</v>
          </cell>
          <cell r="D3813">
            <v>0</v>
          </cell>
          <cell r="E3813">
            <v>0</v>
          </cell>
          <cell r="F3813">
            <v>0</v>
          </cell>
          <cell r="G3813">
            <v>0</v>
          </cell>
          <cell r="H3813">
            <v>0</v>
          </cell>
          <cell r="I3813">
            <v>0</v>
          </cell>
          <cell r="J3813">
            <v>0</v>
          </cell>
          <cell r="K3813">
            <v>0</v>
          </cell>
          <cell r="L3813">
            <v>0</v>
          </cell>
          <cell r="M3813">
            <v>0</v>
          </cell>
          <cell r="N3813">
            <v>0</v>
          </cell>
          <cell r="O3813">
            <v>0</v>
          </cell>
        </row>
        <row r="3814">
          <cell r="A3814" t="str">
            <v>SingaporeTELEPHONE</v>
          </cell>
          <cell r="B3814">
            <v>0</v>
          </cell>
          <cell r="C3814">
            <v>0</v>
          </cell>
          <cell r="D3814">
            <v>0</v>
          </cell>
          <cell r="E3814">
            <v>0</v>
          </cell>
          <cell r="F3814">
            <v>0</v>
          </cell>
          <cell r="G3814">
            <v>0</v>
          </cell>
          <cell r="H3814">
            <v>0</v>
          </cell>
          <cell r="I3814">
            <v>0</v>
          </cell>
          <cell r="J3814">
            <v>0</v>
          </cell>
          <cell r="K3814">
            <v>0</v>
          </cell>
          <cell r="L3814">
            <v>0</v>
          </cell>
          <cell r="M3814">
            <v>0</v>
          </cell>
          <cell r="N3814">
            <v>0</v>
          </cell>
          <cell r="O3814">
            <v>0</v>
          </cell>
        </row>
        <row r="3815">
          <cell r="A3815" t="str">
            <v>SingaporeCUSTOMER SERVICE / COLLECTIONS</v>
          </cell>
          <cell r="B3815">
            <v>0</v>
          </cell>
          <cell r="C3815">
            <v>0</v>
          </cell>
          <cell r="D3815">
            <v>0</v>
          </cell>
          <cell r="E3815">
            <v>0</v>
          </cell>
          <cell r="F3815">
            <v>0</v>
          </cell>
          <cell r="G3815">
            <v>0</v>
          </cell>
          <cell r="H3815">
            <v>0</v>
          </cell>
          <cell r="I3815">
            <v>0</v>
          </cell>
          <cell r="J3815">
            <v>0</v>
          </cell>
          <cell r="K3815">
            <v>0</v>
          </cell>
          <cell r="L3815">
            <v>0</v>
          </cell>
          <cell r="M3815">
            <v>0</v>
          </cell>
          <cell r="N3815">
            <v>0</v>
          </cell>
          <cell r="O3815">
            <v>0</v>
          </cell>
        </row>
        <row r="3816">
          <cell r="A3816" t="str">
            <v>SingaporeSTATIONARY - OFFICE SUPPLIES</v>
          </cell>
          <cell r="B3816">
            <v>0</v>
          </cell>
          <cell r="C3816">
            <v>0</v>
          </cell>
          <cell r="D3816">
            <v>0</v>
          </cell>
          <cell r="E3816">
            <v>0</v>
          </cell>
          <cell r="F3816">
            <v>0</v>
          </cell>
          <cell r="G3816">
            <v>0</v>
          </cell>
          <cell r="H3816">
            <v>0</v>
          </cell>
          <cell r="I3816">
            <v>0</v>
          </cell>
          <cell r="J3816">
            <v>0</v>
          </cell>
          <cell r="K3816">
            <v>0</v>
          </cell>
          <cell r="L3816">
            <v>0</v>
          </cell>
          <cell r="M3816">
            <v>0</v>
          </cell>
          <cell r="N3816">
            <v>0</v>
          </cell>
          <cell r="O3816">
            <v>0</v>
          </cell>
        </row>
        <row r="3817">
          <cell r="A3817" t="str">
            <v>SingaporeT&amp;L</v>
          </cell>
          <cell r="B3817">
            <v>0</v>
          </cell>
          <cell r="C3817">
            <v>0</v>
          </cell>
          <cell r="D3817">
            <v>0</v>
          </cell>
          <cell r="E3817">
            <v>0</v>
          </cell>
          <cell r="F3817">
            <v>0</v>
          </cell>
          <cell r="G3817">
            <v>0</v>
          </cell>
          <cell r="H3817">
            <v>0</v>
          </cell>
          <cell r="I3817">
            <v>0</v>
          </cell>
          <cell r="J3817">
            <v>0</v>
          </cell>
          <cell r="K3817">
            <v>0</v>
          </cell>
          <cell r="L3817">
            <v>0</v>
          </cell>
          <cell r="M3817">
            <v>0</v>
          </cell>
          <cell r="N3817">
            <v>0</v>
          </cell>
          <cell r="O3817">
            <v>0</v>
          </cell>
        </row>
        <row r="3818">
          <cell r="A3818" t="str">
            <v>SingaporeRENTAL - BLDG/FACILITIES</v>
          </cell>
          <cell r="B3818">
            <v>0</v>
          </cell>
          <cell r="C3818">
            <v>0</v>
          </cell>
          <cell r="D3818">
            <v>0</v>
          </cell>
          <cell r="E3818">
            <v>0</v>
          </cell>
          <cell r="F3818">
            <v>0</v>
          </cell>
          <cell r="G3818">
            <v>0</v>
          </cell>
          <cell r="H3818">
            <v>0</v>
          </cell>
          <cell r="I3818">
            <v>0</v>
          </cell>
          <cell r="J3818">
            <v>0</v>
          </cell>
          <cell r="K3818">
            <v>0</v>
          </cell>
          <cell r="L3818">
            <v>0</v>
          </cell>
          <cell r="M3818">
            <v>0</v>
          </cell>
          <cell r="N3818">
            <v>0</v>
          </cell>
          <cell r="O3818">
            <v>0</v>
          </cell>
        </row>
        <row r="3819">
          <cell r="A3819" t="str">
            <v>SingaporeRENTAL - FURNITURE/EQUIP</v>
          </cell>
          <cell r="B3819">
            <v>0</v>
          </cell>
          <cell r="C3819">
            <v>0</v>
          </cell>
          <cell r="D3819">
            <v>0</v>
          </cell>
          <cell r="E3819">
            <v>0</v>
          </cell>
          <cell r="F3819">
            <v>0</v>
          </cell>
          <cell r="G3819">
            <v>0</v>
          </cell>
          <cell r="H3819">
            <v>0</v>
          </cell>
          <cell r="I3819">
            <v>0</v>
          </cell>
          <cell r="J3819">
            <v>0</v>
          </cell>
          <cell r="K3819">
            <v>0</v>
          </cell>
          <cell r="L3819">
            <v>0</v>
          </cell>
          <cell r="M3819">
            <v>0</v>
          </cell>
          <cell r="N3819">
            <v>0</v>
          </cell>
          <cell r="O3819">
            <v>0</v>
          </cell>
        </row>
        <row r="3820">
          <cell r="A3820" t="str">
            <v>SingaporeRENTAL - COMPUTERS</v>
          </cell>
          <cell r="B3820">
            <v>0</v>
          </cell>
          <cell r="C3820">
            <v>0</v>
          </cell>
          <cell r="D3820">
            <v>0</v>
          </cell>
          <cell r="E3820">
            <v>0</v>
          </cell>
          <cell r="F3820">
            <v>0</v>
          </cell>
          <cell r="G3820">
            <v>0</v>
          </cell>
          <cell r="H3820">
            <v>0</v>
          </cell>
          <cell r="I3820">
            <v>0</v>
          </cell>
          <cell r="J3820">
            <v>0</v>
          </cell>
          <cell r="K3820">
            <v>0</v>
          </cell>
          <cell r="L3820">
            <v>0</v>
          </cell>
          <cell r="M3820">
            <v>0</v>
          </cell>
          <cell r="N3820">
            <v>0</v>
          </cell>
          <cell r="O3820">
            <v>0</v>
          </cell>
        </row>
        <row r="3821">
          <cell r="A3821" t="str">
            <v>SingaporeLEASE IN - LEASE OUT</v>
          </cell>
          <cell r="B3821">
            <v>0</v>
          </cell>
          <cell r="C3821">
            <v>0</v>
          </cell>
          <cell r="D3821">
            <v>0</v>
          </cell>
          <cell r="E3821">
            <v>0</v>
          </cell>
          <cell r="F3821">
            <v>0</v>
          </cell>
          <cell r="G3821">
            <v>0</v>
          </cell>
          <cell r="H3821">
            <v>0</v>
          </cell>
          <cell r="I3821">
            <v>0</v>
          </cell>
          <cell r="J3821">
            <v>0</v>
          </cell>
          <cell r="K3821">
            <v>0</v>
          </cell>
          <cell r="L3821">
            <v>0</v>
          </cell>
          <cell r="M3821">
            <v>0</v>
          </cell>
          <cell r="N3821">
            <v>0</v>
          </cell>
          <cell r="O3821">
            <v>0</v>
          </cell>
        </row>
        <row r="3822">
          <cell r="A3822" t="str">
            <v>SingaporeFURNITURE / EQUIPMENT / COMPUTER EXP</v>
          </cell>
          <cell r="B3822">
            <v>0</v>
          </cell>
          <cell r="C3822">
            <v>0</v>
          </cell>
          <cell r="D3822">
            <v>0</v>
          </cell>
          <cell r="E3822">
            <v>0</v>
          </cell>
          <cell r="F3822">
            <v>0</v>
          </cell>
          <cell r="G3822">
            <v>0</v>
          </cell>
          <cell r="H3822">
            <v>0</v>
          </cell>
          <cell r="I3822">
            <v>0</v>
          </cell>
          <cell r="J3822">
            <v>0</v>
          </cell>
          <cell r="K3822">
            <v>0</v>
          </cell>
          <cell r="L3822">
            <v>0</v>
          </cell>
          <cell r="M3822">
            <v>0</v>
          </cell>
          <cell r="N3822">
            <v>0</v>
          </cell>
          <cell r="O3822">
            <v>0</v>
          </cell>
        </row>
        <row r="3823">
          <cell r="A3823" t="str">
            <v>SingaporeSOFTWARE EXPENSE</v>
          </cell>
          <cell r="B3823">
            <v>0</v>
          </cell>
          <cell r="C3823">
            <v>0</v>
          </cell>
          <cell r="D3823">
            <v>0</v>
          </cell>
          <cell r="E3823">
            <v>0</v>
          </cell>
          <cell r="F3823">
            <v>0</v>
          </cell>
          <cell r="G3823">
            <v>0</v>
          </cell>
          <cell r="H3823">
            <v>0</v>
          </cell>
          <cell r="I3823">
            <v>0</v>
          </cell>
          <cell r="J3823">
            <v>0</v>
          </cell>
          <cell r="K3823">
            <v>0</v>
          </cell>
          <cell r="L3823">
            <v>0</v>
          </cell>
          <cell r="M3823">
            <v>0</v>
          </cell>
          <cell r="N3823">
            <v>0</v>
          </cell>
          <cell r="O3823">
            <v>0</v>
          </cell>
        </row>
        <row r="3824">
          <cell r="A3824" t="str">
            <v>SingaporeAMORTIZATION OF INTANGIBLES</v>
          </cell>
          <cell r="B3824">
            <v>0</v>
          </cell>
          <cell r="C3824">
            <v>0</v>
          </cell>
          <cell r="D3824">
            <v>0</v>
          </cell>
          <cell r="E3824">
            <v>0</v>
          </cell>
          <cell r="F3824">
            <v>0</v>
          </cell>
          <cell r="G3824">
            <v>0</v>
          </cell>
          <cell r="H3824">
            <v>0</v>
          </cell>
          <cell r="I3824">
            <v>0</v>
          </cell>
          <cell r="J3824">
            <v>0</v>
          </cell>
          <cell r="K3824">
            <v>0</v>
          </cell>
          <cell r="L3824">
            <v>0</v>
          </cell>
          <cell r="M3824">
            <v>0</v>
          </cell>
          <cell r="N3824">
            <v>0</v>
          </cell>
          <cell r="O3824">
            <v>0</v>
          </cell>
        </row>
        <row r="3825">
          <cell r="A3825" t="str">
            <v>SingaporeELTO MAINTENANCE</v>
          </cell>
          <cell r="B3825">
            <v>0</v>
          </cell>
          <cell r="C3825">
            <v>0</v>
          </cell>
          <cell r="D3825">
            <v>0</v>
          </cell>
          <cell r="E3825">
            <v>0</v>
          </cell>
          <cell r="F3825">
            <v>0</v>
          </cell>
          <cell r="G3825">
            <v>0</v>
          </cell>
          <cell r="H3825">
            <v>0</v>
          </cell>
          <cell r="I3825">
            <v>0</v>
          </cell>
          <cell r="J3825">
            <v>0</v>
          </cell>
          <cell r="K3825">
            <v>0</v>
          </cell>
          <cell r="L3825">
            <v>0</v>
          </cell>
          <cell r="M3825">
            <v>0</v>
          </cell>
          <cell r="N3825">
            <v>0</v>
          </cell>
          <cell r="O3825">
            <v>0</v>
          </cell>
        </row>
        <row r="3826">
          <cell r="A3826" t="str">
            <v>SingaporeELTO OTHER</v>
          </cell>
          <cell r="B3826">
            <v>0</v>
          </cell>
          <cell r="C3826">
            <v>0</v>
          </cell>
          <cell r="D3826">
            <v>0</v>
          </cell>
          <cell r="E3826">
            <v>0</v>
          </cell>
          <cell r="F3826">
            <v>0</v>
          </cell>
          <cell r="G3826">
            <v>0</v>
          </cell>
          <cell r="H3826">
            <v>0</v>
          </cell>
          <cell r="I3826">
            <v>0</v>
          </cell>
          <cell r="J3826">
            <v>0</v>
          </cell>
          <cell r="K3826">
            <v>0</v>
          </cell>
          <cell r="L3826">
            <v>0</v>
          </cell>
          <cell r="M3826">
            <v>0</v>
          </cell>
          <cell r="N3826">
            <v>0</v>
          </cell>
          <cell r="O3826">
            <v>0</v>
          </cell>
        </row>
        <row r="3827">
          <cell r="A3827" t="str">
            <v>SingaporeLEGAL</v>
          </cell>
          <cell r="B3827">
            <v>0</v>
          </cell>
          <cell r="C3827">
            <v>0</v>
          </cell>
          <cell r="D3827">
            <v>0</v>
          </cell>
          <cell r="E3827">
            <v>0</v>
          </cell>
          <cell r="F3827">
            <v>0</v>
          </cell>
          <cell r="G3827">
            <v>0</v>
          </cell>
          <cell r="H3827">
            <v>0</v>
          </cell>
          <cell r="I3827">
            <v>0</v>
          </cell>
          <cell r="J3827">
            <v>0</v>
          </cell>
          <cell r="K3827">
            <v>0</v>
          </cell>
          <cell r="L3827">
            <v>0</v>
          </cell>
          <cell r="M3827">
            <v>0</v>
          </cell>
          <cell r="N3827">
            <v>0</v>
          </cell>
          <cell r="O3827">
            <v>0</v>
          </cell>
        </row>
        <row r="3828">
          <cell r="A3828" t="str">
            <v>SingaporeADVERTISING</v>
          </cell>
          <cell r="B3828">
            <v>0</v>
          </cell>
          <cell r="C3828">
            <v>0</v>
          </cell>
          <cell r="D3828">
            <v>0</v>
          </cell>
          <cell r="E3828">
            <v>0</v>
          </cell>
          <cell r="F3828">
            <v>0</v>
          </cell>
          <cell r="G3828">
            <v>0</v>
          </cell>
          <cell r="H3828">
            <v>0</v>
          </cell>
          <cell r="I3828">
            <v>0</v>
          </cell>
          <cell r="J3828">
            <v>0</v>
          </cell>
          <cell r="K3828">
            <v>0</v>
          </cell>
          <cell r="L3828">
            <v>0</v>
          </cell>
          <cell r="M3828">
            <v>0</v>
          </cell>
          <cell r="N3828">
            <v>0</v>
          </cell>
          <cell r="O3828">
            <v>0</v>
          </cell>
        </row>
        <row r="3829">
          <cell r="A3829" t="str">
            <v>SingaporeSALES PROMOTIONS</v>
          </cell>
          <cell r="B3829">
            <v>0</v>
          </cell>
          <cell r="C3829">
            <v>0</v>
          </cell>
          <cell r="D3829">
            <v>0</v>
          </cell>
          <cell r="E3829">
            <v>0</v>
          </cell>
          <cell r="F3829">
            <v>0</v>
          </cell>
          <cell r="G3829">
            <v>0</v>
          </cell>
          <cell r="H3829">
            <v>0</v>
          </cell>
          <cell r="I3829">
            <v>0</v>
          </cell>
          <cell r="J3829">
            <v>0</v>
          </cell>
          <cell r="K3829">
            <v>0</v>
          </cell>
          <cell r="L3829">
            <v>0</v>
          </cell>
          <cell r="M3829">
            <v>0</v>
          </cell>
          <cell r="N3829">
            <v>0</v>
          </cell>
          <cell r="O3829">
            <v>0</v>
          </cell>
        </row>
        <row r="3830">
          <cell r="A3830" t="str">
            <v>SingaporeDIRECT MAIL</v>
          </cell>
          <cell r="B3830">
            <v>0</v>
          </cell>
          <cell r="C3830">
            <v>0</v>
          </cell>
          <cell r="D3830">
            <v>0</v>
          </cell>
          <cell r="E3830">
            <v>0</v>
          </cell>
          <cell r="F3830">
            <v>0</v>
          </cell>
          <cell r="G3830">
            <v>0</v>
          </cell>
          <cell r="H3830">
            <v>0</v>
          </cell>
          <cell r="I3830">
            <v>0</v>
          </cell>
          <cell r="J3830">
            <v>0</v>
          </cell>
          <cell r="K3830">
            <v>0</v>
          </cell>
          <cell r="L3830">
            <v>0</v>
          </cell>
          <cell r="M3830">
            <v>0</v>
          </cell>
          <cell r="N3830">
            <v>0</v>
          </cell>
          <cell r="O3830">
            <v>0</v>
          </cell>
        </row>
        <row r="3831">
          <cell r="A3831" t="str">
            <v>SingaporeDATA PROCESSING</v>
          </cell>
          <cell r="B3831">
            <v>0</v>
          </cell>
          <cell r="C3831">
            <v>0</v>
          </cell>
          <cell r="D3831">
            <v>0</v>
          </cell>
          <cell r="E3831">
            <v>0</v>
          </cell>
          <cell r="F3831">
            <v>0</v>
          </cell>
          <cell r="G3831">
            <v>0</v>
          </cell>
          <cell r="H3831">
            <v>0</v>
          </cell>
          <cell r="I3831">
            <v>0</v>
          </cell>
          <cell r="J3831">
            <v>0</v>
          </cell>
          <cell r="K3831">
            <v>0</v>
          </cell>
          <cell r="L3831">
            <v>0</v>
          </cell>
          <cell r="M3831">
            <v>0</v>
          </cell>
          <cell r="N3831">
            <v>0</v>
          </cell>
          <cell r="O3831">
            <v>0</v>
          </cell>
        </row>
        <row r="3832">
          <cell r="A3832" t="str">
            <v>SingaporeCONSULTING</v>
          </cell>
          <cell r="B3832">
            <v>0</v>
          </cell>
          <cell r="C3832">
            <v>0</v>
          </cell>
          <cell r="D3832">
            <v>0</v>
          </cell>
          <cell r="E3832">
            <v>0</v>
          </cell>
          <cell r="F3832">
            <v>0</v>
          </cell>
          <cell r="G3832">
            <v>0</v>
          </cell>
          <cell r="H3832">
            <v>0</v>
          </cell>
          <cell r="I3832">
            <v>0</v>
          </cell>
          <cell r="J3832">
            <v>0</v>
          </cell>
          <cell r="K3832">
            <v>0</v>
          </cell>
          <cell r="L3832">
            <v>0</v>
          </cell>
          <cell r="M3832">
            <v>0</v>
          </cell>
          <cell r="N3832">
            <v>0</v>
          </cell>
          <cell r="O3832">
            <v>0</v>
          </cell>
        </row>
        <row r="3833">
          <cell r="A3833" t="str">
            <v>SingaporeTEMP SERVICES</v>
          </cell>
          <cell r="B3833">
            <v>0</v>
          </cell>
          <cell r="C3833">
            <v>0</v>
          </cell>
          <cell r="D3833">
            <v>0</v>
          </cell>
          <cell r="E3833">
            <v>0</v>
          </cell>
          <cell r="F3833">
            <v>0</v>
          </cell>
          <cell r="G3833">
            <v>0</v>
          </cell>
          <cell r="H3833">
            <v>0</v>
          </cell>
          <cell r="I3833">
            <v>0</v>
          </cell>
          <cell r="J3833">
            <v>0</v>
          </cell>
          <cell r="K3833">
            <v>0</v>
          </cell>
          <cell r="L3833">
            <v>0</v>
          </cell>
          <cell r="M3833">
            <v>0</v>
          </cell>
          <cell r="N3833">
            <v>0</v>
          </cell>
          <cell r="O3833">
            <v>0</v>
          </cell>
        </row>
        <row r="3834">
          <cell r="A3834" t="str">
            <v>SingaporeGDC CHARGES</v>
          </cell>
          <cell r="B3834">
            <v>0</v>
          </cell>
          <cell r="C3834">
            <v>0</v>
          </cell>
          <cell r="D3834">
            <v>0</v>
          </cell>
          <cell r="E3834">
            <v>0</v>
          </cell>
          <cell r="F3834">
            <v>0</v>
          </cell>
          <cell r="G3834">
            <v>0</v>
          </cell>
          <cell r="H3834">
            <v>0</v>
          </cell>
          <cell r="I3834">
            <v>0</v>
          </cell>
          <cell r="J3834">
            <v>0</v>
          </cell>
          <cell r="K3834">
            <v>0</v>
          </cell>
          <cell r="L3834">
            <v>0</v>
          </cell>
          <cell r="M3834">
            <v>0</v>
          </cell>
          <cell r="N3834">
            <v>0</v>
          </cell>
          <cell r="O3834">
            <v>0</v>
          </cell>
        </row>
        <row r="3835">
          <cell r="A3835" t="str">
            <v>SingaporeTRAINING AND EDUCATION</v>
          </cell>
          <cell r="B3835">
            <v>0</v>
          </cell>
          <cell r="C3835">
            <v>0</v>
          </cell>
          <cell r="D3835">
            <v>0</v>
          </cell>
          <cell r="E3835">
            <v>0</v>
          </cell>
          <cell r="F3835">
            <v>0</v>
          </cell>
          <cell r="G3835">
            <v>0</v>
          </cell>
          <cell r="H3835">
            <v>0</v>
          </cell>
          <cell r="I3835">
            <v>0</v>
          </cell>
          <cell r="J3835">
            <v>0</v>
          </cell>
          <cell r="K3835">
            <v>0</v>
          </cell>
          <cell r="L3835">
            <v>0</v>
          </cell>
          <cell r="M3835">
            <v>0</v>
          </cell>
          <cell r="N3835">
            <v>0</v>
          </cell>
          <cell r="O3835">
            <v>0</v>
          </cell>
        </row>
        <row r="3836">
          <cell r="A3836" t="str">
            <v>SingaporeOUTSIDE SERVICES  AND FEES</v>
          </cell>
          <cell r="B3836">
            <v>0</v>
          </cell>
          <cell r="C3836">
            <v>0</v>
          </cell>
          <cell r="D3836">
            <v>0</v>
          </cell>
          <cell r="E3836">
            <v>0</v>
          </cell>
          <cell r="F3836">
            <v>0</v>
          </cell>
          <cell r="G3836">
            <v>0</v>
          </cell>
          <cell r="H3836">
            <v>0</v>
          </cell>
          <cell r="I3836">
            <v>0</v>
          </cell>
          <cell r="J3836">
            <v>0</v>
          </cell>
          <cell r="K3836">
            <v>0</v>
          </cell>
          <cell r="L3836">
            <v>0</v>
          </cell>
          <cell r="M3836">
            <v>0</v>
          </cell>
          <cell r="N3836">
            <v>0</v>
          </cell>
          <cell r="O3836">
            <v>0</v>
          </cell>
        </row>
        <row r="3837">
          <cell r="A3837" t="str">
            <v>SingaporeSTATE, FOREIGN, LOCAL TAXES</v>
          </cell>
          <cell r="B3837">
            <v>0</v>
          </cell>
          <cell r="C3837">
            <v>0</v>
          </cell>
          <cell r="D3837">
            <v>0</v>
          </cell>
          <cell r="E3837">
            <v>0</v>
          </cell>
          <cell r="F3837">
            <v>0</v>
          </cell>
          <cell r="G3837">
            <v>0</v>
          </cell>
          <cell r="H3837">
            <v>0</v>
          </cell>
          <cell r="I3837">
            <v>0</v>
          </cell>
          <cell r="J3837">
            <v>0</v>
          </cell>
          <cell r="K3837">
            <v>0</v>
          </cell>
          <cell r="L3837">
            <v>0</v>
          </cell>
          <cell r="M3837">
            <v>0</v>
          </cell>
          <cell r="N3837">
            <v>0</v>
          </cell>
          <cell r="O3837">
            <v>0</v>
          </cell>
        </row>
        <row r="3838">
          <cell r="A3838" t="str">
            <v>SingaporeS/L TAX - INSURANCE PREMIUMS</v>
          </cell>
          <cell r="B3838">
            <v>0</v>
          </cell>
          <cell r="C3838">
            <v>0</v>
          </cell>
          <cell r="D3838">
            <v>0</v>
          </cell>
          <cell r="E3838">
            <v>0</v>
          </cell>
          <cell r="F3838">
            <v>0</v>
          </cell>
          <cell r="G3838">
            <v>0</v>
          </cell>
          <cell r="H3838">
            <v>0</v>
          </cell>
          <cell r="I3838">
            <v>0</v>
          </cell>
          <cell r="J3838">
            <v>0</v>
          </cell>
          <cell r="K3838">
            <v>0</v>
          </cell>
          <cell r="L3838">
            <v>0</v>
          </cell>
          <cell r="M3838">
            <v>0</v>
          </cell>
          <cell r="N3838">
            <v>0</v>
          </cell>
          <cell r="O3838">
            <v>0</v>
          </cell>
        </row>
        <row r="3839">
          <cell r="A3839" t="str">
            <v>SingaporeSATELLITE LEASE EXPENSE</v>
          </cell>
          <cell r="B3839">
            <v>0</v>
          </cell>
          <cell r="C3839">
            <v>0</v>
          </cell>
          <cell r="D3839">
            <v>0</v>
          </cell>
          <cell r="E3839">
            <v>0</v>
          </cell>
          <cell r="F3839">
            <v>0</v>
          </cell>
          <cell r="G3839">
            <v>0</v>
          </cell>
          <cell r="H3839">
            <v>0</v>
          </cell>
          <cell r="I3839">
            <v>0</v>
          </cell>
          <cell r="J3839">
            <v>0</v>
          </cell>
          <cell r="K3839">
            <v>0</v>
          </cell>
          <cell r="L3839">
            <v>0</v>
          </cell>
          <cell r="M3839">
            <v>0</v>
          </cell>
          <cell r="N3839">
            <v>0</v>
          </cell>
          <cell r="O3839">
            <v>0</v>
          </cell>
        </row>
        <row r="3840">
          <cell r="A3840" t="str">
            <v>SingaporeBUSINESS SHARE EXPENSE</v>
          </cell>
          <cell r="B3840">
            <v>0</v>
          </cell>
          <cell r="C3840">
            <v>0</v>
          </cell>
          <cell r="D3840">
            <v>0</v>
          </cell>
          <cell r="E3840">
            <v>0</v>
          </cell>
          <cell r="F3840">
            <v>0</v>
          </cell>
          <cell r="G3840">
            <v>0</v>
          </cell>
          <cell r="H3840">
            <v>0</v>
          </cell>
          <cell r="I3840">
            <v>0</v>
          </cell>
          <cell r="J3840">
            <v>0</v>
          </cell>
          <cell r="K3840">
            <v>0</v>
          </cell>
          <cell r="L3840">
            <v>0</v>
          </cell>
          <cell r="M3840">
            <v>0</v>
          </cell>
          <cell r="N3840">
            <v>0</v>
          </cell>
          <cell r="O3840">
            <v>0</v>
          </cell>
        </row>
        <row r="3841">
          <cell r="A3841" t="str">
            <v>SingaporeINSURANCE AFFILIATE EXPENSE</v>
          </cell>
          <cell r="B3841">
            <v>0</v>
          </cell>
          <cell r="C3841">
            <v>0</v>
          </cell>
          <cell r="D3841">
            <v>0</v>
          </cell>
          <cell r="E3841">
            <v>0</v>
          </cell>
          <cell r="F3841">
            <v>0</v>
          </cell>
          <cell r="G3841">
            <v>0</v>
          </cell>
          <cell r="H3841">
            <v>0</v>
          </cell>
          <cell r="I3841">
            <v>0</v>
          </cell>
          <cell r="J3841">
            <v>0</v>
          </cell>
          <cell r="K3841">
            <v>0</v>
          </cell>
          <cell r="L3841">
            <v>0</v>
          </cell>
          <cell r="M3841">
            <v>0</v>
          </cell>
          <cell r="N3841">
            <v>0</v>
          </cell>
          <cell r="O3841">
            <v>0</v>
          </cell>
        </row>
        <row r="3842">
          <cell r="A3842" t="str">
            <v>SingaporeOTHER FACILITY EXPENSE</v>
          </cell>
          <cell r="B3842">
            <v>0</v>
          </cell>
          <cell r="C3842">
            <v>0</v>
          </cell>
          <cell r="D3842">
            <v>0</v>
          </cell>
          <cell r="E3842">
            <v>0</v>
          </cell>
          <cell r="F3842">
            <v>0</v>
          </cell>
          <cell r="G3842">
            <v>0</v>
          </cell>
          <cell r="H3842">
            <v>0</v>
          </cell>
          <cell r="I3842">
            <v>0</v>
          </cell>
          <cell r="J3842">
            <v>0</v>
          </cell>
          <cell r="K3842">
            <v>0</v>
          </cell>
          <cell r="L3842">
            <v>0</v>
          </cell>
          <cell r="M3842">
            <v>0</v>
          </cell>
          <cell r="N3842">
            <v>0</v>
          </cell>
          <cell r="O3842">
            <v>0</v>
          </cell>
        </row>
        <row r="3843">
          <cell r="A3843" t="str">
            <v>SingaporeGROSS OP &amp; ADMIN BUS SHARE</v>
          </cell>
          <cell r="B3843">
            <v>0</v>
          </cell>
          <cell r="C3843">
            <v>0</v>
          </cell>
          <cell r="D3843">
            <v>0</v>
          </cell>
          <cell r="E3843">
            <v>0</v>
          </cell>
          <cell r="F3843">
            <v>0</v>
          </cell>
          <cell r="G3843">
            <v>0</v>
          </cell>
          <cell r="H3843">
            <v>0</v>
          </cell>
          <cell r="I3843">
            <v>0</v>
          </cell>
          <cell r="J3843">
            <v>0</v>
          </cell>
          <cell r="K3843">
            <v>0</v>
          </cell>
          <cell r="L3843">
            <v>0</v>
          </cell>
          <cell r="M3843">
            <v>0</v>
          </cell>
          <cell r="N3843">
            <v>0</v>
          </cell>
          <cell r="O3843">
            <v>0</v>
          </cell>
        </row>
        <row r="3844">
          <cell r="A3844" t="str">
            <v>SingaporeOTHER EXPENSE</v>
          </cell>
          <cell r="B3844">
            <v>6824.36</v>
          </cell>
          <cell r="C3844">
            <v>7463.73</v>
          </cell>
          <cell r="D3844">
            <v>-14276.19</v>
          </cell>
          <cell r="E3844">
            <v>17335.509999999998</v>
          </cell>
          <cell r="F3844">
            <v>17347.41</v>
          </cell>
          <cell r="G3844">
            <v>0</v>
          </cell>
          <cell r="H3844">
            <v>-1666666.6666669999</v>
          </cell>
          <cell r="I3844">
            <v>-1666666.6666669999</v>
          </cell>
          <cell r="J3844">
            <v>-1666666.6666669999</v>
          </cell>
          <cell r="K3844">
            <v>-5000000</v>
          </cell>
          <cell r="L3844">
            <v>-2665.46</v>
          </cell>
          <cell r="M3844">
            <v>0</v>
          </cell>
          <cell r="N3844">
            <v>0</v>
          </cell>
          <cell r="O3844">
            <v>0</v>
          </cell>
        </row>
        <row r="3845">
          <cell r="A3845" t="str">
            <v>SingaporeGECC INTERCO EXPENSES EXCL GECIS</v>
          </cell>
          <cell r="B3845">
            <v>0</v>
          </cell>
          <cell r="C3845">
            <v>0</v>
          </cell>
          <cell r="D3845">
            <v>0</v>
          </cell>
          <cell r="E3845">
            <v>0</v>
          </cell>
          <cell r="F3845">
            <v>0</v>
          </cell>
          <cell r="G3845">
            <v>0</v>
          </cell>
          <cell r="H3845">
            <v>0</v>
          </cell>
          <cell r="I3845">
            <v>0</v>
          </cell>
          <cell r="J3845">
            <v>0</v>
          </cell>
          <cell r="K3845">
            <v>0</v>
          </cell>
          <cell r="L3845">
            <v>0</v>
          </cell>
          <cell r="M3845">
            <v>0</v>
          </cell>
          <cell r="N3845">
            <v>0</v>
          </cell>
          <cell r="O3845">
            <v>0</v>
          </cell>
        </row>
        <row r="3846">
          <cell r="A3846" t="str">
            <v>SingaporeGECIS INTERCO CHARGES</v>
          </cell>
          <cell r="B3846">
            <v>0</v>
          </cell>
          <cell r="C3846">
            <v>0</v>
          </cell>
          <cell r="D3846">
            <v>0</v>
          </cell>
          <cell r="E3846">
            <v>0</v>
          </cell>
          <cell r="F3846">
            <v>0</v>
          </cell>
          <cell r="G3846">
            <v>0</v>
          </cell>
          <cell r="H3846">
            <v>0</v>
          </cell>
          <cell r="I3846">
            <v>0</v>
          </cell>
          <cell r="J3846">
            <v>0</v>
          </cell>
          <cell r="K3846">
            <v>0</v>
          </cell>
          <cell r="L3846">
            <v>0</v>
          </cell>
          <cell r="M3846">
            <v>0</v>
          </cell>
          <cell r="N3846">
            <v>0</v>
          </cell>
          <cell r="O3846">
            <v>0</v>
          </cell>
        </row>
        <row r="3847">
          <cell r="A3847" t="str">
            <v>SingaporeLOSS ADJUSTED EXPENSE</v>
          </cell>
          <cell r="B3847">
            <v>0</v>
          </cell>
          <cell r="C3847">
            <v>0</v>
          </cell>
          <cell r="D3847">
            <v>0</v>
          </cell>
          <cell r="E3847">
            <v>0</v>
          </cell>
          <cell r="F3847">
            <v>0</v>
          </cell>
          <cell r="G3847">
            <v>0</v>
          </cell>
          <cell r="H3847">
            <v>0</v>
          </cell>
          <cell r="I3847">
            <v>0</v>
          </cell>
          <cell r="J3847">
            <v>0</v>
          </cell>
          <cell r="K3847">
            <v>0</v>
          </cell>
          <cell r="L3847">
            <v>0</v>
          </cell>
          <cell r="M3847">
            <v>0</v>
          </cell>
          <cell r="N3847">
            <v>0</v>
          </cell>
          <cell r="O3847">
            <v>0</v>
          </cell>
        </row>
        <row r="3848">
          <cell r="A3848" t="str">
            <v>SingaporeALL OTHER EXPENSES</v>
          </cell>
          <cell r="B3848">
            <v>0</v>
          </cell>
          <cell r="C3848">
            <v>0</v>
          </cell>
          <cell r="D3848">
            <v>0</v>
          </cell>
          <cell r="E3848">
            <v>0</v>
          </cell>
          <cell r="F3848">
            <v>0</v>
          </cell>
          <cell r="G3848">
            <v>0</v>
          </cell>
          <cell r="H3848">
            <v>0</v>
          </cell>
          <cell r="I3848">
            <v>0</v>
          </cell>
          <cell r="J3848">
            <v>0</v>
          </cell>
          <cell r="K3848">
            <v>0</v>
          </cell>
          <cell r="L3848">
            <v>0</v>
          </cell>
          <cell r="M3848">
            <v>0</v>
          </cell>
          <cell r="N3848">
            <v>0</v>
          </cell>
          <cell r="O3848">
            <v>0</v>
          </cell>
        </row>
        <row r="3849">
          <cell r="A3849" t="str">
            <v>SingaporeASSESSMENTS</v>
          </cell>
          <cell r="B3849">
            <v>277</v>
          </cell>
          <cell r="C3849">
            <v>277</v>
          </cell>
          <cell r="D3849">
            <v>202</v>
          </cell>
          <cell r="E3849">
            <v>252</v>
          </cell>
          <cell r="F3849">
            <v>1008</v>
          </cell>
          <cell r="G3849">
            <v>0</v>
          </cell>
          <cell r="H3849">
            <v>0</v>
          </cell>
          <cell r="I3849">
            <v>0</v>
          </cell>
          <cell r="J3849">
            <v>0</v>
          </cell>
          <cell r="K3849">
            <v>0</v>
          </cell>
          <cell r="L3849">
            <v>0</v>
          </cell>
          <cell r="M3849">
            <v>1099</v>
          </cell>
          <cell r="N3849">
            <v>1099</v>
          </cell>
          <cell r="O3849">
            <v>1100</v>
          </cell>
        </row>
        <row r="3850">
          <cell r="A3850" t="str">
            <v>SingaporeFAS 91</v>
          </cell>
          <cell r="B3850">
            <v>0</v>
          </cell>
          <cell r="C3850">
            <v>0</v>
          </cell>
          <cell r="D3850">
            <v>0</v>
          </cell>
          <cell r="E3850">
            <v>0</v>
          </cell>
          <cell r="F3850">
            <v>0</v>
          </cell>
          <cell r="G3850">
            <v>0</v>
          </cell>
          <cell r="H3850">
            <v>0</v>
          </cell>
          <cell r="I3850">
            <v>0</v>
          </cell>
          <cell r="J3850">
            <v>0</v>
          </cell>
          <cell r="K3850">
            <v>0</v>
          </cell>
          <cell r="L3850">
            <v>0</v>
          </cell>
          <cell r="M3850">
            <v>0</v>
          </cell>
          <cell r="N3850">
            <v>0</v>
          </cell>
          <cell r="O3850">
            <v>0</v>
          </cell>
        </row>
        <row r="3851">
          <cell r="A3851" t="str">
            <v>SingaporeGOODWILL AMORTIZATION</v>
          </cell>
          <cell r="B3851">
            <v>0</v>
          </cell>
          <cell r="C3851">
            <v>0</v>
          </cell>
          <cell r="D3851">
            <v>0</v>
          </cell>
          <cell r="E3851">
            <v>0</v>
          </cell>
          <cell r="F3851">
            <v>0</v>
          </cell>
          <cell r="G3851">
            <v>0</v>
          </cell>
          <cell r="H3851">
            <v>0</v>
          </cell>
          <cell r="I3851">
            <v>0</v>
          </cell>
          <cell r="J3851">
            <v>0</v>
          </cell>
          <cell r="K3851">
            <v>0</v>
          </cell>
          <cell r="L3851">
            <v>0</v>
          </cell>
          <cell r="M3851">
            <v>0</v>
          </cell>
          <cell r="N3851">
            <v>0</v>
          </cell>
          <cell r="O3851">
            <v>0</v>
          </cell>
        </row>
        <row r="3852">
          <cell r="A3852" t="str">
            <v>SingaporeDEPRECIATION EXPENSE</v>
          </cell>
          <cell r="B3852">
            <v>0</v>
          </cell>
          <cell r="C3852">
            <v>0</v>
          </cell>
          <cell r="D3852">
            <v>0</v>
          </cell>
          <cell r="E3852">
            <v>0</v>
          </cell>
          <cell r="F3852">
            <v>0</v>
          </cell>
          <cell r="G3852">
            <v>0</v>
          </cell>
          <cell r="H3852">
            <v>0</v>
          </cell>
          <cell r="I3852">
            <v>0</v>
          </cell>
          <cell r="J3852">
            <v>0</v>
          </cell>
          <cell r="K3852">
            <v>0</v>
          </cell>
          <cell r="L3852">
            <v>0</v>
          </cell>
          <cell r="M3852">
            <v>0</v>
          </cell>
          <cell r="N3852">
            <v>0</v>
          </cell>
          <cell r="O3852">
            <v>0</v>
          </cell>
        </row>
        <row r="3853">
          <cell r="A3853" t="str">
            <v>SingaporeELTO AMORTIZATION</v>
          </cell>
          <cell r="B3853">
            <v>0</v>
          </cell>
          <cell r="C3853">
            <v>0</v>
          </cell>
          <cell r="D3853">
            <v>0</v>
          </cell>
          <cell r="E3853">
            <v>0</v>
          </cell>
          <cell r="F3853">
            <v>0</v>
          </cell>
          <cell r="G3853">
            <v>0</v>
          </cell>
          <cell r="H3853">
            <v>0</v>
          </cell>
          <cell r="I3853">
            <v>0</v>
          </cell>
          <cell r="J3853">
            <v>0</v>
          </cell>
          <cell r="K3853">
            <v>0</v>
          </cell>
          <cell r="L3853">
            <v>0</v>
          </cell>
          <cell r="M3853">
            <v>0</v>
          </cell>
          <cell r="N3853">
            <v>0</v>
          </cell>
          <cell r="O3853">
            <v>0</v>
          </cell>
        </row>
        <row r="3854">
          <cell r="A3854" t="str">
            <v>SingaporeINSURANCE LOSSES AND BENEFITS</v>
          </cell>
          <cell r="B3854">
            <v>0</v>
          </cell>
          <cell r="C3854">
            <v>0</v>
          </cell>
          <cell r="D3854">
            <v>0</v>
          </cell>
          <cell r="E3854">
            <v>0</v>
          </cell>
          <cell r="F3854">
            <v>0</v>
          </cell>
          <cell r="G3854">
            <v>0</v>
          </cell>
          <cell r="H3854">
            <v>0</v>
          </cell>
          <cell r="I3854">
            <v>0</v>
          </cell>
          <cell r="J3854">
            <v>0</v>
          </cell>
          <cell r="K3854">
            <v>0</v>
          </cell>
          <cell r="L3854">
            <v>0</v>
          </cell>
          <cell r="M3854">
            <v>0</v>
          </cell>
          <cell r="N3854">
            <v>0</v>
          </cell>
          <cell r="O3854">
            <v>0</v>
          </cell>
        </row>
        <row r="3855">
          <cell r="A3855" t="str">
            <v>SingaporeWRITE OFFS</v>
          </cell>
          <cell r="B3855">
            <v>0</v>
          </cell>
          <cell r="C3855">
            <v>0</v>
          </cell>
          <cell r="D3855">
            <v>0</v>
          </cell>
          <cell r="E3855">
            <v>0</v>
          </cell>
          <cell r="F3855">
            <v>0</v>
          </cell>
          <cell r="G3855">
            <v>0</v>
          </cell>
          <cell r="H3855">
            <v>0</v>
          </cell>
          <cell r="I3855">
            <v>0</v>
          </cell>
          <cell r="J3855">
            <v>0</v>
          </cell>
          <cell r="K3855">
            <v>0</v>
          </cell>
          <cell r="L3855">
            <v>0</v>
          </cell>
          <cell r="M3855">
            <v>0</v>
          </cell>
          <cell r="N3855">
            <v>0</v>
          </cell>
          <cell r="O3855">
            <v>0</v>
          </cell>
        </row>
        <row r="3856">
          <cell r="A3856" t="str">
            <v>SingaporeRESERVE CHANGE</v>
          </cell>
          <cell r="B3856">
            <v>0</v>
          </cell>
          <cell r="C3856">
            <v>0</v>
          </cell>
          <cell r="D3856">
            <v>0</v>
          </cell>
          <cell r="E3856">
            <v>0</v>
          </cell>
          <cell r="F3856">
            <v>0</v>
          </cell>
          <cell r="G3856">
            <v>0</v>
          </cell>
          <cell r="H3856">
            <v>0</v>
          </cell>
          <cell r="I3856">
            <v>0</v>
          </cell>
          <cell r="J3856">
            <v>0</v>
          </cell>
          <cell r="K3856">
            <v>0</v>
          </cell>
          <cell r="L3856">
            <v>0</v>
          </cell>
          <cell r="M3856">
            <v>0</v>
          </cell>
          <cell r="N3856">
            <v>0</v>
          </cell>
          <cell r="O3856">
            <v>0</v>
          </cell>
        </row>
        <row r="3857">
          <cell r="A3857" t="str">
            <v>SingaporeMINORITY INTEREST</v>
          </cell>
          <cell r="B3857">
            <v>0</v>
          </cell>
          <cell r="C3857">
            <v>0</v>
          </cell>
          <cell r="D3857">
            <v>0</v>
          </cell>
          <cell r="E3857">
            <v>0</v>
          </cell>
          <cell r="F3857">
            <v>0</v>
          </cell>
          <cell r="G3857">
            <v>0</v>
          </cell>
          <cell r="H3857">
            <v>0</v>
          </cell>
          <cell r="I3857">
            <v>0</v>
          </cell>
          <cell r="J3857">
            <v>0</v>
          </cell>
          <cell r="K3857">
            <v>0</v>
          </cell>
          <cell r="L3857">
            <v>0</v>
          </cell>
          <cell r="M3857">
            <v>0</v>
          </cell>
          <cell r="N3857">
            <v>0</v>
          </cell>
          <cell r="O3857">
            <v>0</v>
          </cell>
        </row>
        <row r="3858">
          <cell r="A3858" t="str">
            <v>SingaporeINCOME TAXES</v>
          </cell>
          <cell r="B3858">
            <v>-96.95</v>
          </cell>
          <cell r="C3858">
            <v>-96.95</v>
          </cell>
          <cell r="D3858">
            <v>-70.7</v>
          </cell>
          <cell r="E3858">
            <v>-88.2</v>
          </cell>
          <cell r="F3858">
            <v>-352.8</v>
          </cell>
          <cell r="G3858">
            <v>0</v>
          </cell>
          <cell r="H3858">
            <v>898333.45</v>
          </cell>
          <cell r="I3858">
            <v>898333.45</v>
          </cell>
          <cell r="J3858">
            <v>898333.45</v>
          </cell>
          <cell r="K3858">
            <v>2695000.35</v>
          </cell>
          <cell r="L3858">
            <v>0</v>
          </cell>
          <cell r="M3858">
            <v>-385</v>
          </cell>
          <cell r="N3858">
            <v>-385</v>
          </cell>
          <cell r="O3858">
            <v>-385</v>
          </cell>
        </row>
        <row r="3859">
          <cell r="A3859" t="str">
            <v>SingaporeCUMULATIVE TRANSITION ADJUSTMENT</v>
          </cell>
          <cell r="B3859">
            <v>0</v>
          </cell>
          <cell r="C3859">
            <v>0</v>
          </cell>
          <cell r="D3859">
            <v>0</v>
          </cell>
          <cell r="E3859">
            <v>0</v>
          </cell>
          <cell r="F3859">
            <v>0</v>
          </cell>
          <cell r="G3859">
            <v>0</v>
          </cell>
          <cell r="H3859">
            <v>0</v>
          </cell>
          <cell r="I3859">
            <v>0</v>
          </cell>
          <cell r="J3859">
            <v>0</v>
          </cell>
          <cell r="K3859">
            <v>0</v>
          </cell>
          <cell r="L3859">
            <v>0</v>
          </cell>
          <cell r="M3859">
            <v>0</v>
          </cell>
          <cell r="N3859">
            <v>0</v>
          </cell>
          <cell r="O3859">
            <v>0</v>
          </cell>
        </row>
        <row r="3860">
          <cell r="A3860" t="str">
            <v>SingaporeASIA PACIFIC NI DIVIDEND</v>
          </cell>
          <cell r="B3860">
            <v>0</v>
          </cell>
          <cell r="C3860">
            <v>0</v>
          </cell>
          <cell r="D3860">
            <v>0</v>
          </cell>
          <cell r="E3860">
            <v>0</v>
          </cell>
          <cell r="F3860">
            <v>0</v>
          </cell>
          <cell r="G3860">
            <v>0</v>
          </cell>
          <cell r="H3860">
            <v>0</v>
          </cell>
          <cell r="I3860">
            <v>0</v>
          </cell>
          <cell r="J3860">
            <v>0</v>
          </cell>
          <cell r="K3860">
            <v>0</v>
          </cell>
          <cell r="L3860">
            <v>0</v>
          </cell>
          <cell r="M3860">
            <v>0</v>
          </cell>
          <cell r="N3860">
            <v>0</v>
          </cell>
          <cell r="O3860">
            <v>0</v>
          </cell>
        </row>
        <row r="3861">
          <cell r="A3861" t="str">
            <v>SingaporeNet Income</v>
          </cell>
          <cell r="B3861">
            <v>7004.41</v>
          </cell>
          <cell r="C3861">
            <v>7643.78</v>
          </cell>
          <cell r="D3861">
            <v>-14144.89</v>
          </cell>
          <cell r="E3861">
            <v>17499.310000000001</v>
          </cell>
          <cell r="F3861">
            <v>18002.61</v>
          </cell>
          <cell r="G3861">
            <v>0</v>
          </cell>
          <cell r="H3861">
            <v>-1668333.216667</v>
          </cell>
          <cell r="I3861">
            <v>-1668333.216667</v>
          </cell>
          <cell r="J3861">
            <v>-1668333.216667</v>
          </cell>
          <cell r="K3861">
            <v>-5004999.6500000004</v>
          </cell>
          <cell r="L3861">
            <v>-2665.46</v>
          </cell>
          <cell r="M3861">
            <v>714</v>
          </cell>
          <cell r="N3861">
            <v>714</v>
          </cell>
          <cell r="O3861">
            <v>715</v>
          </cell>
        </row>
        <row r="3862">
          <cell r="A3862" t="str">
            <v>SingaporeSubPart F</v>
          </cell>
          <cell r="B3862">
            <v>0</v>
          </cell>
          <cell r="C3862">
            <v>0</v>
          </cell>
          <cell r="D3862">
            <v>0</v>
          </cell>
          <cell r="E3862">
            <v>0</v>
          </cell>
          <cell r="F3862">
            <v>0</v>
          </cell>
          <cell r="G3862">
            <v>0</v>
          </cell>
          <cell r="H3862">
            <v>0</v>
          </cell>
          <cell r="I3862">
            <v>0</v>
          </cell>
          <cell r="J3862">
            <v>0</v>
          </cell>
          <cell r="K3862">
            <v>0</v>
          </cell>
          <cell r="L3862">
            <v>0</v>
          </cell>
          <cell r="M3862">
            <v>0</v>
          </cell>
          <cell r="N3862">
            <v>0</v>
          </cell>
          <cell r="O3862">
            <v>0</v>
          </cell>
        </row>
        <row r="3863">
          <cell r="A3863" t="str">
            <v>SingaporeAssets</v>
          </cell>
          <cell r="B3863">
            <v>0</v>
          </cell>
          <cell r="C3863">
            <v>0</v>
          </cell>
          <cell r="D3863">
            <v>0</v>
          </cell>
          <cell r="E3863">
            <v>0</v>
          </cell>
          <cell r="F3863">
            <v>0</v>
          </cell>
          <cell r="G3863">
            <v>0</v>
          </cell>
          <cell r="H3863">
            <v>0</v>
          </cell>
          <cell r="I3863">
            <v>0</v>
          </cell>
          <cell r="J3863">
            <v>0</v>
          </cell>
          <cell r="K3863">
            <v>0</v>
          </cell>
          <cell r="L3863">
            <v>0</v>
          </cell>
          <cell r="M3863">
            <v>0</v>
          </cell>
          <cell r="N3863">
            <v>0</v>
          </cell>
          <cell r="O3863">
            <v>0</v>
          </cell>
        </row>
        <row r="3864">
          <cell r="A3864" t="str">
            <v>SingaporeEnding Net Investment (ENI) incl Asia</v>
          </cell>
          <cell r="B3864">
            <v>1251303.4099999999</v>
          </cell>
          <cell r="C3864">
            <v>1251400.3600000001</v>
          </cell>
          <cell r="D3864">
            <v>1251471.06</v>
          </cell>
          <cell r="E3864">
            <v>1513757.26</v>
          </cell>
          <cell r="F3864">
            <v>1513757.26</v>
          </cell>
          <cell r="G3864">
            <v>0</v>
          </cell>
          <cell r="H3864">
            <v>0</v>
          </cell>
          <cell r="I3864">
            <v>0</v>
          </cell>
          <cell r="J3864">
            <v>0</v>
          </cell>
          <cell r="K3864">
            <v>0</v>
          </cell>
          <cell r="L3864">
            <v>1513757.26</v>
          </cell>
          <cell r="M3864">
            <v>1099437</v>
          </cell>
          <cell r="N3864">
            <v>1099822</v>
          </cell>
          <cell r="O3864">
            <v>1100207</v>
          </cell>
        </row>
        <row r="3865">
          <cell r="A3865" t="str">
            <v>SingaporeANR YTD</v>
          </cell>
          <cell r="B3865">
            <v>0</v>
          </cell>
          <cell r="C3865">
            <v>0</v>
          </cell>
          <cell r="D3865">
            <v>0</v>
          </cell>
          <cell r="E3865">
            <v>0</v>
          </cell>
          <cell r="F3865">
            <v>0</v>
          </cell>
          <cell r="G3865">
            <v>0</v>
          </cell>
          <cell r="H3865">
            <v>0</v>
          </cell>
          <cell r="I3865">
            <v>0</v>
          </cell>
          <cell r="J3865">
            <v>0</v>
          </cell>
          <cell r="K3865">
            <v>0</v>
          </cell>
          <cell r="L3865">
            <v>0</v>
          </cell>
          <cell r="M3865">
            <v>0</v>
          </cell>
          <cell r="N3865">
            <v>0</v>
          </cell>
          <cell r="O3865">
            <v>0</v>
          </cell>
        </row>
        <row r="3866">
          <cell r="A3866" t="str">
            <v>SingaporeASA YTD</v>
          </cell>
          <cell r="B3866">
            <v>0</v>
          </cell>
          <cell r="C3866">
            <v>0</v>
          </cell>
          <cell r="D3866">
            <v>0</v>
          </cell>
          <cell r="E3866">
            <v>0</v>
          </cell>
          <cell r="F3866">
            <v>0</v>
          </cell>
          <cell r="G3866">
            <v>0</v>
          </cell>
          <cell r="H3866">
            <v>0</v>
          </cell>
          <cell r="I3866">
            <v>0</v>
          </cell>
          <cell r="J3866">
            <v>0</v>
          </cell>
          <cell r="K3866">
            <v>0</v>
          </cell>
          <cell r="L3866">
            <v>0</v>
          </cell>
          <cell r="M3866">
            <v>0</v>
          </cell>
          <cell r="N3866">
            <v>0</v>
          </cell>
          <cell r="O3866">
            <v>0</v>
          </cell>
        </row>
        <row r="3867">
          <cell r="A3867" t="str">
            <v>SingaporeANI YTD incl Asia - 5 pt</v>
          </cell>
          <cell r="B3867">
            <v>1255687.3899999999</v>
          </cell>
          <cell r="C3867">
            <v>1254258.3799999999</v>
          </cell>
          <cell r="D3867">
            <v>1253561.55</v>
          </cell>
          <cell r="E3867">
            <v>1305600.692</v>
          </cell>
          <cell r="F3867">
            <v>1305600.692</v>
          </cell>
          <cell r="G3867">
            <v>0</v>
          </cell>
          <cell r="H3867">
            <v>0</v>
          </cell>
          <cell r="I3867">
            <v>0</v>
          </cell>
          <cell r="J3867">
            <v>0</v>
          </cell>
          <cell r="K3867">
            <v>0</v>
          </cell>
          <cell r="L3867">
            <v>1513757.26</v>
          </cell>
          <cell r="M3867">
            <v>439698</v>
          </cell>
          <cell r="N3867">
            <v>439851.8</v>
          </cell>
          <cell r="O3867">
            <v>440005.8</v>
          </cell>
        </row>
        <row r="3868">
          <cell r="A3868" t="str">
            <v>SingaporeOff Balance Sheet Assets</v>
          </cell>
          <cell r="B3868">
            <v>0</v>
          </cell>
          <cell r="C3868">
            <v>0</v>
          </cell>
          <cell r="D3868">
            <v>0</v>
          </cell>
          <cell r="E3868">
            <v>0</v>
          </cell>
          <cell r="F3868">
            <v>0</v>
          </cell>
          <cell r="G3868">
            <v>0</v>
          </cell>
          <cell r="H3868">
            <v>0</v>
          </cell>
          <cell r="I3868">
            <v>0</v>
          </cell>
          <cell r="J3868">
            <v>0</v>
          </cell>
          <cell r="K3868">
            <v>0</v>
          </cell>
          <cell r="L3868">
            <v>0</v>
          </cell>
          <cell r="M3868">
            <v>0</v>
          </cell>
          <cell r="N3868">
            <v>0</v>
          </cell>
          <cell r="O3868">
            <v>0</v>
          </cell>
        </row>
        <row r="3869">
          <cell r="A3869" t="str">
            <v>SingaporeJV Receivables</v>
          </cell>
          <cell r="B3869">
            <v>0</v>
          </cell>
          <cell r="C3869">
            <v>0</v>
          </cell>
          <cell r="D3869">
            <v>0</v>
          </cell>
          <cell r="E3869">
            <v>0</v>
          </cell>
          <cell r="F3869">
            <v>0</v>
          </cell>
          <cell r="G3869">
            <v>0</v>
          </cell>
          <cell r="H3869">
            <v>0</v>
          </cell>
          <cell r="I3869">
            <v>0</v>
          </cell>
          <cell r="J3869">
            <v>0</v>
          </cell>
          <cell r="K3869">
            <v>0</v>
          </cell>
          <cell r="L3869">
            <v>0</v>
          </cell>
          <cell r="M3869">
            <v>0</v>
          </cell>
          <cell r="N3869">
            <v>0</v>
          </cell>
          <cell r="O3869">
            <v>0</v>
          </cell>
        </row>
        <row r="3870">
          <cell r="A3870" t="str">
            <v>Singapore30+ DELINQUENCY $</v>
          </cell>
          <cell r="B3870">
            <v>0</v>
          </cell>
          <cell r="C3870">
            <v>0</v>
          </cell>
          <cell r="D3870">
            <v>0</v>
          </cell>
          <cell r="E3870">
            <v>0</v>
          </cell>
          <cell r="F3870">
            <v>0</v>
          </cell>
          <cell r="G3870">
            <v>0</v>
          </cell>
          <cell r="H3870">
            <v>0</v>
          </cell>
          <cell r="I3870">
            <v>0</v>
          </cell>
          <cell r="J3870">
            <v>0</v>
          </cell>
          <cell r="K3870">
            <v>0</v>
          </cell>
          <cell r="L3870">
            <v>0</v>
          </cell>
          <cell r="M3870">
            <v>0</v>
          </cell>
          <cell r="N3870">
            <v>0</v>
          </cell>
          <cell r="O3870">
            <v>0</v>
          </cell>
        </row>
        <row r="3871">
          <cell r="A3871" t="str">
            <v>Singapore90+ DELINQUENCY $</v>
          </cell>
          <cell r="B3871">
            <v>0</v>
          </cell>
          <cell r="C3871">
            <v>0</v>
          </cell>
          <cell r="D3871">
            <v>0</v>
          </cell>
          <cell r="E3871">
            <v>0</v>
          </cell>
          <cell r="F3871">
            <v>0</v>
          </cell>
          <cell r="G3871">
            <v>0</v>
          </cell>
          <cell r="H3871">
            <v>0</v>
          </cell>
          <cell r="I3871">
            <v>0</v>
          </cell>
          <cell r="J3871">
            <v>0</v>
          </cell>
          <cell r="K3871">
            <v>0</v>
          </cell>
          <cell r="L3871">
            <v>0</v>
          </cell>
          <cell r="M3871">
            <v>0</v>
          </cell>
          <cell r="N3871">
            <v>0</v>
          </cell>
          <cell r="O3871">
            <v>0</v>
          </cell>
        </row>
        <row r="3872">
          <cell r="A3872" t="str">
            <v>SingaporeTemporary Staff</v>
          </cell>
          <cell r="B3872">
            <v>0</v>
          </cell>
          <cell r="C3872">
            <v>0</v>
          </cell>
          <cell r="D3872">
            <v>0</v>
          </cell>
          <cell r="E3872">
            <v>0</v>
          </cell>
          <cell r="F3872">
            <v>0</v>
          </cell>
          <cell r="G3872">
            <v>0</v>
          </cell>
          <cell r="H3872">
            <v>0</v>
          </cell>
          <cell r="I3872">
            <v>0</v>
          </cell>
          <cell r="J3872">
            <v>-100</v>
          </cell>
          <cell r="K3872">
            <v>-100</v>
          </cell>
          <cell r="L3872">
            <v>0</v>
          </cell>
          <cell r="M3872">
            <v>0</v>
          </cell>
          <cell r="N3872">
            <v>0</v>
          </cell>
          <cell r="O3872">
            <v>0</v>
          </cell>
        </row>
        <row r="3873">
          <cell r="A3873" t="str">
            <v>SingaporeContractors</v>
          </cell>
          <cell r="B3873">
            <v>0</v>
          </cell>
          <cell r="C3873">
            <v>0</v>
          </cell>
          <cell r="D3873">
            <v>0</v>
          </cell>
          <cell r="E3873">
            <v>0</v>
          </cell>
          <cell r="F3873">
            <v>0</v>
          </cell>
          <cell r="G3873">
            <v>0</v>
          </cell>
          <cell r="H3873">
            <v>0</v>
          </cell>
          <cell r="I3873">
            <v>0</v>
          </cell>
          <cell r="J3873">
            <v>0</v>
          </cell>
          <cell r="K3873">
            <v>0</v>
          </cell>
          <cell r="L3873">
            <v>0</v>
          </cell>
          <cell r="M3873">
            <v>0</v>
          </cell>
          <cell r="N3873">
            <v>0</v>
          </cell>
          <cell r="O3873">
            <v>0</v>
          </cell>
        </row>
        <row r="3874">
          <cell r="A3874" t="str">
            <v>SingaporeOutsourced to LCC</v>
          </cell>
          <cell r="B3874">
            <v>0</v>
          </cell>
          <cell r="C3874">
            <v>0</v>
          </cell>
          <cell r="D3874">
            <v>0</v>
          </cell>
          <cell r="E3874">
            <v>0</v>
          </cell>
          <cell r="F3874">
            <v>0</v>
          </cell>
          <cell r="G3874">
            <v>0</v>
          </cell>
          <cell r="H3874">
            <v>0</v>
          </cell>
          <cell r="I3874">
            <v>0</v>
          </cell>
          <cell r="J3874">
            <v>0</v>
          </cell>
          <cell r="K3874">
            <v>0</v>
          </cell>
          <cell r="L3874">
            <v>0</v>
          </cell>
          <cell r="M3874">
            <v>0</v>
          </cell>
          <cell r="N3874">
            <v>0</v>
          </cell>
          <cell r="O3874">
            <v>0</v>
          </cell>
        </row>
        <row r="3875">
          <cell r="A3875" t="str">
            <v>SingaporeTotal Headcount</v>
          </cell>
          <cell r="B3875">
            <v>0</v>
          </cell>
          <cell r="C3875">
            <v>0</v>
          </cell>
          <cell r="D3875">
            <v>0</v>
          </cell>
          <cell r="E3875">
            <v>0</v>
          </cell>
          <cell r="F3875">
            <v>0</v>
          </cell>
          <cell r="G3875">
            <v>0</v>
          </cell>
          <cell r="H3875">
            <v>0</v>
          </cell>
          <cell r="I3875">
            <v>0</v>
          </cell>
          <cell r="J3875">
            <v>0</v>
          </cell>
          <cell r="K3875">
            <v>0</v>
          </cell>
          <cell r="L3875">
            <v>0</v>
          </cell>
          <cell r="M3875">
            <v>0</v>
          </cell>
          <cell r="N3875">
            <v>0</v>
          </cell>
          <cell r="O3875">
            <v>0</v>
          </cell>
        </row>
        <row r="3876">
          <cell r="A3876" t="str">
            <v>SingaporeTotal Workforce</v>
          </cell>
          <cell r="B3876">
            <v>0</v>
          </cell>
          <cell r="C3876">
            <v>0</v>
          </cell>
          <cell r="D3876">
            <v>0</v>
          </cell>
          <cell r="E3876">
            <v>0</v>
          </cell>
          <cell r="F3876">
            <v>0</v>
          </cell>
          <cell r="G3876">
            <v>0</v>
          </cell>
          <cell r="H3876">
            <v>0</v>
          </cell>
          <cell r="I3876">
            <v>0</v>
          </cell>
          <cell r="J3876">
            <v>-100</v>
          </cell>
          <cell r="K3876">
            <v>-100</v>
          </cell>
          <cell r="L3876">
            <v>0</v>
          </cell>
          <cell r="M3876">
            <v>0</v>
          </cell>
          <cell r="N3876">
            <v>0</v>
          </cell>
          <cell r="O3876">
            <v>0</v>
          </cell>
        </row>
        <row r="3877">
          <cell r="A3877" t="str">
            <v>SingaporeTotal Earned Revenue</v>
          </cell>
          <cell r="B3877">
            <v>0</v>
          </cell>
          <cell r="C3877">
            <v>0</v>
          </cell>
          <cell r="D3877">
            <v>0</v>
          </cell>
          <cell r="E3877">
            <v>0</v>
          </cell>
          <cell r="F3877">
            <v>0</v>
          </cell>
          <cell r="G3877">
            <v>0</v>
          </cell>
          <cell r="H3877">
            <v>-900000</v>
          </cell>
          <cell r="I3877">
            <v>-900000</v>
          </cell>
          <cell r="J3877">
            <v>-900000</v>
          </cell>
          <cell r="K3877">
            <v>-2700000</v>
          </cell>
          <cell r="L3877">
            <v>0</v>
          </cell>
          <cell r="M3877">
            <v>0</v>
          </cell>
          <cell r="N3877">
            <v>0</v>
          </cell>
          <cell r="O3877">
            <v>0</v>
          </cell>
        </row>
        <row r="3878">
          <cell r="A3878" t="str">
            <v>SingaporeOrdinary Gains - PreTax</v>
          </cell>
          <cell r="B3878">
            <v>0</v>
          </cell>
          <cell r="C3878">
            <v>0</v>
          </cell>
          <cell r="D3878">
            <v>0</v>
          </cell>
          <cell r="E3878">
            <v>0</v>
          </cell>
          <cell r="F3878">
            <v>0</v>
          </cell>
          <cell r="G3878">
            <v>0</v>
          </cell>
          <cell r="H3878">
            <v>0</v>
          </cell>
          <cell r="I3878">
            <v>0</v>
          </cell>
          <cell r="J3878">
            <v>0</v>
          </cell>
          <cell r="K3878">
            <v>0</v>
          </cell>
          <cell r="L3878">
            <v>0</v>
          </cell>
          <cell r="M3878">
            <v>0</v>
          </cell>
          <cell r="N3878">
            <v>0</v>
          </cell>
          <cell r="O3878">
            <v>0</v>
          </cell>
        </row>
        <row r="3879">
          <cell r="A3879" t="str">
            <v>SingaporeOrdinary Gains - AfterTax</v>
          </cell>
          <cell r="B3879">
            <v>0</v>
          </cell>
          <cell r="C3879">
            <v>0</v>
          </cell>
          <cell r="D3879">
            <v>0</v>
          </cell>
          <cell r="E3879">
            <v>0</v>
          </cell>
          <cell r="F3879">
            <v>0</v>
          </cell>
          <cell r="G3879">
            <v>0</v>
          </cell>
          <cell r="H3879">
            <v>0</v>
          </cell>
          <cell r="I3879">
            <v>0</v>
          </cell>
          <cell r="J3879">
            <v>0</v>
          </cell>
          <cell r="K3879">
            <v>0</v>
          </cell>
          <cell r="L3879">
            <v>0</v>
          </cell>
          <cell r="M3879">
            <v>0</v>
          </cell>
          <cell r="N3879">
            <v>0</v>
          </cell>
          <cell r="O3879">
            <v>0</v>
          </cell>
        </row>
        <row r="3880">
          <cell r="A3880" t="str">
            <v>SingaporeTotal Volume</v>
          </cell>
          <cell r="B3880">
            <v>0</v>
          </cell>
          <cell r="C3880">
            <v>0</v>
          </cell>
          <cell r="D3880">
            <v>0</v>
          </cell>
          <cell r="E3880">
            <v>0</v>
          </cell>
          <cell r="F3880">
            <v>0</v>
          </cell>
          <cell r="G3880">
            <v>0</v>
          </cell>
          <cell r="H3880">
            <v>0</v>
          </cell>
          <cell r="I3880">
            <v>0</v>
          </cell>
          <cell r="J3880">
            <v>0</v>
          </cell>
          <cell r="K3880">
            <v>0</v>
          </cell>
          <cell r="L3880">
            <v>0</v>
          </cell>
          <cell r="M3880">
            <v>0</v>
          </cell>
          <cell r="N3880">
            <v>0</v>
          </cell>
          <cell r="O3880">
            <v>0</v>
          </cell>
        </row>
        <row r="3881">
          <cell r="A3881" t="str">
            <v>SingaporeTOTAL # ACTIVE ACCOUNTS</v>
          </cell>
          <cell r="B3881">
            <v>0</v>
          </cell>
          <cell r="C3881">
            <v>0</v>
          </cell>
          <cell r="D3881">
            <v>0</v>
          </cell>
          <cell r="E3881">
            <v>0</v>
          </cell>
          <cell r="F3881">
            <v>0</v>
          </cell>
          <cell r="G3881">
            <v>0</v>
          </cell>
          <cell r="H3881">
            <v>0</v>
          </cell>
          <cell r="I3881">
            <v>0</v>
          </cell>
          <cell r="J3881">
            <v>0</v>
          </cell>
          <cell r="K3881">
            <v>0</v>
          </cell>
          <cell r="L3881">
            <v>0</v>
          </cell>
          <cell r="M3881">
            <v>0</v>
          </cell>
          <cell r="N3881">
            <v>0</v>
          </cell>
          <cell r="O3881">
            <v>0</v>
          </cell>
        </row>
        <row r="3882">
          <cell r="A3882" t="str">
            <v>SwedenTOTAL FINANCING RECEIVABLES</v>
          </cell>
          <cell r="B3882">
            <v>446105112.23000002</v>
          </cell>
          <cell r="C3882">
            <v>432123961.29000002</v>
          </cell>
          <cell r="D3882">
            <v>462412125.81</v>
          </cell>
          <cell r="E3882">
            <v>478743773.25</v>
          </cell>
          <cell r="F3882">
            <v>478743773.25</v>
          </cell>
          <cell r="G3882">
            <v>494033567.39840001</v>
          </cell>
          <cell r="H3882">
            <v>504977816.33482701</v>
          </cell>
          <cell r="I3882">
            <v>506394888.87016302</v>
          </cell>
          <cell r="J3882">
            <v>528720066.01179397</v>
          </cell>
          <cell r="K3882">
            <v>528720066.01179397</v>
          </cell>
          <cell r="L3882">
            <v>499178372.13</v>
          </cell>
          <cell r="M3882">
            <v>523872648.44338697</v>
          </cell>
          <cell r="N3882">
            <v>570777808.70622599</v>
          </cell>
          <cell r="O3882">
            <v>629538003.62769198</v>
          </cell>
        </row>
        <row r="3883">
          <cell r="A3883" t="str">
            <v>SwedenRECEIVABLE RESERVES</v>
          </cell>
          <cell r="B3883">
            <v>-44311289.25</v>
          </cell>
          <cell r="C3883">
            <v>-40262719.189999998</v>
          </cell>
          <cell r="D3883">
            <v>-25604113.789999999</v>
          </cell>
          <cell r="E3883">
            <v>-27344687.670000002</v>
          </cell>
          <cell r="F3883">
            <v>-27344687.670000002</v>
          </cell>
          <cell r="G3883">
            <v>-29400129.367401998</v>
          </cell>
          <cell r="H3883">
            <v>-30029162.209665</v>
          </cell>
          <cell r="I3883">
            <v>-29927217.315095</v>
          </cell>
          <cell r="J3883">
            <v>-30716701.979448002</v>
          </cell>
          <cell r="K3883">
            <v>-30716701.979448002</v>
          </cell>
          <cell r="L3883">
            <v>-25538981.239999998</v>
          </cell>
          <cell r="M3883">
            <v>-51762019.723481998</v>
          </cell>
          <cell r="N3883">
            <v>-55882938.106238</v>
          </cell>
          <cell r="O3883">
            <v>-60913248.114951998</v>
          </cell>
        </row>
        <row r="3884">
          <cell r="A3884" t="str">
            <v>SwedenCASH</v>
          </cell>
          <cell r="B3884">
            <v>2096543.12</v>
          </cell>
          <cell r="C3884">
            <v>6223740.9400000004</v>
          </cell>
          <cell r="D3884">
            <v>3860518.03</v>
          </cell>
          <cell r="E3884">
            <v>2095926.85</v>
          </cell>
          <cell r="F3884">
            <v>2095926.85</v>
          </cell>
          <cell r="G3884">
            <v>2190110</v>
          </cell>
          <cell r="H3884">
            <v>2190110</v>
          </cell>
          <cell r="I3884">
            <v>2190110</v>
          </cell>
          <cell r="J3884">
            <v>2190110</v>
          </cell>
          <cell r="K3884">
            <v>2190110</v>
          </cell>
          <cell r="L3884">
            <v>-3338647.02</v>
          </cell>
          <cell r="M3884">
            <v>3845470</v>
          </cell>
          <cell r="N3884">
            <v>3845470</v>
          </cell>
          <cell r="O3884">
            <v>3845470</v>
          </cell>
        </row>
        <row r="3885">
          <cell r="A3885" t="str">
            <v>SwedenINVESTMENT SECURITIES</v>
          </cell>
          <cell r="B3885">
            <v>0</v>
          </cell>
          <cell r="C3885">
            <v>0</v>
          </cell>
          <cell r="D3885">
            <v>1427688.67</v>
          </cell>
          <cell r="E3885">
            <v>2435137.0299999998</v>
          </cell>
          <cell r="F3885">
            <v>2435137.0299999998</v>
          </cell>
          <cell r="G3885">
            <v>0</v>
          </cell>
          <cell r="H3885">
            <v>0</v>
          </cell>
          <cell r="I3885">
            <v>0</v>
          </cell>
          <cell r="J3885">
            <v>0</v>
          </cell>
          <cell r="K3885">
            <v>0</v>
          </cell>
          <cell r="L3885">
            <v>1057823.8899999999</v>
          </cell>
          <cell r="M3885">
            <v>0</v>
          </cell>
          <cell r="N3885">
            <v>0</v>
          </cell>
          <cell r="O3885">
            <v>0</v>
          </cell>
        </row>
        <row r="3886">
          <cell r="A3886" t="str">
            <v>SwedenINV IN NON CONSOL AFFILIATES</v>
          </cell>
          <cell r="B3886">
            <v>108959.19</v>
          </cell>
          <cell r="C3886">
            <v>104494.19</v>
          </cell>
          <cell r="D3886">
            <v>106016.21</v>
          </cell>
          <cell r="E3886">
            <v>105269.18</v>
          </cell>
          <cell r="F3886">
            <v>105269.18</v>
          </cell>
          <cell r="G3886">
            <v>110000</v>
          </cell>
          <cell r="H3886">
            <v>110000</v>
          </cell>
          <cell r="I3886">
            <v>110000</v>
          </cell>
          <cell r="J3886">
            <v>110000</v>
          </cell>
          <cell r="K3886">
            <v>110000</v>
          </cell>
          <cell r="L3886">
            <v>107376.07</v>
          </cell>
          <cell r="M3886">
            <v>110000</v>
          </cell>
          <cell r="N3886">
            <v>110001</v>
          </cell>
          <cell r="O3886">
            <v>110002</v>
          </cell>
        </row>
        <row r="3887">
          <cell r="A3887" t="str">
            <v>SwedenINVESTMENT IN JOINT VENTURE</v>
          </cell>
          <cell r="B3887">
            <v>0</v>
          </cell>
          <cell r="C3887">
            <v>0</v>
          </cell>
          <cell r="D3887">
            <v>0</v>
          </cell>
          <cell r="E3887">
            <v>0</v>
          </cell>
          <cell r="F3887">
            <v>0</v>
          </cell>
          <cell r="G3887">
            <v>0</v>
          </cell>
          <cell r="H3887">
            <v>0</v>
          </cell>
          <cell r="I3887">
            <v>0</v>
          </cell>
          <cell r="J3887">
            <v>0</v>
          </cell>
          <cell r="K3887">
            <v>0</v>
          </cell>
          <cell r="L3887">
            <v>0</v>
          </cell>
          <cell r="M3887">
            <v>0</v>
          </cell>
          <cell r="N3887">
            <v>0</v>
          </cell>
          <cell r="O3887">
            <v>0</v>
          </cell>
        </row>
        <row r="3888">
          <cell r="A3888" t="str">
            <v>SwedenALL OTHER RECEIVABLES (NON-FINANCING)</v>
          </cell>
          <cell r="B3888">
            <v>6123595.5</v>
          </cell>
          <cell r="C3888">
            <v>8413106.0700000003</v>
          </cell>
          <cell r="D3888">
            <v>12767686.74</v>
          </cell>
          <cell r="E3888">
            <v>6148815.7300000004</v>
          </cell>
          <cell r="F3888">
            <v>6148815.7300000004</v>
          </cell>
          <cell r="G3888">
            <v>6440210</v>
          </cell>
          <cell r="H3888">
            <v>6440210</v>
          </cell>
          <cell r="I3888">
            <v>6440210</v>
          </cell>
          <cell r="J3888">
            <v>6440210</v>
          </cell>
          <cell r="K3888">
            <v>6440210</v>
          </cell>
          <cell r="L3888">
            <v>10502227.16</v>
          </cell>
          <cell r="M3888">
            <v>5837390</v>
          </cell>
          <cell r="N3888">
            <v>5837390</v>
          </cell>
          <cell r="O3888">
            <v>5837390</v>
          </cell>
        </row>
        <row r="3889">
          <cell r="A3889" t="str">
            <v>SwedenELTO (NET)</v>
          </cell>
          <cell r="B3889">
            <v>0</v>
          </cell>
          <cell r="C3889">
            <v>0</v>
          </cell>
          <cell r="D3889">
            <v>0</v>
          </cell>
          <cell r="E3889">
            <v>0</v>
          </cell>
          <cell r="F3889">
            <v>0</v>
          </cell>
          <cell r="G3889">
            <v>0</v>
          </cell>
          <cell r="H3889">
            <v>0</v>
          </cell>
          <cell r="I3889">
            <v>0</v>
          </cell>
          <cell r="J3889">
            <v>0</v>
          </cell>
          <cell r="K3889">
            <v>0</v>
          </cell>
          <cell r="L3889">
            <v>0</v>
          </cell>
          <cell r="M3889">
            <v>0</v>
          </cell>
          <cell r="N3889">
            <v>0</v>
          </cell>
          <cell r="O3889">
            <v>0</v>
          </cell>
        </row>
        <row r="3890">
          <cell r="A3890" t="str">
            <v>SwedenGOODWILL</v>
          </cell>
          <cell r="B3890">
            <v>29928459.789999999</v>
          </cell>
          <cell r="C3890">
            <v>27775039.48</v>
          </cell>
          <cell r="D3890">
            <v>33595562.840000004</v>
          </cell>
          <cell r="E3890">
            <v>32424968.940000001</v>
          </cell>
          <cell r="F3890">
            <v>32424968.940000001</v>
          </cell>
          <cell r="G3890">
            <v>33882370</v>
          </cell>
          <cell r="H3890">
            <v>33882370</v>
          </cell>
          <cell r="I3890">
            <v>33882370</v>
          </cell>
          <cell r="J3890">
            <v>33882370</v>
          </cell>
          <cell r="K3890">
            <v>33882370</v>
          </cell>
          <cell r="L3890">
            <v>33073932.620000001</v>
          </cell>
          <cell r="M3890">
            <v>23875860</v>
          </cell>
          <cell r="N3890">
            <v>19979760</v>
          </cell>
          <cell r="O3890">
            <v>16083660</v>
          </cell>
        </row>
        <row r="3891">
          <cell r="A3891" t="str">
            <v>SwedenOTHER ASSETS</v>
          </cell>
          <cell r="B3891">
            <v>3734296.48</v>
          </cell>
          <cell r="C3891">
            <v>3315258.88</v>
          </cell>
          <cell r="D3891">
            <v>3870562.63</v>
          </cell>
          <cell r="E3891">
            <v>4302651.22</v>
          </cell>
          <cell r="F3891">
            <v>4302651.22</v>
          </cell>
          <cell r="G3891">
            <v>4493690</v>
          </cell>
          <cell r="H3891">
            <v>4493690</v>
          </cell>
          <cell r="I3891">
            <v>4493690</v>
          </cell>
          <cell r="J3891">
            <v>4493690</v>
          </cell>
          <cell r="K3891">
            <v>4493690</v>
          </cell>
          <cell r="L3891">
            <v>4427119.07</v>
          </cell>
          <cell r="M3891">
            <v>2296200</v>
          </cell>
          <cell r="N3891">
            <v>2296200</v>
          </cell>
          <cell r="O3891">
            <v>2296200</v>
          </cell>
        </row>
        <row r="3892">
          <cell r="A3892" t="str">
            <v>SwedenACCOUNTS PAYABLE</v>
          </cell>
          <cell r="B3892">
            <v>-717365.7</v>
          </cell>
          <cell r="C3892">
            <v>2254738.9900000002</v>
          </cell>
          <cell r="D3892">
            <v>-3446275.56</v>
          </cell>
          <cell r="E3892">
            <v>-21645790.809999999</v>
          </cell>
          <cell r="F3892">
            <v>-21645790.809999999</v>
          </cell>
          <cell r="G3892">
            <v>-38520200</v>
          </cell>
          <cell r="H3892">
            <v>-38520200</v>
          </cell>
          <cell r="I3892">
            <v>-38520200</v>
          </cell>
          <cell r="J3892">
            <v>-38520200</v>
          </cell>
          <cell r="K3892">
            <v>-38520200</v>
          </cell>
          <cell r="L3892">
            <v>-14941891.939999999</v>
          </cell>
          <cell r="M3892">
            <v>3575340</v>
          </cell>
          <cell r="N3892">
            <v>3575340</v>
          </cell>
          <cell r="O3892">
            <v>3575340</v>
          </cell>
        </row>
        <row r="3893">
          <cell r="A3893" t="str">
            <v>SwedenDEFERRED INCOME TAXES</v>
          </cell>
          <cell r="B3893">
            <v>4835723.6900000004</v>
          </cell>
          <cell r="C3893">
            <v>1532855.54</v>
          </cell>
          <cell r="D3893">
            <v>-445990.88</v>
          </cell>
          <cell r="E3893">
            <v>18828862.329999998</v>
          </cell>
          <cell r="F3893">
            <v>18828862.329999998</v>
          </cell>
          <cell r="G3893">
            <v>18679910</v>
          </cell>
          <cell r="H3893">
            <v>18679910</v>
          </cell>
          <cell r="I3893">
            <v>18679910</v>
          </cell>
          <cell r="J3893">
            <v>18679910</v>
          </cell>
          <cell r="K3893">
            <v>18679910</v>
          </cell>
          <cell r="L3893">
            <v>16564852.73</v>
          </cell>
          <cell r="M3893">
            <v>9540230</v>
          </cell>
          <cell r="N3893">
            <v>12408000</v>
          </cell>
          <cell r="O3893">
            <v>22313330</v>
          </cell>
        </row>
        <row r="3894">
          <cell r="A3894" t="str">
            <v>SwedenWRITE-OFF (MEMO)</v>
          </cell>
          <cell r="B3894">
            <v>891422.02</v>
          </cell>
          <cell r="C3894">
            <v>1450731.39</v>
          </cell>
          <cell r="D3894">
            <v>1732990.79</v>
          </cell>
          <cell r="E3894">
            <v>336358.06</v>
          </cell>
          <cell r="F3894">
            <v>336358.06</v>
          </cell>
          <cell r="G3894">
            <v>1263000</v>
          </cell>
          <cell r="H3894">
            <v>2756000</v>
          </cell>
          <cell r="I3894">
            <v>3435000</v>
          </cell>
          <cell r="J3894">
            <v>3661000</v>
          </cell>
          <cell r="K3894">
            <v>3661000</v>
          </cell>
          <cell r="L3894">
            <v>1112616.77</v>
          </cell>
          <cell r="M3894">
            <v>5445928.202544</v>
          </cell>
          <cell r="N3894">
            <v>6572798.5876010004</v>
          </cell>
          <cell r="O3894">
            <v>7742426.8306780001</v>
          </cell>
        </row>
        <row r="3895">
          <cell r="A3895" t="str">
            <v>SwedenINSURANCE RESERVES AND ANNUITY BENEFITS</v>
          </cell>
          <cell r="B3895">
            <v>0</v>
          </cell>
          <cell r="C3895">
            <v>0</v>
          </cell>
          <cell r="D3895">
            <v>0</v>
          </cell>
          <cell r="E3895">
            <v>0</v>
          </cell>
          <cell r="F3895">
            <v>0</v>
          </cell>
          <cell r="G3895">
            <v>0</v>
          </cell>
          <cell r="H3895">
            <v>0</v>
          </cell>
          <cell r="I3895">
            <v>0</v>
          </cell>
          <cell r="J3895">
            <v>0</v>
          </cell>
          <cell r="K3895">
            <v>0</v>
          </cell>
          <cell r="L3895">
            <v>0</v>
          </cell>
          <cell r="M3895">
            <v>0</v>
          </cell>
          <cell r="N3895">
            <v>0</v>
          </cell>
          <cell r="O3895">
            <v>0</v>
          </cell>
        </row>
        <row r="3896">
          <cell r="A3896" t="str">
            <v>SwedenALL OTHER NON DEBT LIABILITIES</v>
          </cell>
          <cell r="B3896">
            <v>2899786.42</v>
          </cell>
          <cell r="C3896">
            <v>5666264.3700000001</v>
          </cell>
          <cell r="D3896">
            <v>388245.73</v>
          </cell>
          <cell r="E3896">
            <v>-9176385.7300000004</v>
          </cell>
          <cell r="F3896">
            <v>-9176385.7300000004</v>
          </cell>
          <cell r="G3896">
            <v>-8353843.8893999998</v>
          </cell>
          <cell r="H3896">
            <v>-8541616.5131999999</v>
          </cell>
          <cell r="I3896">
            <v>-8684432.8071999997</v>
          </cell>
          <cell r="J3896">
            <v>-8924759.2155000009</v>
          </cell>
          <cell r="K3896">
            <v>-8924759.2155000009</v>
          </cell>
          <cell r="L3896">
            <v>-7682333.5099999998</v>
          </cell>
          <cell r="M3896">
            <v>3253350</v>
          </cell>
          <cell r="N3896">
            <v>3253350</v>
          </cell>
          <cell r="O3896">
            <v>3253350</v>
          </cell>
        </row>
        <row r="3897">
          <cell r="A3897" t="str">
            <v>SwedenMINORITY INTEREST (BS)</v>
          </cell>
          <cell r="B3897">
            <v>0</v>
          </cell>
          <cell r="C3897">
            <v>0</v>
          </cell>
          <cell r="D3897">
            <v>0</v>
          </cell>
          <cell r="E3897">
            <v>0</v>
          </cell>
          <cell r="F3897">
            <v>0</v>
          </cell>
          <cell r="G3897">
            <v>0</v>
          </cell>
          <cell r="H3897">
            <v>0</v>
          </cell>
          <cell r="I3897">
            <v>0</v>
          </cell>
          <cell r="J3897">
            <v>0</v>
          </cell>
          <cell r="K3897">
            <v>0</v>
          </cell>
          <cell r="L3897">
            <v>0</v>
          </cell>
          <cell r="M3897">
            <v>0</v>
          </cell>
          <cell r="N3897">
            <v>0</v>
          </cell>
          <cell r="O3897">
            <v>0</v>
          </cell>
        </row>
        <row r="3898">
          <cell r="A3898" t="str">
            <v>SwedenASIA PACIFIC ENI DIVIDEND</v>
          </cell>
          <cell r="B3898">
            <v>0</v>
          </cell>
          <cell r="C3898">
            <v>0</v>
          </cell>
          <cell r="D3898">
            <v>0</v>
          </cell>
          <cell r="E3898">
            <v>0</v>
          </cell>
          <cell r="F3898">
            <v>0</v>
          </cell>
          <cell r="G3898">
            <v>0</v>
          </cell>
          <cell r="H3898">
            <v>0</v>
          </cell>
          <cell r="I3898">
            <v>0</v>
          </cell>
          <cell r="J3898">
            <v>0</v>
          </cell>
          <cell r="K3898">
            <v>0</v>
          </cell>
          <cell r="L3898">
            <v>0</v>
          </cell>
          <cell r="M3898">
            <v>0</v>
          </cell>
          <cell r="N3898">
            <v>0</v>
          </cell>
          <cell r="O3898">
            <v>0</v>
          </cell>
        </row>
        <row r="3899">
          <cell r="A3899" t="str">
            <v>SwedenFINANCING INCOME</v>
          </cell>
          <cell r="B3899">
            <v>-19894944.18</v>
          </cell>
          <cell r="C3899">
            <v>-19226921.550000001</v>
          </cell>
          <cell r="D3899">
            <v>-19272020.27</v>
          </cell>
          <cell r="E3899">
            <v>-19483694.100000001</v>
          </cell>
          <cell r="F3899">
            <v>-77877580.099999994</v>
          </cell>
          <cell r="G3899">
            <v>-20013138.001828998</v>
          </cell>
          <cell r="H3899">
            <v>-20438019.980767999</v>
          </cell>
          <cell r="I3899">
            <v>-20737868.210632</v>
          </cell>
          <cell r="J3899">
            <v>-20725838.399595</v>
          </cell>
          <cell r="K3899">
            <v>-81914864.592823997</v>
          </cell>
          <cell r="L3899">
            <v>-19462315.960000001</v>
          </cell>
          <cell r="M3899">
            <v>-82730988.720588997</v>
          </cell>
          <cell r="N3899">
            <v>-89236203.711550996</v>
          </cell>
          <cell r="O3899">
            <v>-96597896.512042001</v>
          </cell>
        </row>
        <row r="3900">
          <cell r="A3900" t="str">
            <v>SwedenINSURANCE PREMIUM INCOME</v>
          </cell>
          <cell r="B3900">
            <v>0</v>
          </cell>
          <cell r="C3900">
            <v>0</v>
          </cell>
          <cell r="D3900">
            <v>0</v>
          </cell>
          <cell r="E3900">
            <v>0</v>
          </cell>
          <cell r="F3900">
            <v>0</v>
          </cell>
          <cell r="G3900">
            <v>0</v>
          </cell>
          <cell r="H3900">
            <v>0</v>
          </cell>
          <cell r="I3900">
            <v>0</v>
          </cell>
          <cell r="J3900">
            <v>0</v>
          </cell>
          <cell r="K3900">
            <v>0</v>
          </cell>
          <cell r="L3900">
            <v>0</v>
          </cell>
          <cell r="M3900">
            <v>0</v>
          </cell>
          <cell r="N3900">
            <v>0</v>
          </cell>
          <cell r="O3900">
            <v>0</v>
          </cell>
        </row>
        <row r="3901">
          <cell r="A3901" t="str">
            <v>SwedenINSURANCE INCOME (COMMISSIONS)</v>
          </cell>
          <cell r="B3901">
            <v>0</v>
          </cell>
          <cell r="C3901">
            <v>0</v>
          </cell>
          <cell r="D3901">
            <v>-17644.37</v>
          </cell>
          <cell r="E3901">
            <v>-25259.49</v>
          </cell>
          <cell r="F3901">
            <v>-42903.86</v>
          </cell>
          <cell r="G3901">
            <v>0</v>
          </cell>
          <cell r="H3901">
            <v>0</v>
          </cell>
          <cell r="I3901">
            <v>0</v>
          </cell>
          <cell r="J3901">
            <v>0</v>
          </cell>
          <cell r="K3901">
            <v>0</v>
          </cell>
          <cell r="L3901">
            <v>-21484.13</v>
          </cell>
          <cell r="M3901">
            <v>0</v>
          </cell>
          <cell r="N3901">
            <v>0</v>
          </cell>
          <cell r="O3901">
            <v>0</v>
          </cell>
        </row>
        <row r="3902">
          <cell r="A3902" t="str">
            <v>SwedenSUNDRY INCOME</v>
          </cell>
          <cell r="B3902">
            <v>-3473365.81</v>
          </cell>
          <cell r="C3902">
            <v>-2155556.86</v>
          </cell>
          <cell r="D3902">
            <v>-2407450.62</v>
          </cell>
          <cell r="E3902">
            <v>-1506885.06</v>
          </cell>
          <cell r="F3902">
            <v>-9543258.3499999996</v>
          </cell>
          <cell r="G3902">
            <v>-1859222.6185560001</v>
          </cell>
          <cell r="H3902">
            <v>-2084125.2739200001</v>
          </cell>
          <cell r="I3902">
            <v>-1796258.656681</v>
          </cell>
          <cell r="J3902">
            <v>-2174233.1029579998</v>
          </cell>
          <cell r="K3902">
            <v>-7913839.6521150004</v>
          </cell>
          <cell r="L3902">
            <v>-1455853.64</v>
          </cell>
          <cell r="M3902">
            <v>-11715594.453646</v>
          </cell>
          <cell r="N3902">
            <v>-12785072.356084</v>
          </cell>
          <cell r="O3902">
            <v>-14080656.674621001</v>
          </cell>
        </row>
        <row r="3903">
          <cell r="A3903" t="str">
            <v>SwedenINTEREST EXPENSE</v>
          </cell>
          <cell r="B3903">
            <v>4749396.28</v>
          </cell>
          <cell r="C3903">
            <v>4520643.07</v>
          </cell>
          <cell r="D3903">
            <v>4680357.68</v>
          </cell>
          <cell r="E3903">
            <v>4847430.8600000003</v>
          </cell>
          <cell r="F3903">
            <v>18797827.890000001</v>
          </cell>
          <cell r="G3903">
            <v>4659020</v>
          </cell>
          <cell r="H3903">
            <v>4656870</v>
          </cell>
          <cell r="I3903">
            <v>4712620</v>
          </cell>
          <cell r="J3903">
            <v>5002250</v>
          </cell>
          <cell r="K3903">
            <v>19030760</v>
          </cell>
          <cell r="L3903">
            <v>4583533.51</v>
          </cell>
          <cell r="M3903">
            <v>20450980</v>
          </cell>
          <cell r="N3903">
            <v>21934730</v>
          </cell>
          <cell r="O3903">
            <v>23866850</v>
          </cell>
        </row>
        <row r="3904">
          <cell r="A3904" t="str">
            <v>SwedenINTEREST EXPENSE REDUCTIONS / BUS SHARING</v>
          </cell>
          <cell r="B3904">
            <v>0</v>
          </cell>
          <cell r="C3904">
            <v>0</v>
          </cell>
          <cell r="D3904">
            <v>0</v>
          </cell>
          <cell r="E3904">
            <v>0</v>
          </cell>
          <cell r="F3904">
            <v>0</v>
          </cell>
          <cell r="G3904">
            <v>0</v>
          </cell>
          <cell r="H3904">
            <v>0</v>
          </cell>
          <cell r="I3904">
            <v>0</v>
          </cell>
          <cell r="J3904">
            <v>0</v>
          </cell>
          <cell r="K3904">
            <v>0</v>
          </cell>
          <cell r="L3904">
            <v>0</v>
          </cell>
          <cell r="M3904">
            <v>0</v>
          </cell>
          <cell r="N3904">
            <v>0</v>
          </cell>
          <cell r="O3904">
            <v>0</v>
          </cell>
        </row>
        <row r="3905">
          <cell r="A3905" t="str">
            <v>SwedenALLOCATED COST OF PREFERRED EQUITY</v>
          </cell>
          <cell r="B3905">
            <v>58659.31</v>
          </cell>
          <cell r="C3905">
            <v>47156.09</v>
          </cell>
          <cell r="D3905">
            <v>39702.81</v>
          </cell>
          <cell r="E3905">
            <v>42155.48</v>
          </cell>
          <cell r="F3905">
            <v>187673.69</v>
          </cell>
          <cell r="G3905">
            <v>76420</v>
          </cell>
          <cell r="H3905">
            <v>76050</v>
          </cell>
          <cell r="I3905">
            <v>77320</v>
          </cell>
          <cell r="J3905">
            <v>79790</v>
          </cell>
          <cell r="K3905">
            <v>309580</v>
          </cell>
          <cell r="L3905">
            <v>30913.33</v>
          </cell>
          <cell r="M3905">
            <v>316080</v>
          </cell>
          <cell r="N3905">
            <v>343890</v>
          </cell>
          <cell r="O3905">
            <v>377830</v>
          </cell>
        </row>
        <row r="3906">
          <cell r="A3906" t="str">
            <v>SwedenSALARIES &amp; BENEFITS</v>
          </cell>
          <cell r="B3906">
            <v>3262930.99</v>
          </cell>
          <cell r="C3906">
            <v>3056592.17</v>
          </cell>
          <cell r="D3906">
            <v>3512014.78</v>
          </cell>
          <cell r="E3906">
            <v>4225629.5</v>
          </cell>
          <cell r="F3906">
            <v>14057167.439999999</v>
          </cell>
          <cell r="G3906">
            <v>3273537</v>
          </cell>
          <cell r="H3906">
            <v>3220602.3174049999</v>
          </cell>
          <cell r="I3906">
            <v>3247341.2180679999</v>
          </cell>
          <cell r="J3906">
            <v>3180060.8406679998</v>
          </cell>
          <cell r="K3906">
            <v>12921541.376141001</v>
          </cell>
          <cell r="L3906">
            <v>3115888.31</v>
          </cell>
          <cell r="M3906">
            <v>12429090.983639</v>
          </cell>
          <cell r="N3906">
            <v>12969871.490289999</v>
          </cell>
          <cell r="O3906">
            <v>13503329.549967</v>
          </cell>
        </row>
        <row r="3907">
          <cell r="A3907" t="str">
            <v>SwedenLOSSES ON OTHER ASSETS</v>
          </cell>
          <cell r="B3907">
            <v>56906.74</v>
          </cell>
          <cell r="C3907">
            <v>27087.39</v>
          </cell>
          <cell r="D3907">
            <v>32952.92</v>
          </cell>
          <cell r="E3907">
            <v>-112545.66</v>
          </cell>
          <cell r="F3907">
            <v>4401.3900000000003</v>
          </cell>
          <cell r="G3907">
            <v>0</v>
          </cell>
          <cell r="H3907">
            <v>0</v>
          </cell>
          <cell r="I3907">
            <v>0</v>
          </cell>
          <cell r="J3907">
            <v>0</v>
          </cell>
          <cell r="K3907">
            <v>0</v>
          </cell>
          <cell r="L3907">
            <v>0</v>
          </cell>
          <cell r="M3907">
            <v>0</v>
          </cell>
          <cell r="N3907">
            <v>0</v>
          </cell>
          <cell r="O3907">
            <v>0</v>
          </cell>
        </row>
        <row r="3908">
          <cell r="A3908" t="str">
            <v>SwedenCOST OF GOODS SOLD</v>
          </cell>
          <cell r="B3908">
            <v>0</v>
          </cell>
          <cell r="C3908">
            <v>0</v>
          </cell>
          <cell r="D3908">
            <v>0</v>
          </cell>
          <cell r="E3908">
            <v>0</v>
          </cell>
          <cell r="F3908">
            <v>0</v>
          </cell>
          <cell r="G3908">
            <v>0</v>
          </cell>
          <cell r="H3908">
            <v>0</v>
          </cell>
          <cell r="I3908">
            <v>0</v>
          </cell>
          <cell r="J3908">
            <v>0</v>
          </cell>
          <cell r="K3908">
            <v>0</v>
          </cell>
          <cell r="L3908">
            <v>0</v>
          </cell>
          <cell r="M3908">
            <v>0</v>
          </cell>
          <cell r="N3908">
            <v>0</v>
          </cell>
          <cell r="O3908">
            <v>0</v>
          </cell>
        </row>
        <row r="3909">
          <cell r="A3909" t="str">
            <v>SwedenCOST OF GOODS SOLD - DISTRIBUTION</v>
          </cell>
          <cell r="B3909">
            <v>0</v>
          </cell>
          <cell r="C3909">
            <v>0</v>
          </cell>
          <cell r="D3909">
            <v>0</v>
          </cell>
          <cell r="E3909">
            <v>0</v>
          </cell>
          <cell r="F3909">
            <v>0</v>
          </cell>
          <cell r="G3909">
            <v>0</v>
          </cell>
          <cell r="H3909">
            <v>0</v>
          </cell>
          <cell r="I3909">
            <v>0</v>
          </cell>
          <cell r="J3909">
            <v>0</v>
          </cell>
          <cell r="K3909">
            <v>0</v>
          </cell>
          <cell r="L3909">
            <v>0</v>
          </cell>
          <cell r="M3909">
            <v>0</v>
          </cell>
          <cell r="N3909">
            <v>0</v>
          </cell>
          <cell r="O3909">
            <v>0</v>
          </cell>
        </row>
        <row r="3910">
          <cell r="A3910" t="str">
            <v>SwedenPOSTAGE</v>
          </cell>
          <cell r="B3910">
            <v>349793.32</v>
          </cell>
          <cell r="C3910">
            <v>678586.93</v>
          </cell>
          <cell r="D3910">
            <v>590312.81000000006</v>
          </cell>
          <cell r="E3910">
            <v>479360.81</v>
          </cell>
          <cell r="F3910">
            <v>2098053.87</v>
          </cell>
          <cell r="G3910">
            <v>706478.60180099995</v>
          </cell>
          <cell r="H3910">
            <v>541869.36372999998</v>
          </cell>
          <cell r="I3910">
            <v>510767.66598500003</v>
          </cell>
          <cell r="J3910">
            <v>562630.40639000002</v>
          </cell>
          <cell r="K3910">
            <v>2321746.0379059999</v>
          </cell>
          <cell r="L3910">
            <v>569571.53</v>
          </cell>
          <cell r="M3910">
            <v>1943099.823909</v>
          </cell>
          <cell r="N3910">
            <v>2027642.652393</v>
          </cell>
          <cell r="O3910">
            <v>2111040.727376</v>
          </cell>
        </row>
        <row r="3911">
          <cell r="A3911" t="str">
            <v>SwedenTELEPHONE</v>
          </cell>
          <cell r="B3911">
            <v>138145.41</v>
          </cell>
          <cell r="C3911">
            <v>84381.97</v>
          </cell>
          <cell r="D3911">
            <v>222203.47</v>
          </cell>
          <cell r="E3911">
            <v>233487.47</v>
          </cell>
          <cell r="F3911">
            <v>678218.32</v>
          </cell>
          <cell r="G3911">
            <v>169356.44949999999</v>
          </cell>
          <cell r="H3911">
            <v>157018.49950000001</v>
          </cell>
          <cell r="I3911">
            <v>138883.19949999999</v>
          </cell>
          <cell r="J3911">
            <v>138883.19949999999</v>
          </cell>
          <cell r="K3911">
            <v>604141.348</v>
          </cell>
          <cell r="L3911">
            <v>95843.04</v>
          </cell>
          <cell r="M3911">
            <v>510172.34791200003</v>
          </cell>
          <cell r="N3911">
            <v>532369.56741500006</v>
          </cell>
          <cell r="O3911">
            <v>554266.22511700005</v>
          </cell>
        </row>
        <row r="3912">
          <cell r="A3912" t="str">
            <v>SwedenCUSTOMER SERVICE / COLLECTIONS</v>
          </cell>
          <cell r="B3912">
            <v>872656.81</v>
          </cell>
          <cell r="C3912">
            <v>558271.42000000004</v>
          </cell>
          <cell r="D3912">
            <v>569053.25</v>
          </cell>
          <cell r="E3912">
            <v>626857.89</v>
          </cell>
          <cell r="F3912">
            <v>2626839.37</v>
          </cell>
          <cell r="G3912">
            <v>565278.37085299997</v>
          </cell>
          <cell r="H3912">
            <v>523914.51626200002</v>
          </cell>
          <cell r="I3912">
            <v>546632.87878399994</v>
          </cell>
          <cell r="J3912">
            <v>591001.67407499999</v>
          </cell>
          <cell r="K3912">
            <v>2226827.4399740002</v>
          </cell>
          <cell r="L3912">
            <v>603397.76</v>
          </cell>
          <cell r="M3912">
            <v>2820334.6295560002</v>
          </cell>
          <cell r="N3912">
            <v>2943045.2921389998</v>
          </cell>
          <cell r="O3912">
            <v>3064094.38906</v>
          </cell>
        </row>
        <row r="3913">
          <cell r="A3913" t="str">
            <v>SwedenSTATIONARY - OFFICE SUPPLIES</v>
          </cell>
          <cell r="B3913">
            <v>117217.17</v>
          </cell>
          <cell r="C3913">
            <v>194390.27</v>
          </cell>
          <cell r="D3913">
            <v>72635.95</v>
          </cell>
          <cell r="E3913">
            <v>97784.48</v>
          </cell>
          <cell r="F3913">
            <v>482027.87</v>
          </cell>
          <cell r="G3913">
            <v>114460.613685</v>
          </cell>
          <cell r="H3913">
            <v>103716.658207</v>
          </cell>
          <cell r="I3913">
            <v>104615.152649</v>
          </cell>
          <cell r="J3913">
            <v>98336.525926000002</v>
          </cell>
          <cell r="K3913">
            <v>421128.95046700002</v>
          </cell>
          <cell r="L3913">
            <v>104445.92</v>
          </cell>
          <cell r="M3913">
            <v>248224.03665699999</v>
          </cell>
          <cell r="N3913">
            <v>259024.079918</v>
          </cell>
          <cell r="O3913">
            <v>269677.885022</v>
          </cell>
        </row>
        <row r="3914">
          <cell r="A3914" t="str">
            <v>SwedenT&amp;L</v>
          </cell>
          <cell r="B3914">
            <v>212546.23</v>
          </cell>
          <cell r="C3914">
            <v>147443.43</v>
          </cell>
          <cell r="D3914">
            <v>117312.84</v>
          </cell>
          <cell r="E3914">
            <v>197748.11</v>
          </cell>
          <cell r="F3914">
            <v>675050.61</v>
          </cell>
          <cell r="G3914">
            <v>189250.056025</v>
          </cell>
          <cell r="H3914">
            <v>195463.22962500001</v>
          </cell>
          <cell r="I3914">
            <v>200561.92462500001</v>
          </cell>
          <cell r="J3914">
            <v>195461.41279199999</v>
          </cell>
          <cell r="K3914">
            <v>780736.62306699995</v>
          </cell>
          <cell r="L3914">
            <v>112307.83</v>
          </cell>
          <cell r="M3914">
            <v>643120.68859899999</v>
          </cell>
          <cell r="N3914">
            <v>671102.39154700004</v>
          </cell>
          <cell r="O3914">
            <v>698705.20780600002</v>
          </cell>
        </row>
        <row r="3915">
          <cell r="A3915" t="str">
            <v>SwedenRENTAL - BLDG/FACILITIES</v>
          </cell>
          <cell r="B3915">
            <v>374270.71</v>
          </cell>
          <cell r="C3915">
            <v>397998.27</v>
          </cell>
          <cell r="D3915">
            <v>371867.25</v>
          </cell>
          <cell r="E3915">
            <v>376591.28</v>
          </cell>
          <cell r="F3915">
            <v>1520727.51</v>
          </cell>
          <cell r="G3915">
            <v>306709.54499999998</v>
          </cell>
          <cell r="H3915">
            <v>306709.54499999998</v>
          </cell>
          <cell r="I3915">
            <v>306709.54499999998</v>
          </cell>
          <cell r="J3915">
            <v>306709.54499999998</v>
          </cell>
          <cell r="K3915">
            <v>1226838.18</v>
          </cell>
          <cell r="L3915">
            <v>325013.96999999997</v>
          </cell>
          <cell r="M3915">
            <v>1468123.347046</v>
          </cell>
          <cell r="N3915">
            <v>1532000.3022060001</v>
          </cell>
          <cell r="O3915">
            <v>1595012.330448</v>
          </cell>
        </row>
        <row r="3916">
          <cell r="A3916" t="str">
            <v>SwedenRENTAL - FURNITURE/EQUIP</v>
          </cell>
          <cell r="B3916">
            <v>116466.41</v>
          </cell>
          <cell r="C3916">
            <v>105337.47</v>
          </cell>
          <cell r="D3916">
            <v>-36691.25</v>
          </cell>
          <cell r="E3916">
            <v>28898.65</v>
          </cell>
          <cell r="F3916">
            <v>214011.28</v>
          </cell>
          <cell r="G3916">
            <v>97997.884124999997</v>
          </cell>
          <cell r="H3916">
            <v>97997.884124999997</v>
          </cell>
          <cell r="I3916">
            <v>97997.884124999997</v>
          </cell>
          <cell r="J3916">
            <v>97997.884124999997</v>
          </cell>
          <cell r="K3916">
            <v>391991.53649999999</v>
          </cell>
          <cell r="L3916">
            <v>93252.84</v>
          </cell>
          <cell r="M3916">
            <v>424533.38440799998</v>
          </cell>
          <cell r="N3916">
            <v>443004.51628799998</v>
          </cell>
          <cell r="O3916">
            <v>461225.53951600002</v>
          </cell>
        </row>
        <row r="3917">
          <cell r="A3917" t="str">
            <v>SwedenRENTAL - COMPUTERS</v>
          </cell>
          <cell r="B3917">
            <v>0</v>
          </cell>
          <cell r="C3917">
            <v>0</v>
          </cell>
          <cell r="D3917">
            <v>0</v>
          </cell>
          <cell r="E3917">
            <v>0</v>
          </cell>
          <cell r="F3917">
            <v>0</v>
          </cell>
          <cell r="G3917">
            <v>0</v>
          </cell>
          <cell r="H3917">
            <v>0</v>
          </cell>
          <cell r="I3917">
            <v>0</v>
          </cell>
          <cell r="J3917">
            <v>0</v>
          </cell>
          <cell r="K3917">
            <v>0</v>
          </cell>
          <cell r="L3917">
            <v>0</v>
          </cell>
          <cell r="M3917">
            <v>3988.6996720000002</v>
          </cell>
          <cell r="N3917">
            <v>4162.2450289999997</v>
          </cell>
          <cell r="O3917">
            <v>4333.4404919999997</v>
          </cell>
        </row>
        <row r="3918">
          <cell r="A3918" t="str">
            <v>SwedenLEASE IN - LEASE OUT</v>
          </cell>
          <cell r="B3918">
            <v>0</v>
          </cell>
          <cell r="C3918">
            <v>0</v>
          </cell>
          <cell r="D3918">
            <v>0</v>
          </cell>
          <cell r="E3918">
            <v>0</v>
          </cell>
          <cell r="F3918">
            <v>0</v>
          </cell>
          <cell r="G3918">
            <v>0</v>
          </cell>
          <cell r="H3918">
            <v>0</v>
          </cell>
          <cell r="I3918">
            <v>0</v>
          </cell>
          <cell r="J3918">
            <v>0</v>
          </cell>
          <cell r="K3918">
            <v>0</v>
          </cell>
          <cell r="L3918">
            <v>0</v>
          </cell>
          <cell r="M3918">
            <v>0</v>
          </cell>
          <cell r="N3918">
            <v>0</v>
          </cell>
          <cell r="O3918">
            <v>0</v>
          </cell>
        </row>
        <row r="3919">
          <cell r="A3919" t="str">
            <v>SwedenFURNITURE / EQUIPMENT / COMPUTER EXP</v>
          </cell>
          <cell r="B3919">
            <v>4142.91</v>
          </cell>
          <cell r="C3919">
            <v>2759.78</v>
          </cell>
          <cell r="D3919">
            <v>1368.1</v>
          </cell>
          <cell r="E3919">
            <v>4857.93</v>
          </cell>
          <cell r="F3919">
            <v>13128.72</v>
          </cell>
          <cell r="G3919">
            <v>495.5</v>
          </cell>
          <cell r="H3919">
            <v>495.5</v>
          </cell>
          <cell r="I3919">
            <v>495.5</v>
          </cell>
          <cell r="J3919">
            <v>495.5</v>
          </cell>
          <cell r="K3919">
            <v>1982</v>
          </cell>
          <cell r="L3919">
            <v>665.45</v>
          </cell>
          <cell r="M3919">
            <v>0</v>
          </cell>
          <cell r="N3919">
            <v>0</v>
          </cell>
          <cell r="O3919">
            <v>0</v>
          </cell>
        </row>
        <row r="3920">
          <cell r="A3920" t="str">
            <v>SwedenSOFTWARE EXPENSE</v>
          </cell>
          <cell r="B3920">
            <v>0</v>
          </cell>
          <cell r="C3920">
            <v>0</v>
          </cell>
          <cell r="D3920">
            <v>0</v>
          </cell>
          <cell r="E3920">
            <v>0</v>
          </cell>
          <cell r="F3920">
            <v>0</v>
          </cell>
          <cell r="G3920">
            <v>38549.9</v>
          </cell>
          <cell r="H3920">
            <v>39739.1</v>
          </cell>
          <cell r="I3920">
            <v>40829.199999999997</v>
          </cell>
          <cell r="J3920">
            <v>42018.400000000001</v>
          </cell>
          <cell r="K3920">
            <v>161136.6</v>
          </cell>
          <cell r="L3920">
            <v>0</v>
          </cell>
          <cell r="M3920">
            <v>0</v>
          </cell>
          <cell r="N3920">
            <v>0</v>
          </cell>
          <cell r="O3920">
            <v>0</v>
          </cell>
        </row>
        <row r="3921">
          <cell r="A3921" t="str">
            <v>SwedenAMORTIZATION OF INTANGIBLES</v>
          </cell>
          <cell r="B3921">
            <v>37152.46</v>
          </cell>
          <cell r="C3921">
            <v>33103.410000000003</v>
          </cell>
          <cell r="D3921">
            <v>34589.75</v>
          </cell>
          <cell r="E3921">
            <v>35868.449999999997</v>
          </cell>
          <cell r="F3921">
            <v>140714.07</v>
          </cell>
          <cell r="G3921">
            <v>0</v>
          </cell>
          <cell r="H3921">
            <v>0</v>
          </cell>
          <cell r="I3921">
            <v>0</v>
          </cell>
          <cell r="J3921">
            <v>0</v>
          </cell>
          <cell r="K3921">
            <v>0</v>
          </cell>
          <cell r="L3921">
            <v>88597</v>
          </cell>
          <cell r="M3921">
            <v>9987.8392289999992</v>
          </cell>
          <cell r="N3921">
            <v>10422.402688</v>
          </cell>
          <cell r="O3921">
            <v>10851.081931999999</v>
          </cell>
        </row>
        <row r="3922">
          <cell r="A3922" t="str">
            <v>SwedenELTO MAINTENANCE</v>
          </cell>
          <cell r="B3922">
            <v>0</v>
          </cell>
          <cell r="C3922">
            <v>0</v>
          </cell>
          <cell r="D3922">
            <v>0</v>
          </cell>
          <cell r="E3922">
            <v>0</v>
          </cell>
          <cell r="F3922">
            <v>0</v>
          </cell>
          <cell r="G3922">
            <v>0</v>
          </cell>
          <cell r="H3922">
            <v>0</v>
          </cell>
          <cell r="I3922">
            <v>0</v>
          </cell>
          <cell r="J3922">
            <v>0</v>
          </cell>
          <cell r="K3922">
            <v>0</v>
          </cell>
          <cell r="L3922">
            <v>0</v>
          </cell>
          <cell r="M3922">
            <v>0</v>
          </cell>
          <cell r="N3922">
            <v>0</v>
          </cell>
          <cell r="O3922">
            <v>0</v>
          </cell>
        </row>
        <row r="3923">
          <cell r="A3923" t="str">
            <v>SwedenELTO OTHER</v>
          </cell>
          <cell r="B3923">
            <v>0</v>
          </cell>
          <cell r="C3923">
            <v>0</v>
          </cell>
          <cell r="D3923">
            <v>0</v>
          </cell>
          <cell r="E3923">
            <v>0</v>
          </cell>
          <cell r="F3923">
            <v>0</v>
          </cell>
          <cell r="G3923">
            <v>0</v>
          </cell>
          <cell r="H3923">
            <v>0</v>
          </cell>
          <cell r="I3923">
            <v>0</v>
          </cell>
          <cell r="J3923">
            <v>0</v>
          </cell>
          <cell r="K3923">
            <v>0</v>
          </cell>
          <cell r="L3923">
            <v>0</v>
          </cell>
          <cell r="M3923">
            <v>0</v>
          </cell>
          <cell r="N3923">
            <v>0</v>
          </cell>
          <cell r="O3923">
            <v>0</v>
          </cell>
        </row>
        <row r="3924">
          <cell r="A3924" t="str">
            <v>SwedenLEGAL</v>
          </cell>
          <cell r="B3924">
            <v>26265.45</v>
          </cell>
          <cell r="C3924">
            <v>32279.58</v>
          </cell>
          <cell r="D3924">
            <v>29798.35</v>
          </cell>
          <cell r="E3924">
            <v>31085.360000000001</v>
          </cell>
          <cell r="F3924">
            <v>119428.74</v>
          </cell>
          <cell r="G3924">
            <v>33297.599999999999</v>
          </cell>
          <cell r="H3924">
            <v>33297.599999999999</v>
          </cell>
          <cell r="I3924">
            <v>33297.599999999999</v>
          </cell>
          <cell r="J3924">
            <v>30324.6</v>
          </cell>
          <cell r="K3924">
            <v>130217.4</v>
          </cell>
          <cell r="L3924">
            <v>69659.28</v>
          </cell>
          <cell r="M3924">
            <v>155912.61332</v>
          </cell>
          <cell r="N3924">
            <v>162696.25519200001</v>
          </cell>
          <cell r="O3924">
            <v>169388.04305400001</v>
          </cell>
        </row>
        <row r="3925">
          <cell r="A3925" t="str">
            <v>SwedenADVERTISING</v>
          </cell>
          <cell r="B3925">
            <v>343356.65</v>
          </cell>
          <cell r="C3925">
            <v>941444.75</v>
          </cell>
          <cell r="D3925">
            <v>799286.46</v>
          </cell>
          <cell r="E3925">
            <v>1017507.48</v>
          </cell>
          <cell r="F3925">
            <v>3101595.34</v>
          </cell>
          <cell r="G3925">
            <v>761076.47962500004</v>
          </cell>
          <cell r="H3925">
            <v>831172.28802500002</v>
          </cell>
          <cell r="I3925">
            <v>613517.76882500004</v>
          </cell>
          <cell r="J3925">
            <v>733135.13552500005</v>
          </cell>
          <cell r="K3925">
            <v>2938901.6719999998</v>
          </cell>
          <cell r="L3925">
            <v>819758</v>
          </cell>
          <cell r="M3925">
            <v>2127918.2000899999</v>
          </cell>
          <cell r="N3925">
            <v>2220502.3386940002</v>
          </cell>
          <cell r="O3925">
            <v>2311832.8403110001</v>
          </cell>
        </row>
        <row r="3926">
          <cell r="A3926" t="str">
            <v>SwedenSALES PROMOTIONS</v>
          </cell>
          <cell r="B3926">
            <v>629046.97</v>
          </cell>
          <cell r="C3926">
            <v>429842.23</v>
          </cell>
          <cell r="D3926">
            <v>347261.31</v>
          </cell>
          <cell r="E3926">
            <v>526219.41</v>
          </cell>
          <cell r="F3926">
            <v>1932369.9199999999</v>
          </cell>
          <cell r="G3926">
            <v>639544.87254999997</v>
          </cell>
          <cell r="H3926">
            <v>381758.22275000002</v>
          </cell>
          <cell r="I3926">
            <v>327515.83775000001</v>
          </cell>
          <cell r="J3926">
            <v>275749.16895000002</v>
          </cell>
          <cell r="K3926">
            <v>1624568.102</v>
          </cell>
          <cell r="L3926">
            <v>337112.84</v>
          </cell>
          <cell r="M3926">
            <v>1672043.230528</v>
          </cell>
          <cell r="N3926">
            <v>1744792.588187</v>
          </cell>
          <cell r="O3926">
            <v>1816556.8820219999</v>
          </cell>
        </row>
        <row r="3927">
          <cell r="A3927" t="str">
            <v>SwedenDIRECT MAIL</v>
          </cell>
          <cell r="B3927">
            <v>0</v>
          </cell>
          <cell r="C3927">
            <v>0</v>
          </cell>
          <cell r="D3927">
            <v>0</v>
          </cell>
          <cell r="E3927">
            <v>0</v>
          </cell>
          <cell r="F3927">
            <v>0</v>
          </cell>
          <cell r="G3927">
            <v>0</v>
          </cell>
          <cell r="H3927">
            <v>0</v>
          </cell>
          <cell r="I3927">
            <v>0</v>
          </cell>
          <cell r="J3927">
            <v>0</v>
          </cell>
          <cell r="K3927">
            <v>0</v>
          </cell>
          <cell r="L3927">
            <v>0</v>
          </cell>
          <cell r="M3927">
            <v>0</v>
          </cell>
          <cell r="N3927">
            <v>0</v>
          </cell>
          <cell r="O3927">
            <v>0</v>
          </cell>
        </row>
        <row r="3928">
          <cell r="A3928" t="str">
            <v>SwedenDATA PROCESSING</v>
          </cell>
          <cell r="B3928">
            <v>1227860.8999999999</v>
          </cell>
          <cell r="C3928">
            <v>554868.13</v>
          </cell>
          <cell r="D3928">
            <v>1016025.83</v>
          </cell>
          <cell r="E3928">
            <v>1431061.12</v>
          </cell>
          <cell r="F3928">
            <v>4229815.9800000004</v>
          </cell>
          <cell r="G3928">
            <v>1083547.8150859999</v>
          </cell>
          <cell r="H3928">
            <v>871632.37508599996</v>
          </cell>
          <cell r="I3928">
            <v>907267.74408600002</v>
          </cell>
          <cell r="J3928">
            <v>870225.15508599998</v>
          </cell>
          <cell r="K3928">
            <v>3732673.089344</v>
          </cell>
          <cell r="L3928">
            <v>1003930.01</v>
          </cell>
          <cell r="M3928">
            <v>3827648.7473889999</v>
          </cell>
          <cell r="N3928">
            <v>3994186.8982170001</v>
          </cell>
          <cell r="O3928">
            <v>4158470.0365900001</v>
          </cell>
        </row>
        <row r="3929">
          <cell r="A3929" t="str">
            <v>SwedenCONSULTING</v>
          </cell>
          <cell r="B3929">
            <v>0</v>
          </cell>
          <cell r="C3929">
            <v>0</v>
          </cell>
          <cell r="D3929">
            <v>0</v>
          </cell>
          <cell r="E3929">
            <v>0</v>
          </cell>
          <cell r="F3929">
            <v>0</v>
          </cell>
          <cell r="G3929">
            <v>0</v>
          </cell>
          <cell r="H3929">
            <v>0</v>
          </cell>
          <cell r="I3929">
            <v>0</v>
          </cell>
          <cell r="J3929">
            <v>0</v>
          </cell>
          <cell r="K3929">
            <v>0</v>
          </cell>
          <cell r="L3929">
            <v>0</v>
          </cell>
          <cell r="M3929">
            <v>0</v>
          </cell>
          <cell r="N3929">
            <v>0</v>
          </cell>
          <cell r="O3929">
            <v>0</v>
          </cell>
        </row>
        <row r="3930">
          <cell r="A3930" t="str">
            <v>SwedenTEMP SERVICES</v>
          </cell>
          <cell r="B3930">
            <v>196757.57</v>
          </cell>
          <cell r="C3930">
            <v>472665.57</v>
          </cell>
          <cell r="D3930">
            <v>491391.23</v>
          </cell>
          <cell r="E3930">
            <v>469015.79</v>
          </cell>
          <cell r="F3930">
            <v>1629830.16</v>
          </cell>
          <cell r="G3930">
            <v>263171.02730199997</v>
          </cell>
          <cell r="H3930">
            <v>247956.876242</v>
          </cell>
          <cell r="I3930">
            <v>173321.49186000001</v>
          </cell>
          <cell r="J3930">
            <v>267349.40928000002</v>
          </cell>
          <cell r="K3930">
            <v>951798.80468399997</v>
          </cell>
          <cell r="L3930">
            <v>194314.5</v>
          </cell>
          <cell r="M3930">
            <v>892835.40177400003</v>
          </cell>
          <cell r="N3930">
            <v>931682.00620900001</v>
          </cell>
          <cell r="O3930">
            <v>970002.60758399998</v>
          </cell>
        </row>
        <row r="3931">
          <cell r="A3931" t="str">
            <v>SwedenGDC CHARGES</v>
          </cell>
          <cell r="B3931">
            <v>0</v>
          </cell>
          <cell r="C3931">
            <v>0</v>
          </cell>
          <cell r="D3931">
            <v>0</v>
          </cell>
          <cell r="E3931">
            <v>0</v>
          </cell>
          <cell r="F3931">
            <v>0</v>
          </cell>
          <cell r="G3931">
            <v>0</v>
          </cell>
          <cell r="H3931">
            <v>0</v>
          </cell>
          <cell r="I3931">
            <v>0</v>
          </cell>
          <cell r="J3931">
            <v>0</v>
          </cell>
          <cell r="K3931">
            <v>0</v>
          </cell>
          <cell r="L3931">
            <v>0</v>
          </cell>
          <cell r="M3931">
            <v>0</v>
          </cell>
          <cell r="N3931">
            <v>0</v>
          </cell>
          <cell r="O3931">
            <v>0</v>
          </cell>
        </row>
        <row r="3932">
          <cell r="A3932" t="str">
            <v>SwedenTRAINING AND EDUCATION</v>
          </cell>
          <cell r="B3932">
            <v>0</v>
          </cell>
          <cell r="C3932">
            <v>0</v>
          </cell>
          <cell r="D3932">
            <v>0</v>
          </cell>
          <cell r="E3932">
            <v>0</v>
          </cell>
          <cell r="F3932">
            <v>0</v>
          </cell>
          <cell r="G3932">
            <v>0</v>
          </cell>
          <cell r="H3932">
            <v>0</v>
          </cell>
          <cell r="I3932">
            <v>0</v>
          </cell>
          <cell r="J3932">
            <v>0</v>
          </cell>
          <cell r="K3932">
            <v>0</v>
          </cell>
          <cell r="L3932">
            <v>0</v>
          </cell>
          <cell r="M3932">
            <v>0</v>
          </cell>
          <cell r="N3932">
            <v>0</v>
          </cell>
          <cell r="O3932">
            <v>0</v>
          </cell>
        </row>
        <row r="3933">
          <cell r="A3933" t="str">
            <v>SwedenOUTSIDE SERVICES  AND FEES</v>
          </cell>
          <cell r="B3933">
            <v>0</v>
          </cell>
          <cell r="C3933">
            <v>0</v>
          </cell>
          <cell r="D3933">
            <v>0</v>
          </cell>
          <cell r="E3933">
            <v>0</v>
          </cell>
          <cell r="F3933">
            <v>0</v>
          </cell>
          <cell r="G3933">
            <v>0</v>
          </cell>
          <cell r="H3933">
            <v>0</v>
          </cell>
          <cell r="I3933">
            <v>0</v>
          </cell>
          <cell r="J3933">
            <v>0</v>
          </cell>
          <cell r="K3933">
            <v>0</v>
          </cell>
          <cell r="L3933">
            <v>0</v>
          </cell>
          <cell r="M3933">
            <v>0</v>
          </cell>
          <cell r="N3933">
            <v>0</v>
          </cell>
          <cell r="O3933">
            <v>0</v>
          </cell>
        </row>
        <row r="3934">
          <cell r="A3934" t="str">
            <v>SwedenSTATE, FOREIGN, LOCAL TAXES</v>
          </cell>
          <cell r="B3934">
            <v>37002.019999999997</v>
          </cell>
          <cell r="C3934">
            <v>78809.75</v>
          </cell>
          <cell r="D3934">
            <v>35086.71</v>
          </cell>
          <cell r="E3934">
            <v>458692.47</v>
          </cell>
          <cell r="F3934">
            <v>609590.94999999995</v>
          </cell>
          <cell r="G3934">
            <v>0</v>
          </cell>
          <cell r="H3934">
            <v>0</v>
          </cell>
          <cell r="I3934">
            <v>0</v>
          </cell>
          <cell r="J3934">
            <v>0</v>
          </cell>
          <cell r="K3934">
            <v>0</v>
          </cell>
          <cell r="L3934">
            <v>142400.68</v>
          </cell>
          <cell r="M3934">
            <v>0</v>
          </cell>
          <cell r="N3934">
            <v>0</v>
          </cell>
          <cell r="O3934">
            <v>0</v>
          </cell>
        </row>
        <row r="3935">
          <cell r="A3935" t="str">
            <v>SwedenS/L TAX - INSURANCE PREMIUMS</v>
          </cell>
          <cell r="B3935">
            <v>0</v>
          </cell>
          <cell r="C3935">
            <v>0</v>
          </cell>
          <cell r="D3935">
            <v>0</v>
          </cell>
          <cell r="E3935">
            <v>0</v>
          </cell>
          <cell r="F3935">
            <v>0</v>
          </cell>
          <cell r="G3935">
            <v>0</v>
          </cell>
          <cell r="H3935">
            <v>0</v>
          </cell>
          <cell r="I3935">
            <v>0</v>
          </cell>
          <cell r="J3935">
            <v>0</v>
          </cell>
          <cell r="K3935">
            <v>0</v>
          </cell>
          <cell r="L3935">
            <v>0</v>
          </cell>
          <cell r="M3935">
            <v>0</v>
          </cell>
          <cell r="N3935">
            <v>0</v>
          </cell>
          <cell r="O3935">
            <v>0</v>
          </cell>
        </row>
        <row r="3936">
          <cell r="A3936" t="str">
            <v>SwedenSATELLITE LEASE EXPENSE</v>
          </cell>
          <cell r="B3936">
            <v>0</v>
          </cell>
          <cell r="C3936">
            <v>0</v>
          </cell>
          <cell r="D3936">
            <v>0</v>
          </cell>
          <cell r="E3936">
            <v>0</v>
          </cell>
          <cell r="F3936">
            <v>0</v>
          </cell>
          <cell r="G3936">
            <v>0</v>
          </cell>
          <cell r="H3936">
            <v>0</v>
          </cell>
          <cell r="I3936">
            <v>0</v>
          </cell>
          <cell r="J3936">
            <v>0</v>
          </cell>
          <cell r="K3936">
            <v>0</v>
          </cell>
          <cell r="L3936">
            <v>0</v>
          </cell>
          <cell r="M3936">
            <v>0</v>
          </cell>
          <cell r="N3936">
            <v>0</v>
          </cell>
          <cell r="O3936">
            <v>0</v>
          </cell>
        </row>
        <row r="3937">
          <cell r="A3937" t="str">
            <v>SwedenBUSINESS SHARE EXPENSE</v>
          </cell>
          <cell r="B3937">
            <v>0</v>
          </cell>
          <cell r="C3937">
            <v>0</v>
          </cell>
          <cell r="D3937">
            <v>0</v>
          </cell>
          <cell r="E3937">
            <v>0</v>
          </cell>
          <cell r="F3937">
            <v>0</v>
          </cell>
          <cell r="G3937">
            <v>0</v>
          </cell>
          <cell r="H3937">
            <v>0</v>
          </cell>
          <cell r="I3937">
            <v>0</v>
          </cell>
          <cell r="J3937">
            <v>0</v>
          </cell>
          <cell r="K3937">
            <v>0</v>
          </cell>
          <cell r="L3937">
            <v>0</v>
          </cell>
          <cell r="M3937">
            <v>0</v>
          </cell>
          <cell r="N3937">
            <v>0</v>
          </cell>
          <cell r="O3937">
            <v>0</v>
          </cell>
        </row>
        <row r="3938">
          <cell r="A3938" t="str">
            <v>SwedenINSURANCE AFFILIATE EXPENSE</v>
          </cell>
          <cell r="B3938">
            <v>0</v>
          </cell>
          <cell r="C3938">
            <v>0</v>
          </cell>
          <cell r="D3938">
            <v>0</v>
          </cell>
          <cell r="E3938">
            <v>0</v>
          </cell>
          <cell r="F3938">
            <v>0</v>
          </cell>
          <cell r="G3938">
            <v>0</v>
          </cell>
          <cell r="H3938">
            <v>0</v>
          </cell>
          <cell r="I3938">
            <v>0</v>
          </cell>
          <cell r="J3938">
            <v>0</v>
          </cell>
          <cell r="K3938">
            <v>0</v>
          </cell>
          <cell r="L3938">
            <v>0</v>
          </cell>
          <cell r="M3938">
            <v>0</v>
          </cell>
          <cell r="N3938">
            <v>0</v>
          </cell>
          <cell r="O3938">
            <v>0</v>
          </cell>
        </row>
        <row r="3939">
          <cell r="A3939" t="str">
            <v>SwedenOTHER FACILITY EXPENSE</v>
          </cell>
          <cell r="B3939">
            <v>148623.75</v>
          </cell>
          <cell r="C3939">
            <v>129956.89</v>
          </cell>
          <cell r="D3939">
            <v>159968.72</v>
          </cell>
          <cell r="E3939">
            <v>270200.61</v>
          </cell>
          <cell r="F3939">
            <v>708749.97</v>
          </cell>
          <cell r="G3939">
            <v>186267.568482</v>
          </cell>
          <cell r="H3939">
            <v>189105.73170400001</v>
          </cell>
          <cell r="I3939">
            <v>190461.00260599999</v>
          </cell>
          <cell r="J3939">
            <v>195818.47044899999</v>
          </cell>
          <cell r="K3939">
            <v>761652.77324100002</v>
          </cell>
          <cell r="L3939">
            <v>147349.99</v>
          </cell>
          <cell r="M3939">
            <v>336565.93355000002</v>
          </cell>
          <cell r="N3939">
            <v>351209.66705400002</v>
          </cell>
          <cell r="O3939">
            <v>365655.11685499997</v>
          </cell>
        </row>
        <row r="3940">
          <cell r="A3940" t="str">
            <v>SwedenGROSS OP &amp; ADMIN BUS SHARE</v>
          </cell>
          <cell r="B3940">
            <v>0</v>
          </cell>
          <cell r="C3940">
            <v>0</v>
          </cell>
          <cell r="D3940">
            <v>0</v>
          </cell>
          <cell r="E3940">
            <v>0</v>
          </cell>
          <cell r="F3940">
            <v>0</v>
          </cell>
          <cell r="G3940">
            <v>0</v>
          </cell>
          <cell r="H3940">
            <v>0</v>
          </cell>
          <cell r="I3940">
            <v>0</v>
          </cell>
          <cell r="J3940">
            <v>0</v>
          </cell>
          <cell r="K3940">
            <v>0</v>
          </cell>
          <cell r="L3940">
            <v>0</v>
          </cell>
          <cell r="M3940">
            <v>0</v>
          </cell>
          <cell r="N3940">
            <v>0</v>
          </cell>
          <cell r="O3940">
            <v>0</v>
          </cell>
        </row>
        <row r="3941">
          <cell r="A3941" t="str">
            <v>SwedenOTHER EXPENSE</v>
          </cell>
          <cell r="B3941">
            <v>-6060.22</v>
          </cell>
          <cell r="C3941">
            <v>-2793474.35</v>
          </cell>
          <cell r="D3941">
            <v>1128164.53</v>
          </cell>
          <cell r="E3941">
            <v>-1422697.17</v>
          </cell>
          <cell r="F3941">
            <v>-3094067.21</v>
          </cell>
          <cell r="G3941">
            <v>-552298.08723199996</v>
          </cell>
          <cell r="H3941">
            <v>-552922.41723200004</v>
          </cell>
          <cell r="I3941">
            <v>-552922.41723200004</v>
          </cell>
          <cell r="J3941">
            <v>-552922.41723200004</v>
          </cell>
          <cell r="K3941">
            <v>-2211065.3389280001</v>
          </cell>
          <cell r="L3941">
            <v>6028.16</v>
          </cell>
          <cell r="M3941">
            <v>-986440.55725499999</v>
          </cell>
          <cell r="N3941">
            <v>-1029359.852402</v>
          </cell>
          <cell r="O3941">
            <v>-1071697.9981559999</v>
          </cell>
        </row>
        <row r="3942">
          <cell r="A3942" t="str">
            <v>SwedenGECC INTERCO EXPENSES EXCL GECIS</v>
          </cell>
          <cell r="B3942">
            <v>0</v>
          </cell>
          <cell r="C3942">
            <v>0</v>
          </cell>
          <cell r="D3942">
            <v>0</v>
          </cell>
          <cell r="E3942">
            <v>0</v>
          </cell>
          <cell r="F3942">
            <v>0</v>
          </cell>
          <cell r="G3942">
            <v>0</v>
          </cell>
          <cell r="H3942">
            <v>0</v>
          </cell>
          <cell r="I3942">
            <v>0</v>
          </cell>
          <cell r="J3942">
            <v>0</v>
          </cell>
          <cell r="K3942">
            <v>0</v>
          </cell>
          <cell r="L3942">
            <v>0</v>
          </cell>
          <cell r="M3942">
            <v>0</v>
          </cell>
          <cell r="N3942">
            <v>0</v>
          </cell>
          <cell r="O3942">
            <v>0</v>
          </cell>
        </row>
        <row r="3943">
          <cell r="A3943" t="str">
            <v>SwedenGECIS INTERCO CHARGES</v>
          </cell>
          <cell r="B3943">
            <v>0</v>
          </cell>
          <cell r="C3943">
            <v>0</v>
          </cell>
          <cell r="D3943">
            <v>0</v>
          </cell>
          <cell r="E3943">
            <v>0</v>
          </cell>
          <cell r="F3943">
            <v>0</v>
          </cell>
          <cell r="G3943">
            <v>0</v>
          </cell>
          <cell r="H3943">
            <v>0</v>
          </cell>
          <cell r="I3943">
            <v>0</v>
          </cell>
          <cell r="J3943">
            <v>0</v>
          </cell>
          <cell r="K3943">
            <v>0</v>
          </cell>
          <cell r="L3943">
            <v>0</v>
          </cell>
          <cell r="M3943">
            <v>0</v>
          </cell>
          <cell r="N3943">
            <v>0</v>
          </cell>
          <cell r="O3943">
            <v>0</v>
          </cell>
        </row>
        <row r="3944">
          <cell r="A3944" t="str">
            <v>SwedenLOSS ADJUSTED EXPENSE</v>
          </cell>
          <cell r="B3944">
            <v>0</v>
          </cell>
          <cell r="C3944">
            <v>0</v>
          </cell>
          <cell r="D3944">
            <v>0</v>
          </cell>
          <cell r="E3944">
            <v>0</v>
          </cell>
          <cell r="F3944">
            <v>0</v>
          </cell>
          <cell r="G3944">
            <v>0</v>
          </cell>
          <cell r="H3944">
            <v>0</v>
          </cell>
          <cell r="I3944">
            <v>0</v>
          </cell>
          <cell r="J3944">
            <v>0</v>
          </cell>
          <cell r="K3944">
            <v>0</v>
          </cell>
          <cell r="L3944">
            <v>0</v>
          </cell>
          <cell r="M3944">
            <v>0</v>
          </cell>
          <cell r="N3944">
            <v>0</v>
          </cell>
          <cell r="O3944">
            <v>0</v>
          </cell>
        </row>
        <row r="3945">
          <cell r="A3945" t="str">
            <v>SwedenALL OTHER EXPENSES</v>
          </cell>
          <cell r="B3945">
            <v>0.03</v>
          </cell>
          <cell r="C3945">
            <v>-0.02</v>
          </cell>
          <cell r="D3945">
            <v>-0.04</v>
          </cell>
          <cell r="E3945">
            <v>0.04</v>
          </cell>
          <cell r="F3945">
            <v>0.01</v>
          </cell>
          <cell r="G3945">
            <v>0</v>
          </cell>
          <cell r="H3945">
            <v>0</v>
          </cell>
          <cell r="I3945">
            <v>0</v>
          </cell>
          <cell r="J3945">
            <v>0</v>
          </cell>
          <cell r="K3945">
            <v>0</v>
          </cell>
          <cell r="L3945">
            <v>0.01</v>
          </cell>
          <cell r="M3945">
            <v>730000</v>
          </cell>
          <cell r="N3945">
            <v>770000</v>
          </cell>
          <cell r="O3945">
            <v>815000</v>
          </cell>
        </row>
        <row r="3946">
          <cell r="A3946" t="str">
            <v>SwedenASSESSMENTS</v>
          </cell>
          <cell r="B3946">
            <v>340005.76</v>
          </cell>
          <cell r="C3946">
            <v>530780.53</v>
          </cell>
          <cell r="D3946">
            <v>519411.03</v>
          </cell>
          <cell r="E3946">
            <v>-648733.23</v>
          </cell>
          <cell r="F3946">
            <v>741464.09</v>
          </cell>
          <cell r="G3946">
            <v>398880</v>
          </cell>
          <cell r="H3946">
            <v>398880</v>
          </cell>
          <cell r="I3946">
            <v>398880</v>
          </cell>
          <cell r="J3946">
            <v>398880</v>
          </cell>
          <cell r="K3946">
            <v>1595520</v>
          </cell>
          <cell r="L3946">
            <v>203515.6</v>
          </cell>
          <cell r="M3946">
            <v>2717770</v>
          </cell>
          <cell r="N3946">
            <v>2830330</v>
          </cell>
          <cell r="O3946">
            <v>2990340</v>
          </cell>
        </row>
        <row r="3947">
          <cell r="A3947" t="str">
            <v>SwedenFAS 91</v>
          </cell>
          <cell r="B3947">
            <v>-361694.49</v>
          </cell>
          <cell r="C3947">
            <v>-296543.58</v>
          </cell>
          <cell r="D3947">
            <v>-359492.3</v>
          </cell>
          <cell r="E3947">
            <v>-471224.63</v>
          </cell>
          <cell r="F3947">
            <v>-1488955</v>
          </cell>
          <cell r="G3947">
            <v>-322075</v>
          </cell>
          <cell r="H3947">
            <v>-322075</v>
          </cell>
          <cell r="I3947">
            <v>-322075</v>
          </cell>
          <cell r="J3947">
            <v>-322075</v>
          </cell>
          <cell r="K3947">
            <v>-1288300</v>
          </cell>
          <cell r="L3947">
            <v>-350241.1</v>
          </cell>
          <cell r="M3947">
            <v>0</v>
          </cell>
          <cell r="N3947">
            <v>0</v>
          </cell>
          <cell r="O3947">
            <v>0</v>
          </cell>
        </row>
        <row r="3948">
          <cell r="A3948" t="str">
            <v>SwedenGOODWILL AMORTIZATION</v>
          </cell>
          <cell r="B3948">
            <v>988931.55</v>
          </cell>
          <cell r="C3948">
            <v>1001216.42</v>
          </cell>
          <cell r="D3948">
            <v>925206.35</v>
          </cell>
          <cell r="E3948">
            <v>935807.94</v>
          </cell>
          <cell r="F3948">
            <v>3851162.26</v>
          </cell>
          <cell r="G3948">
            <v>0</v>
          </cell>
          <cell r="H3948">
            <v>0</v>
          </cell>
          <cell r="I3948">
            <v>0</v>
          </cell>
          <cell r="J3948">
            <v>0</v>
          </cell>
          <cell r="K3948">
            <v>0</v>
          </cell>
          <cell r="L3948">
            <v>0</v>
          </cell>
          <cell r="M3948">
            <v>4791040</v>
          </cell>
          <cell r="N3948">
            <v>4762040</v>
          </cell>
          <cell r="O3948">
            <v>4737040</v>
          </cell>
        </row>
        <row r="3949">
          <cell r="A3949" t="str">
            <v>SwedenDEPRECIATION EXPENSE</v>
          </cell>
          <cell r="B3949">
            <v>171303.38</v>
          </cell>
          <cell r="C3949">
            <v>104389.71</v>
          </cell>
          <cell r="D3949">
            <v>128056.48</v>
          </cell>
          <cell r="E3949">
            <v>-2275.62</v>
          </cell>
          <cell r="F3949">
            <v>401473.95</v>
          </cell>
          <cell r="G3949">
            <v>224164.2</v>
          </cell>
          <cell r="H3949">
            <v>224164.2</v>
          </cell>
          <cell r="I3949">
            <v>224164.2</v>
          </cell>
          <cell r="J3949">
            <v>224164.2</v>
          </cell>
          <cell r="K3949">
            <v>896656.8</v>
          </cell>
          <cell r="L3949">
            <v>124590.96</v>
          </cell>
          <cell r="M3949">
            <v>624178.68437699997</v>
          </cell>
          <cell r="N3949">
            <v>651336.23480600002</v>
          </cell>
          <cell r="O3949">
            <v>678126.05799600005</v>
          </cell>
        </row>
        <row r="3950">
          <cell r="A3950" t="str">
            <v>SwedenELTO AMORTIZATION</v>
          </cell>
          <cell r="B3950">
            <v>0</v>
          </cell>
          <cell r="C3950">
            <v>0</v>
          </cell>
          <cell r="D3950">
            <v>0</v>
          </cell>
          <cell r="E3950">
            <v>0</v>
          </cell>
          <cell r="F3950">
            <v>0</v>
          </cell>
          <cell r="G3950">
            <v>0</v>
          </cell>
          <cell r="H3950">
            <v>0</v>
          </cell>
          <cell r="I3950">
            <v>0</v>
          </cell>
          <cell r="J3950">
            <v>0</v>
          </cell>
          <cell r="K3950">
            <v>0</v>
          </cell>
          <cell r="L3950">
            <v>0</v>
          </cell>
          <cell r="M3950">
            <v>0</v>
          </cell>
          <cell r="N3950">
            <v>0</v>
          </cell>
          <cell r="O3950">
            <v>0</v>
          </cell>
        </row>
        <row r="3951">
          <cell r="A3951" t="str">
            <v>SwedenINSURANCE LOSSES AND BENEFITS</v>
          </cell>
          <cell r="B3951">
            <v>0</v>
          </cell>
          <cell r="C3951">
            <v>0</v>
          </cell>
          <cell r="D3951">
            <v>0</v>
          </cell>
          <cell r="E3951">
            <v>0</v>
          </cell>
          <cell r="F3951">
            <v>0</v>
          </cell>
          <cell r="G3951">
            <v>-236808</v>
          </cell>
          <cell r="H3951">
            <v>-271958</v>
          </cell>
          <cell r="I3951">
            <v>-280723</v>
          </cell>
          <cell r="J3951">
            <v>-833493</v>
          </cell>
          <cell r="K3951">
            <v>-1622982</v>
          </cell>
          <cell r="L3951">
            <v>0</v>
          </cell>
          <cell r="M3951">
            <v>0</v>
          </cell>
          <cell r="N3951">
            <v>0</v>
          </cell>
          <cell r="O3951">
            <v>0</v>
          </cell>
        </row>
        <row r="3952">
          <cell r="A3952" t="str">
            <v>SwedenWRITE OFFS</v>
          </cell>
          <cell r="B3952">
            <v>-4720900.33</v>
          </cell>
          <cell r="C3952">
            <v>-1843469.78</v>
          </cell>
          <cell r="D3952">
            <v>-14923274.630000001</v>
          </cell>
          <cell r="E3952">
            <v>529542.99</v>
          </cell>
          <cell r="F3952">
            <v>-20958101.75</v>
          </cell>
          <cell r="G3952">
            <v>2218086.937219</v>
          </cell>
          <cell r="H3952">
            <v>2307410.4230280002</v>
          </cell>
          <cell r="I3952">
            <v>730762.50910999998</v>
          </cell>
          <cell r="J3952">
            <v>1253802.024182</v>
          </cell>
          <cell r="K3952">
            <v>6510061.8935390003</v>
          </cell>
          <cell r="L3952">
            <v>-1183748.03</v>
          </cell>
          <cell r="M3952">
            <v>8444169.2281250004</v>
          </cell>
          <cell r="N3952">
            <v>10732716.970357001</v>
          </cell>
          <cell r="O3952">
            <v>12809736.839392001</v>
          </cell>
        </row>
        <row r="3953">
          <cell r="A3953" t="str">
            <v>SwedenRESERVE CHANGE</v>
          </cell>
          <cell r="B3953">
            <v>0</v>
          </cell>
          <cell r="C3953">
            <v>0</v>
          </cell>
          <cell r="D3953">
            <v>0</v>
          </cell>
          <cell r="E3953">
            <v>0</v>
          </cell>
          <cell r="F3953">
            <v>0</v>
          </cell>
          <cell r="G3953">
            <v>0</v>
          </cell>
          <cell r="H3953">
            <v>0</v>
          </cell>
          <cell r="I3953">
            <v>0</v>
          </cell>
          <cell r="J3953">
            <v>0</v>
          </cell>
          <cell r="K3953">
            <v>0</v>
          </cell>
          <cell r="L3953">
            <v>0</v>
          </cell>
          <cell r="M3953">
            <v>0</v>
          </cell>
          <cell r="N3953">
            <v>0</v>
          </cell>
          <cell r="O3953">
            <v>0</v>
          </cell>
        </row>
        <row r="3954">
          <cell r="A3954" t="str">
            <v>SwedenMINORITY INTEREST</v>
          </cell>
          <cell r="B3954">
            <v>0</v>
          </cell>
          <cell r="C3954">
            <v>0</v>
          </cell>
          <cell r="D3954">
            <v>0</v>
          </cell>
          <cell r="E3954">
            <v>0</v>
          </cell>
          <cell r="F3954">
            <v>0</v>
          </cell>
          <cell r="G3954">
            <v>0</v>
          </cell>
          <cell r="H3954">
            <v>0</v>
          </cell>
          <cell r="I3954">
            <v>0</v>
          </cell>
          <cell r="J3954">
            <v>0</v>
          </cell>
          <cell r="K3954">
            <v>0</v>
          </cell>
          <cell r="L3954">
            <v>0</v>
          </cell>
          <cell r="M3954">
            <v>0</v>
          </cell>
          <cell r="N3954">
            <v>0</v>
          </cell>
          <cell r="O3954">
            <v>0</v>
          </cell>
        </row>
        <row r="3955">
          <cell r="A3955" t="str">
            <v>SwedenINCOME TAXES</v>
          </cell>
          <cell r="B3955">
            <v>3564564.17</v>
          </cell>
          <cell r="C3955">
            <v>2758002.03</v>
          </cell>
          <cell r="D3955">
            <v>5197835.71</v>
          </cell>
          <cell r="E3955">
            <v>1461782.26</v>
          </cell>
          <cell r="F3955">
            <v>12982184.17</v>
          </cell>
          <cell r="G3955">
            <v>975879.89522800001</v>
          </cell>
          <cell r="H3955">
            <v>1408697.023359</v>
          </cell>
          <cell r="I3955">
            <v>2035933.3364269999</v>
          </cell>
          <cell r="J3955">
            <v>1998404.7572029999</v>
          </cell>
          <cell r="K3955">
            <v>6418915.0122180004</v>
          </cell>
          <cell r="L3955">
            <v>1727590.49</v>
          </cell>
          <cell r="M3955">
            <v>5250522.4684300004</v>
          </cell>
          <cell r="N3955">
            <v>5671171.9799210001</v>
          </cell>
          <cell r="O3955">
            <v>6300554.1890319996</v>
          </cell>
        </row>
        <row r="3956">
          <cell r="A3956" t="str">
            <v>SwedenCUMULATIVE TRANSITION ADJUSTMENT</v>
          </cell>
          <cell r="B3956">
            <v>0</v>
          </cell>
          <cell r="C3956">
            <v>0</v>
          </cell>
          <cell r="D3956">
            <v>0</v>
          </cell>
          <cell r="E3956">
            <v>0</v>
          </cell>
          <cell r="F3956">
            <v>0</v>
          </cell>
          <cell r="G3956">
            <v>0</v>
          </cell>
          <cell r="H3956">
            <v>0</v>
          </cell>
          <cell r="I3956">
            <v>0</v>
          </cell>
          <cell r="J3956">
            <v>0</v>
          </cell>
          <cell r="K3956">
            <v>0</v>
          </cell>
          <cell r="L3956">
            <v>0</v>
          </cell>
          <cell r="M3956">
            <v>0</v>
          </cell>
          <cell r="N3956">
            <v>0</v>
          </cell>
          <cell r="O3956">
            <v>0</v>
          </cell>
        </row>
        <row r="3957">
          <cell r="A3957" t="str">
            <v>SwedenASIA PACIFIC NI DIVIDEND</v>
          </cell>
          <cell r="B3957">
            <v>0</v>
          </cell>
          <cell r="C3957">
            <v>0</v>
          </cell>
          <cell r="D3957">
            <v>0</v>
          </cell>
          <cell r="E3957">
            <v>0</v>
          </cell>
          <cell r="F3957">
            <v>0</v>
          </cell>
          <cell r="G3957">
            <v>0</v>
          </cell>
          <cell r="H3957">
            <v>0</v>
          </cell>
          <cell r="I3957">
            <v>0</v>
          </cell>
          <cell r="J3957">
            <v>0</v>
          </cell>
          <cell r="K3957">
            <v>0</v>
          </cell>
          <cell r="L3957">
            <v>0</v>
          </cell>
          <cell r="M3957">
            <v>0</v>
          </cell>
          <cell r="N3957">
            <v>0</v>
          </cell>
          <cell r="O3957">
            <v>0</v>
          </cell>
        </row>
        <row r="3958">
          <cell r="A3958" t="str">
            <v>SwedenNet Income</v>
          </cell>
          <cell r="B3958">
            <v>-10432962.08</v>
          </cell>
          <cell r="C3958">
            <v>-9427958.8800000008</v>
          </cell>
          <cell r="D3958">
            <v>-15994709.16</v>
          </cell>
          <cell r="E3958">
            <v>-5345728.58</v>
          </cell>
          <cell r="F3958">
            <v>-41201358.700000003</v>
          </cell>
          <cell r="G3958">
            <v>-6002071.3911359999</v>
          </cell>
          <cell r="H3958">
            <v>-6854579.3178719999</v>
          </cell>
          <cell r="I3958">
            <v>-8069951.6251450004</v>
          </cell>
          <cell r="J3958">
            <v>-8065073.610634</v>
          </cell>
          <cell r="K3958">
            <v>-28991675.944786001</v>
          </cell>
          <cell r="L3958">
            <v>-7973961.8499999996</v>
          </cell>
          <cell r="M3958">
            <v>-22594683.44328</v>
          </cell>
          <cell r="N3958">
            <v>-24556706.041487001</v>
          </cell>
          <cell r="O3958">
            <v>-27110332.195246998</v>
          </cell>
        </row>
        <row r="3959">
          <cell r="A3959" t="str">
            <v>SwedenSubPart F</v>
          </cell>
          <cell r="B3959">
            <v>1355000</v>
          </cell>
          <cell r="C3959">
            <v>1524000</v>
          </cell>
          <cell r="D3959">
            <v>2284180.6502999999</v>
          </cell>
          <cell r="E3959">
            <v>884560.04969999997</v>
          </cell>
          <cell r="F3959">
            <v>6047740.7000000002</v>
          </cell>
          <cell r="G3959">
            <v>1479520.1047720001</v>
          </cell>
          <cell r="H3959">
            <v>1500262.976641</v>
          </cell>
          <cell r="I3959">
            <v>1521296.6635730001</v>
          </cell>
          <cell r="J3959">
            <v>1542625.2427970001</v>
          </cell>
          <cell r="K3959">
            <v>6043704.9877819996</v>
          </cell>
          <cell r="L3959">
            <v>1675352</v>
          </cell>
          <cell r="M3959">
            <v>4548737.5315699996</v>
          </cell>
          <cell r="N3959">
            <v>4966128.0200789999</v>
          </cell>
          <cell r="O3959">
            <v>5456705.8109680004</v>
          </cell>
        </row>
        <row r="3960">
          <cell r="A3960" t="str">
            <v>SwedenAssets</v>
          </cell>
          <cell r="B3960">
            <v>443785677.06</v>
          </cell>
          <cell r="C3960">
            <v>437692881.66000003</v>
          </cell>
          <cell r="D3960">
            <v>492436047.13999999</v>
          </cell>
          <cell r="E3960">
            <v>498911854.52999997</v>
          </cell>
          <cell r="F3960">
            <v>498911854.52999997</v>
          </cell>
          <cell r="G3960">
            <v>511749818.03099799</v>
          </cell>
          <cell r="H3960">
            <v>522065034.12516201</v>
          </cell>
          <cell r="I3960">
            <v>523584051.55506802</v>
          </cell>
          <cell r="J3960">
            <v>545119744.03234601</v>
          </cell>
          <cell r="K3960">
            <v>545119744.03234601</v>
          </cell>
          <cell r="L3960">
            <v>519469222.68000001</v>
          </cell>
          <cell r="M3960">
            <v>508075548.71990502</v>
          </cell>
          <cell r="N3960">
            <v>546963691.59998798</v>
          </cell>
          <cell r="O3960">
            <v>596797477.51274002</v>
          </cell>
        </row>
        <row r="3961">
          <cell r="A3961" t="str">
            <v>SwedenEnding Net Investment (ENI) incl Asia</v>
          </cell>
          <cell r="B3961">
            <v>450803821.47000003</v>
          </cell>
          <cell r="C3961">
            <v>447146740.56</v>
          </cell>
          <cell r="D3961">
            <v>488932026.43000001</v>
          </cell>
          <cell r="E3961">
            <v>486918540.31999999</v>
          </cell>
          <cell r="F3961">
            <v>486918540.31999999</v>
          </cell>
          <cell r="G3961">
            <v>483555684.14159799</v>
          </cell>
          <cell r="H3961">
            <v>493683127.61196202</v>
          </cell>
          <cell r="I3961">
            <v>495059328.747868</v>
          </cell>
          <cell r="J3961">
            <v>516354694.81684601</v>
          </cell>
          <cell r="K3961">
            <v>516354694.81684601</v>
          </cell>
          <cell r="L3961">
            <v>513409849.95999998</v>
          </cell>
          <cell r="M3961">
            <v>524444468.71990502</v>
          </cell>
          <cell r="N3961">
            <v>566200381.59998798</v>
          </cell>
          <cell r="O3961">
            <v>625939497.51274002</v>
          </cell>
        </row>
        <row r="3962">
          <cell r="A3962" t="str">
            <v>SwedenANR YTD</v>
          </cell>
          <cell r="B3962">
            <v>459865402.29500002</v>
          </cell>
          <cell r="C3962">
            <v>450618255.29333299</v>
          </cell>
          <cell r="D3962">
            <v>453566722.92250001</v>
          </cell>
          <cell r="E3962">
            <v>458602132.98799998</v>
          </cell>
          <cell r="F3962">
            <v>458602132.98799998</v>
          </cell>
          <cell r="G3962">
            <v>486388670.32419997</v>
          </cell>
          <cell r="H3962">
            <v>492585052.32774198</v>
          </cell>
          <cell r="I3962">
            <v>496037511.46334702</v>
          </cell>
          <cell r="J3962">
            <v>502574022.37303698</v>
          </cell>
          <cell r="K3962">
            <v>502574022.37303698</v>
          </cell>
          <cell r="L3962">
            <v>488961072.69</v>
          </cell>
          <cell r="M3962">
            <v>212361738.42344701</v>
          </cell>
          <cell r="N3962">
            <v>218930091.429923</v>
          </cell>
          <cell r="O3962">
            <v>240063162.466784</v>
          </cell>
        </row>
        <row r="3963">
          <cell r="A3963" t="str">
            <v>SwedenASA YTD</v>
          </cell>
          <cell r="B3963">
            <v>459865402.29500002</v>
          </cell>
          <cell r="C3963">
            <v>450618255.29333299</v>
          </cell>
          <cell r="D3963">
            <v>453566722.92250001</v>
          </cell>
          <cell r="E3963">
            <v>458602132.98799998</v>
          </cell>
          <cell r="F3963">
            <v>458602132.98799998</v>
          </cell>
          <cell r="G3963">
            <v>486388670.32419997</v>
          </cell>
          <cell r="H3963">
            <v>492585052.32774198</v>
          </cell>
          <cell r="I3963">
            <v>496037511.46334702</v>
          </cell>
          <cell r="J3963">
            <v>502574022.37303698</v>
          </cell>
          <cell r="K3963">
            <v>502574022.37303698</v>
          </cell>
          <cell r="L3963">
            <v>488961072.69</v>
          </cell>
          <cell r="M3963">
            <v>212361738.42344701</v>
          </cell>
          <cell r="N3963">
            <v>218930091.429923</v>
          </cell>
          <cell r="O3963">
            <v>240063162.466784</v>
          </cell>
        </row>
        <row r="3964">
          <cell r="A3964" t="str">
            <v>SwedenANI YTD incl Asia - 5 pt</v>
          </cell>
          <cell r="B3964">
            <v>459012485.40499997</v>
          </cell>
          <cell r="C3964">
            <v>455057237.12333298</v>
          </cell>
          <cell r="D3964">
            <v>463525934.44999999</v>
          </cell>
          <cell r="E3964">
            <v>468204455.62400001</v>
          </cell>
          <cell r="F3964">
            <v>468204455.62400001</v>
          </cell>
          <cell r="G3964">
            <v>485237112.23079902</v>
          </cell>
          <cell r="H3964">
            <v>488052450.69118702</v>
          </cell>
          <cell r="I3964">
            <v>489804170.20535702</v>
          </cell>
          <cell r="J3964">
            <v>495114275.12765503</v>
          </cell>
          <cell r="K3964">
            <v>495114275.12765503</v>
          </cell>
          <cell r="L3964">
            <v>500164195.13999999</v>
          </cell>
          <cell r="M3964">
            <v>214714568.110183</v>
          </cell>
          <cell r="N3964">
            <v>218128970.063979</v>
          </cell>
          <cell r="O3964">
            <v>238427975.82254601</v>
          </cell>
        </row>
        <row r="3965">
          <cell r="A3965" t="str">
            <v>SwedenOff Balance Sheet Assets</v>
          </cell>
          <cell r="B3965">
            <v>0</v>
          </cell>
          <cell r="C3965">
            <v>0</v>
          </cell>
          <cell r="D3965">
            <v>0</v>
          </cell>
          <cell r="E3965">
            <v>0</v>
          </cell>
          <cell r="F3965">
            <v>0</v>
          </cell>
          <cell r="G3965">
            <v>0</v>
          </cell>
          <cell r="H3965">
            <v>0</v>
          </cell>
          <cell r="I3965">
            <v>0</v>
          </cell>
          <cell r="J3965">
            <v>0</v>
          </cell>
          <cell r="K3965">
            <v>0</v>
          </cell>
          <cell r="L3965">
            <v>0</v>
          </cell>
          <cell r="M3965">
            <v>0</v>
          </cell>
          <cell r="N3965">
            <v>0</v>
          </cell>
          <cell r="O3965">
            <v>0</v>
          </cell>
        </row>
        <row r="3966">
          <cell r="A3966" t="str">
            <v>SwedenJV Receivables</v>
          </cell>
          <cell r="B3966">
            <v>0</v>
          </cell>
          <cell r="C3966">
            <v>0</v>
          </cell>
          <cell r="D3966">
            <v>0</v>
          </cell>
          <cell r="E3966">
            <v>0</v>
          </cell>
          <cell r="F3966">
            <v>0</v>
          </cell>
          <cell r="G3966">
            <v>0</v>
          </cell>
          <cell r="H3966">
            <v>0</v>
          </cell>
          <cell r="I3966">
            <v>0</v>
          </cell>
          <cell r="J3966">
            <v>0</v>
          </cell>
          <cell r="K3966">
            <v>0</v>
          </cell>
          <cell r="L3966">
            <v>0</v>
          </cell>
          <cell r="M3966">
            <v>0</v>
          </cell>
          <cell r="N3966">
            <v>0</v>
          </cell>
          <cell r="O3966">
            <v>0</v>
          </cell>
        </row>
        <row r="3967">
          <cell r="A3967" t="str">
            <v>Sweden30+ DELINQUENCY $</v>
          </cell>
          <cell r="B3967">
            <v>27913</v>
          </cell>
          <cell r="C3967">
            <v>27347</v>
          </cell>
          <cell r="D3967">
            <v>29649</v>
          </cell>
          <cell r="E3967">
            <v>31652000</v>
          </cell>
          <cell r="F3967">
            <v>31652000</v>
          </cell>
          <cell r="G3967">
            <v>33846000</v>
          </cell>
          <cell r="H3967">
            <v>34806000</v>
          </cell>
          <cell r="I3967">
            <v>33748000</v>
          </cell>
          <cell r="J3967">
            <v>36876000</v>
          </cell>
          <cell r="K3967">
            <v>36876000</v>
          </cell>
          <cell r="L3967">
            <v>30377773.5</v>
          </cell>
          <cell r="M3967">
            <v>37193065</v>
          </cell>
          <cell r="N3967">
            <v>42235568</v>
          </cell>
          <cell r="O3967">
            <v>45954160</v>
          </cell>
        </row>
        <row r="3968">
          <cell r="A3968" t="str">
            <v>Sweden90+ DELINQUENCY $</v>
          </cell>
          <cell r="B3968">
            <v>16258</v>
          </cell>
          <cell r="C3968">
            <v>15610</v>
          </cell>
          <cell r="D3968">
            <v>17097</v>
          </cell>
          <cell r="E3968">
            <v>16592000</v>
          </cell>
          <cell r="F3968">
            <v>16592000</v>
          </cell>
          <cell r="G3968">
            <v>19552000</v>
          </cell>
          <cell r="H3968">
            <v>20347000</v>
          </cell>
          <cell r="I3968">
            <v>20492000</v>
          </cell>
          <cell r="J3968">
            <v>21026000</v>
          </cell>
          <cell r="K3968">
            <v>21026000</v>
          </cell>
          <cell r="L3968">
            <v>17044763.59</v>
          </cell>
          <cell r="M3968">
            <v>20953839</v>
          </cell>
          <cell r="N3968">
            <v>23400788</v>
          </cell>
          <cell r="O3968">
            <v>25809871</v>
          </cell>
        </row>
        <row r="3969">
          <cell r="A3969" t="str">
            <v>SwedenTemporary Staff</v>
          </cell>
          <cell r="B3969">
            <v>0</v>
          </cell>
          <cell r="C3969">
            <v>3</v>
          </cell>
          <cell r="D3969">
            <v>3</v>
          </cell>
          <cell r="E3969">
            <v>3</v>
          </cell>
          <cell r="F3969">
            <v>3</v>
          </cell>
          <cell r="G3969">
            <v>5</v>
          </cell>
          <cell r="H3969">
            <v>5</v>
          </cell>
          <cell r="I3969">
            <v>3</v>
          </cell>
          <cell r="J3969">
            <v>3</v>
          </cell>
          <cell r="K3969">
            <v>3</v>
          </cell>
          <cell r="L3969">
            <v>0</v>
          </cell>
          <cell r="M3969">
            <v>0</v>
          </cell>
          <cell r="N3969">
            <v>0</v>
          </cell>
          <cell r="O3969">
            <v>0</v>
          </cell>
        </row>
        <row r="3970">
          <cell r="A3970" t="str">
            <v>SwedenContractors</v>
          </cell>
          <cell r="B3970">
            <v>0</v>
          </cell>
          <cell r="C3970">
            <v>0</v>
          </cell>
          <cell r="D3970">
            <v>8</v>
          </cell>
          <cell r="E3970">
            <v>7</v>
          </cell>
          <cell r="F3970">
            <v>7</v>
          </cell>
          <cell r="G3970">
            <v>7</v>
          </cell>
          <cell r="H3970">
            <v>7</v>
          </cell>
          <cell r="I3970">
            <v>7</v>
          </cell>
          <cell r="J3970">
            <v>7</v>
          </cell>
          <cell r="K3970">
            <v>7</v>
          </cell>
          <cell r="L3970">
            <v>24</v>
          </cell>
          <cell r="M3970">
            <v>0</v>
          </cell>
          <cell r="N3970">
            <v>0</v>
          </cell>
          <cell r="O3970">
            <v>0</v>
          </cell>
        </row>
        <row r="3971">
          <cell r="A3971" t="str">
            <v>SwedenOutsourced to LCC</v>
          </cell>
          <cell r="B3971">
            <v>0</v>
          </cell>
          <cell r="C3971">
            <v>0</v>
          </cell>
          <cell r="D3971">
            <v>0</v>
          </cell>
          <cell r="E3971">
            <v>0</v>
          </cell>
          <cell r="F3971">
            <v>0</v>
          </cell>
          <cell r="G3971">
            <v>53</v>
          </cell>
          <cell r="H3971">
            <v>43</v>
          </cell>
          <cell r="I3971">
            <v>38</v>
          </cell>
          <cell r="J3971">
            <v>38</v>
          </cell>
          <cell r="K3971">
            <v>38</v>
          </cell>
          <cell r="L3971">
            <v>7</v>
          </cell>
          <cell r="M3971">
            <v>0</v>
          </cell>
          <cell r="N3971">
            <v>0</v>
          </cell>
          <cell r="O3971">
            <v>0</v>
          </cell>
        </row>
        <row r="3972">
          <cell r="A3972" t="str">
            <v>SwedenTotal Headcount</v>
          </cell>
          <cell r="B3972">
            <v>173</v>
          </cell>
          <cell r="C3972">
            <v>173</v>
          </cell>
          <cell r="D3972">
            <v>190</v>
          </cell>
          <cell r="E3972">
            <v>189</v>
          </cell>
          <cell r="F3972">
            <v>189</v>
          </cell>
          <cell r="G3972">
            <v>199</v>
          </cell>
          <cell r="H3972">
            <v>203</v>
          </cell>
          <cell r="I3972">
            <v>205</v>
          </cell>
          <cell r="J3972">
            <v>204</v>
          </cell>
          <cell r="K3972">
            <v>204</v>
          </cell>
          <cell r="L3972">
            <v>185.5</v>
          </cell>
          <cell r="M3972">
            <v>199</v>
          </cell>
          <cell r="N3972">
            <v>199</v>
          </cell>
          <cell r="O3972">
            <v>199</v>
          </cell>
        </row>
        <row r="3973">
          <cell r="A3973" t="str">
            <v>SwedenTotal Workforce</v>
          </cell>
          <cell r="B3973">
            <v>173</v>
          </cell>
          <cell r="C3973">
            <v>176</v>
          </cell>
          <cell r="D3973">
            <v>201</v>
          </cell>
          <cell r="E3973">
            <v>199</v>
          </cell>
          <cell r="F3973">
            <v>199</v>
          </cell>
          <cell r="G3973">
            <v>264</v>
          </cell>
          <cell r="H3973">
            <v>258</v>
          </cell>
          <cell r="I3973">
            <v>253</v>
          </cell>
          <cell r="J3973">
            <v>252</v>
          </cell>
          <cell r="K3973">
            <v>252</v>
          </cell>
          <cell r="L3973">
            <v>216.5</v>
          </cell>
          <cell r="M3973">
            <v>199</v>
          </cell>
          <cell r="N3973">
            <v>199</v>
          </cell>
          <cell r="O3973">
            <v>199</v>
          </cell>
        </row>
        <row r="3974">
          <cell r="A3974" t="str">
            <v>SwedenTotal Earned Revenue</v>
          </cell>
          <cell r="B3974">
            <v>-23368309.989999998</v>
          </cell>
          <cell r="C3974">
            <v>-21382478.41</v>
          </cell>
          <cell r="D3974">
            <v>-21697115.260000002</v>
          </cell>
          <cell r="E3974">
            <v>-21015838.649999999</v>
          </cell>
          <cell r="F3974">
            <v>-87463742.310000002</v>
          </cell>
          <cell r="G3974">
            <v>-21872360.620384999</v>
          </cell>
          <cell r="H3974">
            <v>-22522145.254687998</v>
          </cell>
          <cell r="I3974">
            <v>-22534126.867313001</v>
          </cell>
          <cell r="J3974">
            <v>-22900071.502553001</v>
          </cell>
          <cell r="K3974">
            <v>-89828704.244938999</v>
          </cell>
          <cell r="L3974">
            <v>-20939653.73</v>
          </cell>
          <cell r="M3974">
            <v>-94446583.174235001</v>
          </cell>
          <cell r="N3974">
            <v>-102021276.067635</v>
          </cell>
          <cell r="O3974">
            <v>-110678553.186663</v>
          </cell>
        </row>
        <row r="3975">
          <cell r="A3975" t="str">
            <v>SwedenOrdinary Gains - PreTax</v>
          </cell>
          <cell r="B3975">
            <v>0</v>
          </cell>
          <cell r="C3975">
            <v>0</v>
          </cell>
          <cell r="D3975">
            <v>0</v>
          </cell>
          <cell r="E3975">
            <v>0</v>
          </cell>
          <cell r="F3975">
            <v>0</v>
          </cell>
          <cell r="G3975">
            <v>0</v>
          </cell>
          <cell r="H3975">
            <v>0</v>
          </cell>
          <cell r="I3975">
            <v>0</v>
          </cell>
          <cell r="J3975">
            <v>0</v>
          </cell>
          <cell r="K3975">
            <v>0</v>
          </cell>
          <cell r="L3975">
            <v>0</v>
          </cell>
          <cell r="M3975">
            <v>0</v>
          </cell>
          <cell r="N3975">
            <v>0</v>
          </cell>
          <cell r="O3975">
            <v>0</v>
          </cell>
        </row>
        <row r="3976">
          <cell r="A3976" t="str">
            <v>SwedenOrdinary Gains - AfterTax</v>
          </cell>
          <cell r="B3976">
            <v>0</v>
          </cell>
          <cell r="C3976">
            <v>0</v>
          </cell>
          <cell r="D3976">
            <v>0</v>
          </cell>
          <cell r="E3976">
            <v>0</v>
          </cell>
          <cell r="F3976">
            <v>0</v>
          </cell>
          <cell r="G3976">
            <v>0</v>
          </cell>
          <cell r="H3976">
            <v>0</v>
          </cell>
          <cell r="I3976">
            <v>0</v>
          </cell>
          <cell r="J3976">
            <v>0</v>
          </cell>
          <cell r="K3976">
            <v>0</v>
          </cell>
          <cell r="L3976">
            <v>0</v>
          </cell>
          <cell r="M3976">
            <v>0</v>
          </cell>
          <cell r="N3976">
            <v>0</v>
          </cell>
          <cell r="O3976">
            <v>0</v>
          </cell>
        </row>
        <row r="3977">
          <cell r="A3977" t="str">
            <v>SwedenTotal Volume</v>
          </cell>
          <cell r="B3977">
            <v>72366473</v>
          </cell>
          <cell r="C3977">
            <v>81568128</v>
          </cell>
          <cell r="D3977">
            <v>72832441</v>
          </cell>
          <cell r="E3977">
            <v>96144979.379999995</v>
          </cell>
          <cell r="F3977">
            <v>322912021.38</v>
          </cell>
          <cell r="G3977">
            <v>79316019.588497996</v>
          </cell>
          <cell r="H3977">
            <v>96968663.024737</v>
          </cell>
          <cell r="I3977">
            <v>83203851.121289998</v>
          </cell>
          <cell r="J3977">
            <v>107849362.47259501</v>
          </cell>
          <cell r="K3977">
            <v>367337896.20712</v>
          </cell>
          <cell r="L3977">
            <v>85609335.450000003</v>
          </cell>
          <cell r="M3977">
            <v>374751087.827088</v>
          </cell>
          <cell r="N3977">
            <v>420617463.00433999</v>
          </cell>
          <cell r="O3977">
            <v>475109528.808231</v>
          </cell>
        </row>
        <row r="3978">
          <cell r="A3978" t="str">
            <v>SwedenTOTAL # ACTIVE ACCOUNTS</v>
          </cell>
          <cell r="B3978">
            <v>352564</v>
          </cell>
          <cell r="C3978">
            <v>354203</v>
          </cell>
          <cell r="D3978">
            <v>370797.93</v>
          </cell>
          <cell r="E3978">
            <v>383444.96</v>
          </cell>
          <cell r="F3978">
            <v>383444.96</v>
          </cell>
          <cell r="G3978">
            <v>376284.21681800002</v>
          </cell>
          <cell r="H3978">
            <v>378970.89597000001</v>
          </cell>
          <cell r="I3978">
            <v>384223.51018799999</v>
          </cell>
          <cell r="J3978">
            <v>399713.23052099999</v>
          </cell>
          <cell r="K3978">
            <v>399713.23052099999</v>
          </cell>
          <cell r="L3978">
            <v>0</v>
          </cell>
          <cell r="M3978">
            <v>409974.55800199998</v>
          </cell>
          <cell r="N3978">
            <v>447495.544001</v>
          </cell>
          <cell r="O3978">
            <v>496339.23921700002</v>
          </cell>
        </row>
        <row r="3979">
          <cell r="A3979" t="str">
            <v>Sweden AutoTOTAL FINANCING RECEIVABLES</v>
          </cell>
          <cell r="B3979">
            <v>359360712</v>
          </cell>
          <cell r="C3979">
            <v>371637817</v>
          </cell>
          <cell r="D3979">
            <v>367328784</v>
          </cell>
          <cell r="E3979">
            <v>368608555</v>
          </cell>
          <cell r="F3979">
            <v>368608555</v>
          </cell>
          <cell r="G3979">
            <v>362690000</v>
          </cell>
          <cell r="H3979">
            <v>373440000</v>
          </cell>
          <cell r="I3979">
            <v>381580000</v>
          </cell>
          <cell r="J3979">
            <v>376550000</v>
          </cell>
          <cell r="K3979">
            <v>376550000</v>
          </cell>
          <cell r="L3979">
            <v>359360712.43000001</v>
          </cell>
          <cell r="M3979">
            <v>416060000</v>
          </cell>
          <cell r="N3979">
            <v>436870000</v>
          </cell>
          <cell r="O3979">
            <v>458710000</v>
          </cell>
        </row>
        <row r="3980">
          <cell r="A3980" t="str">
            <v>Sweden AutoRECEIVABLE RESERVES</v>
          </cell>
          <cell r="B3980">
            <v>-3393358</v>
          </cell>
          <cell r="C3980">
            <v>-3372031</v>
          </cell>
          <cell r="D3980">
            <v>-3264915</v>
          </cell>
          <cell r="E3980">
            <v>-3034154</v>
          </cell>
          <cell r="F3980">
            <v>-3034154</v>
          </cell>
          <cell r="G3980">
            <v>-2910000</v>
          </cell>
          <cell r="H3980">
            <v>-2870000</v>
          </cell>
          <cell r="I3980">
            <v>-2890000</v>
          </cell>
          <cell r="J3980">
            <v>-2850000</v>
          </cell>
          <cell r="K3980">
            <v>-2850000</v>
          </cell>
          <cell r="L3980">
            <v>-3393359.48</v>
          </cell>
          <cell r="M3980">
            <v>-3090000</v>
          </cell>
          <cell r="N3980">
            <v>-3220000</v>
          </cell>
          <cell r="O3980">
            <v>-3440000</v>
          </cell>
        </row>
        <row r="3981">
          <cell r="A3981" t="str">
            <v>Sweden AutoCASH</v>
          </cell>
          <cell r="B3981">
            <v>0</v>
          </cell>
          <cell r="C3981">
            <v>0</v>
          </cell>
          <cell r="D3981">
            <v>0</v>
          </cell>
          <cell r="E3981">
            <v>0</v>
          </cell>
          <cell r="F3981">
            <v>0</v>
          </cell>
          <cell r="G3981">
            <v>0</v>
          </cell>
          <cell r="H3981">
            <v>0</v>
          </cell>
          <cell r="I3981">
            <v>0</v>
          </cell>
          <cell r="J3981">
            <v>0</v>
          </cell>
          <cell r="K3981">
            <v>0</v>
          </cell>
          <cell r="L3981">
            <v>0</v>
          </cell>
          <cell r="M3981">
            <v>0</v>
          </cell>
          <cell r="N3981">
            <v>0</v>
          </cell>
          <cell r="O3981">
            <v>0</v>
          </cell>
        </row>
        <row r="3982">
          <cell r="A3982" t="str">
            <v>Sweden AutoINVESTMENT SECURITIES</v>
          </cell>
          <cell r="B3982">
            <v>0</v>
          </cell>
          <cell r="C3982">
            <v>0</v>
          </cell>
          <cell r="D3982">
            <v>0</v>
          </cell>
          <cell r="E3982">
            <v>0</v>
          </cell>
          <cell r="F3982">
            <v>0</v>
          </cell>
          <cell r="G3982">
            <v>0</v>
          </cell>
          <cell r="H3982">
            <v>0</v>
          </cell>
          <cell r="I3982">
            <v>0</v>
          </cell>
          <cell r="J3982">
            <v>0</v>
          </cell>
          <cell r="K3982">
            <v>0</v>
          </cell>
          <cell r="L3982">
            <v>0</v>
          </cell>
          <cell r="M3982">
            <v>0</v>
          </cell>
          <cell r="N3982">
            <v>0</v>
          </cell>
          <cell r="O3982">
            <v>0</v>
          </cell>
        </row>
        <row r="3983">
          <cell r="A3983" t="str">
            <v>Sweden AutoINV IN NON CONSOL AFFILIATES</v>
          </cell>
          <cell r="B3983">
            <v>0</v>
          </cell>
          <cell r="C3983">
            <v>0</v>
          </cell>
          <cell r="D3983">
            <v>0</v>
          </cell>
          <cell r="E3983">
            <v>0</v>
          </cell>
          <cell r="F3983">
            <v>0</v>
          </cell>
          <cell r="G3983">
            <v>0</v>
          </cell>
          <cell r="H3983">
            <v>0</v>
          </cell>
          <cell r="I3983">
            <v>0</v>
          </cell>
          <cell r="J3983">
            <v>0</v>
          </cell>
          <cell r="K3983">
            <v>0</v>
          </cell>
          <cell r="L3983">
            <v>0</v>
          </cell>
          <cell r="M3983">
            <v>0</v>
          </cell>
          <cell r="N3983">
            <v>0</v>
          </cell>
          <cell r="O3983">
            <v>0</v>
          </cell>
        </row>
        <row r="3984">
          <cell r="A3984" t="str">
            <v>Sweden AutoINVESTMENT IN JOINT VENTURE</v>
          </cell>
          <cell r="B3984">
            <v>0</v>
          </cell>
          <cell r="C3984">
            <v>0</v>
          </cell>
          <cell r="D3984">
            <v>0</v>
          </cell>
          <cell r="E3984">
            <v>0</v>
          </cell>
          <cell r="F3984">
            <v>0</v>
          </cell>
          <cell r="G3984">
            <v>0</v>
          </cell>
          <cell r="H3984">
            <v>0</v>
          </cell>
          <cell r="I3984">
            <v>0</v>
          </cell>
          <cell r="J3984">
            <v>0</v>
          </cell>
          <cell r="K3984">
            <v>0</v>
          </cell>
          <cell r="L3984">
            <v>0</v>
          </cell>
          <cell r="M3984">
            <v>0</v>
          </cell>
          <cell r="N3984">
            <v>0</v>
          </cell>
          <cell r="O3984">
            <v>0</v>
          </cell>
        </row>
        <row r="3985">
          <cell r="A3985" t="str">
            <v>Sweden AutoALL OTHER RECEIVABLES (NON-FINANCING)</v>
          </cell>
          <cell r="B3985">
            <v>0</v>
          </cell>
          <cell r="C3985">
            <v>0</v>
          </cell>
          <cell r="D3985">
            <v>0</v>
          </cell>
          <cell r="E3985">
            <v>0</v>
          </cell>
          <cell r="F3985">
            <v>0</v>
          </cell>
          <cell r="G3985">
            <v>0</v>
          </cell>
          <cell r="H3985">
            <v>0</v>
          </cell>
          <cell r="I3985">
            <v>0</v>
          </cell>
          <cell r="J3985">
            <v>0</v>
          </cell>
          <cell r="K3985">
            <v>0</v>
          </cell>
          <cell r="L3985">
            <v>0</v>
          </cell>
          <cell r="M3985">
            <v>0</v>
          </cell>
          <cell r="N3985">
            <v>0</v>
          </cell>
          <cell r="O3985">
            <v>0</v>
          </cell>
        </row>
        <row r="3986">
          <cell r="A3986" t="str">
            <v>Sweden AutoELTO (NET)</v>
          </cell>
          <cell r="B3986">
            <v>0</v>
          </cell>
          <cell r="C3986">
            <v>0</v>
          </cell>
          <cell r="D3986">
            <v>0</v>
          </cell>
          <cell r="E3986">
            <v>0</v>
          </cell>
          <cell r="F3986">
            <v>0</v>
          </cell>
          <cell r="G3986">
            <v>0</v>
          </cell>
          <cell r="H3986">
            <v>0</v>
          </cell>
          <cell r="I3986">
            <v>0</v>
          </cell>
          <cell r="J3986">
            <v>0</v>
          </cell>
          <cell r="K3986">
            <v>0</v>
          </cell>
          <cell r="L3986">
            <v>0</v>
          </cell>
          <cell r="M3986">
            <v>0</v>
          </cell>
          <cell r="N3986">
            <v>0</v>
          </cell>
          <cell r="O3986">
            <v>0</v>
          </cell>
        </row>
        <row r="3987">
          <cell r="A3987" t="str">
            <v>Sweden AutoGOODWILL</v>
          </cell>
          <cell r="B3987">
            <v>0</v>
          </cell>
          <cell r="C3987">
            <v>0</v>
          </cell>
          <cell r="D3987">
            <v>0</v>
          </cell>
          <cell r="E3987">
            <v>0</v>
          </cell>
          <cell r="F3987">
            <v>0</v>
          </cell>
          <cell r="G3987">
            <v>0</v>
          </cell>
          <cell r="H3987">
            <v>0</v>
          </cell>
          <cell r="I3987">
            <v>0</v>
          </cell>
          <cell r="J3987">
            <v>0</v>
          </cell>
          <cell r="K3987">
            <v>0</v>
          </cell>
          <cell r="L3987">
            <v>0</v>
          </cell>
          <cell r="M3987">
            <v>0</v>
          </cell>
          <cell r="N3987">
            <v>0</v>
          </cell>
          <cell r="O3987">
            <v>0</v>
          </cell>
        </row>
        <row r="3988">
          <cell r="A3988" t="str">
            <v>Sweden AutoOTHER ASSETS</v>
          </cell>
          <cell r="B3988">
            <v>0</v>
          </cell>
          <cell r="C3988">
            <v>0</v>
          </cell>
          <cell r="D3988">
            <v>0</v>
          </cell>
          <cell r="E3988">
            <v>0</v>
          </cell>
          <cell r="F3988">
            <v>0</v>
          </cell>
          <cell r="G3988">
            <v>0</v>
          </cell>
          <cell r="H3988">
            <v>0</v>
          </cell>
          <cell r="I3988">
            <v>0</v>
          </cell>
          <cell r="J3988">
            <v>0</v>
          </cell>
          <cell r="K3988">
            <v>0</v>
          </cell>
          <cell r="L3988">
            <v>0</v>
          </cell>
          <cell r="M3988">
            <v>0</v>
          </cell>
          <cell r="N3988">
            <v>0</v>
          </cell>
          <cell r="O3988">
            <v>0</v>
          </cell>
        </row>
        <row r="3989">
          <cell r="A3989" t="str">
            <v>Sweden AutoACCOUNTS PAYABLE</v>
          </cell>
          <cell r="B3989">
            <v>447098.25</v>
          </cell>
          <cell r="C3989">
            <v>0</v>
          </cell>
          <cell r="D3989">
            <v>0</v>
          </cell>
          <cell r="E3989">
            <v>597985.28000000003</v>
          </cell>
          <cell r="F3989">
            <v>597985.28000000003</v>
          </cell>
          <cell r="G3989">
            <v>0</v>
          </cell>
          <cell r="H3989">
            <v>0</v>
          </cell>
          <cell r="I3989">
            <v>0</v>
          </cell>
          <cell r="J3989">
            <v>0</v>
          </cell>
          <cell r="K3989">
            <v>0</v>
          </cell>
          <cell r="L3989">
            <v>633538.28</v>
          </cell>
          <cell r="M3989">
            <v>0</v>
          </cell>
          <cell r="N3989">
            <v>0</v>
          </cell>
          <cell r="O3989">
            <v>0</v>
          </cell>
        </row>
        <row r="3990">
          <cell r="A3990" t="str">
            <v>Sweden AutoDEFERRED INCOME TAXES</v>
          </cell>
          <cell r="B3990">
            <v>0</v>
          </cell>
          <cell r="C3990">
            <v>0</v>
          </cell>
          <cell r="D3990">
            <v>0</v>
          </cell>
          <cell r="E3990">
            <v>0</v>
          </cell>
          <cell r="F3990">
            <v>0</v>
          </cell>
          <cell r="G3990">
            <v>0</v>
          </cell>
          <cell r="H3990">
            <v>0</v>
          </cell>
          <cell r="I3990">
            <v>0</v>
          </cell>
          <cell r="J3990">
            <v>0</v>
          </cell>
          <cell r="K3990">
            <v>0</v>
          </cell>
          <cell r="L3990">
            <v>0</v>
          </cell>
          <cell r="M3990">
            <v>0</v>
          </cell>
          <cell r="N3990">
            <v>0</v>
          </cell>
          <cell r="O3990">
            <v>0</v>
          </cell>
        </row>
        <row r="3991">
          <cell r="A3991" t="str">
            <v>Sweden AutoWRITE-OFF (MEMO)</v>
          </cell>
          <cell r="B3991">
            <v>0</v>
          </cell>
          <cell r="C3991">
            <v>0</v>
          </cell>
          <cell r="D3991">
            <v>0</v>
          </cell>
          <cell r="E3991">
            <v>0</v>
          </cell>
          <cell r="F3991">
            <v>0</v>
          </cell>
          <cell r="G3991">
            <v>0</v>
          </cell>
          <cell r="H3991">
            <v>0</v>
          </cell>
          <cell r="I3991">
            <v>0</v>
          </cell>
          <cell r="J3991">
            <v>0</v>
          </cell>
          <cell r="K3991">
            <v>0</v>
          </cell>
          <cell r="L3991">
            <v>0</v>
          </cell>
          <cell r="M3991">
            <v>0</v>
          </cell>
          <cell r="N3991">
            <v>0</v>
          </cell>
          <cell r="O3991">
            <v>0</v>
          </cell>
        </row>
        <row r="3992">
          <cell r="A3992" t="str">
            <v>Sweden AutoINSURANCE RESERVES AND ANNUITY BENEFITS</v>
          </cell>
          <cell r="B3992">
            <v>0</v>
          </cell>
          <cell r="C3992">
            <v>0</v>
          </cell>
          <cell r="D3992">
            <v>0</v>
          </cell>
          <cell r="E3992">
            <v>0</v>
          </cell>
          <cell r="F3992">
            <v>0</v>
          </cell>
          <cell r="G3992">
            <v>0</v>
          </cell>
          <cell r="H3992">
            <v>0</v>
          </cell>
          <cell r="I3992">
            <v>0</v>
          </cell>
          <cell r="J3992">
            <v>0</v>
          </cell>
          <cell r="K3992">
            <v>0</v>
          </cell>
          <cell r="L3992">
            <v>0</v>
          </cell>
          <cell r="M3992">
            <v>0</v>
          </cell>
          <cell r="N3992">
            <v>0</v>
          </cell>
          <cell r="O3992">
            <v>0</v>
          </cell>
        </row>
        <row r="3993">
          <cell r="A3993" t="str">
            <v>Sweden AutoALL OTHER NON DEBT LIABILITIES</v>
          </cell>
          <cell r="B3993">
            <v>-82601.05</v>
          </cell>
          <cell r="C3993">
            <v>0</v>
          </cell>
          <cell r="D3993">
            <v>0</v>
          </cell>
          <cell r="E3993">
            <v>-60524.99</v>
          </cell>
          <cell r="F3993">
            <v>-60524.99</v>
          </cell>
          <cell r="G3993">
            <v>0</v>
          </cell>
          <cell r="H3993">
            <v>0</v>
          </cell>
          <cell r="I3993">
            <v>0</v>
          </cell>
          <cell r="J3993">
            <v>0</v>
          </cell>
          <cell r="K3993">
            <v>0</v>
          </cell>
          <cell r="L3993">
            <v>-60524.99</v>
          </cell>
          <cell r="M3993">
            <v>0</v>
          </cell>
          <cell r="N3993">
            <v>0</v>
          </cell>
          <cell r="O3993">
            <v>0</v>
          </cell>
        </row>
        <row r="3994">
          <cell r="A3994" t="str">
            <v>Sweden AutoMINORITY INTEREST (BS)</v>
          </cell>
          <cell r="B3994">
            <v>0</v>
          </cell>
          <cell r="C3994">
            <v>0</v>
          </cell>
          <cell r="D3994">
            <v>0</v>
          </cell>
          <cell r="E3994">
            <v>0</v>
          </cell>
          <cell r="F3994">
            <v>0</v>
          </cell>
          <cell r="G3994">
            <v>0</v>
          </cell>
          <cell r="H3994">
            <v>0</v>
          </cell>
          <cell r="I3994">
            <v>0</v>
          </cell>
          <cell r="J3994">
            <v>0</v>
          </cell>
          <cell r="K3994">
            <v>0</v>
          </cell>
          <cell r="L3994">
            <v>0</v>
          </cell>
          <cell r="M3994">
            <v>0</v>
          </cell>
          <cell r="N3994">
            <v>0</v>
          </cell>
          <cell r="O3994">
            <v>0</v>
          </cell>
        </row>
        <row r="3995">
          <cell r="A3995" t="str">
            <v>Sweden AutoASIA PACIFIC ENI DIVIDEND</v>
          </cell>
          <cell r="B3995">
            <v>0</v>
          </cell>
          <cell r="C3995">
            <v>0</v>
          </cell>
          <cell r="D3995">
            <v>0</v>
          </cell>
          <cell r="E3995">
            <v>0</v>
          </cell>
          <cell r="F3995">
            <v>0</v>
          </cell>
          <cell r="G3995">
            <v>0</v>
          </cell>
          <cell r="H3995">
            <v>0</v>
          </cell>
          <cell r="I3995">
            <v>0</v>
          </cell>
          <cell r="J3995">
            <v>0</v>
          </cell>
          <cell r="K3995">
            <v>0</v>
          </cell>
          <cell r="L3995">
            <v>0</v>
          </cell>
          <cell r="M3995">
            <v>0</v>
          </cell>
          <cell r="N3995">
            <v>0</v>
          </cell>
          <cell r="O3995">
            <v>0</v>
          </cell>
        </row>
        <row r="3996">
          <cell r="A3996" t="str">
            <v>Sweden AutoFINANCING INCOME</v>
          </cell>
          <cell r="B3996">
            <v>-7328584</v>
          </cell>
          <cell r="C3996">
            <v>-7176673</v>
          </cell>
          <cell r="D3996">
            <v>-7625406</v>
          </cell>
          <cell r="E3996">
            <v>-7677853</v>
          </cell>
          <cell r="F3996">
            <v>-29808516</v>
          </cell>
          <cell r="G3996">
            <v>-6980000</v>
          </cell>
          <cell r="H3996">
            <v>-7070000</v>
          </cell>
          <cell r="I3996">
            <v>-7210000</v>
          </cell>
          <cell r="J3996">
            <v>-7160000</v>
          </cell>
          <cell r="K3996">
            <v>-28420000</v>
          </cell>
          <cell r="L3996">
            <v>-7135486.7000000002</v>
          </cell>
          <cell r="M3996">
            <v>-31050000</v>
          </cell>
          <cell r="N3996">
            <v>-32540000</v>
          </cell>
          <cell r="O3996">
            <v>-34170000</v>
          </cell>
        </row>
        <row r="3997">
          <cell r="A3997" t="str">
            <v>Sweden AutoINSURANCE PREMIUM INCOME</v>
          </cell>
          <cell r="B3997">
            <v>0</v>
          </cell>
          <cell r="C3997">
            <v>0</v>
          </cell>
          <cell r="D3997">
            <v>0</v>
          </cell>
          <cell r="E3997">
            <v>0</v>
          </cell>
          <cell r="F3997">
            <v>0</v>
          </cell>
          <cell r="G3997">
            <v>0</v>
          </cell>
          <cell r="H3997">
            <v>0</v>
          </cell>
          <cell r="I3997">
            <v>0</v>
          </cell>
          <cell r="J3997">
            <v>0</v>
          </cell>
          <cell r="K3997">
            <v>0</v>
          </cell>
          <cell r="L3997">
            <v>0</v>
          </cell>
          <cell r="M3997">
            <v>0</v>
          </cell>
          <cell r="N3997">
            <v>0</v>
          </cell>
          <cell r="O3997">
            <v>0</v>
          </cell>
        </row>
        <row r="3998">
          <cell r="A3998" t="str">
            <v>Sweden AutoINSURANCE INCOME (COMMISSIONS)</v>
          </cell>
          <cell r="B3998">
            <v>0</v>
          </cell>
          <cell r="C3998">
            <v>0</v>
          </cell>
          <cell r="D3998">
            <v>0</v>
          </cell>
          <cell r="E3998">
            <v>0</v>
          </cell>
          <cell r="F3998">
            <v>0</v>
          </cell>
          <cell r="G3998">
            <v>0</v>
          </cell>
          <cell r="H3998">
            <v>0</v>
          </cell>
          <cell r="I3998">
            <v>0</v>
          </cell>
          <cell r="J3998">
            <v>0</v>
          </cell>
          <cell r="K3998">
            <v>0</v>
          </cell>
          <cell r="L3998">
            <v>0</v>
          </cell>
          <cell r="M3998">
            <v>0</v>
          </cell>
          <cell r="N3998">
            <v>0</v>
          </cell>
          <cell r="O3998">
            <v>0</v>
          </cell>
        </row>
        <row r="3999">
          <cell r="A3999" t="str">
            <v>Sweden AutoSUNDRY INCOME</v>
          </cell>
          <cell r="B3999">
            <v>0</v>
          </cell>
          <cell r="C3999">
            <v>0</v>
          </cell>
          <cell r="D3999">
            <v>0</v>
          </cell>
          <cell r="E3999">
            <v>0</v>
          </cell>
          <cell r="F3999">
            <v>0</v>
          </cell>
          <cell r="G3999">
            <v>0</v>
          </cell>
          <cell r="H3999">
            <v>0</v>
          </cell>
          <cell r="I3999">
            <v>0</v>
          </cell>
          <cell r="J3999">
            <v>0</v>
          </cell>
          <cell r="K3999">
            <v>0</v>
          </cell>
          <cell r="L3999">
            <v>0</v>
          </cell>
          <cell r="M3999">
            <v>-380000</v>
          </cell>
          <cell r="N3999">
            <v>-390000</v>
          </cell>
          <cell r="O3999">
            <v>-410000</v>
          </cell>
        </row>
        <row r="4000">
          <cell r="A4000" t="str">
            <v>Sweden AutoINTEREST EXPENSE</v>
          </cell>
          <cell r="B4000">
            <v>0</v>
          </cell>
          <cell r="C4000">
            <v>0</v>
          </cell>
          <cell r="D4000">
            <v>0</v>
          </cell>
          <cell r="E4000">
            <v>0</v>
          </cell>
          <cell r="F4000">
            <v>0</v>
          </cell>
          <cell r="G4000">
            <v>0</v>
          </cell>
          <cell r="H4000">
            <v>0</v>
          </cell>
          <cell r="I4000">
            <v>0</v>
          </cell>
          <cell r="J4000">
            <v>0</v>
          </cell>
          <cell r="K4000">
            <v>0</v>
          </cell>
          <cell r="L4000">
            <v>0</v>
          </cell>
          <cell r="M4000">
            <v>15480000</v>
          </cell>
          <cell r="N4000">
            <v>16160000</v>
          </cell>
          <cell r="O4000">
            <v>16960000</v>
          </cell>
        </row>
        <row r="4001">
          <cell r="A4001" t="str">
            <v>Sweden AutoINTEREST EXPENSE REDUCTIONS / BUS SHARING</v>
          </cell>
          <cell r="B4001">
            <v>3535661</v>
          </cell>
          <cell r="C4001">
            <v>3246036</v>
          </cell>
          <cell r="D4001">
            <v>3797523</v>
          </cell>
          <cell r="E4001">
            <v>3586896</v>
          </cell>
          <cell r="F4001">
            <v>14166116</v>
          </cell>
          <cell r="G4001">
            <v>3160000</v>
          </cell>
          <cell r="H4001">
            <v>3290000</v>
          </cell>
          <cell r="I4001">
            <v>3400000</v>
          </cell>
          <cell r="J4001">
            <v>3550000</v>
          </cell>
          <cell r="K4001">
            <v>13400000</v>
          </cell>
          <cell r="L4001">
            <v>3261777.06</v>
          </cell>
          <cell r="M4001">
            <v>0</v>
          </cell>
          <cell r="N4001">
            <v>0</v>
          </cell>
          <cell r="O4001">
            <v>0</v>
          </cell>
        </row>
        <row r="4002">
          <cell r="A4002" t="str">
            <v>Sweden AutoALLOCATED COST OF PREFERRED EQUITY</v>
          </cell>
          <cell r="B4002">
            <v>0</v>
          </cell>
          <cell r="C4002">
            <v>0</v>
          </cell>
          <cell r="D4002">
            <v>0</v>
          </cell>
          <cell r="E4002">
            <v>0</v>
          </cell>
          <cell r="F4002">
            <v>0</v>
          </cell>
          <cell r="G4002">
            <v>0</v>
          </cell>
          <cell r="H4002">
            <v>0</v>
          </cell>
          <cell r="I4002">
            <v>0</v>
          </cell>
          <cell r="J4002">
            <v>0</v>
          </cell>
          <cell r="K4002">
            <v>0</v>
          </cell>
          <cell r="L4002">
            <v>0</v>
          </cell>
          <cell r="M4002">
            <v>0</v>
          </cell>
          <cell r="N4002">
            <v>0</v>
          </cell>
          <cell r="O4002">
            <v>0</v>
          </cell>
        </row>
        <row r="4003">
          <cell r="A4003" t="str">
            <v>Sweden AutoSALARIES &amp; BENEFITS</v>
          </cell>
          <cell r="B4003">
            <v>0</v>
          </cell>
          <cell r="C4003">
            <v>0</v>
          </cell>
          <cell r="D4003">
            <v>0</v>
          </cell>
          <cell r="E4003">
            <v>0</v>
          </cell>
          <cell r="F4003">
            <v>0</v>
          </cell>
          <cell r="G4003">
            <v>0</v>
          </cell>
          <cell r="H4003">
            <v>0</v>
          </cell>
          <cell r="I4003">
            <v>0</v>
          </cell>
          <cell r="J4003">
            <v>0</v>
          </cell>
          <cell r="K4003">
            <v>0</v>
          </cell>
          <cell r="L4003">
            <v>0</v>
          </cell>
          <cell r="M4003">
            <v>0</v>
          </cell>
          <cell r="N4003">
            <v>0</v>
          </cell>
          <cell r="O4003">
            <v>0</v>
          </cell>
        </row>
        <row r="4004">
          <cell r="A4004" t="str">
            <v>Sweden AutoLOSSES ON OTHER ASSETS</v>
          </cell>
          <cell r="B4004">
            <v>0</v>
          </cell>
          <cell r="C4004">
            <v>0</v>
          </cell>
          <cell r="D4004">
            <v>0</v>
          </cell>
          <cell r="E4004">
            <v>0</v>
          </cell>
          <cell r="F4004">
            <v>0</v>
          </cell>
          <cell r="G4004">
            <v>0</v>
          </cell>
          <cell r="H4004">
            <v>0</v>
          </cell>
          <cell r="I4004">
            <v>0</v>
          </cell>
          <cell r="J4004">
            <v>0</v>
          </cell>
          <cell r="K4004">
            <v>0</v>
          </cell>
          <cell r="L4004">
            <v>0</v>
          </cell>
          <cell r="M4004">
            <v>0</v>
          </cell>
          <cell r="N4004">
            <v>0</v>
          </cell>
          <cell r="O4004">
            <v>0</v>
          </cell>
        </row>
        <row r="4005">
          <cell r="A4005" t="str">
            <v>Sweden AutoCOST OF GOODS SOLD</v>
          </cell>
          <cell r="B4005">
            <v>0</v>
          </cell>
          <cell r="C4005">
            <v>0</v>
          </cell>
          <cell r="D4005">
            <v>0</v>
          </cell>
          <cell r="E4005">
            <v>0</v>
          </cell>
          <cell r="F4005">
            <v>0</v>
          </cell>
          <cell r="G4005">
            <v>0</v>
          </cell>
          <cell r="H4005">
            <v>0</v>
          </cell>
          <cell r="I4005">
            <v>0</v>
          </cell>
          <cell r="J4005">
            <v>0</v>
          </cell>
          <cell r="K4005">
            <v>0</v>
          </cell>
          <cell r="L4005">
            <v>0</v>
          </cell>
          <cell r="M4005">
            <v>0</v>
          </cell>
          <cell r="N4005">
            <v>0</v>
          </cell>
          <cell r="O4005">
            <v>0</v>
          </cell>
        </row>
        <row r="4006">
          <cell r="A4006" t="str">
            <v>Sweden AutoCOST OF GOODS SOLD - DISTRIBUTION</v>
          </cell>
          <cell r="B4006">
            <v>0</v>
          </cell>
          <cell r="C4006">
            <v>0</v>
          </cell>
          <cell r="D4006">
            <v>0</v>
          </cell>
          <cell r="E4006">
            <v>0</v>
          </cell>
          <cell r="F4006">
            <v>0</v>
          </cell>
          <cell r="G4006">
            <v>0</v>
          </cell>
          <cell r="H4006">
            <v>0</v>
          </cell>
          <cell r="I4006">
            <v>0</v>
          </cell>
          <cell r="J4006">
            <v>0</v>
          </cell>
          <cell r="K4006">
            <v>0</v>
          </cell>
          <cell r="L4006">
            <v>0</v>
          </cell>
          <cell r="M4006">
            <v>0</v>
          </cell>
          <cell r="N4006">
            <v>0</v>
          </cell>
          <cell r="O4006">
            <v>0</v>
          </cell>
        </row>
        <row r="4007">
          <cell r="A4007" t="str">
            <v>Sweden AutoPOSTAGE</v>
          </cell>
          <cell r="B4007">
            <v>0</v>
          </cell>
          <cell r="C4007">
            <v>0</v>
          </cell>
          <cell r="D4007">
            <v>0</v>
          </cell>
          <cell r="E4007">
            <v>0</v>
          </cell>
          <cell r="F4007">
            <v>0</v>
          </cell>
          <cell r="G4007">
            <v>0</v>
          </cell>
          <cell r="H4007">
            <v>0</v>
          </cell>
          <cell r="I4007">
            <v>0</v>
          </cell>
          <cell r="J4007">
            <v>0</v>
          </cell>
          <cell r="K4007">
            <v>0</v>
          </cell>
          <cell r="L4007">
            <v>0</v>
          </cell>
          <cell r="M4007">
            <v>0</v>
          </cell>
          <cell r="N4007">
            <v>0</v>
          </cell>
          <cell r="O4007">
            <v>0</v>
          </cell>
        </row>
        <row r="4008">
          <cell r="A4008" t="str">
            <v>Sweden AutoTELEPHONE</v>
          </cell>
          <cell r="B4008">
            <v>0</v>
          </cell>
          <cell r="C4008">
            <v>0</v>
          </cell>
          <cell r="D4008">
            <v>0</v>
          </cell>
          <cell r="E4008">
            <v>0</v>
          </cell>
          <cell r="F4008">
            <v>0</v>
          </cell>
          <cell r="G4008">
            <v>0</v>
          </cell>
          <cell r="H4008">
            <v>0</v>
          </cell>
          <cell r="I4008">
            <v>0</v>
          </cell>
          <cell r="J4008">
            <v>0</v>
          </cell>
          <cell r="K4008">
            <v>0</v>
          </cell>
          <cell r="L4008">
            <v>0</v>
          </cell>
          <cell r="M4008">
            <v>0</v>
          </cell>
          <cell r="N4008">
            <v>0</v>
          </cell>
          <cell r="O4008">
            <v>0</v>
          </cell>
        </row>
        <row r="4009">
          <cell r="A4009" t="str">
            <v>Sweden AutoCUSTOMER SERVICE / COLLECTIONS</v>
          </cell>
          <cell r="B4009">
            <v>0</v>
          </cell>
          <cell r="C4009">
            <v>0</v>
          </cell>
          <cell r="D4009">
            <v>0</v>
          </cell>
          <cell r="E4009">
            <v>0</v>
          </cell>
          <cell r="F4009">
            <v>0</v>
          </cell>
          <cell r="G4009">
            <v>0</v>
          </cell>
          <cell r="H4009">
            <v>0</v>
          </cell>
          <cell r="I4009">
            <v>0</v>
          </cell>
          <cell r="J4009">
            <v>0</v>
          </cell>
          <cell r="K4009">
            <v>0</v>
          </cell>
          <cell r="L4009">
            <v>0</v>
          </cell>
          <cell r="M4009">
            <v>0</v>
          </cell>
          <cell r="N4009">
            <v>0</v>
          </cell>
          <cell r="O4009">
            <v>0</v>
          </cell>
        </row>
        <row r="4010">
          <cell r="A4010" t="str">
            <v>Sweden AutoSTATIONARY - OFFICE SUPPLIES</v>
          </cell>
          <cell r="B4010">
            <v>0</v>
          </cell>
          <cell r="C4010">
            <v>0</v>
          </cell>
          <cell r="D4010">
            <v>0</v>
          </cell>
          <cell r="E4010">
            <v>0</v>
          </cell>
          <cell r="F4010">
            <v>0</v>
          </cell>
          <cell r="G4010">
            <v>0</v>
          </cell>
          <cell r="H4010">
            <v>0</v>
          </cell>
          <cell r="I4010">
            <v>0</v>
          </cell>
          <cell r="J4010">
            <v>0</v>
          </cell>
          <cell r="K4010">
            <v>0</v>
          </cell>
          <cell r="L4010">
            <v>0</v>
          </cell>
          <cell r="M4010">
            <v>0</v>
          </cell>
          <cell r="N4010">
            <v>0</v>
          </cell>
          <cell r="O4010">
            <v>0</v>
          </cell>
        </row>
        <row r="4011">
          <cell r="A4011" t="str">
            <v>Sweden AutoT&amp;L</v>
          </cell>
          <cell r="B4011">
            <v>0</v>
          </cell>
          <cell r="C4011">
            <v>0</v>
          </cell>
          <cell r="D4011">
            <v>0</v>
          </cell>
          <cell r="E4011">
            <v>0</v>
          </cell>
          <cell r="F4011">
            <v>0</v>
          </cell>
          <cell r="G4011">
            <v>0</v>
          </cell>
          <cell r="H4011">
            <v>0</v>
          </cell>
          <cell r="I4011">
            <v>0</v>
          </cell>
          <cell r="J4011">
            <v>0</v>
          </cell>
          <cell r="K4011">
            <v>0</v>
          </cell>
          <cell r="L4011">
            <v>0</v>
          </cell>
          <cell r="M4011">
            <v>0</v>
          </cell>
          <cell r="N4011">
            <v>0</v>
          </cell>
          <cell r="O4011">
            <v>0</v>
          </cell>
        </row>
        <row r="4012">
          <cell r="A4012" t="str">
            <v>Sweden AutoRENTAL - BLDG/FACILITIES</v>
          </cell>
          <cell r="B4012">
            <v>0</v>
          </cell>
          <cell r="C4012">
            <v>0</v>
          </cell>
          <cell r="D4012">
            <v>0</v>
          </cell>
          <cell r="E4012">
            <v>0</v>
          </cell>
          <cell r="F4012">
            <v>0</v>
          </cell>
          <cell r="G4012">
            <v>0</v>
          </cell>
          <cell r="H4012">
            <v>0</v>
          </cell>
          <cell r="I4012">
            <v>0</v>
          </cell>
          <cell r="J4012">
            <v>0</v>
          </cell>
          <cell r="K4012">
            <v>0</v>
          </cell>
          <cell r="L4012">
            <v>0</v>
          </cell>
          <cell r="M4012">
            <v>0</v>
          </cell>
          <cell r="N4012">
            <v>0</v>
          </cell>
          <cell r="O4012">
            <v>0</v>
          </cell>
        </row>
        <row r="4013">
          <cell r="A4013" t="str">
            <v>Sweden AutoRENTAL - FURNITURE/EQUIP</v>
          </cell>
          <cell r="B4013">
            <v>0</v>
          </cell>
          <cell r="C4013">
            <v>0</v>
          </cell>
          <cell r="D4013">
            <v>0</v>
          </cell>
          <cell r="E4013">
            <v>0</v>
          </cell>
          <cell r="F4013">
            <v>0</v>
          </cell>
          <cell r="G4013">
            <v>0</v>
          </cell>
          <cell r="H4013">
            <v>0</v>
          </cell>
          <cell r="I4013">
            <v>0</v>
          </cell>
          <cell r="J4013">
            <v>0</v>
          </cell>
          <cell r="K4013">
            <v>0</v>
          </cell>
          <cell r="L4013">
            <v>0</v>
          </cell>
          <cell r="M4013">
            <v>0</v>
          </cell>
          <cell r="N4013">
            <v>0</v>
          </cell>
          <cell r="O4013">
            <v>0</v>
          </cell>
        </row>
        <row r="4014">
          <cell r="A4014" t="str">
            <v>Sweden AutoRENTAL - COMPUTERS</v>
          </cell>
          <cell r="B4014">
            <v>0</v>
          </cell>
          <cell r="C4014">
            <v>0</v>
          </cell>
          <cell r="D4014">
            <v>0</v>
          </cell>
          <cell r="E4014">
            <v>0</v>
          </cell>
          <cell r="F4014">
            <v>0</v>
          </cell>
          <cell r="G4014">
            <v>0</v>
          </cell>
          <cell r="H4014">
            <v>0</v>
          </cell>
          <cell r="I4014">
            <v>0</v>
          </cell>
          <cell r="J4014">
            <v>0</v>
          </cell>
          <cell r="K4014">
            <v>0</v>
          </cell>
          <cell r="L4014">
            <v>0</v>
          </cell>
          <cell r="M4014">
            <v>0</v>
          </cell>
          <cell r="N4014">
            <v>0</v>
          </cell>
          <cell r="O4014">
            <v>0</v>
          </cell>
        </row>
        <row r="4015">
          <cell r="A4015" t="str">
            <v>Sweden AutoLEASE IN - LEASE OUT</v>
          </cell>
          <cell r="B4015">
            <v>0</v>
          </cell>
          <cell r="C4015">
            <v>0</v>
          </cell>
          <cell r="D4015">
            <v>0</v>
          </cell>
          <cell r="E4015">
            <v>0</v>
          </cell>
          <cell r="F4015">
            <v>0</v>
          </cell>
          <cell r="G4015">
            <v>0</v>
          </cell>
          <cell r="H4015">
            <v>0</v>
          </cell>
          <cell r="I4015">
            <v>0</v>
          </cell>
          <cell r="J4015">
            <v>0</v>
          </cell>
          <cell r="K4015">
            <v>0</v>
          </cell>
          <cell r="L4015">
            <v>0</v>
          </cell>
          <cell r="M4015">
            <v>0</v>
          </cell>
          <cell r="N4015">
            <v>0</v>
          </cell>
          <cell r="O4015">
            <v>0</v>
          </cell>
        </row>
        <row r="4016">
          <cell r="A4016" t="str">
            <v>Sweden AutoFURNITURE / EQUIPMENT / COMPUTER EXP</v>
          </cell>
          <cell r="B4016">
            <v>0</v>
          </cell>
          <cell r="C4016">
            <v>0</v>
          </cell>
          <cell r="D4016">
            <v>0</v>
          </cell>
          <cell r="E4016">
            <v>0</v>
          </cell>
          <cell r="F4016">
            <v>0</v>
          </cell>
          <cell r="G4016">
            <v>0</v>
          </cell>
          <cell r="H4016">
            <v>0</v>
          </cell>
          <cell r="I4016">
            <v>0</v>
          </cell>
          <cell r="J4016">
            <v>0</v>
          </cell>
          <cell r="K4016">
            <v>0</v>
          </cell>
          <cell r="L4016">
            <v>0</v>
          </cell>
          <cell r="M4016">
            <v>0</v>
          </cell>
          <cell r="N4016">
            <v>0</v>
          </cell>
          <cell r="O4016">
            <v>0</v>
          </cell>
        </row>
        <row r="4017">
          <cell r="A4017" t="str">
            <v>Sweden AutoSOFTWARE EXPENSE</v>
          </cell>
          <cell r="B4017">
            <v>0</v>
          </cell>
          <cell r="C4017">
            <v>0</v>
          </cell>
          <cell r="D4017">
            <v>0</v>
          </cell>
          <cell r="E4017">
            <v>0</v>
          </cell>
          <cell r="F4017">
            <v>0</v>
          </cell>
          <cell r="G4017">
            <v>0</v>
          </cell>
          <cell r="H4017">
            <v>0</v>
          </cell>
          <cell r="I4017">
            <v>0</v>
          </cell>
          <cell r="J4017">
            <v>0</v>
          </cell>
          <cell r="K4017">
            <v>0</v>
          </cell>
          <cell r="L4017">
            <v>0</v>
          </cell>
          <cell r="M4017">
            <v>0</v>
          </cell>
          <cell r="N4017">
            <v>0</v>
          </cell>
          <cell r="O4017">
            <v>0</v>
          </cell>
        </row>
        <row r="4018">
          <cell r="A4018" t="str">
            <v>Sweden AutoAMORTIZATION OF INTANGIBLES</v>
          </cell>
          <cell r="B4018">
            <v>0</v>
          </cell>
          <cell r="C4018">
            <v>0</v>
          </cell>
          <cell r="D4018">
            <v>0</v>
          </cell>
          <cell r="E4018">
            <v>0</v>
          </cell>
          <cell r="F4018">
            <v>0</v>
          </cell>
          <cell r="G4018">
            <v>0</v>
          </cell>
          <cell r="H4018">
            <v>0</v>
          </cell>
          <cell r="I4018">
            <v>0</v>
          </cell>
          <cell r="J4018">
            <v>0</v>
          </cell>
          <cell r="K4018">
            <v>0</v>
          </cell>
          <cell r="L4018">
            <v>0</v>
          </cell>
          <cell r="M4018">
            <v>0</v>
          </cell>
          <cell r="N4018">
            <v>0</v>
          </cell>
          <cell r="O4018">
            <v>0</v>
          </cell>
        </row>
        <row r="4019">
          <cell r="A4019" t="str">
            <v>Sweden AutoELTO MAINTENANCE</v>
          </cell>
          <cell r="B4019">
            <v>0</v>
          </cell>
          <cell r="C4019">
            <v>0</v>
          </cell>
          <cell r="D4019">
            <v>0</v>
          </cell>
          <cell r="E4019">
            <v>0</v>
          </cell>
          <cell r="F4019">
            <v>0</v>
          </cell>
          <cell r="G4019">
            <v>0</v>
          </cell>
          <cell r="H4019">
            <v>0</v>
          </cell>
          <cell r="I4019">
            <v>0</v>
          </cell>
          <cell r="J4019">
            <v>0</v>
          </cell>
          <cell r="K4019">
            <v>0</v>
          </cell>
          <cell r="L4019">
            <v>0</v>
          </cell>
          <cell r="M4019">
            <v>0</v>
          </cell>
          <cell r="N4019">
            <v>0</v>
          </cell>
          <cell r="O4019">
            <v>0</v>
          </cell>
        </row>
        <row r="4020">
          <cell r="A4020" t="str">
            <v>Sweden AutoELTO OTHER</v>
          </cell>
          <cell r="B4020">
            <v>0</v>
          </cell>
          <cell r="C4020">
            <v>0</v>
          </cell>
          <cell r="D4020">
            <v>0</v>
          </cell>
          <cell r="E4020">
            <v>0</v>
          </cell>
          <cell r="F4020">
            <v>0</v>
          </cell>
          <cell r="G4020">
            <v>0</v>
          </cell>
          <cell r="H4020">
            <v>0</v>
          </cell>
          <cell r="I4020">
            <v>0</v>
          </cell>
          <cell r="J4020">
            <v>0</v>
          </cell>
          <cell r="K4020">
            <v>0</v>
          </cell>
          <cell r="L4020">
            <v>0</v>
          </cell>
          <cell r="M4020">
            <v>0</v>
          </cell>
          <cell r="N4020">
            <v>0</v>
          </cell>
          <cell r="O4020">
            <v>0</v>
          </cell>
        </row>
        <row r="4021">
          <cell r="A4021" t="str">
            <v>Sweden AutoLEGAL</v>
          </cell>
          <cell r="B4021">
            <v>0</v>
          </cell>
          <cell r="C4021">
            <v>0</v>
          </cell>
          <cell r="D4021">
            <v>0</v>
          </cell>
          <cell r="E4021">
            <v>0</v>
          </cell>
          <cell r="F4021">
            <v>0</v>
          </cell>
          <cell r="G4021">
            <v>0</v>
          </cell>
          <cell r="H4021">
            <v>0</v>
          </cell>
          <cell r="I4021">
            <v>0</v>
          </cell>
          <cell r="J4021">
            <v>0</v>
          </cell>
          <cell r="K4021">
            <v>0</v>
          </cell>
          <cell r="L4021">
            <v>0</v>
          </cell>
          <cell r="M4021">
            <v>0</v>
          </cell>
          <cell r="N4021">
            <v>0</v>
          </cell>
          <cell r="O4021">
            <v>0</v>
          </cell>
        </row>
        <row r="4022">
          <cell r="A4022" t="str">
            <v>Sweden AutoADVERTISING</v>
          </cell>
          <cell r="B4022">
            <v>0</v>
          </cell>
          <cell r="C4022">
            <v>0</v>
          </cell>
          <cell r="D4022">
            <v>0</v>
          </cell>
          <cell r="E4022">
            <v>0</v>
          </cell>
          <cell r="F4022">
            <v>0</v>
          </cell>
          <cell r="G4022">
            <v>0</v>
          </cell>
          <cell r="H4022">
            <v>0</v>
          </cell>
          <cell r="I4022">
            <v>0</v>
          </cell>
          <cell r="J4022">
            <v>0</v>
          </cell>
          <cell r="K4022">
            <v>0</v>
          </cell>
          <cell r="L4022">
            <v>0</v>
          </cell>
          <cell r="M4022">
            <v>0</v>
          </cell>
          <cell r="N4022">
            <v>0</v>
          </cell>
          <cell r="O4022">
            <v>0</v>
          </cell>
        </row>
        <row r="4023">
          <cell r="A4023" t="str">
            <v>Sweden AutoSALES PROMOTIONS</v>
          </cell>
          <cell r="B4023">
            <v>0</v>
          </cell>
          <cell r="C4023">
            <v>0</v>
          </cell>
          <cell r="D4023">
            <v>0</v>
          </cell>
          <cell r="E4023">
            <v>0</v>
          </cell>
          <cell r="F4023">
            <v>0</v>
          </cell>
          <cell r="G4023">
            <v>0</v>
          </cell>
          <cell r="H4023">
            <v>0</v>
          </cell>
          <cell r="I4023">
            <v>0</v>
          </cell>
          <cell r="J4023">
            <v>0</v>
          </cell>
          <cell r="K4023">
            <v>0</v>
          </cell>
          <cell r="L4023">
            <v>0</v>
          </cell>
          <cell r="M4023">
            <v>0</v>
          </cell>
          <cell r="N4023">
            <v>0</v>
          </cell>
          <cell r="O4023">
            <v>0</v>
          </cell>
        </row>
        <row r="4024">
          <cell r="A4024" t="str">
            <v>Sweden AutoDIRECT MAIL</v>
          </cell>
          <cell r="B4024">
            <v>0</v>
          </cell>
          <cell r="C4024">
            <v>0</v>
          </cell>
          <cell r="D4024">
            <v>0</v>
          </cell>
          <cell r="E4024">
            <v>0</v>
          </cell>
          <cell r="F4024">
            <v>0</v>
          </cell>
          <cell r="G4024">
            <v>0</v>
          </cell>
          <cell r="H4024">
            <v>0</v>
          </cell>
          <cell r="I4024">
            <v>0</v>
          </cell>
          <cell r="J4024">
            <v>0</v>
          </cell>
          <cell r="K4024">
            <v>0</v>
          </cell>
          <cell r="L4024">
            <v>0</v>
          </cell>
          <cell r="M4024">
            <v>0</v>
          </cell>
          <cell r="N4024">
            <v>0</v>
          </cell>
          <cell r="O4024">
            <v>0</v>
          </cell>
        </row>
        <row r="4025">
          <cell r="A4025" t="str">
            <v>Sweden AutoDATA PROCESSING</v>
          </cell>
          <cell r="B4025">
            <v>0</v>
          </cell>
          <cell r="C4025">
            <v>0</v>
          </cell>
          <cell r="D4025">
            <v>0</v>
          </cell>
          <cell r="E4025">
            <v>0</v>
          </cell>
          <cell r="F4025">
            <v>0</v>
          </cell>
          <cell r="G4025">
            <v>0</v>
          </cell>
          <cell r="H4025">
            <v>0</v>
          </cell>
          <cell r="I4025">
            <v>0</v>
          </cell>
          <cell r="J4025">
            <v>0</v>
          </cell>
          <cell r="K4025">
            <v>0</v>
          </cell>
          <cell r="L4025">
            <v>0</v>
          </cell>
          <cell r="M4025">
            <v>0</v>
          </cell>
          <cell r="N4025">
            <v>0</v>
          </cell>
          <cell r="O4025">
            <v>0</v>
          </cell>
        </row>
        <row r="4026">
          <cell r="A4026" t="str">
            <v>Sweden AutoCONSULTING</v>
          </cell>
          <cell r="B4026">
            <v>0</v>
          </cell>
          <cell r="C4026">
            <v>0</v>
          </cell>
          <cell r="D4026">
            <v>0</v>
          </cell>
          <cell r="E4026">
            <v>0</v>
          </cell>
          <cell r="F4026">
            <v>0</v>
          </cell>
          <cell r="G4026">
            <v>0</v>
          </cell>
          <cell r="H4026">
            <v>0</v>
          </cell>
          <cell r="I4026">
            <v>0</v>
          </cell>
          <cell r="J4026">
            <v>0</v>
          </cell>
          <cell r="K4026">
            <v>0</v>
          </cell>
          <cell r="L4026">
            <v>0</v>
          </cell>
          <cell r="M4026">
            <v>0</v>
          </cell>
          <cell r="N4026">
            <v>0</v>
          </cell>
          <cell r="O4026">
            <v>0</v>
          </cell>
        </row>
        <row r="4027">
          <cell r="A4027" t="str">
            <v>Sweden AutoTEMP SERVICES</v>
          </cell>
          <cell r="B4027">
            <v>0</v>
          </cell>
          <cell r="C4027">
            <v>0</v>
          </cell>
          <cell r="D4027">
            <v>0</v>
          </cell>
          <cell r="E4027">
            <v>0</v>
          </cell>
          <cell r="F4027">
            <v>0</v>
          </cell>
          <cell r="G4027">
            <v>0</v>
          </cell>
          <cell r="H4027">
            <v>0</v>
          </cell>
          <cell r="I4027">
            <v>0</v>
          </cell>
          <cell r="J4027">
            <v>0</v>
          </cell>
          <cell r="K4027">
            <v>0</v>
          </cell>
          <cell r="L4027">
            <v>0</v>
          </cell>
          <cell r="M4027">
            <v>0</v>
          </cell>
          <cell r="N4027">
            <v>0</v>
          </cell>
          <cell r="O4027">
            <v>0</v>
          </cell>
        </row>
        <row r="4028">
          <cell r="A4028" t="str">
            <v>Sweden AutoGDC CHARGES</v>
          </cell>
          <cell r="B4028">
            <v>0</v>
          </cell>
          <cell r="C4028">
            <v>0</v>
          </cell>
          <cell r="D4028">
            <v>0</v>
          </cell>
          <cell r="E4028">
            <v>0</v>
          </cell>
          <cell r="F4028">
            <v>0</v>
          </cell>
          <cell r="G4028">
            <v>0</v>
          </cell>
          <cell r="H4028">
            <v>0</v>
          </cell>
          <cell r="I4028">
            <v>0</v>
          </cell>
          <cell r="J4028">
            <v>0</v>
          </cell>
          <cell r="K4028">
            <v>0</v>
          </cell>
          <cell r="L4028">
            <v>0</v>
          </cell>
          <cell r="M4028">
            <v>0</v>
          </cell>
          <cell r="N4028">
            <v>0</v>
          </cell>
          <cell r="O4028">
            <v>0</v>
          </cell>
        </row>
        <row r="4029">
          <cell r="A4029" t="str">
            <v>Sweden AutoTRAINING AND EDUCATION</v>
          </cell>
          <cell r="B4029">
            <v>0</v>
          </cell>
          <cell r="C4029">
            <v>0</v>
          </cell>
          <cell r="D4029">
            <v>0</v>
          </cell>
          <cell r="E4029">
            <v>0</v>
          </cell>
          <cell r="F4029">
            <v>0</v>
          </cell>
          <cell r="G4029">
            <v>0</v>
          </cell>
          <cell r="H4029">
            <v>0</v>
          </cell>
          <cell r="I4029">
            <v>0</v>
          </cell>
          <cell r="J4029">
            <v>0</v>
          </cell>
          <cell r="K4029">
            <v>0</v>
          </cell>
          <cell r="L4029">
            <v>0</v>
          </cell>
          <cell r="M4029">
            <v>0</v>
          </cell>
          <cell r="N4029">
            <v>0</v>
          </cell>
          <cell r="O4029">
            <v>0</v>
          </cell>
        </row>
        <row r="4030">
          <cell r="A4030" t="str">
            <v>Sweden AutoOUTSIDE SERVICES  AND FEES</v>
          </cell>
          <cell r="B4030">
            <v>0</v>
          </cell>
          <cell r="C4030">
            <v>0</v>
          </cell>
          <cell r="D4030">
            <v>0</v>
          </cell>
          <cell r="E4030">
            <v>0</v>
          </cell>
          <cell r="F4030">
            <v>0</v>
          </cell>
          <cell r="G4030">
            <v>0</v>
          </cell>
          <cell r="H4030">
            <v>0</v>
          </cell>
          <cell r="I4030">
            <v>0</v>
          </cell>
          <cell r="J4030">
            <v>0</v>
          </cell>
          <cell r="K4030">
            <v>0</v>
          </cell>
          <cell r="L4030">
            <v>0</v>
          </cell>
          <cell r="M4030">
            <v>0</v>
          </cell>
          <cell r="N4030">
            <v>0</v>
          </cell>
          <cell r="O4030">
            <v>0</v>
          </cell>
        </row>
        <row r="4031">
          <cell r="A4031" t="str">
            <v>Sweden AutoSTATE, FOREIGN, LOCAL TAXES</v>
          </cell>
          <cell r="B4031">
            <v>22076.05</v>
          </cell>
          <cell r="C4031">
            <v>-22076.05</v>
          </cell>
          <cell r="D4031">
            <v>0</v>
          </cell>
          <cell r="E4031">
            <v>88304.19</v>
          </cell>
          <cell r="F4031">
            <v>88304.19</v>
          </cell>
          <cell r="G4031">
            <v>0</v>
          </cell>
          <cell r="H4031">
            <v>0</v>
          </cell>
          <cell r="I4031">
            <v>0</v>
          </cell>
          <cell r="J4031">
            <v>0</v>
          </cell>
          <cell r="K4031">
            <v>0</v>
          </cell>
          <cell r="L4031">
            <v>18986</v>
          </cell>
          <cell r="M4031">
            <v>0</v>
          </cell>
          <cell r="N4031">
            <v>0</v>
          </cell>
          <cell r="O4031">
            <v>0</v>
          </cell>
        </row>
        <row r="4032">
          <cell r="A4032" t="str">
            <v>Sweden AutoS/L TAX - INSURANCE PREMIUMS</v>
          </cell>
          <cell r="B4032">
            <v>0</v>
          </cell>
          <cell r="C4032">
            <v>0</v>
          </cell>
          <cell r="D4032">
            <v>0</v>
          </cell>
          <cell r="E4032">
            <v>0</v>
          </cell>
          <cell r="F4032">
            <v>0</v>
          </cell>
          <cell r="G4032">
            <v>0</v>
          </cell>
          <cell r="H4032">
            <v>0</v>
          </cell>
          <cell r="I4032">
            <v>0</v>
          </cell>
          <cell r="J4032">
            <v>0</v>
          </cell>
          <cell r="K4032">
            <v>0</v>
          </cell>
          <cell r="L4032">
            <v>0</v>
          </cell>
          <cell r="M4032">
            <v>0</v>
          </cell>
          <cell r="N4032">
            <v>0</v>
          </cell>
          <cell r="O4032">
            <v>0</v>
          </cell>
        </row>
        <row r="4033">
          <cell r="A4033" t="str">
            <v>Sweden AutoSATELLITE LEASE EXPENSE</v>
          </cell>
          <cell r="B4033">
            <v>0</v>
          </cell>
          <cell r="C4033">
            <v>0</v>
          </cell>
          <cell r="D4033">
            <v>0</v>
          </cell>
          <cell r="E4033">
            <v>0</v>
          </cell>
          <cell r="F4033">
            <v>0</v>
          </cell>
          <cell r="G4033">
            <v>0</v>
          </cell>
          <cell r="H4033">
            <v>0</v>
          </cell>
          <cell r="I4033">
            <v>0</v>
          </cell>
          <cell r="J4033">
            <v>0</v>
          </cell>
          <cell r="K4033">
            <v>0</v>
          </cell>
          <cell r="L4033">
            <v>0</v>
          </cell>
          <cell r="M4033">
            <v>0</v>
          </cell>
          <cell r="N4033">
            <v>0</v>
          </cell>
          <cell r="O4033">
            <v>0</v>
          </cell>
        </row>
        <row r="4034">
          <cell r="A4034" t="str">
            <v>Sweden AutoBUSINESS SHARE EXPENSE</v>
          </cell>
          <cell r="B4034">
            <v>154436</v>
          </cell>
          <cell r="C4034">
            <v>141283</v>
          </cell>
          <cell r="D4034">
            <v>151736</v>
          </cell>
          <cell r="E4034">
            <v>151736</v>
          </cell>
          <cell r="F4034">
            <v>599191</v>
          </cell>
          <cell r="G4034">
            <v>0</v>
          </cell>
          <cell r="H4034">
            <v>0</v>
          </cell>
          <cell r="I4034">
            <v>0</v>
          </cell>
          <cell r="J4034">
            <v>0</v>
          </cell>
          <cell r="K4034">
            <v>0</v>
          </cell>
          <cell r="L4034">
            <v>40772.410000000003</v>
          </cell>
          <cell r="M4034">
            <v>9770000</v>
          </cell>
          <cell r="N4034">
            <v>9920000</v>
          </cell>
          <cell r="O4034">
            <v>10180000</v>
          </cell>
        </row>
        <row r="4035">
          <cell r="A4035" t="str">
            <v>Sweden AutoINSURANCE AFFILIATE EXPENSE</v>
          </cell>
          <cell r="B4035">
            <v>0</v>
          </cell>
          <cell r="C4035">
            <v>0</v>
          </cell>
          <cell r="D4035">
            <v>0</v>
          </cell>
          <cell r="E4035">
            <v>0</v>
          </cell>
          <cell r="F4035">
            <v>0</v>
          </cell>
          <cell r="G4035">
            <v>0</v>
          </cell>
          <cell r="H4035">
            <v>0</v>
          </cell>
          <cell r="I4035">
            <v>0</v>
          </cell>
          <cell r="J4035">
            <v>0</v>
          </cell>
          <cell r="K4035">
            <v>0</v>
          </cell>
          <cell r="L4035">
            <v>0</v>
          </cell>
          <cell r="M4035">
            <v>0</v>
          </cell>
          <cell r="N4035">
            <v>0</v>
          </cell>
          <cell r="O4035">
            <v>0</v>
          </cell>
        </row>
        <row r="4036">
          <cell r="A4036" t="str">
            <v>Sweden AutoOTHER FACILITY EXPENSE</v>
          </cell>
          <cell r="B4036">
            <v>0</v>
          </cell>
          <cell r="C4036">
            <v>0</v>
          </cell>
          <cell r="D4036">
            <v>0</v>
          </cell>
          <cell r="E4036">
            <v>0</v>
          </cell>
          <cell r="F4036">
            <v>0</v>
          </cell>
          <cell r="G4036">
            <v>0</v>
          </cell>
          <cell r="H4036">
            <v>0</v>
          </cell>
          <cell r="I4036">
            <v>0</v>
          </cell>
          <cell r="J4036">
            <v>0</v>
          </cell>
          <cell r="K4036">
            <v>0</v>
          </cell>
          <cell r="L4036">
            <v>0</v>
          </cell>
          <cell r="M4036">
            <v>0</v>
          </cell>
          <cell r="N4036">
            <v>0</v>
          </cell>
          <cell r="O4036">
            <v>0</v>
          </cell>
        </row>
        <row r="4037">
          <cell r="A4037" t="str">
            <v>Sweden AutoGROSS OP &amp; ADMIN BUS SHARE</v>
          </cell>
          <cell r="B4037">
            <v>2528235</v>
          </cell>
          <cell r="C4037">
            <v>2470759</v>
          </cell>
          <cell r="D4037">
            <v>2439057</v>
          </cell>
          <cell r="E4037">
            <v>2649025</v>
          </cell>
          <cell r="F4037">
            <v>10087076</v>
          </cell>
          <cell r="G4037">
            <v>2502076</v>
          </cell>
          <cell r="H4037">
            <v>2502076</v>
          </cell>
          <cell r="I4037">
            <v>2502076</v>
          </cell>
          <cell r="J4037">
            <v>2502076</v>
          </cell>
          <cell r="K4037">
            <v>10008304</v>
          </cell>
          <cell r="L4037">
            <v>2452191.84</v>
          </cell>
          <cell r="M4037">
            <v>0</v>
          </cell>
          <cell r="N4037">
            <v>0</v>
          </cell>
          <cell r="O4037">
            <v>0</v>
          </cell>
        </row>
        <row r="4038">
          <cell r="A4038" t="str">
            <v>Sweden AutoOTHER EXPENSE</v>
          </cell>
          <cell r="B4038">
            <v>0</v>
          </cell>
          <cell r="C4038">
            <v>0</v>
          </cell>
          <cell r="D4038">
            <v>0</v>
          </cell>
          <cell r="E4038">
            <v>0</v>
          </cell>
          <cell r="F4038">
            <v>0</v>
          </cell>
          <cell r="G4038">
            <v>0</v>
          </cell>
          <cell r="H4038">
            <v>0</v>
          </cell>
          <cell r="I4038">
            <v>0</v>
          </cell>
          <cell r="J4038">
            <v>0</v>
          </cell>
          <cell r="K4038">
            <v>0</v>
          </cell>
          <cell r="L4038">
            <v>0</v>
          </cell>
          <cell r="M4038">
            <v>0</v>
          </cell>
          <cell r="N4038">
            <v>0</v>
          </cell>
          <cell r="O4038">
            <v>0</v>
          </cell>
        </row>
        <row r="4039">
          <cell r="A4039" t="str">
            <v>Sweden AutoGECC INTERCO EXPENSES EXCL GECIS</v>
          </cell>
          <cell r="B4039">
            <v>0</v>
          </cell>
          <cell r="C4039">
            <v>0</v>
          </cell>
          <cell r="D4039">
            <v>0</v>
          </cell>
          <cell r="E4039">
            <v>0</v>
          </cell>
          <cell r="F4039">
            <v>0</v>
          </cell>
          <cell r="G4039">
            <v>0</v>
          </cell>
          <cell r="H4039">
            <v>0</v>
          </cell>
          <cell r="I4039">
            <v>0</v>
          </cell>
          <cell r="J4039">
            <v>0</v>
          </cell>
          <cell r="K4039">
            <v>0</v>
          </cell>
          <cell r="L4039">
            <v>0</v>
          </cell>
          <cell r="M4039">
            <v>0</v>
          </cell>
          <cell r="N4039">
            <v>0</v>
          </cell>
          <cell r="O4039">
            <v>0</v>
          </cell>
        </row>
        <row r="4040">
          <cell r="A4040" t="str">
            <v>Sweden AutoGECIS INTERCO CHARGES</v>
          </cell>
          <cell r="B4040">
            <v>0</v>
          </cell>
          <cell r="C4040">
            <v>0</v>
          </cell>
          <cell r="D4040">
            <v>0</v>
          </cell>
          <cell r="E4040">
            <v>0</v>
          </cell>
          <cell r="F4040">
            <v>0</v>
          </cell>
          <cell r="G4040">
            <v>0</v>
          </cell>
          <cell r="H4040">
            <v>0</v>
          </cell>
          <cell r="I4040">
            <v>0</v>
          </cell>
          <cell r="J4040">
            <v>0</v>
          </cell>
          <cell r="K4040">
            <v>0</v>
          </cell>
          <cell r="L4040">
            <v>0</v>
          </cell>
          <cell r="M4040">
            <v>0</v>
          </cell>
          <cell r="N4040">
            <v>0</v>
          </cell>
          <cell r="O4040">
            <v>0</v>
          </cell>
        </row>
        <row r="4041">
          <cell r="A4041" t="str">
            <v>Sweden AutoLOSS ADJUSTED EXPENSE</v>
          </cell>
          <cell r="B4041">
            <v>0</v>
          </cell>
          <cell r="C4041">
            <v>0</v>
          </cell>
          <cell r="D4041">
            <v>0</v>
          </cell>
          <cell r="E4041">
            <v>0</v>
          </cell>
          <cell r="F4041">
            <v>0</v>
          </cell>
          <cell r="G4041">
            <v>0</v>
          </cell>
          <cell r="H4041">
            <v>0</v>
          </cell>
          <cell r="I4041">
            <v>0</v>
          </cell>
          <cell r="J4041">
            <v>0</v>
          </cell>
          <cell r="K4041">
            <v>0</v>
          </cell>
          <cell r="L4041">
            <v>0</v>
          </cell>
          <cell r="M4041">
            <v>0</v>
          </cell>
          <cell r="N4041">
            <v>0</v>
          </cell>
          <cell r="O4041">
            <v>0</v>
          </cell>
        </row>
        <row r="4042">
          <cell r="A4042" t="str">
            <v>Sweden AutoALL OTHER EXPENSES</v>
          </cell>
          <cell r="B4042">
            <v>0</v>
          </cell>
          <cell r="C4042">
            <v>0</v>
          </cell>
          <cell r="D4042">
            <v>0</v>
          </cell>
          <cell r="E4042">
            <v>0</v>
          </cell>
          <cell r="F4042">
            <v>0</v>
          </cell>
          <cell r="G4042">
            <v>0</v>
          </cell>
          <cell r="H4042">
            <v>0</v>
          </cell>
          <cell r="I4042">
            <v>0</v>
          </cell>
          <cell r="J4042">
            <v>0</v>
          </cell>
          <cell r="K4042">
            <v>0</v>
          </cell>
          <cell r="L4042">
            <v>0</v>
          </cell>
          <cell r="M4042">
            <v>0</v>
          </cell>
          <cell r="N4042">
            <v>0</v>
          </cell>
          <cell r="O4042">
            <v>0</v>
          </cell>
        </row>
        <row r="4043">
          <cell r="A4043" t="str">
            <v>Sweden AutoASSESSMENTS</v>
          </cell>
          <cell r="B4043">
            <v>121418.26</v>
          </cell>
          <cell r="C4043">
            <v>-121418.26</v>
          </cell>
          <cell r="D4043">
            <v>0</v>
          </cell>
          <cell r="E4043">
            <v>491373.03</v>
          </cell>
          <cell r="F4043">
            <v>491373.03</v>
          </cell>
          <cell r="G4043">
            <v>122843.25</v>
          </cell>
          <cell r="H4043">
            <v>122843.25</v>
          </cell>
          <cell r="I4043">
            <v>122843.25</v>
          </cell>
          <cell r="J4043">
            <v>122843.25</v>
          </cell>
          <cell r="K4043">
            <v>491373</v>
          </cell>
          <cell r="L4043">
            <v>82594</v>
          </cell>
          <cell r="M4043">
            <v>0</v>
          </cell>
          <cell r="N4043">
            <v>0</v>
          </cell>
          <cell r="O4043">
            <v>0</v>
          </cell>
        </row>
        <row r="4044">
          <cell r="A4044" t="str">
            <v>Sweden AutoFAS 91</v>
          </cell>
          <cell r="B4044">
            <v>0</v>
          </cell>
          <cell r="C4044">
            <v>0</v>
          </cell>
          <cell r="D4044">
            <v>0</v>
          </cell>
          <cell r="E4044">
            <v>0</v>
          </cell>
          <cell r="F4044">
            <v>0</v>
          </cell>
          <cell r="G4044">
            <v>0</v>
          </cell>
          <cell r="H4044">
            <v>0</v>
          </cell>
          <cell r="I4044">
            <v>0</v>
          </cell>
          <cell r="J4044">
            <v>0</v>
          </cell>
          <cell r="K4044">
            <v>0</v>
          </cell>
          <cell r="L4044">
            <v>0</v>
          </cell>
          <cell r="M4044">
            <v>0</v>
          </cell>
          <cell r="N4044">
            <v>0</v>
          </cell>
          <cell r="O4044">
            <v>0</v>
          </cell>
        </row>
        <row r="4045">
          <cell r="A4045" t="str">
            <v>Sweden AutoGOODWILL AMORTIZATION</v>
          </cell>
          <cell r="B4045">
            <v>0</v>
          </cell>
          <cell r="C4045">
            <v>0</v>
          </cell>
          <cell r="D4045">
            <v>0</v>
          </cell>
          <cell r="E4045">
            <v>0</v>
          </cell>
          <cell r="F4045">
            <v>0</v>
          </cell>
          <cell r="G4045">
            <v>0</v>
          </cell>
          <cell r="H4045">
            <v>0</v>
          </cell>
          <cell r="I4045">
            <v>0</v>
          </cell>
          <cell r="J4045">
            <v>0</v>
          </cell>
          <cell r="K4045">
            <v>0</v>
          </cell>
          <cell r="L4045">
            <v>0</v>
          </cell>
          <cell r="M4045">
            <v>822000</v>
          </cell>
          <cell r="N4045">
            <v>822000</v>
          </cell>
          <cell r="O4045">
            <v>822000</v>
          </cell>
        </row>
        <row r="4046">
          <cell r="A4046" t="str">
            <v>Sweden AutoDEPRECIATION EXPENSE</v>
          </cell>
          <cell r="B4046">
            <v>0</v>
          </cell>
          <cell r="C4046">
            <v>0</v>
          </cell>
          <cell r="D4046">
            <v>0</v>
          </cell>
          <cell r="E4046">
            <v>0</v>
          </cell>
          <cell r="F4046">
            <v>0</v>
          </cell>
          <cell r="G4046">
            <v>0</v>
          </cell>
          <cell r="H4046">
            <v>0</v>
          </cell>
          <cell r="I4046">
            <v>0</v>
          </cell>
          <cell r="J4046">
            <v>0</v>
          </cell>
          <cell r="K4046">
            <v>0</v>
          </cell>
          <cell r="L4046">
            <v>0</v>
          </cell>
          <cell r="M4046">
            <v>0</v>
          </cell>
          <cell r="N4046">
            <v>0</v>
          </cell>
          <cell r="O4046">
            <v>0</v>
          </cell>
        </row>
        <row r="4047">
          <cell r="A4047" t="str">
            <v>Sweden AutoELTO AMORTIZATION</v>
          </cell>
          <cell r="B4047">
            <v>0</v>
          </cell>
          <cell r="C4047">
            <v>0</v>
          </cell>
          <cell r="D4047">
            <v>0</v>
          </cell>
          <cell r="E4047">
            <v>0</v>
          </cell>
          <cell r="F4047">
            <v>0</v>
          </cell>
          <cell r="G4047">
            <v>0</v>
          </cell>
          <cell r="H4047">
            <v>0</v>
          </cell>
          <cell r="I4047">
            <v>0</v>
          </cell>
          <cell r="J4047">
            <v>0</v>
          </cell>
          <cell r="K4047">
            <v>0</v>
          </cell>
          <cell r="L4047">
            <v>0</v>
          </cell>
          <cell r="M4047">
            <v>0</v>
          </cell>
          <cell r="N4047">
            <v>0</v>
          </cell>
          <cell r="O4047">
            <v>0</v>
          </cell>
        </row>
        <row r="4048">
          <cell r="A4048" t="str">
            <v>Sweden AutoINSURANCE LOSSES AND BENEFITS</v>
          </cell>
          <cell r="B4048">
            <v>0</v>
          </cell>
          <cell r="C4048">
            <v>0</v>
          </cell>
          <cell r="D4048">
            <v>0</v>
          </cell>
          <cell r="E4048">
            <v>0</v>
          </cell>
          <cell r="F4048">
            <v>0</v>
          </cell>
          <cell r="G4048">
            <v>0</v>
          </cell>
          <cell r="H4048">
            <v>0</v>
          </cell>
          <cell r="I4048">
            <v>0</v>
          </cell>
          <cell r="J4048">
            <v>0</v>
          </cell>
          <cell r="K4048">
            <v>0</v>
          </cell>
          <cell r="L4048">
            <v>0</v>
          </cell>
          <cell r="M4048">
            <v>0</v>
          </cell>
          <cell r="N4048">
            <v>0</v>
          </cell>
          <cell r="O4048">
            <v>0</v>
          </cell>
        </row>
        <row r="4049">
          <cell r="A4049" t="str">
            <v>Sweden AutoWRITE OFFS</v>
          </cell>
          <cell r="B4049">
            <v>0</v>
          </cell>
          <cell r="C4049">
            <v>0</v>
          </cell>
          <cell r="D4049">
            <v>0</v>
          </cell>
          <cell r="E4049">
            <v>0</v>
          </cell>
          <cell r="F4049">
            <v>0</v>
          </cell>
          <cell r="G4049">
            <v>120000</v>
          </cell>
          <cell r="H4049">
            <v>220000</v>
          </cell>
          <cell r="I4049">
            <v>200000</v>
          </cell>
          <cell r="J4049">
            <v>110000</v>
          </cell>
          <cell r="K4049">
            <v>650000</v>
          </cell>
          <cell r="L4049">
            <v>0</v>
          </cell>
          <cell r="M4049">
            <v>780000</v>
          </cell>
          <cell r="N4049">
            <v>1160000</v>
          </cell>
          <cell r="O4049">
            <v>1210000</v>
          </cell>
        </row>
        <row r="4050">
          <cell r="A4050" t="str">
            <v>Sweden AutoRESERVE CHANGE</v>
          </cell>
          <cell r="B4050">
            <v>-54071</v>
          </cell>
          <cell r="C4050">
            <v>-23031</v>
          </cell>
          <cell r="D4050">
            <v>169463</v>
          </cell>
          <cell r="E4050">
            <v>278972</v>
          </cell>
          <cell r="F4050">
            <v>371333</v>
          </cell>
          <cell r="G4050">
            <v>0</v>
          </cell>
          <cell r="H4050">
            <v>0</v>
          </cell>
          <cell r="I4050">
            <v>0</v>
          </cell>
          <cell r="J4050">
            <v>0</v>
          </cell>
          <cell r="K4050">
            <v>0</v>
          </cell>
          <cell r="L4050">
            <v>75842.17</v>
          </cell>
          <cell r="M4050">
            <v>0</v>
          </cell>
          <cell r="N4050">
            <v>0</v>
          </cell>
          <cell r="O4050">
            <v>0</v>
          </cell>
        </row>
        <row r="4051">
          <cell r="A4051" t="str">
            <v>Sweden AutoMINORITY INTEREST</v>
          </cell>
          <cell r="B4051">
            <v>0</v>
          </cell>
          <cell r="C4051">
            <v>0</v>
          </cell>
          <cell r="D4051">
            <v>0</v>
          </cell>
          <cell r="E4051">
            <v>0</v>
          </cell>
          <cell r="F4051">
            <v>0</v>
          </cell>
          <cell r="G4051">
            <v>0</v>
          </cell>
          <cell r="H4051">
            <v>0</v>
          </cell>
          <cell r="I4051">
            <v>0</v>
          </cell>
          <cell r="J4051">
            <v>0</v>
          </cell>
          <cell r="K4051">
            <v>0</v>
          </cell>
          <cell r="L4051">
            <v>0</v>
          </cell>
          <cell r="M4051">
            <v>0</v>
          </cell>
          <cell r="N4051">
            <v>0</v>
          </cell>
          <cell r="O4051">
            <v>0</v>
          </cell>
        </row>
        <row r="4052">
          <cell r="A4052" t="str">
            <v>Sweden AutoINCOME TAXES</v>
          </cell>
          <cell r="B4052">
            <v>395015</v>
          </cell>
          <cell r="C4052">
            <v>560235</v>
          </cell>
          <cell r="D4052">
            <v>412227</v>
          </cell>
          <cell r="E4052">
            <v>189598.97</v>
          </cell>
          <cell r="F4052">
            <v>1557075.97</v>
          </cell>
          <cell r="G4052">
            <v>430000</v>
          </cell>
          <cell r="H4052">
            <v>380000</v>
          </cell>
          <cell r="I4052">
            <v>400000</v>
          </cell>
          <cell r="J4052">
            <v>360000</v>
          </cell>
          <cell r="K4052">
            <v>1570000</v>
          </cell>
          <cell r="L4052">
            <v>421163.27</v>
          </cell>
          <cell r="M4052">
            <v>1602000</v>
          </cell>
          <cell r="N4052">
            <v>1710000</v>
          </cell>
          <cell r="O4052">
            <v>1890000</v>
          </cell>
        </row>
        <row r="4053">
          <cell r="A4053" t="str">
            <v>Sweden AutoCUMULATIVE TRANSITION ADJUSTMENT</v>
          </cell>
          <cell r="B4053">
            <v>0</v>
          </cell>
          <cell r="C4053">
            <v>0</v>
          </cell>
          <cell r="D4053">
            <v>0</v>
          </cell>
          <cell r="E4053">
            <v>0</v>
          </cell>
          <cell r="F4053">
            <v>0</v>
          </cell>
          <cell r="G4053">
            <v>0</v>
          </cell>
          <cell r="H4053">
            <v>0</v>
          </cell>
          <cell r="I4053">
            <v>0</v>
          </cell>
          <cell r="J4053">
            <v>0</v>
          </cell>
          <cell r="K4053">
            <v>0</v>
          </cell>
          <cell r="L4053">
            <v>0</v>
          </cell>
          <cell r="M4053">
            <v>0</v>
          </cell>
          <cell r="N4053">
            <v>0</v>
          </cell>
          <cell r="O4053">
            <v>0</v>
          </cell>
        </row>
        <row r="4054">
          <cell r="A4054" t="str">
            <v>Sweden AutoASIA PACIFIC NI DIVIDEND</v>
          </cell>
          <cell r="B4054">
            <v>0</v>
          </cell>
          <cell r="C4054">
            <v>0</v>
          </cell>
          <cell r="D4054">
            <v>0</v>
          </cell>
          <cell r="E4054">
            <v>0</v>
          </cell>
          <cell r="F4054">
            <v>0</v>
          </cell>
          <cell r="G4054">
            <v>0</v>
          </cell>
          <cell r="H4054">
            <v>0</v>
          </cell>
          <cell r="I4054">
            <v>0</v>
          </cell>
          <cell r="J4054">
            <v>0</v>
          </cell>
          <cell r="K4054">
            <v>0</v>
          </cell>
          <cell r="L4054">
            <v>0</v>
          </cell>
          <cell r="M4054">
            <v>0</v>
          </cell>
          <cell r="N4054">
            <v>0</v>
          </cell>
          <cell r="O4054">
            <v>0</v>
          </cell>
        </row>
        <row r="4055">
          <cell r="A4055" t="str">
            <v>Sweden AutoNet Income</v>
          </cell>
          <cell r="B4055">
            <v>-625813.68999999994</v>
          </cell>
          <cell r="C4055">
            <v>-924885.31</v>
          </cell>
          <cell r="D4055">
            <v>-655400</v>
          </cell>
          <cell r="E4055">
            <v>-241947.81</v>
          </cell>
          <cell r="F4055">
            <v>-2448046.81</v>
          </cell>
          <cell r="G4055">
            <v>-645080.75</v>
          </cell>
          <cell r="H4055">
            <v>-555080.75</v>
          </cell>
          <cell r="I4055">
            <v>-585080.75</v>
          </cell>
          <cell r="J4055">
            <v>-515080.75</v>
          </cell>
          <cell r="K4055">
            <v>-2300323</v>
          </cell>
          <cell r="L4055">
            <v>-782159.95</v>
          </cell>
          <cell r="M4055">
            <v>-2976000</v>
          </cell>
          <cell r="N4055">
            <v>-3158000</v>
          </cell>
          <cell r="O4055">
            <v>-3518000</v>
          </cell>
        </row>
        <row r="4056">
          <cell r="A4056" t="str">
            <v>Sweden AutoSubPart F</v>
          </cell>
          <cell r="B4056">
            <v>0</v>
          </cell>
          <cell r="C4056">
            <v>0</v>
          </cell>
          <cell r="D4056">
            <v>0</v>
          </cell>
          <cell r="E4056">
            <v>0</v>
          </cell>
          <cell r="F4056">
            <v>0</v>
          </cell>
          <cell r="G4056">
            <v>0</v>
          </cell>
          <cell r="H4056">
            <v>0</v>
          </cell>
          <cell r="I4056">
            <v>0</v>
          </cell>
          <cell r="J4056">
            <v>0</v>
          </cell>
          <cell r="K4056">
            <v>0</v>
          </cell>
          <cell r="L4056">
            <v>0</v>
          </cell>
          <cell r="M4056">
            <v>0</v>
          </cell>
          <cell r="N4056">
            <v>0</v>
          </cell>
          <cell r="O4056">
            <v>0</v>
          </cell>
        </row>
        <row r="4057">
          <cell r="A4057" t="str">
            <v>Sweden AutoAssets</v>
          </cell>
          <cell r="B4057">
            <v>355967354</v>
          </cell>
          <cell r="C4057">
            <v>368265786</v>
          </cell>
          <cell r="D4057">
            <v>364063869</v>
          </cell>
          <cell r="E4057">
            <v>365574401</v>
          </cell>
          <cell r="F4057">
            <v>365574401</v>
          </cell>
          <cell r="G4057">
            <v>359780000</v>
          </cell>
          <cell r="H4057">
            <v>370570000</v>
          </cell>
          <cell r="I4057">
            <v>378690000</v>
          </cell>
          <cell r="J4057">
            <v>373700000</v>
          </cell>
          <cell r="K4057">
            <v>373700000</v>
          </cell>
          <cell r="L4057">
            <v>355967352.94999999</v>
          </cell>
          <cell r="M4057">
            <v>412970000</v>
          </cell>
          <cell r="N4057">
            <v>433650000</v>
          </cell>
          <cell r="O4057">
            <v>455270000</v>
          </cell>
        </row>
        <row r="4058">
          <cell r="A4058" t="str">
            <v>Sweden AutoEnding Net Investment (ENI) incl Asia</v>
          </cell>
          <cell r="B4058">
            <v>356331851.19999999</v>
          </cell>
          <cell r="C4058">
            <v>368265786</v>
          </cell>
          <cell r="D4058">
            <v>364063869</v>
          </cell>
          <cell r="E4058">
            <v>366111861.29000002</v>
          </cell>
          <cell r="F4058">
            <v>366111861.29000002</v>
          </cell>
          <cell r="G4058">
            <v>359780000</v>
          </cell>
          <cell r="H4058">
            <v>370570000</v>
          </cell>
          <cell r="I4058">
            <v>378690000</v>
          </cell>
          <cell r="J4058">
            <v>373700000</v>
          </cell>
          <cell r="K4058">
            <v>373700000</v>
          </cell>
          <cell r="L4058">
            <v>356540366.24000001</v>
          </cell>
          <cell r="M4058">
            <v>412970000</v>
          </cell>
          <cell r="N4058">
            <v>433650000</v>
          </cell>
          <cell r="O4058">
            <v>455270000</v>
          </cell>
        </row>
        <row r="4059">
          <cell r="A4059" t="str">
            <v>Sweden AutoANR YTD</v>
          </cell>
          <cell r="B4059">
            <v>401331508</v>
          </cell>
          <cell r="C4059">
            <v>391433611</v>
          </cell>
          <cell r="D4059">
            <v>385407404.25</v>
          </cell>
          <cell r="E4059">
            <v>382047634.39999998</v>
          </cell>
          <cell r="F4059">
            <v>382047634.39999998</v>
          </cell>
          <cell r="G4059">
            <v>365649277.5</v>
          </cell>
          <cell r="H4059">
            <v>368246185</v>
          </cell>
          <cell r="I4059">
            <v>371579638.75</v>
          </cell>
          <cell r="J4059">
            <v>372573711</v>
          </cell>
          <cell r="K4059">
            <v>372573711</v>
          </cell>
          <cell r="L4059">
            <v>363984633.71499997</v>
          </cell>
          <cell r="M4059">
            <v>159784000</v>
          </cell>
          <cell r="N4059">
            <v>170586000</v>
          </cell>
          <cell r="O4059">
            <v>179116000</v>
          </cell>
        </row>
        <row r="4060">
          <cell r="A4060" t="str">
            <v>Sweden AutoASA YTD</v>
          </cell>
          <cell r="B4060">
            <v>401331508</v>
          </cell>
          <cell r="C4060">
            <v>391433611</v>
          </cell>
          <cell r="D4060">
            <v>385407404.25</v>
          </cell>
          <cell r="E4060">
            <v>382047634.39999998</v>
          </cell>
          <cell r="F4060">
            <v>382047634.39999998</v>
          </cell>
          <cell r="G4060">
            <v>365649277.5</v>
          </cell>
          <cell r="H4060">
            <v>368246185</v>
          </cell>
          <cell r="I4060">
            <v>371579638.75</v>
          </cell>
          <cell r="J4060">
            <v>372573711</v>
          </cell>
          <cell r="K4060">
            <v>372573711</v>
          </cell>
          <cell r="L4060">
            <v>363984633.71499997</v>
          </cell>
          <cell r="M4060">
            <v>159784000</v>
          </cell>
          <cell r="N4060">
            <v>170586000</v>
          </cell>
          <cell r="O4060">
            <v>179116000</v>
          </cell>
        </row>
        <row r="4061">
          <cell r="A4061" t="str">
            <v>Sweden AutoANI YTD incl Asia - 5 pt</v>
          </cell>
          <cell r="B4061">
            <v>397985945.22500002</v>
          </cell>
          <cell r="C4061">
            <v>388079225.48333299</v>
          </cell>
          <cell r="D4061">
            <v>382075386.36250001</v>
          </cell>
          <cell r="E4061">
            <v>378882681.34799999</v>
          </cell>
          <cell r="F4061">
            <v>378882681.34799999</v>
          </cell>
          <cell r="G4061">
            <v>362945930.64499998</v>
          </cell>
          <cell r="H4061">
            <v>365487287.09666699</v>
          </cell>
          <cell r="I4061">
            <v>368787965.32249999</v>
          </cell>
          <cell r="J4061">
            <v>369770372.25800002</v>
          </cell>
          <cell r="K4061">
            <v>369770372.25800002</v>
          </cell>
          <cell r="L4061">
            <v>361326113.76499999</v>
          </cell>
          <cell r="M4061">
            <v>158538000</v>
          </cell>
          <cell r="N4061">
            <v>169324000</v>
          </cell>
          <cell r="O4061">
            <v>177784000</v>
          </cell>
        </row>
        <row r="4062">
          <cell r="A4062" t="str">
            <v>Sweden AutoOff Balance Sheet Assets</v>
          </cell>
          <cell r="B4062">
            <v>0</v>
          </cell>
          <cell r="C4062">
            <v>0</v>
          </cell>
          <cell r="D4062">
            <v>0</v>
          </cell>
          <cell r="E4062">
            <v>0</v>
          </cell>
          <cell r="F4062">
            <v>0</v>
          </cell>
          <cell r="G4062">
            <v>0</v>
          </cell>
          <cell r="H4062">
            <v>0</v>
          </cell>
          <cell r="I4062">
            <v>0</v>
          </cell>
          <cell r="J4062">
            <v>0</v>
          </cell>
          <cell r="K4062">
            <v>0</v>
          </cell>
          <cell r="L4062">
            <v>0</v>
          </cell>
          <cell r="M4062">
            <v>0</v>
          </cell>
          <cell r="N4062">
            <v>0</v>
          </cell>
          <cell r="O4062">
            <v>0</v>
          </cell>
        </row>
        <row r="4063">
          <cell r="A4063" t="str">
            <v>Sweden AutoJV Receivables</v>
          </cell>
          <cell r="B4063">
            <v>0</v>
          </cell>
          <cell r="C4063">
            <v>0</v>
          </cell>
          <cell r="D4063">
            <v>0</v>
          </cell>
          <cell r="E4063">
            <v>0</v>
          </cell>
          <cell r="F4063">
            <v>0</v>
          </cell>
          <cell r="G4063">
            <v>0</v>
          </cell>
          <cell r="H4063">
            <v>0</v>
          </cell>
          <cell r="I4063">
            <v>0</v>
          </cell>
          <cell r="J4063">
            <v>0</v>
          </cell>
          <cell r="K4063">
            <v>0</v>
          </cell>
          <cell r="L4063">
            <v>0</v>
          </cell>
          <cell r="M4063">
            <v>0</v>
          </cell>
          <cell r="N4063">
            <v>0</v>
          </cell>
          <cell r="O4063">
            <v>0</v>
          </cell>
        </row>
        <row r="4064">
          <cell r="A4064" t="str">
            <v>Sweden Auto30+ DELINQUENCY $</v>
          </cell>
          <cell r="B4064">
            <v>0</v>
          </cell>
          <cell r="C4064">
            <v>0</v>
          </cell>
          <cell r="D4064">
            <v>0</v>
          </cell>
          <cell r="E4064">
            <v>0</v>
          </cell>
          <cell r="F4064">
            <v>0</v>
          </cell>
          <cell r="G4064">
            <v>0</v>
          </cell>
          <cell r="H4064">
            <v>0</v>
          </cell>
          <cell r="I4064">
            <v>0</v>
          </cell>
          <cell r="J4064">
            <v>0</v>
          </cell>
          <cell r="K4064">
            <v>0</v>
          </cell>
          <cell r="L4064">
            <v>0</v>
          </cell>
          <cell r="M4064">
            <v>0</v>
          </cell>
          <cell r="N4064">
            <v>0</v>
          </cell>
          <cell r="O4064">
            <v>0</v>
          </cell>
        </row>
        <row r="4065">
          <cell r="A4065" t="str">
            <v>Sweden Auto90+ DELINQUENCY $</v>
          </cell>
          <cell r="B4065">
            <v>0</v>
          </cell>
          <cell r="C4065">
            <v>0</v>
          </cell>
          <cell r="D4065">
            <v>0</v>
          </cell>
          <cell r="E4065">
            <v>0</v>
          </cell>
          <cell r="F4065">
            <v>0</v>
          </cell>
          <cell r="G4065">
            <v>0</v>
          </cell>
          <cell r="H4065">
            <v>0</v>
          </cell>
          <cell r="I4065">
            <v>0</v>
          </cell>
          <cell r="J4065">
            <v>0</v>
          </cell>
          <cell r="K4065">
            <v>0</v>
          </cell>
          <cell r="L4065">
            <v>0</v>
          </cell>
          <cell r="M4065">
            <v>0</v>
          </cell>
          <cell r="N4065">
            <v>0</v>
          </cell>
          <cell r="O4065">
            <v>0</v>
          </cell>
        </row>
        <row r="4066">
          <cell r="A4066" t="str">
            <v>Sweden AutoTemporary Staff</v>
          </cell>
          <cell r="B4066">
            <v>0</v>
          </cell>
          <cell r="C4066">
            <v>0</v>
          </cell>
          <cell r="D4066">
            <v>0</v>
          </cell>
          <cell r="E4066">
            <v>0</v>
          </cell>
          <cell r="F4066">
            <v>0</v>
          </cell>
          <cell r="G4066">
            <v>0</v>
          </cell>
          <cell r="H4066">
            <v>0</v>
          </cell>
          <cell r="I4066">
            <v>0</v>
          </cell>
          <cell r="J4066">
            <v>0</v>
          </cell>
          <cell r="K4066">
            <v>0</v>
          </cell>
          <cell r="L4066">
            <v>0</v>
          </cell>
          <cell r="M4066">
            <v>0</v>
          </cell>
          <cell r="N4066">
            <v>0</v>
          </cell>
          <cell r="O4066">
            <v>0</v>
          </cell>
        </row>
        <row r="4067">
          <cell r="A4067" t="str">
            <v>Sweden AutoContractors</v>
          </cell>
          <cell r="B4067">
            <v>0</v>
          </cell>
          <cell r="C4067">
            <v>0</v>
          </cell>
          <cell r="D4067">
            <v>0</v>
          </cell>
          <cell r="E4067">
            <v>0</v>
          </cell>
          <cell r="F4067">
            <v>0</v>
          </cell>
          <cell r="G4067">
            <v>0</v>
          </cell>
          <cell r="H4067">
            <v>0</v>
          </cell>
          <cell r="I4067">
            <v>0</v>
          </cell>
          <cell r="J4067">
            <v>0</v>
          </cell>
          <cell r="K4067">
            <v>0</v>
          </cell>
          <cell r="L4067">
            <v>0</v>
          </cell>
          <cell r="M4067">
            <v>0</v>
          </cell>
          <cell r="N4067">
            <v>0</v>
          </cell>
          <cell r="O4067">
            <v>0</v>
          </cell>
        </row>
        <row r="4068">
          <cell r="A4068" t="str">
            <v>Sweden AutoOutsourced to LCC</v>
          </cell>
          <cell r="B4068">
            <v>0</v>
          </cell>
          <cell r="C4068">
            <v>0</v>
          </cell>
          <cell r="D4068">
            <v>0</v>
          </cell>
          <cell r="E4068">
            <v>0</v>
          </cell>
          <cell r="F4068">
            <v>0</v>
          </cell>
          <cell r="G4068">
            <v>0</v>
          </cell>
          <cell r="H4068">
            <v>0</v>
          </cell>
          <cell r="I4068">
            <v>0</v>
          </cell>
          <cell r="J4068">
            <v>0</v>
          </cell>
          <cell r="K4068">
            <v>0</v>
          </cell>
          <cell r="L4068">
            <v>0</v>
          </cell>
          <cell r="M4068">
            <v>0</v>
          </cell>
          <cell r="N4068">
            <v>0</v>
          </cell>
          <cell r="O4068">
            <v>0</v>
          </cell>
        </row>
        <row r="4069">
          <cell r="A4069" t="str">
            <v>Sweden AutoTotal Headcount</v>
          </cell>
          <cell r="B4069">
            <v>0</v>
          </cell>
          <cell r="C4069">
            <v>0</v>
          </cell>
          <cell r="D4069">
            <v>0</v>
          </cell>
          <cell r="E4069">
            <v>0</v>
          </cell>
          <cell r="F4069">
            <v>0</v>
          </cell>
          <cell r="G4069">
            <v>0</v>
          </cell>
          <cell r="H4069">
            <v>0</v>
          </cell>
          <cell r="I4069">
            <v>0</v>
          </cell>
          <cell r="J4069">
            <v>0</v>
          </cell>
          <cell r="K4069">
            <v>0</v>
          </cell>
          <cell r="L4069">
            <v>0</v>
          </cell>
          <cell r="M4069">
            <v>0</v>
          </cell>
          <cell r="N4069">
            <v>0</v>
          </cell>
          <cell r="O4069">
            <v>0</v>
          </cell>
        </row>
        <row r="4070">
          <cell r="A4070" t="str">
            <v>Sweden AutoTotal Workforce</v>
          </cell>
          <cell r="B4070">
            <v>0</v>
          </cell>
          <cell r="C4070">
            <v>0</v>
          </cell>
          <cell r="D4070">
            <v>0</v>
          </cell>
          <cell r="E4070">
            <v>0</v>
          </cell>
          <cell r="F4070">
            <v>0</v>
          </cell>
          <cell r="G4070">
            <v>0</v>
          </cell>
          <cell r="H4070">
            <v>0</v>
          </cell>
          <cell r="I4070">
            <v>0</v>
          </cell>
          <cell r="J4070">
            <v>0</v>
          </cell>
          <cell r="K4070">
            <v>0</v>
          </cell>
          <cell r="L4070">
            <v>0</v>
          </cell>
          <cell r="M4070">
            <v>0</v>
          </cell>
          <cell r="N4070">
            <v>0</v>
          </cell>
          <cell r="O4070">
            <v>0</v>
          </cell>
        </row>
        <row r="4071">
          <cell r="A4071" t="str">
            <v>Sweden AutoTotal Earned Revenue</v>
          </cell>
          <cell r="B4071">
            <v>-7328584</v>
          </cell>
          <cell r="C4071">
            <v>-7176673</v>
          </cell>
          <cell r="D4071">
            <v>-7625406</v>
          </cell>
          <cell r="E4071">
            <v>-7677853</v>
          </cell>
          <cell r="F4071">
            <v>-29808516</v>
          </cell>
          <cell r="G4071">
            <v>-6980000</v>
          </cell>
          <cell r="H4071">
            <v>-7070000</v>
          </cell>
          <cell r="I4071">
            <v>-7210000</v>
          </cell>
          <cell r="J4071">
            <v>-7160000</v>
          </cell>
          <cell r="K4071">
            <v>-28420000</v>
          </cell>
          <cell r="L4071">
            <v>-7135486.7000000002</v>
          </cell>
          <cell r="M4071">
            <v>-31430000</v>
          </cell>
          <cell r="N4071">
            <v>-32930000</v>
          </cell>
          <cell r="O4071">
            <v>-34580000</v>
          </cell>
        </row>
        <row r="4072">
          <cell r="A4072" t="str">
            <v>Sweden AutoOrdinary Gains - PreTax</v>
          </cell>
          <cell r="B4072">
            <v>0</v>
          </cell>
          <cell r="C4072">
            <v>0</v>
          </cell>
          <cell r="D4072">
            <v>0</v>
          </cell>
          <cell r="E4072">
            <v>0</v>
          </cell>
          <cell r="F4072">
            <v>0</v>
          </cell>
          <cell r="G4072">
            <v>0</v>
          </cell>
          <cell r="H4072">
            <v>0</v>
          </cell>
          <cell r="I4072">
            <v>0</v>
          </cell>
          <cell r="J4072">
            <v>0</v>
          </cell>
          <cell r="K4072">
            <v>0</v>
          </cell>
          <cell r="L4072">
            <v>0</v>
          </cell>
          <cell r="M4072">
            <v>0</v>
          </cell>
          <cell r="N4072">
            <v>0</v>
          </cell>
          <cell r="O4072">
            <v>0</v>
          </cell>
        </row>
        <row r="4073">
          <cell r="A4073" t="str">
            <v>Sweden AutoOrdinary Gains - AfterTax</v>
          </cell>
          <cell r="B4073">
            <v>0</v>
          </cell>
          <cell r="C4073">
            <v>0</v>
          </cell>
          <cell r="D4073">
            <v>0</v>
          </cell>
          <cell r="E4073">
            <v>0</v>
          </cell>
          <cell r="F4073">
            <v>0</v>
          </cell>
          <cell r="G4073">
            <v>0</v>
          </cell>
          <cell r="H4073">
            <v>0</v>
          </cell>
          <cell r="I4073">
            <v>0</v>
          </cell>
          <cell r="J4073">
            <v>0</v>
          </cell>
          <cell r="K4073">
            <v>0</v>
          </cell>
          <cell r="L4073">
            <v>0</v>
          </cell>
          <cell r="M4073">
            <v>0</v>
          </cell>
          <cell r="N4073">
            <v>0</v>
          </cell>
          <cell r="O4073">
            <v>0</v>
          </cell>
        </row>
        <row r="4074">
          <cell r="A4074" t="str">
            <v>Sweden AutoTotal Volume</v>
          </cell>
          <cell r="B4074">
            <v>0</v>
          </cell>
          <cell r="C4074">
            <v>0</v>
          </cell>
          <cell r="D4074">
            <v>0</v>
          </cell>
          <cell r="E4074">
            <v>0</v>
          </cell>
          <cell r="F4074">
            <v>0</v>
          </cell>
          <cell r="G4074">
            <v>0</v>
          </cell>
          <cell r="H4074">
            <v>0</v>
          </cell>
          <cell r="I4074">
            <v>0</v>
          </cell>
          <cell r="J4074">
            <v>0</v>
          </cell>
          <cell r="K4074">
            <v>0</v>
          </cell>
          <cell r="L4074">
            <v>61230000</v>
          </cell>
          <cell r="M4074">
            <v>0</v>
          </cell>
          <cell r="N4074">
            <v>0</v>
          </cell>
          <cell r="O4074">
            <v>0</v>
          </cell>
        </row>
        <row r="4075">
          <cell r="A4075" t="str">
            <v>Sweden AutoTOTAL # ACTIVE ACCOUNTS</v>
          </cell>
          <cell r="B4075">
            <v>0</v>
          </cell>
          <cell r="C4075">
            <v>0</v>
          </cell>
          <cell r="D4075">
            <v>0</v>
          </cell>
          <cell r="E4075">
            <v>0</v>
          </cell>
          <cell r="F4075">
            <v>0</v>
          </cell>
          <cell r="G4075">
            <v>0</v>
          </cell>
          <cell r="H4075">
            <v>0</v>
          </cell>
          <cell r="I4075">
            <v>0</v>
          </cell>
          <cell r="J4075">
            <v>0</v>
          </cell>
          <cell r="K4075">
            <v>0</v>
          </cell>
          <cell r="L4075">
            <v>0</v>
          </cell>
          <cell r="M4075">
            <v>0</v>
          </cell>
          <cell r="N4075">
            <v>0</v>
          </cell>
          <cell r="O4075">
            <v>0</v>
          </cell>
        </row>
        <row r="4076">
          <cell r="A4076" t="str">
            <v>SwitzerlandTOTAL FINANCING RECEIVABLES</v>
          </cell>
          <cell r="B4076">
            <v>2657131074.7399998</v>
          </cell>
          <cell r="C4076">
            <v>2611547727.25</v>
          </cell>
          <cell r="D4076">
            <v>2890590061.4099998</v>
          </cell>
          <cell r="E4076">
            <v>2871427660.0100002</v>
          </cell>
          <cell r="F4076">
            <v>2871427660.0100002</v>
          </cell>
          <cell r="G4076">
            <v>2723546882.1012602</v>
          </cell>
          <cell r="H4076">
            <v>2841463219.62675</v>
          </cell>
          <cell r="I4076">
            <v>2876580279.3193002</v>
          </cell>
          <cell r="J4076">
            <v>2841200542.6608901</v>
          </cell>
          <cell r="K4076">
            <v>2841200542.6608901</v>
          </cell>
          <cell r="L4076">
            <v>2825216321.7399998</v>
          </cell>
          <cell r="M4076">
            <v>2813578067</v>
          </cell>
          <cell r="N4076">
            <v>2946553392</v>
          </cell>
          <cell r="O4076">
            <v>3070036448</v>
          </cell>
        </row>
        <row r="4077">
          <cell r="A4077" t="str">
            <v>SwitzerlandRECEIVABLE RESERVES</v>
          </cell>
          <cell r="B4077">
            <v>-133482720.86</v>
          </cell>
          <cell r="C4077">
            <v>-132880421.62</v>
          </cell>
          <cell r="D4077">
            <v>-135833853.38</v>
          </cell>
          <cell r="E4077">
            <v>-125006337.66</v>
          </cell>
          <cell r="F4077">
            <v>-125006337.66</v>
          </cell>
          <cell r="G4077">
            <v>-121377568.07817</v>
          </cell>
          <cell r="H4077">
            <v>-125118371.719198</v>
          </cell>
          <cell r="I4077">
            <v>-126690670.923508</v>
          </cell>
          <cell r="J4077">
            <v>-127176639.322624</v>
          </cell>
          <cell r="K4077">
            <v>-127176639.322624</v>
          </cell>
          <cell r="L4077">
            <v>-125961038.81</v>
          </cell>
          <cell r="M4077">
            <v>-143269460</v>
          </cell>
          <cell r="N4077">
            <v>-151105437</v>
          </cell>
          <cell r="O4077">
            <v>-155770048</v>
          </cell>
        </row>
        <row r="4078">
          <cell r="A4078" t="str">
            <v>SwitzerlandCASH</v>
          </cell>
          <cell r="B4078">
            <v>28362003.34</v>
          </cell>
          <cell r="C4078">
            <v>36792599.420000002</v>
          </cell>
          <cell r="D4078">
            <v>34142302.090000004</v>
          </cell>
          <cell r="E4078">
            <v>17924561.989999998</v>
          </cell>
          <cell r="F4078">
            <v>17924561.989999998</v>
          </cell>
          <cell r="G4078">
            <v>11764705.882353</v>
          </cell>
          <cell r="H4078">
            <v>11764705.882353</v>
          </cell>
          <cell r="I4078">
            <v>11764705.882353</v>
          </cell>
          <cell r="J4078">
            <v>11764705.882353</v>
          </cell>
          <cell r="K4078">
            <v>11764705.882353</v>
          </cell>
          <cell r="L4078">
            <v>32726699.809999999</v>
          </cell>
          <cell r="M4078">
            <v>20082734</v>
          </cell>
          <cell r="N4078">
            <v>19719077</v>
          </cell>
          <cell r="O4078">
            <v>20273577</v>
          </cell>
        </row>
        <row r="4079">
          <cell r="A4079" t="str">
            <v>SwitzerlandINVESTMENT SECURITIES</v>
          </cell>
          <cell r="B4079">
            <v>12388592.83</v>
          </cell>
          <cell r="C4079">
            <v>11931402.01</v>
          </cell>
          <cell r="D4079">
            <v>12989502.550000001</v>
          </cell>
          <cell r="E4079">
            <v>12891268.279999999</v>
          </cell>
          <cell r="F4079">
            <v>12891268.279999999</v>
          </cell>
          <cell r="G4079">
            <v>12355902.352941001</v>
          </cell>
          <cell r="H4079">
            <v>12355902.352941001</v>
          </cell>
          <cell r="I4079">
            <v>12355902.352941001</v>
          </cell>
          <cell r="J4079">
            <v>12355902.352941001</v>
          </cell>
          <cell r="K4079">
            <v>12355902.352941001</v>
          </cell>
          <cell r="L4079">
            <v>12647902.609999999</v>
          </cell>
          <cell r="M4079">
            <v>12139311</v>
          </cell>
          <cell r="N4079">
            <v>12139311</v>
          </cell>
          <cell r="O4079">
            <v>12139311</v>
          </cell>
        </row>
        <row r="4080">
          <cell r="A4080" t="str">
            <v>SwitzerlandINV IN NON CONSOL AFFILIATES</v>
          </cell>
          <cell r="B4080">
            <v>0</v>
          </cell>
          <cell r="C4080">
            <v>0</v>
          </cell>
          <cell r="D4080">
            <v>0</v>
          </cell>
          <cell r="E4080">
            <v>0</v>
          </cell>
          <cell r="F4080">
            <v>0</v>
          </cell>
          <cell r="G4080">
            <v>0</v>
          </cell>
          <cell r="H4080">
            <v>0</v>
          </cell>
          <cell r="I4080">
            <v>0</v>
          </cell>
          <cell r="J4080">
            <v>0</v>
          </cell>
          <cell r="K4080">
            <v>0</v>
          </cell>
          <cell r="L4080">
            <v>0</v>
          </cell>
          <cell r="M4080">
            <v>0</v>
          </cell>
          <cell r="N4080">
            <v>0</v>
          </cell>
          <cell r="O4080">
            <v>0</v>
          </cell>
        </row>
        <row r="4081">
          <cell r="A4081" t="str">
            <v>SwitzerlandINVESTMENT IN JOINT VENTURE</v>
          </cell>
          <cell r="B4081">
            <v>0</v>
          </cell>
          <cell r="C4081">
            <v>0</v>
          </cell>
          <cell r="D4081">
            <v>0</v>
          </cell>
          <cell r="E4081">
            <v>0</v>
          </cell>
          <cell r="F4081">
            <v>0</v>
          </cell>
          <cell r="G4081">
            <v>0</v>
          </cell>
          <cell r="H4081">
            <v>0</v>
          </cell>
          <cell r="I4081">
            <v>0</v>
          </cell>
          <cell r="J4081">
            <v>0</v>
          </cell>
          <cell r="K4081">
            <v>0</v>
          </cell>
          <cell r="L4081">
            <v>0</v>
          </cell>
          <cell r="M4081">
            <v>0</v>
          </cell>
          <cell r="N4081">
            <v>0</v>
          </cell>
          <cell r="O4081">
            <v>0</v>
          </cell>
        </row>
        <row r="4082">
          <cell r="A4082" t="str">
            <v>SwitzerlandALL OTHER RECEIVABLES (NON-FINANCING)</v>
          </cell>
          <cell r="B4082">
            <v>13989067.92</v>
          </cell>
          <cell r="C4082">
            <v>15114502.859999999</v>
          </cell>
          <cell r="D4082">
            <v>12809482.199999999</v>
          </cell>
          <cell r="E4082">
            <v>32379565.600000001</v>
          </cell>
          <cell r="F4082">
            <v>32379565.600000001</v>
          </cell>
          <cell r="G4082">
            <v>19186605.800000001</v>
          </cell>
          <cell r="H4082">
            <v>19186605.800000001</v>
          </cell>
          <cell r="I4082">
            <v>19186605.800000001</v>
          </cell>
          <cell r="J4082">
            <v>19186605.800000001</v>
          </cell>
          <cell r="K4082">
            <v>19186605.800000001</v>
          </cell>
          <cell r="L4082">
            <v>8904372.5700000003</v>
          </cell>
          <cell r="M4082">
            <v>14705882</v>
          </cell>
          <cell r="N4082">
            <v>14705882</v>
          </cell>
          <cell r="O4082">
            <v>14705882</v>
          </cell>
        </row>
        <row r="4083">
          <cell r="A4083" t="str">
            <v>SwitzerlandELTO (NET)</v>
          </cell>
          <cell r="B4083">
            <v>0</v>
          </cell>
          <cell r="C4083">
            <v>0</v>
          </cell>
          <cell r="D4083">
            <v>0</v>
          </cell>
          <cell r="E4083">
            <v>0</v>
          </cell>
          <cell r="F4083">
            <v>0</v>
          </cell>
          <cell r="G4083">
            <v>0</v>
          </cell>
          <cell r="H4083">
            <v>0</v>
          </cell>
          <cell r="I4083">
            <v>0</v>
          </cell>
          <cell r="J4083">
            <v>0</v>
          </cell>
          <cell r="K4083">
            <v>0</v>
          </cell>
          <cell r="L4083">
            <v>0</v>
          </cell>
          <cell r="M4083">
            <v>0</v>
          </cell>
          <cell r="N4083">
            <v>0</v>
          </cell>
          <cell r="O4083">
            <v>0</v>
          </cell>
        </row>
        <row r="4084">
          <cell r="A4084" t="str">
            <v>SwitzerlandGOODWILL</v>
          </cell>
          <cell r="B4084">
            <v>238239526.06999999</v>
          </cell>
          <cell r="C4084">
            <v>227942015.16</v>
          </cell>
          <cell r="D4084">
            <v>244358015</v>
          </cell>
          <cell r="E4084">
            <v>239490961.61000001</v>
          </cell>
          <cell r="F4084">
            <v>239490961.61000001</v>
          </cell>
          <cell r="G4084">
            <v>229545058.84705901</v>
          </cell>
          <cell r="H4084">
            <v>229545058.84705901</v>
          </cell>
          <cell r="I4084">
            <v>229545058.84705901</v>
          </cell>
          <cell r="J4084">
            <v>229545058.84705901</v>
          </cell>
          <cell r="K4084">
            <v>229545058.84705901</v>
          </cell>
          <cell r="L4084">
            <v>235658312.03</v>
          </cell>
          <cell r="M4084">
            <v>215197576</v>
          </cell>
          <cell r="N4084">
            <v>200850094</v>
          </cell>
          <cell r="O4084">
            <v>186502612</v>
          </cell>
        </row>
        <row r="4085">
          <cell r="A4085" t="str">
            <v>SwitzerlandOTHER ASSETS</v>
          </cell>
          <cell r="B4085">
            <v>14453677.73</v>
          </cell>
          <cell r="C4085">
            <v>12088177.800000001</v>
          </cell>
          <cell r="D4085">
            <v>13085594.380000001</v>
          </cell>
          <cell r="E4085">
            <v>18993196.739999998</v>
          </cell>
          <cell r="F4085">
            <v>18993196.739999998</v>
          </cell>
          <cell r="G4085">
            <v>15565343.853922</v>
          </cell>
          <cell r="H4085">
            <v>17818637.471569002</v>
          </cell>
          <cell r="I4085">
            <v>19049953.236274999</v>
          </cell>
          <cell r="J4085">
            <v>20104773.295097999</v>
          </cell>
          <cell r="K4085">
            <v>20104773.295097999</v>
          </cell>
          <cell r="L4085">
            <v>14648264.720000001</v>
          </cell>
          <cell r="M4085">
            <v>18067442</v>
          </cell>
          <cell r="N4085">
            <v>14974107</v>
          </cell>
          <cell r="O4085">
            <v>11587100</v>
          </cell>
        </row>
        <row r="4086">
          <cell r="A4086" t="str">
            <v>SwitzerlandACCOUNTS PAYABLE</v>
          </cell>
          <cell r="B4086">
            <v>-40379586.969999999</v>
          </cell>
          <cell r="C4086">
            <v>-29592706.120000001</v>
          </cell>
          <cell r="D4086">
            <v>-39563173.719999999</v>
          </cell>
          <cell r="E4086">
            <v>-21201171.52</v>
          </cell>
          <cell r="F4086">
            <v>-21201171.52</v>
          </cell>
          <cell r="G4086">
            <v>-37728867.650316998</v>
          </cell>
          <cell r="H4086">
            <v>-37728867.650316998</v>
          </cell>
          <cell r="I4086">
            <v>-37728867.650316998</v>
          </cell>
          <cell r="J4086">
            <v>-37728867.650316998</v>
          </cell>
          <cell r="K4086">
            <v>-37728867.650316998</v>
          </cell>
          <cell r="L4086">
            <v>-19420836.940000001</v>
          </cell>
          <cell r="M4086">
            <v>-57397969</v>
          </cell>
          <cell r="N4086">
            <v>-57397969</v>
          </cell>
          <cell r="O4086">
            <v>-57397969</v>
          </cell>
        </row>
        <row r="4087">
          <cell r="A4087" t="str">
            <v>SwitzerlandDEFERRED INCOME TAXES</v>
          </cell>
          <cell r="B4087">
            <v>45329919.25</v>
          </cell>
          <cell r="C4087">
            <v>45269973.420000002</v>
          </cell>
          <cell r="D4087">
            <v>45146529.409999996</v>
          </cell>
          <cell r="E4087">
            <v>19759686.809999999</v>
          </cell>
          <cell r="F4087">
            <v>19759686.809999999</v>
          </cell>
          <cell r="G4087">
            <v>41885238.386180997</v>
          </cell>
          <cell r="H4087">
            <v>41885238.386180997</v>
          </cell>
          <cell r="I4087">
            <v>41885238.386180997</v>
          </cell>
          <cell r="J4087">
            <v>41885238.386180997</v>
          </cell>
          <cell r="K4087">
            <v>41885238.386180997</v>
          </cell>
          <cell r="L4087">
            <v>17333641.539999999</v>
          </cell>
          <cell r="M4087">
            <v>38492564</v>
          </cell>
          <cell r="N4087">
            <v>38492564</v>
          </cell>
          <cell r="O4087">
            <v>38492564</v>
          </cell>
        </row>
        <row r="4088">
          <cell r="A4088" t="str">
            <v>SwitzerlandWRITE-OFF (MEMO)</v>
          </cell>
          <cell r="B4088">
            <v>-992323.31</v>
          </cell>
          <cell r="C4088">
            <v>-897570.82</v>
          </cell>
          <cell r="D4088">
            <v>7499433.9000000004</v>
          </cell>
          <cell r="E4088">
            <v>11592849.41</v>
          </cell>
          <cell r="F4088">
            <v>11592849.41</v>
          </cell>
          <cell r="G4088">
            <v>-13546480.967706</v>
          </cell>
          <cell r="H4088">
            <v>-4870075.3451469997</v>
          </cell>
          <cell r="I4088">
            <v>2879751.9216729999</v>
          </cell>
          <cell r="J4088">
            <v>6802787.0785670001</v>
          </cell>
          <cell r="K4088">
            <v>6802787.0785670001</v>
          </cell>
          <cell r="L4088">
            <v>-15111389.99</v>
          </cell>
          <cell r="M4088">
            <v>10666146</v>
          </cell>
          <cell r="N4088">
            <v>8506913</v>
          </cell>
          <cell r="O4088">
            <v>7544040</v>
          </cell>
        </row>
        <row r="4089">
          <cell r="A4089" t="str">
            <v>SwitzerlandINSURANCE RESERVES AND ANNUITY BENEFITS</v>
          </cell>
          <cell r="B4089">
            <v>0</v>
          </cell>
          <cell r="C4089">
            <v>0</v>
          </cell>
          <cell r="D4089">
            <v>0</v>
          </cell>
          <cell r="E4089">
            <v>0</v>
          </cell>
          <cell r="F4089">
            <v>0</v>
          </cell>
          <cell r="G4089">
            <v>0</v>
          </cell>
          <cell r="H4089">
            <v>0</v>
          </cell>
          <cell r="I4089">
            <v>0</v>
          </cell>
          <cell r="J4089">
            <v>0</v>
          </cell>
          <cell r="K4089">
            <v>0</v>
          </cell>
          <cell r="L4089">
            <v>0</v>
          </cell>
          <cell r="M4089">
            <v>0</v>
          </cell>
          <cell r="N4089">
            <v>0</v>
          </cell>
          <cell r="O4089">
            <v>0</v>
          </cell>
        </row>
        <row r="4090">
          <cell r="A4090" t="str">
            <v>SwitzerlandALL OTHER NON DEBT LIABILITIES</v>
          </cell>
          <cell r="B4090">
            <v>-41221934.950000003</v>
          </cell>
          <cell r="C4090">
            <v>-68144436.730000004</v>
          </cell>
          <cell r="D4090">
            <v>-42522371.060000002</v>
          </cell>
          <cell r="E4090">
            <v>-65724493.759999998</v>
          </cell>
          <cell r="F4090">
            <v>-65724493.759999998</v>
          </cell>
          <cell r="G4090">
            <v>-50595778.629192002</v>
          </cell>
          <cell r="H4090">
            <v>-50595778.629192002</v>
          </cell>
          <cell r="I4090">
            <v>-50595778.629192002</v>
          </cell>
          <cell r="J4090">
            <v>-50595778.629192002</v>
          </cell>
          <cell r="K4090">
            <v>-50595778.629192002</v>
          </cell>
          <cell r="L4090">
            <v>-58194135.130000003</v>
          </cell>
          <cell r="M4090">
            <v>-33348672</v>
          </cell>
          <cell r="N4090">
            <v>-33348672</v>
          </cell>
          <cell r="O4090">
            <v>-33348672</v>
          </cell>
        </row>
        <row r="4091">
          <cell r="A4091" t="str">
            <v>SwitzerlandMINORITY INTEREST (BS)</v>
          </cell>
          <cell r="B4091">
            <v>0</v>
          </cell>
          <cell r="C4091">
            <v>0</v>
          </cell>
          <cell r="D4091">
            <v>0</v>
          </cell>
          <cell r="E4091">
            <v>0</v>
          </cell>
          <cell r="F4091">
            <v>0</v>
          </cell>
          <cell r="G4091">
            <v>0</v>
          </cell>
          <cell r="H4091">
            <v>0</v>
          </cell>
          <cell r="I4091">
            <v>0</v>
          </cell>
          <cell r="J4091">
            <v>0</v>
          </cell>
          <cell r="K4091">
            <v>0</v>
          </cell>
          <cell r="L4091">
            <v>0</v>
          </cell>
          <cell r="M4091">
            <v>0</v>
          </cell>
          <cell r="N4091">
            <v>0</v>
          </cell>
          <cell r="O4091">
            <v>0</v>
          </cell>
        </row>
        <row r="4092">
          <cell r="A4092" t="str">
            <v>SwitzerlandASIA PACIFIC ENI DIVIDEND</v>
          </cell>
          <cell r="B4092">
            <v>0</v>
          </cell>
          <cell r="C4092">
            <v>0</v>
          </cell>
          <cell r="D4092">
            <v>0</v>
          </cell>
          <cell r="E4092">
            <v>0</v>
          </cell>
          <cell r="F4092">
            <v>0</v>
          </cell>
          <cell r="G4092">
            <v>0</v>
          </cell>
          <cell r="H4092">
            <v>0</v>
          </cell>
          <cell r="I4092">
            <v>0</v>
          </cell>
          <cell r="J4092">
            <v>0</v>
          </cell>
          <cell r="K4092">
            <v>0</v>
          </cell>
          <cell r="L4092">
            <v>0</v>
          </cell>
          <cell r="M4092">
            <v>0</v>
          </cell>
          <cell r="N4092">
            <v>0</v>
          </cell>
          <cell r="O4092">
            <v>0</v>
          </cell>
        </row>
        <row r="4093">
          <cell r="A4093" t="str">
            <v>SwitzerlandFINANCING INCOME</v>
          </cell>
          <cell r="B4093">
            <v>-61151435.579999998</v>
          </cell>
          <cell r="C4093">
            <v>-60724851.630000003</v>
          </cell>
          <cell r="D4093">
            <v>-65786876.609999999</v>
          </cell>
          <cell r="E4093">
            <v>-70764355.930000007</v>
          </cell>
          <cell r="F4093">
            <v>-258427519.75</v>
          </cell>
          <cell r="G4093">
            <v>-63867996.536596</v>
          </cell>
          <cell r="H4093">
            <v>-65555318.589644998</v>
          </cell>
          <cell r="I4093">
            <v>-67601824.145528004</v>
          </cell>
          <cell r="J4093">
            <v>-67186626.066740006</v>
          </cell>
          <cell r="K4093">
            <v>-264211765.33850899</v>
          </cell>
          <cell r="L4093">
            <v>-64094977.630000003</v>
          </cell>
          <cell r="M4093">
            <v>-266834224</v>
          </cell>
          <cell r="N4093">
            <v>-274067688</v>
          </cell>
          <cell r="O4093">
            <v>-282853760</v>
          </cell>
        </row>
        <row r="4094">
          <cell r="A4094" t="str">
            <v>SwitzerlandINSURANCE PREMIUM INCOME</v>
          </cell>
          <cell r="B4094">
            <v>0</v>
          </cell>
          <cell r="C4094">
            <v>0</v>
          </cell>
          <cell r="D4094">
            <v>0</v>
          </cell>
          <cell r="E4094">
            <v>0</v>
          </cell>
          <cell r="F4094">
            <v>0</v>
          </cell>
          <cell r="G4094">
            <v>0</v>
          </cell>
          <cell r="H4094">
            <v>0</v>
          </cell>
          <cell r="I4094">
            <v>0</v>
          </cell>
          <cell r="J4094">
            <v>0</v>
          </cell>
          <cell r="K4094">
            <v>0</v>
          </cell>
          <cell r="L4094">
            <v>0</v>
          </cell>
          <cell r="M4094">
            <v>0</v>
          </cell>
          <cell r="N4094">
            <v>0</v>
          </cell>
          <cell r="O4094">
            <v>0</v>
          </cell>
        </row>
        <row r="4095">
          <cell r="A4095" t="str">
            <v>SwitzerlandINSURANCE INCOME (COMMISSIONS)</v>
          </cell>
          <cell r="B4095">
            <v>0</v>
          </cell>
          <cell r="C4095">
            <v>0</v>
          </cell>
          <cell r="D4095">
            <v>0</v>
          </cell>
          <cell r="E4095">
            <v>0</v>
          </cell>
          <cell r="F4095">
            <v>0</v>
          </cell>
          <cell r="G4095">
            <v>0</v>
          </cell>
          <cell r="H4095">
            <v>0</v>
          </cell>
          <cell r="I4095">
            <v>0</v>
          </cell>
          <cell r="J4095">
            <v>0</v>
          </cell>
          <cell r="K4095">
            <v>0</v>
          </cell>
          <cell r="L4095">
            <v>-741988.78</v>
          </cell>
          <cell r="M4095">
            <v>0</v>
          </cell>
          <cell r="N4095">
            <v>0</v>
          </cell>
          <cell r="O4095">
            <v>0</v>
          </cell>
        </row>
        <row r="4096">
          <cell r="A4096" t="str">
            <v>SwitzerlandSUNDRY INCOME</v>
          </cell>
          <cell r="B4096">
            <v>-3050280.81</v>
          </cell>
          <cell r="C4096">
            <v>-2800031.91</v>
          </cell>
          <cell r="D4096">
            <v>5173985.42</v>
          </cell>
          <cell r="E4096">
            <v>-2867954.07</v>
          </cell>
          <cell r="F4096">
            <v>-3544281.37</v>
          </cell>
          <cell r="G4096">
            <v>-3048083.7575150002</v>
          </cell>
          <cell r="H4096">
            <v>-2921600.0305590001</v>
          </cell>
          <cell r="I4096">
            <v>-3175492.7006270001</v>
          </cell>
          <cell r="J4096">
            <v>-3371842.2168040001</v>
          </cell>
          <cell r="K4096">
            <v>-12517018.705506001</v>
          </cell>
          <cell r="L4096">
            <v>-952177.55</v>
          </cell>
          <cell r="M4096">
            <v>-14026662</v>
          </cell>
          <cell r="N4096">
            <v>-17807354</v>
          </cell>
          <cell r="O4096">
            <v>-18577567</v>
          </cell>
        </row>
        <row r="4097">
          <cell r="A4097" t="str">
            <v>SwitzerlandINTEREST EXPENSE</v>
          </cell>
          <cell r="B4097">
            <v>19617875.559999999</v>
          </cell>
          <cell r="C4097">
            <v>19515037.760000002</v>
          </cell>
          <cell r="D4097">
            <v>18862713.940000001</v>
          </cell>
          <cell r="E4097">
            <v>20266552.809999999</v>
          </cell>
          <cell r="F4097">
            <v>78262180.069999993</v>
          </cell>
          <cell r="G4097">
            <v>19629378.593433999</v>
          </cell>
          <cell r="H4097">
            <v>20946124.391387001</v>
          </cell>
          <cell r="I4097">
            <v>21988092.688535001</v>
          </cell>
          <cell r="J4097">
            <v>22388652.904635001</v>
          </cell>
          <cell r="K4097">
            <v>84952248.577990994</v>
          </cell>
          <cell r="L4097">
            <v>18093690.609999999</v>
          </cell>
          <cell r="M4097">
            <v>88647581</v>
          </cell>
          <cell r="N4097">
            <v>93771283</v>
          </cell>
          <cell r="O4097">
            <v>98047984</v>
          </cell>
        </row>
        <row r="4098">
          <cell r="A4098" t="str">
            <v>SwitzerlandINTEREST EXPENSE REDUCTIONS / BUS SHARING</v>
          </cell>
          <cell r="B4098">
            <v>0</v>
          </cell>
          <cell r="C4098">
            <v>0</v>
          </cell>
          <cell r="D4098">
            <v>0</v>
          </cell>
          <cell r="E4098">
            <v>0</v>
          </cell>
          <cell r="F4098">
            <v>0</v>
          </cell>
          <cell r="G4098">
            <v>0</v>
          </cell>
          <cell r="H4098">
            <v>0</v>
          </cell>
          <cell r="I4098">
            <v>0</v>
          </cell>
          <cell r="J4098">
            <v>0</v>
          </cell>
          <cell r="K4098">
            <v>0</v>
          </cell>
          <cell r="L4098">
            <v>0</v>
          </cell>
          <cell r="M4098">
            <v>0</v>
          </cell>
          <cell r="N4098">
            <v>0</v>
          </cell>
          <cell r="O4098">
            <v>0</v>
          </cell>
        </row>
        <row r="4099">
          <cell r="A4099" t="str">
            <v>SwitzerlandALLOCATED COST OF PREFERRED EQUITY</v>
          </cell>
          <cell r="B4099">
            <v>366462.27</v>
          </cell>
          <cell r="C4099">
            <v>295321.5</v>
          </cell>
          <cell r="D4099">
            <v>822153.73</v>
          </cell>
          <cell r="E4099">
            <v>-305355.01</v>
          </cell>
          <cell r="F4099">
            <v>1178582.49</v>
          </cell>
          <cell r="G4099">
            <v>0</v>
          </cell>
          <cell r="H4099">
            <v>0</v>
          </cell>
          <cell r="I4099">
            <v>0</v>
          </cell>
          <cell r="J4099">
            <v>0</v>
          </cell>
          <cell r="K4099">
            <v>0</v>
          </cell>
          <cell r="L4099">
            <v>180930.98</v>
          </cell>
          <cell r="M4099">
            <v>0</v>
          </cell>
          <cell r="N4099">
            <v>0</v>
          </cell>
          <cell r="O4099">
            <v>0</v>
          </cell>
        </row>
        <row r="4100">
          <cell r="A4100" t="str">
            <v>SwitzerlandSALARIES &amp; BENEFITS</v>
          </cell>
          <cell r="B4100">
            <v>10810370.140000001</v>
          </cell>
          <cell r="C4100">
            <v>10762031.57</v>
          </cell>
          <cell r="D4100">
            <v>9561747.9600000009</v>
          </cell>
          <cell r="E4100">
            <v>12159843.890000001</v>
          </cell>
          <cell r="F4100">
            <v>43293993.560000002</v>
          </cell>
          <cell r="G4100">
            <v>11036005.556934999</v>
          </cell>
          <cell r="H4100">
            <v>10818771.206419</v>
          </cell>
          <cell r="I4100">
            <v>10318796.667854</v>
          </cell>
          <cell r="J4100">
            <v>10054961.322309</v>
          </cell>
          <cell r="K4100">
            <v>42228534.753517002</v>
          </cell>
          <cell r="L4100">
            <v>10062379.289999999</v>
          </cell>
          <cell r="M4100">
            <v>38944773</v>
          </cell>
          <cell r="N4100">
            <v>38941283</v>
          </cell>
          <cell r="O4100">
            <v>39610531</v>
          </cell>
        </row>
        <row r="4101">
          <cell r="A4101" t="str">
            <v>SwitzerlandLOSSES ON OTHER ASSETS</v>
          </cell>
          <cell r="B4101">
            <v>0</v>
          </cell>
          <cell r="C4101">
            <v>0</v>
          </cell>
          <cell r="D4101">
            <v>0</v>
          </cell>
          <cell r="E4101">
            <v>0</v>
          </cell>
          <cell r="F4101">
            <v>0</v>
          </cell>
          <cell r="G4101">
            <v>0</v>
          </cell>
          <cell r="H4101">
            <v>0</v>
          </cell>
          <cell r="I4101">
            <v>0</v>
          </cell>
          <cell r="J4101">
            <v>0</v>
          </cell>
          <cell r="K4101">
            <v>0</v>
          </cell>
          <cell r="L4101">
            <v>0</v>
          </cell>
          <cell r="M4101">
            <v>0</v>
          </cell>
          <cell r="N4101">
            <v>0</v>
          </cell>
          <cell r="O4101">
            <v>0</v>
          </cell>
        </row>
        <row r="4102">
          <cell r="A4102" t="str">
            <v>SwitzerlandCOST OF GOODS SOLD</v>
          </cell>
          <cell r="B4102">
            <v>0</v>
          </cell>
          <cell r="C4102">
            <v>0</v>
          </cell>
          <cell r="D4102">
            <v>0</v>
          </cell>
          <cell r="E4102">
            <v>0</v>
          </cell>
          <cell r="F4102">
            <v>0</v>
          </cell>
          <cell r="G4102">
            <v>0</v>
          </cell>
          <cell r="H4102">
            <v>0</v>
          </cell>
          <cell r="I4102">
            <v>0</v>
          </cell>
          <cell r="J4102">
            <v>0</v>
          </cell>
          <cell r="K4102">
            <v>0</v>
          </cell>
          <cell r="L4102">
            <v>0</v>
          </cell>
          <cell r="M4102">
            <v>0</v>
          </cell>
          <cell r="N4102">
            <v>0</v>
          </cell>
          <cell r="O4102">
            <v>0</v>
          </cell>
        </row>
        <row r="4103">
          <cell r="A4103" t="str">
            <v>SwitzerlandCOST OF GOODS SOLD - DISTRIBUTION</v>
          </cell>
          <cell r="B4103">
            <v>0</v>
          </cell>
          <cell r="C4103">
            <v>0</v>
          </cell>
          <cell r="D4103">
            <v>0</v>
          </cell>
          <cell r="E4103">
            <v>0</v>
          </cell>
          <cell r="F4103">
            <v>0</v>
          </cell>
          <cell r="G4103">
            <v>0</v>
          </cell>
          <cell r="H4103">
            <v>0</v>
          </cell>
          <cell r="I4103">
            <v>0</v>
          </cell>
          <cell r="J4103">
            <v>0</v>
          </cell>
          <cell r="K4103">
            <v>0</v>
          </cell>
          <cell r="L4103">
            <v>0</v>
          </cell>
          <cell r="M4103">
            <v>0</v>
          </cell>
          <cell r="N4103">
            <v>0</v>
          </cell>
          <cell r="O4103">
            <v>0</v>
          </cell>
        </row>
        <row r="4104">
          <cell r="A4104" t="str">
            <v>SwitzerlandPOSTAGE</v>
          </cell>
          <cell r="B4104">
            <v>270203.12</v>
          </cell>
          <cell r="C4104">
            <v>538646.72</v>
          </cell>
          <cell r="D4104">
            <v>401402.43</v>
          </cell>
          <cell r="E4104">
            <v>306222.96000000002</v>
          </cell>
          <cell r="F4104">
            <v>1516475.23</v>
          </cell>
          <cell r="G4104">
            <v>388687.5</v>
          </cell>
          <cell r="H4104">
            <v>388511.02941199997</v>
          </cell>
          <cell r="I4104">
            <v>388334.55882400001</v>
          </cell>
          <cell r="J4104">
            <v>388452.20588199998</v>
          </cell>
          <cell r="K4104">
            <v>1553985.294118</v>
          </cell>
          <cell r="L4104">
            <v>303859.95</v>
          </cell>
          <cell r="M4104">
            <v>1826628</v>
          </cell>
          <cell r="N4104">
            <v>2063422</v>
          </cell>
          <cell r="O4104">
            <v>2190724</v>
          </cell>
        </row>
        <row r="4105">
          <cell r="A4105" t="str">
            <v>SwitzerlandTELEPHONE</v>
          </cell>
          <cell r="B4105">
            <v>184104.2</v>
          </cell>
          <cell r="C4105">
            <v>477540.29</v>
          </cell>
          <cell r="D4105">
            <v>362787.48</v>
          </cell>
          <cell r="E4105">
            <v>457086.44</v>
          </cell>
          <cell r="F4105">
            <v>1481518.41</v>
          </cell>
          <cell r="G4105">
            <v>276529.41176500003</v>
          </cell>
          <cell r="H4105">
            <v>276529.41176500003</v>
          </cell>
          <cell r="I4105">
            <v>276529.41176500003</v>
          </cell>
          <cell r="J4105">
            <v>276529.41176500003</v>
          </cell>
          <cell r="K4105">
            <v>1106117.6470590001</v>
          </cell>
          <cell r="L4105">
            <v>245719.75</v>
          </cell>
          <cell r="M4105">
            <v>1389946</v>
          </cell>
          <cell r="N4105">
            <v>1591833</v>
          </cell>
          <cell r="O4105">
            <v>1631771</v>
          </cell>
        </row>
        <row r="4106">
          <cell r="A4106" t="str">
            <v>SwitzerlandCUSTOMER SERVICE / COLLECTIONS</v>
          </cell>
          <cell r="B4106">
            <v>1728244.64</v>
          </cell>
          <cell r="C4106">
            <v>1955323.59</v>
          </cell>
          <cell r="D4106">
            <v>1587092.55</v>
          </cell>
          <cell r="E4106">
            <v>1712763.7</v>
          </cell>
          <cell r="F4106">
            <v>6983424.4800000004</v>
          </cell>
          <cell r="G4106">
            <v>1219117.0588239999</v>
          </cell>
          <cell r="H4106">
            <v>1219117.0588239999</v>
          </cell>
          <cell r="I4106">
            <v>1219117.0588239999</v>
          </cell>
          <cell r="J4106">
            <v>1219119.4117650001</v>
          </cell>
          <cell r="K4106">
            <v>4876470.5882350001</v>
          </cell>
          <cell r="L4106">
            <v>1418963.79</v>
          </cell>
          <cell r="M4106">
            <v>6832254</v>
          </cell>
          <cell r="N4106">
            <v>7470585</v>
          </cell>
          <cell r="O4106">
            <v>7658433</v>
          </cell>
        </row>
        <row r="4107">
          <cell r="A4107" t="str">
            <v>SwitzerlandSTATIONARY - OFFICE SUPPLIES</v>
          </cell>
          <cell r="B4107">
            <v>376774.97</v>
          </cell>
          <cell r="C4107">
            <v>391398.11</v>
          </cell>
          <cell r="D4107">
            <v>308534.56</v>
          </cell>
          <cell r="E4107">
            <v>382094.64</v>
          </cell>
          <cell r="F4107">
            <v>1458802.28</v>
          </cell>
          <cell r="G4107">
            <v>331809.70588199998</v>
          </cell>
          <cell r="H4107">
            <v>331956.76470599999</v>
          </cell>
          <cell r="I4107">
            <v>333648.52941199997</v>
          </cell>
          <cell r="J4107">
            <v>335120.29411800002</v>
          </cell>
          <cell r="K4107">
            <v>1332535.294118</v>
          </cell>
          <cell r="L4107">
            <v>329545.56</v>
          </cell>
          <cell r="M4107">
            <v>895562</v>
          </cell>
          <cell r="N4107">
            <v>1085206</v>
          </cell>
          <cell r="O4107">
            <v>1119823</v>
          </cell>
        </row>
        <row r="4108">
          <cell r="A4108" t="str">
            <v>SwitzerlandT&amp;L</v>
          </cell>
          <cell r="B4108">
            <v>295408.73</v>
          </cell>
          <cell r="C4108">
            <v>530439.76</v>
          </cell>
          <cell r="D4108">
            <v>270608.98</v>
          </cell>
          <cell r="E4108">
            <v>413583.1</v>
          </cell>
          <cell r="F4108">
            <v>1510040.57</v>
          </cell>
          <cell r="G4108">
            <v>354182.51689299999</v>
          </cell>
          <cell r="H4108">
            <v>296086.26582999999</v>
          </cell>
          <cell r="I4108">
            <v>273665.60756199999</v>
          </cell>
          <cell r="J4108">
            <v>316499.64945199998</v>
          </cell>
          <cell r="K4108">
            <v>1240434.0397369999</v>
          </cell>
          <cell r="L4108">
            <v>174359</v>
          </cell>
          <cell r="M4108">
            <v>1076884</v>
          </cell>
          <cell r="N4108">
            <v>1093786</v>
          </cell>
          <cell r="O4108">
            <v>1055613</v>
          </cell>
        </row>
        <row r="4109">
          <cell r="A4109" t="str">
            <v>SwitzerlandRENTAL - BLDG/FACILITIES</v>
          </cell>
          <cell r="B4109">
            <v>806850.55</v>
          </cell>
          <cell r="C4109">
            <v>723770.85</v>
          </cell>
          <cell r="D4109">
            <v>715204.07</v>
          </cell>
          <cell r="E4109">
            <v>772006.81</v>
          </cell>
          <cell r="F4109">
            <v>3017832.28</v>
          </cell>
          <cell r="G4109">
            <v>748235.29411799996</v>
          </cell>
          <cell r="H4109">
            <v>748235.29411799996</v>
          </cell>
          <cell r="I4109">
            <v>707647.05882399995</v>
          </cell>
          <cell r="J4109">
            <v>707647.05882399995</v>
          </cell>
          <cell r="K4109">
            <v>2911764.7058819998</v>
          </cell>
          <cell r="L4109">
            <v>760882.87</v>
          </cell>
          <cell r="M4109">
            <v>5992486</v>
          </cell>
          <cell r="N4109">
            <v>5620924</v>
          </cell>
          <cell r="O4109">
            <v>5462867</v>
          </cell>
        </row>
        <row r="4110">
          <cell r="A4110" t="str">
            <v>SwitzerlandRENTAL - FURNITURE/EQUIP</v>
          </cell>
          <cell r="B4110">
            <v>0</v>
          </cell>
          <cell r="C4110">
            <v>0</v>
          </cell>
          <cell r="D4110">
            <v>0</v>
          </cell>
          <cell r="E4110">
            <v>142245.51999999999</v>
          </cell>
          <cell r="F4110">
            <v>142245.51999999999</v>
          </cell>
          <cell r="G4110">
            <v>22058.823529000001</v>
          </cell>
          <cell r="H4110">
            <v>22058.823529000001</v>
          </cell>
          <cell r="I4110">
            <v>22058.823529000001</v>
          </cell>
          <cell r="J4110">
            <v>22058.823529000001</v>
          </cell>
          <cell r="K4110">
            <v>88235.294118000005</v>
          </cell>
          <cell r="L4110">
            <v>7208.99</v>
          </cell>
          <cell r="M4110">
            <v>0</v>
          </cell>
          <cell r="N4110">
            <v>0</v>
          </cell>
          <cell r="O4110">
            <v>0</v>
          </cell>
        </row>
        <row r="4111">
          <cell r="A4111" t="str">
            <v>SwitzerlandRENTAL - COMPUTERS</v>
          </cell>
          <cell r="B4111">
            <v>0</v>
          </cell>
          <cell r="C4111">
            <v>0</v>
          </cell>
          <cell r="D4111">
            <v>0</v>
          </cell>
          <cell r="E4111">
            <v>0</v>
          </cell>
          <cell r="F4111">
            <v>0</v>
          </cell>
          <cell r="G4111">
            <v>0</v>
          </cell>
          <cell r="H4111">
            <v>0</v>
          </cell>
          <cell r="I4111">
            <v>0</v>
          </cell>
          <cell r="J4111">
            <v>0</v>
          </cell>
          <cell r="K4111">
            <v>0</v>
          </cell>
          <cell r="L4111">
            <v>0</v>
          </cell>
          <cell r="M4111">
            <v>0</v>
          </cell>
          <cell r="N4111">
            <v>0</v>
          </cell>
          <cell r="O4111">
            <v>0</v>
          </cell>
        </row>
        <row r="4112">
          <cell r="A4112" t="str">
            <v>SwitzerlandLEASE IN - LEASE OUT</v>
          </cell>
          <cell r="B4112">
            <v>0</v>
          </cell>
          <cell r="C4112">
            <v>0</v>
          </cell>
          <cell r="D4112">
            <v>0</v>
          </cell>
          <cell r="E4112">
            <v>0</v>
          </cell>
          <cell r="F4112">
            <v>0</v>
          </cell>
          <cell r="G4112">
            <v>0</v>
          </cell>
          <cell r="H4112">
            <v>0</v>
          </cell>
          <cell r="I4112">
            <v>0</v>
          </cell>
          <cell r="J4112">
            <v>0</v>
          </cell>
          <cell r="K4112">
            <v>0</v>
          </cell>
          <cell r="L4112">
            <v>0</v>
          </cell>
          <cell r="M4112">
            <v>0</v>
          </cell>
          <cell r="N4112">
            <v>0</v>
          </cell>
          <cell r="O4112">
            <v>0</v>
          </cell>
        </row>
        <row r="4113">
          <cell r="A4113" t="str">
            <v>SwitzerlandFURNITURE / EQUIPMENT / COMPUTER EXP</v>
          </cell>
          <cell r="B4113">
            <v>26836.53</v>
          </cell>
          <cell r="C4113">
            <v>143103.85</v>
          </cell>
          <cell r="D4113">
            <v>120910.66</v>
          </cell>
          <cell r="E4113">
            <v>241469.2</v>
          </cell>
          <cell r="F4113">
            <v>532320.24</v>
          </cell>
          <cell r="G4113">
            <v>145588.23529400001</v>
          </cell>
          <cell r="H4113">
            <v>145588.23529400001</v>
          </cell>
          <cell r="I4113">
            <v>145588.23529400001</v>
          </cell>
          <cell r="J4113">
            <v>145588.23529400001</v>
          </cell>
          <cell r="K4113">
            <v>582352.94117600005</v>
          </cell>
          <cell r="L4113">
            <v>101337.43</v>
          </cell>
          <cell r="M4113">
            <v>0</v>
          </cell>
          <cell r="N4113">
            <v>0</v>
          </cell>
          <cell r="O4113">
            <v>0</v>
          </cell>
        </row>
        <row r="4114">
          <cell r="A4114" t="str">
            <v>SwitzerlandSOFTWARE EXPENSE</v>
          </cell>
          <cell r="B4114">
            <v>0</v>
          </cell>
          <cell r="C4114">
            <v>0</v>
          </cell>
          <cell r="D4114">
            <v>0</v>
          </cell>
          <cell r="E4114">
            <v>0</v>
          </cell>
          <cell r="F4114">
            <v>0</v>
          </cell>
          <cell r="G4114">
            <v>261752.94117599999</v>
          </cell>
          <cell r="H4114">
            <v>150000</v>
          </cell>
          <cell r="I4114">
            <v>152941.17647100001</v>
          </cell>
          <cell r="J4114">
            <v>152941.17647100001</v>
          </cell>
          <cell r="K4114">
            <v>717635.29411799996</v>
          </cell>
          <cell r="L4114">
            <v>212976.86</v>
          </cell>
          <cell r="M4114">
            <v>0</v>
          </cell>
          <cell r="N4114">
            <v>0</v>
          </cell>
          <cell r="O4114">
            <v>0</v>
          </cell>
        </row>
        <row r="4115">
          <cell r="A4115" t="str">
            <v>SwitzerlandAMORTIZATION OF INTANGIBLES</v>
          </cell>
          <cell r="B4115">
            <v>0</v>
          </cell>
          <cell r="C4115">
            <v>0</v>
          </cell>
          <cell r="D4115">
            <v>0</v>
          </cell>
          <cell r="E4115">
            <v>0</v>
          </cell>
          <cell r="F4115">
            <v>0</v>
          </cell>
          <cell r="G4115">
            <v>0</v>
          </cell>
          <cell r="H4115">
            <v>0</v>
          </cell>
          <cell r="I4115">
            <v>0</v>
          </cell>
          <cell r="J4115">
            <v>0</v>
          </cell>
          <cell r="K4115">
            <v>0</v>
          </cell>
          <cell r="L4115">
            <v>0</v>
          </cell>
          <cell r="M4115">
            <v>0</v>
          </cell>
          <cell r="N4115">
            <v>0</v>
          </cell>
          <cell r="O4115">
            <v>0</v>
          </cell>
        </row>
        <row r="4116">
          <cell r="A4116" t="str">
            <v>SwitzerlandELTO MAINTENANCE</v>
          </cell>
          <cell r="B4116">
            <v>0</v>
          </cell>
          <cell r="C4116">
            <v>0</v>
          </cell>
          <cell r="D4116">
            <v>0</v>
          </cell>
          <cell r="E4116">
            <v>0</v>
          </cell>
          <cell r="F4116">
            <v>0</v>
          </cell>
          <cell r="G4116">
            <v>0</v>
          </cell>
          <cell r="H4116">
            <v>0</v>
          </cell>
          <cell r="I4116">
            <v>0</v>
          </cell>
          <cell r="J4116">
            <v>0</v>
          </cell>
          <cell r="K4116">
            <v>0</v>
          </cell>
          <cell r="L4116">
            <v>0</v>
          </cell>
          <cell r="M4116">
            <v>0</v>
          </cell>
          <cell r="N4116">
            <v>0</v>
          </cell>
          <cell r="O4116">
            <v>0</v>
          </cell>
        </row>
        <row r="4117">
          <cell r="A4117" t="str">
            <v>SwitzerlandELTO OTHER</v>
          </cell>
          <cell r="B4117">
            <v>0</v>
          </cell>
          <cell r="C4117">
            <v>0</v>
          </cell>
          <cell r="D4117">
            <v>0</v>
          </cell>
          <cell r="E4117">
            <v>0</v>
          </cell>
          <cell r="F4117">
            <v>0</v>
          </cell>
          <cell r="G4117">
            <v>0</v>
          </cell>
          <cell r="H4117">
            <v>0</v>
          </cell>
          <cell r="I4117">
            <v>0</v>
          </cell>
          <cell r="J4117">
            <v>0</v>
          </cell>
          <cell r="K4117">
            <v>0</v>
          </cell>
          <cell r="L4117">
            <v>0</v>
          </cell>
          <cell r="M4117">
            <v>0</v>
          </cell>
          <cell r="N4117">
            <v>0</v>
          </cell>
          <cell r="O4117">
            <v>0</v>
          </cell>
        </row>
        <row r="4118">
          <cell r="A4118" t="str">
            <v>SwitzerlandLEGAL</v>
          </cell>
          <cell r="B4118">
            <v>72752.5</v>
          </cell>
          <cell r="C4118">
            <v>179243.3</v>
          </cell>
          <cell r="D4118">
            <v>158845.1</v>
          </cell>
          <cell r="E4118">
            <v>116123.57</v>
          </cell>
          <cell r="F4118">
            <v>526964.47</v>
          </cell>
          <cell r="G4118">
            <v>73529.411764999997</v>
          </cell>
          <cell r="H4118">
            <v>73529.411764999997</v>
          </cell>
          <cell r="I4118">
            <v>73529.411764999997</v>
          </cell>
          <cell r="J4118">
            <v>73529.411764999997</v>
          </cell>
          <cell r="K4118">
            <v>294117.64705899998</v>
          </cell>
          <cell r="L4118">
            <v>41846.11</v>
          </cell>
          <cell r="M4118">
            <v>325287</v>
          </cell>
          <cell r="N4118">
            <v>330341</v>
          </cell>
          <cell r="O4118">
            <v>337009</v>
          </cell>
        </row>
        <row r="4119">
          <cell r="A4119" t="str">
            <v>SwitzerlandADVERTISING</v>
          </cell>
          <cell r="B4119">
            <v>2338861.56</v>
          </cell>
          <cell r="C4119">
            <v>2698781.18</v>
          </cell>
          <cell r="D4119">
            <v>2471792.35</v>
          </cell>
          <cell r="E4119">
            <v>334832.65000000002</v>
          </cell>
          <cell r="F4119">
            <v>7844267.7400000002</v>
          </cell>
          <cell r="G4119">
            <v>2126470.5882350001</v>
          </cell>
          <cell r="H4119">
            <v>2150352.9411760001</v>
          </cell>
          <cell r="I4119">
            <v>2121176.470588</v>
          </cell>
          <cell r="J4119">
            <v>2121176.470588</v>
          </cell>
          <cell r="K4119">
            <v>8519176.4705880005</v>
          </cell>
          <cell r="L4119">
            <v>2137553.66</v>
          </cell>
          <cell r="M4119">
            <v>10186099</v>
          </cell>
          <cell r="N4119">
            <v>9860555</v>
          </cell>
          <cell r="O4119">
            <v>10191354</v>
          </cell>
        </row>
        <row r="4120">
          <cell r="A4120" t="str">
            <v>SwitzerlandSALES PROMOTIONS</v>
          </cell>
          <cell r="B4120">
            <v>0</v>
          </cell>
          <cell r="C4120">
            <v>0</v>
          </cell>
          <cell r="D4120">
            <v>0</v>
          </cell>
          <cell r="E4120">
            <v>0</v>
          </cell>
          <cell r="F4120">
            <v>0</v>
          </cell>
          <cell r="G4120">
            <v>0</v>
          </cell>
          <cell r="H4120">
            <v>0</v>
          </cell>
          <cell r="I4120">
            <v>0</v>
          </cell>
          <cell r="J4120">
            <v>0</v>
          </cell>
          <cell r="K4120">
            <v>0</v>
          </cell>
          <cell r="L4120">
            <v>0</v>
          </cell>
          <cell r="M4120">
            <v>0</v>
          </cell>
          <cell r="N4120">
            <v>0</v>
          </cell>
          <cell r="O4120">
            <v>0</v>
          </cell>
        </row>
        <row r="4121">
          <cell r="A4121" t="str">
            <v>SwitzerlandDIRECT MAIL</v>
          </cell>
          <cell r="B4121">
            <v>0</v>
          </cell>
          <cell r="C4121">
            <v>0</v>
          </cell>
          <cell r="D4121">
            <v>0</v>
          </cell>
          <cell r="E4121">
            <v>0</v>
          </cell>
          <cell r="F4121">
            <v>0</v>
          </cell>
          <cell r="G4121">
            <v>0</v>
          </cell>
          <cell r="H4121">
            <v>0</v>
          </cell>
          <cell r="I4121">
            <v>0</v>
          </cell>
          <cell r="J4121">
            <v>0</v>
          </cell>
          <cell r="K4121">
            <v>0</v>
          </cell>
          <cell r="L4121">
            <v>0</v>
          </cell>
          <cell r="M4121">
            <v>0</v>
          </cell>
          <cell r="N4121">
            <v>0</v>
          </cell>
          <cell r="O4121">
            <v>0</v>
          </cell>
        </row>
        <row r="4122">
          <cell r="A4122" t="str">
            <v>SwitzerlandDATA PROCESSING</v>
          </cell>
          <cell r="B4122">
            <v>374471.74</v>
          </cell>
          <cell r="C4122">
            <v>378177.2</v>
          </cell>
          <cell r="D4122">
            <v>206264.12</v>
          </cell>
          <cell r="E4122">
            <v>324223.65000000002</v>
          </cell>
          <cell r="F4122">
            <v>1283136.71</v>
          </cell>
          <cell r="G4122">
            <v>106470</v>
          </cell>
          <cell r="H4122">
            <v>106470</v>
          </cell>
          <cell r="I4122">
            <v>106472.352941</v>
          </cell>
          <cell r="J4122">
            <v>106470</v>
          </cell>
          <cell r="K4122">
            <v>425882.35294100002</v>
          </cell>
          <cell r="L4122">
            <v>66315.09</v>
          </cell>
          <cell r="M4122">
            <v>1846220</v>
          </cell>
          <cell r="N4122">
            <v>1774572</v>
          </cell>
          <cell r="O4122">
            <v>1630585</v>
          </cell>
        </row>
        <row r="4123">
          <cell r="A4123" t="str">
            <v>SwitzerlandCONSULTING</v>
          </cell>
          <cell r="B4123">
            <v>219747.95</v>
          </cell>
          <cell r="C4123">
            <v>184479.76</v>
          </cell>
          <cell r="D4123">
            <v>434552.02</v>
          </cell>
          <cell r="E4123">
            <v>2346696.65</v>
          </cell>
          <cell r="F4123">
            <v>3185476.38</v>
          </cell>
          <cell r="G4123">
            <v>530294.11764700001</v>
          </cell>
          <cell r="H4123">
            <v>475588.23529400001</v>
          </cell>
          <cell r="I4123">
            <v>442647.05882400001</v>
          </cell>
          <cell r="J4123">
            <v>495588.23529400001</v>
          </cell>
          <cell r="K4123">
            <v>1944117.6470590001</v>
          </cell>
          <cell r="L4123">
            <v>894012.23</v>
          </cell>
          <cell r="M4123">
            <v>790596</v>
          </cell>
          <cell r="N4123">
            <v>661301</v>
          </cell>
          <cell r="O4123">
            <v>795556</v>
          </cell>
        </row>
        <row r="4124">
          <cell r="A4124" t="str">
            <v>SwitzerlandTEMP SERVICES</v>
          </cell>
          <cell r="B4124">
            <v>171276.24</v>
          </cell>
          <cell r="C4124">
            <v>361855.97</v>
          </cell>
          <cell r="D4124">
            <v>390836.7</v>
          </cell>
          <cell r="E4124">
            <v>-530367.06000000006</v>
          </cell>
          <cell r="F4124">
            <v>393601.85</v>
          </cell>
          <cell r="G4124">
            <v>98823.529412000004</v>
          </cell>
          <cell r="H4124">
            <v>98823.529412000004</v>
          </cell>
          <cell r="I4124">
            <v>98823.529412000004</v>
          </cell>
          <cell r="J4124">
            <v>98823.529412000004</v>
          </cell>
          <cell r="K4124">
            <v>395294.11764700001</v>
          </cell>
          <cell r="L4124">
            <v>35347.269999999997</v>
          </cell>
          <cell r="M4124">
            <v>350403</v>
          </cell>
          <cell r="N4124">
            <v>140429</v>
          </cell>
          <cell r="O4124">
            <v>118582</v>
          </cell>
        </row>
        <row r="4125">
          <cell r="A4125" t="str">
            <v>SwitzerlandGDC CHARGES</v>
          </cell>
          <cell r="B4125">
            <v>0</v>
          </cell>
          <cell r="C4125">
            <v>0</v>
          </cell>
          <cell r="D4125">
            <v>0</v>
          </cell>
          <cell r="E4125">
            <v>0</v>
          </cell>
          <cell r="F4125">
            <v>0</v>
          </cell>
          <cell r="G4125">
            <v>0</v>
          </cell>
          <cell r="H4125">
            <v>0</v>
          </cell>
          <cell r="I4125">
            <v>0</v>
          </cell>
          <cell r="J4125">
            <v>0</v>
          </cell>
          <cell r="K4125">
            <v>0</v>
          </cell>
          <cell r="L4125">
            <v>0</v>
          </cell>
          <cell r="M4125">
            <v>0</v>
          </cell>
          <cell r="N4125">
            <v>0</v>
          </cell>
          <cell r="O4125">
            <v>0</v>
          </cell>
        </row>
        <row r="4126">
          <cell r="A4126" t="str">
            <v>SwitzerlandTRAINING AND EDUCATION</v>
          </cell>
          <cell r="B4126">
            <v>0</v>
          </cell>
          <cell r="C4126">
            <v>0</v>
          </cell>
          <cell r="D4126">
            <v>0</v>
          </cell>
          <cell r="E4126">
            <v>473651.87</v>
          </cell>
          <cell r="F4126">
            <v>473651.87</v>
          </cell>
          <cell r="G4126">
            <v>299362.94117599999</v>
          </cell>
          <cell r="H4126">
            <v>123787.05882400001</v>
          </cell>
          <cell r="I4126">
            <v>165148.82352899999</v>
          </cell>
          <cell r="J4126">
            <v>264528.23529400001</v>
          </cell>
          <cell r="K4126">
            <v>852827.05882399995</v>
          </cell>
          <cell r="L4126">
            <v>-74399.22</v>
          </cell>
          <cell r="M4126">
            <v>0</v>
          </cell>
          <cell r="N4126">
            <v>0</v>
          </cell>
          <cell r="O4126">
            <v>0</v>
          </cell>
        </row>
        <row r="4127">
          <cell r="A4127" t="str">
            <v>SwitzerlandOUTSIDE SERVICES  AND FEES</v>
          </cell>
          <cell r="B4127">
            <v>0</v>
          </cell>
          <cell r="C4127">
            <v>0</v>
          </cell>
          <cell r="D4127">
            <v>0</v>
          </cell>
          <cell r="E4127">
            <v>427393.08</v>
          </cell>
          <cell r="F4127">
            <v>427393.08</v>
          </cell>
          <cell r="G4127">
            <v>200588.82352899999</v>
          </cell>
          <cell r="H4127">
            <v>179706.470588</v>
          </cell>
          <cell r="I4127">
            <v>161765.29411799999</v>
          </cell>
          <cell r="J4127">
            <v>161765.29411799999</v>
          </cell>
          <cell r="K4127">
            <v>703825.88235299999</v>
          </cell>
          <cell r="L4127">
            <v>162947.44</v>
          </cell>
          <cell r="M4127">
            <v>0</v>
          </cell>
          <cell r="N4127">
            <v>0</v>
          </cell>
          <cell r="O4127">
            <v>0</v>
          </cell>
        </row>
        <row r="4128">
          <cell r="A4128" t="str">
            <v>SwitzerlandSTATE, FOREIGN, LOCAL TAXES</v>
          </cell>
          <cell r="B4128">
            <v>169445.11</v>
          </cell>
          <cell r="C4128">
            <v>655818.88</v>
          </cell>
          <cell r="D4128">
            <v>660002.99</v>
          </cell>
          <cell r="E4128">
            <v>231627.87</v>
          </cell>
          <cell r="F4128">
            <v>1716894.85</v>
          </cell>
          <cell r="G4128">
            <v>317647.05882400001</v>
          </cell>
          <cell r="H4128">
            <v>317647.05882400001</v>
          </cell>
          <cell r="I4128">
            <v>317647.05882400001</v>
          </cell>
          <cell r="J4128">
            <v>317647.05882400001</v>
          </cell>
          <cell r="K4128">
            <v>1270588.235294</v>
          </cell>
          <cell r="L4128">
            <v>433161.23</v>
          </cell>
          <cell r="M4128">
            <v>2767899</v>
          </cell>
          <cell r="N4128">
            <v>2810905</v>
          </cell>
          <cell r="O4128">
            <v>2867641</v>
          </cell>
        </row>
        <row r="4129">
          <cell r="A4129" t="str">
            <v>SwitzerlandS/L TAX - INSURANCE PREMIUMS</v>
          </cell>
          <cell r="B4129">
            <v>0</v>
          </cell>
          <cell r="C4129">
            <v>0</v>
          </cell>
          <cell r="D4129">
            <v>0</v>
          </cell>
          <cell r="E4129">
            <v>0</v>
          </cell>
          <cell r="F4129">
            <v>0</v>
          </cell>
          <cell r="G4129">
            <v>0</v>
          </cell>
          <cell r="H4129">
            <v>0</v>
          </cell>
          <cell r="I4129">
            <v>0</v>
          </cell>
          <cell r="J4129">
            <v>0</v>
          </cell>
          <cell r="K4129">
            <v>0</v>
          </cell>
          <cell r="L4129">
            <v>0</v>
          </cell>
          <cell r="M4129">
            <v>0</v>
          </cell>
          <cell r="N4129">
            <v>0</v>
          </cell>
          <cell r="O4129">
            <v>0</v>
          </cell>
        </row>
        <row r="4130">
          <cell r="A4130" t="str">
            <v>SwitzerlandSATELLITE LEASE EXPENSE</v>
          </cell>
          <cell r="B4130">
            <v>0</v>
          </cell>
          <cell r="C4130">
            <v>0</v>
          </cell>
          <cell r="D4130">
            <v>0</v>
          </cell>
          <cell r="E4130">
            <v>0</v>
          </cell>
          <cell r="F4130">
            <v>0</v>
          </cell>
          <cell r="G4130">
            <v>0</v>
          </cell>
          <cell r="H4130">
            <v>0</v>
          </cell>
          <cell r="I4130">
            <v>0</v>
          </cell>
          <cell r="J4130">
            <v>0</v>
          </cell>
          <cell r="K4130">
            <v>0</v>
          </cell>
          <cell r="L4130">
            <v>0</v>
          </cell>
          <cell r="M4130">
            <v>0</v>
          </cell>
          <cell r="N4130">
            <v>0</v>
          </cell>
          <cell r="O4130">
            <v>0</v>
          </cell>
        </row>
        <row r="4131">
          <cell r="A4131" t="str">
            <v>SwitzerlandBUSINESS SHARE EXPENSE</v>
          </cell>
          <cell r="B4131">
            <v>0</v>
          </cell>
          <cell r="C4131">
            <v>0</v>
          </cell>
          <cell r="D4131">
            <v>0</v>
          </cell>
          <cell r="E4131">
            <v>0</v>
          </cell>
          <cell r="F4131">
            <v>0</v>
          </cell>
          <cell r="G4131">
            <v>0</v>
          </cell>
          <cell r="H4131">
            <v>0</v>
          </cell>
          <cell r="I4131">
            <v>0</v>
          </cell>
          <cell r="J4131">
            <v>0</v>
          </cell>
          <cell r="K4131">
            <v>0</v>
          </cell>
          <cell r="L4131">
            <v>0</v>
          </cell>
          <cell r="M4131">
            <v>0</v>
          </cell>
          <cell r="N4131">
            <v>0</v>
          </cell>
          <cell r="O4131">
            <v>0</v>
          </cell>
        </row>
        <row r="4132">
          <cell r="A4132" t="str">
            <v>SwitzerlandINSURANCE AFFILIATE EXPENSE</v>
          </cell>
          <cell r="B4132">
            <v>0</v>
          </cell>
          <cell r="C4132">
            <v>0</v>
          </cell>
          <cell r="D4132">
            <v>0</v>
          </cell>
          <cell r="E4132">
            <v>0</v>
          </cell>
          <cell r="F4132">
            <v>0</v>
          </cell>
          <cell r="G4132">
            <v>0</v>
          </cell>
          <cell r="H4132">
            <v>0</v>
          </cell>
          <cell r="I4132">
            <v>0</v>
          </cell>
          <cell r="J4132">
            <v>0</v>
          </cell>
          <cell r="K4132">
            <v>0</v>
          </cell>
          <cell r="L4132">
            <v>0</v>
          </cell>
          <cell r="M4132">
            <v>0</v>
          </cell>
          <cell r="N4132">
            <v>0</v>
          </cell>
          <cell r="O4132">
            <v>0</v>
          </cell>
        </row>
        <row r="4133">
          <cell r="A4133" t="str">
            <v>SwitzerlandOTHER FACILITY EXPENSE</v>
          </cell>
          <cell r="B4133">
            <v>492035.15</v>
          </cell>
          <cell r="C4133">
            <v>290263.36</v>
          </cell>
          <cell r="D4133">
            <v>303632.28999999998</v>
          </cell>
          <cell r="E4133">
            <v>195809.75</v>
          </cell>
          <cell r="F4133">
            <v>1281740.55</v>
          </cell>
          <cell r="G4133">
            <v>281611.76470599999</v>
          </cell>
          <cell r="H4133">
            <v>281611.76470599999</v>
          </cell>
          <cell r="I4133">
            <v>281611.76470599999</v>
          </cell>
          <cell r="J4133">
            <v>281611.76470599999</v>
          </cell>
          <cell r="K4133">
            <v>1126447.0588239999</v>
          </cell>
          <cell r="L4133">
            <v>150572.78</v>
          </cell>
          <cell r="M4133">
            <v>0</v>
          </cell>
          <cell r="N4133">
            <v>0</v>
          </cell>
          <cell r="O4133">
            <v>0</v>
          </cell>
        </row>
        <row r="4134">
          <cell r="A4134" t="str">
            <v>SwitzerlandGROSS OP &amp; ADMIN BUS SHARE</v>
          </cell>
          <cell r="B4134">
            <v>0</v>
          </cell>
          <cell r="C4134">
            <v>0</v>
          </cell>
          <cell r="D4134">
            <v>0</v>
          </cell>
          <cell r="E4134">
            <v>0</v>
          </cell>
          <cell r="F4134">
            <v>0</v>
          </cell>
          <cell r="G4134">
            <v>0</v>
          </cell>
          <cell r="H4134">
            <v>0</v>
          </cell>
          <cell r="I4134">
            <v>0</v>
          </cell>
          <cell r="J4134">
            <v>0</v>
          </cell>
          <cell r="K4134">
            <v>0</v>
          </cell>
          <cell r="L4134">
            <v>0</v>
          </cell>
          <cell r="M4134">
            <v>0</v>
          </cell>
          <cell r="N4134">
            <v>0</v>
          </cell>
          <cell r="O4134">
            <v>0</v>
          </cell>
        </row>
        <row r="4135">
          <cell r="A4135" t="str">
            <v>SwitzerlandOTHER EXPENSE</v>
          </cell>
          <cell r="B4135">
            <v>61845.59</v>
          </cell>
          <cell r="C4135">
            <v>49490.77</v>
          </cell>
          <cell r="D4135">
            <v>70080.53</v>
          </cell>
          <cell r="E4135">
            <v>2394059.17</v>
          </cell>
          <cell r="F4135">
            <v>2575476.06</v>
          </cell>
          <cell r="G4135">
            <v>27705.882353000001</v>
          </cell>
          <cell r="H4135">
            <v>-331632.64705899998</v>
          </cell>
          <cell r="I4135">
            <v>-397066.61764700001</v>
          </cell>
          <cell r="J4135">
            <v>-350478.38235299999</v>
          </cell>
          <cell r="K4135">
            <v>-1051471.764706</v>
          </cell>
          <cell r="L4135">
            <v>258544.9</v>
          </cell>
          <cell r="M4135">
            <v>42820</v>
          </cell>
          <cell r="N4135">
            <v>43485</v>
          </cell>
          <cell r="O4135">
            <v>44363</v>
          </cell>
        </row>
        <row r="4136">
          <cell r="A4136" t="str">
            <v>SwitzerlandGECC INTERCO EXPENSES EXCL GECIS</v>
          </cell>
          <cell r="B4136">
            <v>0</v>
          </cell>
          <cell r="C4136">
            <v>-0.01</v>
          </cell>
          <cell r="D4136">
            <v>0</v>
          </cell>
          <cell r="E4136">
            <v>0.01</v>
          </cell>
          <cell r="F4136">
            <v>0</v>
          </cell>
          <cell r="G4136">
            <v>0</v>
          </cell>
          <cell r="H4136">
            <v>0</v>
          </cell>
          <cell r="I4136">
            <v>0</v>
          </cell>
          <cell r="J4136">
            <v>0</v>
          </cell>
          <cell r="K4136">
            <v>0</v>
          </cell>
          <cell r="L4136">
            <v>0</v>
          </cell>
          <cell r="M4136">
            <v>0</v>
          </cell>
          <cell r="N4136">
            <v>0</v>
          </cell>
          <cell r="O4136">
            <v>0</v>
          </cell>
        </row>
        <row r="4137">
          <cell r="A4137" t="str">
            <v>SwitzerlandGECIS INTERCO CHARGES</v>
          </cell>
          <cell r="B4137">
            <v>0</v>
          </cell>
          <cell r="C4137">
            <v>0</v>
          </cell>
          <cell r="D4137">
            <v>0</v>
          </cell>
          <cell r="E4137">
            <v>0</v>
          </cell>
          <cell r="F4137">
            <v>0</v>
          </cell>
          <cell r="G4137">
            <v>0</v>
          </cell>
          <cell r="H4137">
            <v>0</v>
          </cell>
          <cell r="I4137">
            <v>0</v>
          </cell>
          <cell r="J4137">
            <v>0</v>
          </cell>
          <cell r="K4137">
            <v>0</v>
          </cell>
          <cell r="L4137">
            <v>0</v>
          </cell>
          <cell r="M4137">
            <v>0</v>
          </cell>
          <cell r="N4137">
            <v>0</v>
          </cell>
          <cell r="O4137">
            <v>0</v>
          </cell>
        </row>
        <row r="4138">
          <cell r="A4138" t="str">
            <v>SwitzerlandLOSS ADJUSTED EXPENSE</v>
          </cell>
          <cell r="B4138">
            <v>0</v>
          </cell>
          <cell r="C4138">
            <v>0</v>
          </cell>
          <cell r="D4138">
            <v>0</v>
          </cell>
          <cell r="E4138">
            <v>0</v>
          </cell>
          <cell r="F4138">
            <v>0</v>
          </cell>
          <cell r="G4138">
            <v>0</v>
          </cell>
          <cell r="H4138">
            <v>0</v>
          </cell>
          <cell r="I4138">
            <v>0</v>
          </cell>
          <cell r="J4138">
            <v>0</v>
          </cell>
          <cell r="K4138">
            <v>0</v>
          </cell>
          <cell r="L4138">
            <v>0</v>
          </cell>
          <cell r="M4138">
            <v>0</v>
          </cell>
          <cell r="N4138">
            <v>0</v>
          </cell>
          <cell r="O4138">
            <v>0</v>
          </cell>
        </row>
        <row r="4139">
          <cell r="A4139" t="str">
            <v>SwitzerlandALL OTHER EXPENSES</v>
          </cell>
          <cell r="B4139">
            <v>0.05</v>
          </cell>
          <cell r="C4139">
            <v>-0.02</v>
          </cell>
          <cell r="D4139">
            <v>0.04</v>
          </cell>
          <cell r="E4139">
            <v>-7.0000000000000007E-2</v>
          </cell>
          <cell r="F4139">
            <v>0</v>
          </cell>
          <cell r="G4139">
            <v>2411.7647059999999</v>
          </cell>
          <cell r="H4139">
            <v>3176.4705880000001</v>
          </cell>
          <cell r="I4139">
            <v>882.35294099999999</v>
          </cell>
          <cell r="J4139">
            <v>1764.705882</v>
          </cell>
          <cell r="K4139">
            <v>8235.2941179999998</v>
          </cell>
          <cell r="L4139">
            <v>-0.01</v>
          </cell>
          <cell r="M4139">
            <v>0</v>
          </cell>
          <cell r="N4139">
            <v>0</v>
          </cell>
          <cell r="O4139">
            <v>0</v>
          </cell>
        </row>
        <row r="4140">
          <cell r="A4140" t="str">
            <v>SwitzerlandASSESSMENTS</v>
          </cell>
          <cell r="B4140">
            <v>2929078</v>
          </cell>
          <cell r="C4140">
            <v>1520642.93</v>
          </cell>
          <cell r="D4140">
            <v>2254631.17</v>
          </cell>
          <cell r="E4140">
            <v>2167228.14</v>
          </cell>
          <cell r="F4140">
            <v>8871580.2400000002</v>
          </cell>
          <cell r="G4140">
            <v>1852941.1764710001</v>
          </cell>
          <cell r="H4140">
            <v>1852941.1764710001</v>
          </cell>
          <cell r="I4140">
            <v>1852941.1764710001</v>
          </cell>
          <cell r="J4140">
            <v>1852941.1764710001</v>
          </cell>
          <cell r="K4140">
            <v>7411764.7058819998</v>
          </cell>
          <cell r="L4140">
            <v>1969506</v>
          </cell>
          <cell r="M4140">
            <v>7127563</v>
          </cell>
          <cell r="N4140">
            <v>6824924</v>
          </cell>
          <cell r="O4140">
            <v>6902988</v>
          </cell>
        </row>
        <row r="4141">
          <cell r="A4141" t="str">
            <v>SwitzerlandFAS 91</v>
          </cell>
          <cell r="B4141">
            <v>-871757.49</v>
          </cell>
          <cell r="C4141">
            <v>-1127684.28</v>
          </cell>
          <cell r="D4141">
            <v>-1023031.24</v>
          </cell>
          <cell r="E4141">
            <v>-932017.55</v>
          </cell>
          <cell r="F4141">
            <v>-3954490.56</v>
          </cell>
          <cell r="G4141">
            <v>-964694.00712800003</v>
          </cell>
          <cell r="H4141">
            <v>-998451.84961000003</v>
          </cell>
          <cell r="I4141">
            <v>-1026558.348932</v>
          </cell>
          <cell r="J4141">
            <v>-1017712.633618</v>
          </cell>
          <cell r="K4141">
            <v>-4007416.839288</v>
          </cell>
          <cell r="L4141">
            <v>-797702.29</v>
          </cell>
          <cell r="M4141">
            <v>-3654780</v>
          </cell>
          <cell r="N4141">
            <v>-3899695</v>
          </cell>
          <cell r="O4141">
            <v>-4112822</v>
          </cell>
        </row>
        <row r="4142">
          <cell r="A4142" t="str">
            <v>SwitzerlandGOODWILL AMORTIZATION</v>
          </cell>
          <cell r="B4142">
            <v>3704319.15</v>
          </cell>
          <cell r="C4142">
            <v>3538990.01</v>
          </cell>
          <cell r="D4142">
            <v>3546399.56</v>
          </cell>
          <cell r="E4142">
            <v>3714473.57</v>
          </cell>
          <cell r="F4142">
            <v>14504182.289999999</v>
          </cell>
          <cell r="G4142">
            <v>0</v>
          </cell>
          <cell r="H4142">
            <v>0</v>
          </cell>
          <cell r="I4142">
            <v>0</v>
          </cell>
          <cell r="J4142">
            <v>0</v>
          </cell>
          <cell r="K4142">
            <v>0</v>
          </cell>
          <cell r="L4142">
            <v>0</v>
          </cell>
          <cell r="M4142">
            <v>14347482</v>
          </cell>
          <cell r="N4142">
            <v>14347482</v>
          </cell>
          <cell r="O4142">
            <v>14347482</v>
          </cell>
        </row>
        <row r="4143">
          <cell r="A4143" t="str">
            <v>SwitzerlandDEPRECIATION EXPENSE</v>
          </cell>
          <cell r="B4143">
            <v>1050389.6200000001</v>
          </cell>
          <cell r="C4143">
            <v>1148722.07</v>
          </cell>
          <cell r="D4143">
            <v>1418501.2</v>
          </cell>
          <cell r="E4143">
            <v>1210920.3600000001</v>
          </cell>
          <cell r="F4143">
            <v>4828533.25</v>
          </cell>
          <cell r="G4143">
            <v>1075270.9117650001</v>
          </cell>
          <cell r="H4143">
            <v>1273765.205882</v>
          </cell>
          <cell r="I4143">
            <v>1468743.0588239999</v>
          </cell>
          <cell r="J4143">
            <v>1651474.0588239999</v>
          </cell>
          <cell r="K4143">
            <v>5469253.2352940002</v>
          </cell>
          <cell r="L4143">
            <v>810895.06</v>
          </cell>
          <cell r="M4143">
            <v>8683496</v>
          </cell>
          <cell r="N4143">
            <v>10369262</v>
          </cell>
          <cell r="O4143">
            <v>12077731</v>
          </cell>
        </row>
        <row r="4144">
          <cell r="A4144" t="str">
            <v>SwitzerlandELTO AMORTIZATION</v>
          </cell>
          <cell r="B4144">
            <v>0</v>
          </cell>
          <cell r="C4144">
            <v>0</v>
          </cell>
          <cell r="D4144">
            <v>0</v>
          </cell>
          <cell r="E4144">
            <v>0</v>
          </cell>
          <cell r="F4144">
            <v>0</v>
          </cell>
          <cell r="G4144">
            <v>0</v>
          </cell>
          <cell r="H4144">
            <v>0</v>
          </cell>
          <cell r="I4144">
            <v>0</v>
          </cell>
          <cell r="J4144">
            <v>0</v>
          </cell>
          <cell r="K4144">
            <v>0</v>
          </cell>
          <cell r="L4144">
            <v>0</v>
          </cell>
          <cell r="M4144">
            <v>0</v>
          </cell>
          <cell r="N4144">
            <v>0</v>
          </cell>
          <cell r="O4144">
            <v>0</v>
          </cell>
        </row>
        <row r="4145">
          <cell r="A4145" t="str">
            <v>SwitzerlandINSURANCE LOSSES AND BENEFITS</v>
          </cell>
          <cell r="B4145">
            <v>0</v>
          </cell>
          <cell r="C4145">
            <v>0</v>
          </cell>
          <cell r="D4145">
            <v>0</v>
          </cell>
          <cell r="E4145">
            <v>0</v>
          </cell>
          <cell r="F4145">
            <v>0</v>
          </cell>
          <cell r="G4145">
            <v>0</v>
          </cell>
          <cell r="H4145">
            <v>0</v>
          </cell>
          <cell r="I4145">
            <v>0</v>
          </cell>
          <cell r="J4145">
            <v>0</v>
          </cell>
          <cell r="K4145">
            <v>0</v>
          </cell>
          <cell r="L4145">
            <v>0</v>
          </cell>
          <cell r="M4145">
            <v>0</v>
          </cell>
          <cell r="N4145">
            <v>0</v>
          </cell>
          <cell r="O4145">
            <v>0</v>
          </cell>
        </row>
        <row r="4146">
          <cell r="A4146" t="str">
            <v>SwitzerlandWRITE OFFS</v>
          </cell>
          <cell r="B4146">
            <v>623221.30000000005</v>
          </cell>
          <cell r="C4146">
            <v>7924045.5300000003</v>
          </cell>
          <cell r="D4146">
            <v>3164433.16</v>
          </cell>
          <cell r="E4146">
            <v>-2573906.08</v>
          </cell>
          <cell r="F4146">
            <v>9137793.9100000001</v>
          </cell>
          <cell r="G4146">
            <v>-13546480.967706</v>
          </cell>
          <cell r="H4146">
            <v>8676405.6225589998</v>
          </cell>
          <cell r="I4146">
            <v>7749827.2668199996</v>
          </cell>
          <cell r="J4146">
            <v>3923035.1568939998</v>
          </cell>
          <cell r="K4146">
            <v>6802787.0785670001</v>
          </cell>
          <cell r="L4146">
            <v>-14138103.32</v>
          </cell>
          <cell r="M4146">
            <v>18268193</v>
          </cell>
          <cell r="N4146">
            <v>16342891</v>
          </cell>
          <cell r="O4146">
            <v>12208650</v>
          </cell>
        </row>
        <row r="4147">
          <cell r="A4147" t="str">
            <v>SwitzerlandRESERVE CHANGE</v>
          </cell>
          <cell r="B4147">
            <v>6637379.1699999999</v>
          </cell>
          <cell r="C4147">
            <v>-3762872.34</v>
          </cell>
          <cell r="D4147">
            <v>-3836683.06</v>
          </cell>
          <cell r="E4147">
            <v>-3459137.22</v>
          </cell>
          <cell r="F4147">
            <v>-4421313.45</v>
          </cell>
          <cell r="G4147">
            <v>0</v>
          </cell>
          <cell r="H4147">
            <v>0</v>
          </cell>
          <cell r="I4147">
            <v>0</v>
          </cell>
          <cell r="J4147">
            <v>0</v>
          </cell>
          <cell r="K4147">
            <v>0</v>
          </cell>
          <cell r="L4147">
            <v>1924702.35</v>
          </cell>
          <cell r="M4147">
            <v>0</v>
          </cell>
          <cell r="N4147">
            <v>0</v>
          </cell>
          <cell r="O4147">
            <v>0</v>
          </cell>
        </row>
        <row r="4148">
          <cell r="A4148" t="str">
            <v>SwitzerlandMINORITY INTEREST</v>
          </cell>
          <cell r="B4148">
            <v>0</v>
          </cell>
          <cell r="C4148">
            <v>0</v>
          </cell>
          <cell r="D4148">
            <v>0</v>
          </cell>
          <cell r="E4148">
            <v>0</v>
          </cell>
          <cell r="F4148">
            <v>0</v>
          </cell>
          <cell r="G4148">
            <v>0</v>
          </cell>
          <cell r="H4148">
            <v>0</v>
          </cell>
          <cell r="I4148">
            <v>0</v>
          </cell>
          <cell r="J4148">
            <v>0</v>
          </cell>
          <cell r="K4148">
            <v>0</v>
          </cell>
          <cell r="L4148">
            <v>0</v>
          </cell>
          <cell r="M4148">
            <v>0</v>
          </cell>
          <cell r="N4148">
            <v>0</v>
          </cell>
          <cell r="O4148">
            <v>0</v>
          </cell>
        </row>
        <row r="4149">
          <cell r="A4149" t="str">
            <v>SwitzerlandINCOME TAXES</v>
          </cell>
          <cell r="B4149">
            <v>-3028372.41</v>
          </cell>
          <cell r="C4149">
            <v>-2189781.9900000002</v>
          </cell>
          <cell r="D4149">
            <v>-2335658.6800000002</v>
          </cell>
          <cell r="E4149">
            <v>-1541099.5</v>
          </cell>
          <cell r="F4149">
            <v>-9094912.5800000001</v>
          </cell>
          <cell r="G4149">
            <v>3972132.2085540001</v>
          </cell>
          <cell r="H4149">
            <v>-3649270.1010079999</v>
          </cell>
          <cell r="I4149">
            <v>-2683358.89384</v>
          </cell>
          <cell r="J4149">
            <v>-1590605.0545650001</v>
          </cell>
          <cell r="K4149">
            <v>-3951101.8408590001</v>
          </cell>
          <cell r="L4149">
            <v>822634.45</v>
          </cell>
          <cell r="M4149">
            <v>-8281558</v>
          </cell>
          <cell r="N4149">
            <v>-6660708.0999999996</v>
          </cell>
          <cell r="O4149">
            <v>-6372165.4000000004</v>
          </cell>
        </row>
        <row r="4150">
          <cell r="A4150" t="str">
            <v>SwitzerlandCUMULATIVE TRANSITION ADJUSTMENT</v>
          </cell>
          <cell r="B4150">
            <v>0</v>
          </cell>
          <cell r="C4150">
            <v>0</v>
          </cell>
          <cell r="D4150">
            <v>0</v>
          </cell>
          <cell r="E4150">
            <v>0</v>
          </cell>
          <cell r="F4150">
            <v>0</v>
          </cell>
          <cell r="G4150">
            <v>0</v>
          </cell>
          <cell r="H4150">
            <v>0</v>
          </cell>
          <cell r="I4150">
            <v>0</v>
          </cell>
          <cell r="J4150">
            <v>0</v>
          </cell>
          <cell r="K4150">
            <v>0</v>
          </cell>
          <cell r="L4150">
            <v>0</v>
          </cell>
          <cell r="M4150">
            <v>0</v>
          </cell>
          <cell r="N4150">
            <v>0</v>
          </cell>
          <cell r="O4150">
            <v>0</v>
          </cell>
        </row>
        <row r="4151">
          <cell r="A4151" t="str">
            <v>SwitzerlandASIA PACIFIC NI DIVIDEND</v>
          </cell>
          <cell r="B4151">
            <v>0</v>
          </cell>
          <cell r="C4151">
            <v>0</v>
          </cell>
          <cell r="D4151">
            <v>0</v>
          </cell>
          <cell r="E4151">
            <v>0</v>
          </cell>
          <cell r="F4151">
            <v>0</v>
          </cell>
          <cell r="G4151">
            <v>0</v>
          </cell>
          <cell r="H4151">
            <v>0</v>
          </cell>
          <cell r="I4151">
            <v>0</v>
          </cell>
          <cell r="J4151">
            <v>0</v>
          </cell>
          <cell r="K4151">
            <v>0</v>
          </cell>
          <cell r="L4151">
            <v>0</v>
          </cell>
          <cell r="M4151">
            <v>0</v>
          </cell>
          <cell r="N4151">
            <v>0</v>
          </cell>
          <cell r="O4151">
            <v>0</v>
          </cell>
        </row>
        <row r="4152">
          <cell r="A4152" t="str">
            <v>SwitzerlandNet Income</v>
          </cell>
          <cell r="B4152">
            <v>-14773892.449999999</v>
          </cell>
          <cell r="C4152">
            <v>-16342097.220000001</v>
          </cell>
          <cell r="D4152">
            <v>-19715136.579999998</v>
          </cell>
          <cell r="E4152">
            <v>-32182419.18</v>
          </cell>
          <cell r="F4152">
            <v>-83013545.430000007</v>
          </cell>
          <cell r="G4152">
            <v>-36048649.451953001</v>
          </cell>
          <cell r="H4152">
            <v>-22499489.790509999</v>
          </cell>
          <cell r="I4152">
            <v>-24216665.269921001</v>
          </cell>
          <cell r="J4152">
            <v>-26159338.761966001</v>
          </cell>
          <cell r="K4152">
            <v>-108924143.274351</v>
          </cell>
          <cell r="L4152">
            <v>-39199037.640000001</v>
          </cell>
          <cell r="M4152">
            <v>-82455052</v>
          </cell>
          <cell r="N4152">
            <v>-87290976.099999994</v>
          </cell>
          <cell r="O4152">
            <v>-93616627.400000006</v>
          </cell>
        </row>
        <row r="4153">
          <cell r="A4153" t="str">
            <v>SwitzerlandSubPart F</v>
          </cell>
          <cell r="B4153">
            <v>7238000</v>
          </cell>
          <cell r="C4153">
            <v>7226000</v>
          </cell>
          <cell r="D4153">
            <v>8983559</v>
          </cell>
          <cell r="E4153">
            <v>12285279</v>
          </cell>
          <cell r="F4153">
            <v>35732838</v>
          </cell>
          <cell r="G4153">
            <v>10435349.189229</v>
          </cell>
          <cell r="H4153">
            <v>10435349.189229</v>
          </cell>
          <cell r="I4153">
            <v>10435349.189229</v>
          </cell>
          <cell r="J4153">
            <v>10435349.189229</v>
          </cell>
          <cell r="K4153">
            <v>41741396.756916001</v>
          </cell>
          <cell r="L4153">
            <v>13248000</v>
          </cell>
          <cell r="M4153">
            <v>35354884</v>
          </cell>
          <cell r="N4153">
            <v>36090756.100000001</v>
          </cell>
          <cell r="O4153">
            <v>38216393.399999999</v>
          </cell>
        </row>
        <row r="4154">
          <cell r="A4154" t="str">
            <v>SwitzerlandAssets</v>
          </cell>
          <cell r="B4154">
            <v>2831081221.77</v>
          </cell>
          <cell r="C4154">
            <v>2782536002.8800001</v>
          </cell>
          <cell r="D4154">
            <v>3072141104.25</v>
          </cell>
          <cell r="E4154">
            <v>3068100876.5700002</v>
          </cell>
          <cell r="F4154">
            <v>3068100876.5700002</v>
          </cell>
          <cell r="G4154">
            <v>2890586930.7593699</v>
          </cell>
          <cell r="H4154">
            <v>3007015758.2614799</v>
          </cell>
          <cell r="I4154">
            <v>3041791834.51442</v>
          </cell>
          <cell r="J4154">
            <v>3006980949.5157199</v>
          </cell>
          <cell r="K4154">
            <v>3006980949.5157199</v>
          </cell>
          <cell r="L4154">
            <v>3003840834.6700001</v>
          </cell>
          <cell r="M4154">
            <v>2950501552</v>
          </cell>
          <cell r="N4154">
            <v>3057836426</v>
          </cell>
          <cell r="O4154">
            <v>3159474882</v>
          </cell>
        </row>
        <row r="4155">
          <cell r="A4155" t="str">
            <v>SwitzerlandEnding Net Investment (ENI) incl Asia</v>
          </cell>
          <cell r="B4155">
            <v>2794809619.0999999</v>
          </cell>
          <cell r="C4155">
            <v>2730068833.4499998</v>
          </cell>
          <cell r="D4155">
            <v>3035202088.8800001</v>
          </cell>
          <cell r="E4155">
            <v>3000934898.0999999</v>
          </cell>
          <cell r="F4155">
            <v>3000934898.0999999</v>
          </cell>
          <cell r="G4155">
            <v>2844147522.8660402</v>
          </cell>
          <cell r="H4155">
            <v>2960576350.3681502</v>
          </cell>
          <cell r="I4155">
            <v>2995352426.6210899</v>
          </cell>
          <cell r="J4155">
            <v>2960541541.6223898</v>
          </cell>
          <cell r="K4155">
            <v>2960541541.6223898</v>
          </cell>
          <cell r="L4155">
            <v>2943559504.1399899</v>
          </cell>
          <cell r="M4155">
            <v>2898247475</v>
          </cell>
          <cell r="N4155">
            <v>3005582349</v>
          </cell>
          <cell r="O4155">
            <v>3107220805</v>
          </cell>
        </row>
        <row r="4156">
          <cell r="A4156" t="str">
            <v>SwitzerlandANR YTD</v>
          </cell>
          <cell r="B4156">
            <v>2689646480.2049999</v>
          </cell>
          <cell r="C4156">
            <v>2663613562.5533299</v>
          </cell>
          <cell r="D4156">
            <v>2720357687.2674999</v>
          </cell>
          <cell r="E4156">
            <v>2750571681.816</v>
          </cell>
          <cell r="F4156">
            <v>2750571681.816</v>
          </cell>
          <cell r="G4156">
            <v>2797487271.0556302</v>
          </cell>
          <cell r="H4156">
            <v>2812145920.57934</v>
          </cell>
          <cell r="I4156">
            <v>2828254510.2643299</v>
          </cell>
          <cell r="J4156">
            <v>2830843716.7436399</v>
          </cell>
          <cell r="K4156">
            <v>2830843716.7436399</v>
          </cell>
          <cell r="L4156">
            <v>2848321990.875</v>
          </cell>
          <cell r="M4156">
            <v>1120544542</v>
          </cell>
          <cell r="N4156">
            <v>1152026291.8</v>
          </cell>
          <cell r="O4156">
            <v>1203317968</v>
          </cell>
        </row>
        <row r="4157">
          <cell r="A4157" t="str">
            <v>SwitzerlandASA YTD</v>
          </cell>
          <cell r="B4157">
            <v>2689646480.2049999</v>
          </cell>
          <cell r="C4157">
            <v>2663613562.5533299</v>
          </cell>
          <cell r="D4157">
            <v>2720357687.2674999</v>
          </cell>
          <cell r="E4157">
            <v>2750571681.816</v>
          </cell>
          <cell r="F4157">
            <v>2750571681.816</v>
          </cell>
          <cell r="G4157">
            <v>2797487271.0556302</v>
          </cell>
          <cell r="H4157">
            <v>2812145920.57934</v>
          </cell>
          <cell r="I4157">
            <v>2828254510.2643299</v>
          </cell>
          <cell r="J4157">
            <v>2830843716.7436399</v>
          </cell>
          <cell r="K4157">
            <v>2830843716.7436399</v>
          </cell>
          <cell r="L4157">
            <v>2848321990.875</v>
          </cell>
          <cell r="M4157">
            <v>1120544542</v>
          </cell>
          <cell r="N4157">
            <v>1152026291.8</v>
          </cell>
          <cell r="O4157">
            <v>1203317968</v>
          </cell>
        </row>
        <row r="4158">
          <cell r="A4158" t="str">
            <v>SwitzerlandANI YTD incl Asia - 5 pt</v>
          </cell>
          <cell r="B4158">
            <v>2829949640.25</v>
          </cell>
          <cell r="C4158">
            <v>2796656037.9833298</v>
          </cell>
          <cell r="D4158">
            <v>2856292550.7075</v>
          </cell>
          <cell r="E4158">
            <v>2885221020.1859999</v>
          </cell>
          <cell r="F4158">
            <v>2885221020.1859999</v>
          </cell>
          <cell r="G4158">
            <v>2922541210.4830198</v>
          </cell>
          <cell r="H4158">
            <v>2935219590.4447298</v>
          </cell>
          <cell r="I4158">
            <v>2950252799.4888201</v>
          </cell>
          <cell r="J4158">
            <v>2952310547.9155302</v>
          </cell>
          <cell r="K4158">
            <v>2952310547.9155302</v>
          </cell>
          <cell r="L4158">
            <v>2972247201.1199999</v>
          </cell>
          <cell r="M4158">
            <v>1159138603.2</v>
          </cell>
          <cell r="N4158">
            <v>1180765964.8</v>
          </cell>
          <cell r="O4158">
            <v>1222560630.8</v>
          </cell>
        </row>
        <row r="4159">
          <cell r="A4159" t="str">
            <v>SwitzerlandOff Balance Sheet Assets</v>
          </cell>
          <cell r="B4159">
            <v>0</v>
          </cell>
          <cell r="C4159">
            <v>0</v>
          </cell>
          <cell r="D4159">
            <v>0</v>
          </cell>
          <cell r="E4159">
            <v>0</v>
          </cell>
          <cell r="F4159">
            <v>0</v>
          </cell>
          <cell r="G4159">
            <v>0</v>
          </cell>
          <cell r="H4159">
            <v>0</v>
          </cell>
          <cell r="I4159">
            <v>0</v>
          </cell>
          <cell r="J4159">
            <v>0</v>
          </cell>
          <cell r="K4159">
            <v>0</v>
          </cell>
          <cell r="L4159">
            <v>0</v>
          </cell>
          <cell r="M4159">
            <v>0</v>
          </cell>
          <cell r="N4159">
            <v>0</v>
          </cell>
          <cell r="O4159">
            <v>0</v>
          </cell>
        </row>
        <row r="4160">
          <cell r="A4160" t="str">
            <v>SwitzerlandJV Receivables</v>
          </cell>
          <cell r="B4160">
            <v>0</v>
          </cell>
          <cell r="C4160">
            <v>0</v>
          </cell>
          <cell r="D4160">
            <v>0</v>
          </cell>
          <cell r="E4160">
            <v>0</v>
          </cell>
          <cell r="F4160">
            <v>0</v>
          </cell>
          <cell r="G4160">
            <v>0</v>
          </cell>
          <cell r="H4160">
            <v>0</v>
          </cell>
          <cell r="I4160">
            <v>0</v>
          </cell>
          <cell r="J4160">
            <v>0</v>
          </cell>
          <cell r="K4160">
            <v>0</v>
          </cell>
          <cell r="L4160">
            <v>0</v>
          </cell>
          <cell r="M4160">
            <v>0</v>
          </cell>
          <cell r="N4160">
            <v>0</v>
          </cell>
          <cell r="O4160">
            <v>0</v>
          </cell>
        </row>
        <row r="4161">
          <cell r="A4161" t="str">
            <v>Switzerland30+ DELINQUENCY $</v>
          </cell>
          <cell r="B4161">
            <v>112396644.47</v>
          </cell>
          <cell r="C4161">
            <v>110468468.84999999</v>
          </cell>
          <cell r="D4161">
            <v>116227156.37</v>
          </cell>
          <cell r="E4161">
            <v>116005677.45999999</v>
          </cell>
          <cell r="F4161">
            <v>116005677.45999999</v>
          </cell>
          <cell r="G4161">
            <v>122148741.770671</v>
          </cell>
          <cell r="H4161">
            <v>127042310.577126</v>
          </cell>
          <cell r="I4161">
            <v>130927562.02841599</v>
          </cell>
          <cell r="J4161">
            <v>128925939.79930601</v>
          </cell>
          <cell r="K4161">
            <v>128925939.79930601</v>
          </cell>
          <cell r="L4161">
            <v>108292048.75</v>
          </cell>
          <cell r="M4161">
            <v>126960011</v>
          </cell>
          <cell r="N4161">
            <v>135750158</v>
          </cell>
          <cell r="O4161">
            <v>140849445</v>
          </cell>
        </row>
        <row r="4162">
          <cell r="A4162" t="str">
            <v>Switzerland90+ DELINQUENCY $</v>
          </cell>
          <cell r="B4162">
            <v>57659744.32</v>
          </cell>
          <cell r="C4162">
            <v>57976359.539999999</v>
          </cell>
          <cell r="D4162">
            <v>60338021.369999997</v>
          </cell>
          <cell r="E4162">
            <v>64319979.579999998</v>
          </cell>
          <cell r="F4162">
            <v>64319979.579999998</v>
          </cell>
          <cell r="G4162">
            <v>63772138.221046001</v>
          </cell>
          <cell r="H4162">
            <v>66320721.187322997</v>
          </cell>
          <cell r="I4162">
            <v>69277978.209562004</v>
          </cell>
          <cell r="J4162">
            <v>70048283.845356002</v>
          </cell>
          <cell r="K4162">
            <v>70048283.845356002</v>
          </cell>
          <cell r="L4162">
            <v>59985301.509999998</v>
          </cell>
          <cell r="M4162">
            <v>65544753</v>
          </cell>
          <cell r="N4162">
            <v>69479383</v>
          </cell>
          <cell r="O4162">
            <v>71530652</v>
          </cell>
        </row>
        <row r="4163">
          <cell r="A4163" t="str">
            <v>SwitzerlandTemporary Staff</v>
          </cell>
          <cell r="B4163">
            <v>0</v>
          </cell>
          <cell r="C4163">
            <v>32</v>
          </cell>
          <cell r="D4163">
            <v>24</v>
          </cell>
          <cell r="E4163">
            <v>26</v>
          </cell>
          <cell r="F4163">
            <v>26</v>
          </cell>
          <cell r="G4163">
            <v>7</v>
          </cell>
          <cell r="H4163">
            <v>7</v>
          </cell>
          <cell r="I4163">
            <v>7</v>
          </cell>
          <cell r="J4163">
            <v>7</v>
          </cell>
          <cell r="K4163">
            <v>7</v>
          </cell>
          <cell r="L4163">
            <v>10</v>
          </cell>
          <cell r="M4163">
            <v>30</v>
          </cell>
          <cell r="N4163">
            <v>30</v>
          </cell>
          <cell r="O4163">
            <v>30</v>
          </cell>
        </row>
        <row r="4164">
          <cell r="A4164" t="str">
            <v>SwitzerlandContractors</v>
          </cell>
          <cell r="B4164">
            <v>0</v>
          </cell>
          <cell r="C4164">
            <v>23</v>
          </cell>
          <cell r="D4164">
            <v>20</v>
          </cell>
          <cell r="E4164">
            <v>17</v>
          </cell>
          <cell r="F4164">
            <v>17</v>
          </cell>
          <cell r="G4164">
            <v>15</v>
          </cell>
          <cell r="H4164">
            <v>11</v>
          </cell>
          <cell r="I4164">
            <v>9</v>
          </cell>
          <cell r="J4164">
            <v>6</v>
          </cell>
          <cell r="K4164">
            <v>6</v>
          </cell>
          <cell r="L4164">
            <v>13</v>
          </cell>
          <cell r="M4164">
            <v>24</v>
          </cell>
          <cell r="N4164">
            <v>24</v>
          </cell>
          <cell r="O4164">
            <v>24</v>
          </cell>
        </row>
        <row r="4165">
          <cell r="A4165" t="str">
            <v>SwitzerlandOutsourced to LCC</v>
          </cell>
          <cell r="B4165">
            <v>0</v>
          </cell>
          <cell r="C4165">
            <v>0</v>
          </cell>
          <cell r="D4165">
            <v>0</v>
          </cell>
          <cell r="E4165">
            <v>0</v>
          </cell>
          <cell r="F4165">
            <v>0</v>
          </cell>
          <cell r="G4165">
            <v>25</v>
          </cell>
          <cell r="H4165">
            <v>25</v>
          </cell>
          <cell r="I4165">
            <v>25</v>
          </cell>
          <cell r="J4165">
            <v>25</v>
          </cell>
          <cell r="K4165">
            <v>25</v>
          </cell>
          <cell r="L4165">
            <v>23</v>
          </cell>
          <cell r="M4165">
            <v>0</v>
          </cell>
          <cell r="N4165">
            <v>0</v>
          </cell>
          <cell r="O4165">
            <v>0</v>
          </cell>
        </row>
        <row r="4166">
          <cell r="A4166" t="str">
            <v>SwitzerlandTotal Headcount</v>
          </cell>
          <cell r="B4166">
            <v>643.5</v>
          </cell>
          <cell r="C4166">
            <v>633.5</v>
          </cell>
          <cell r="D4166">
            <v>621</v>
          </cell>
          <cell r="E4166">
            <v>595</v>
          </cell>
          <cell r="F4166">
            <v>595</v>
          </cell>
          <cell r="G4166">
            <v>594.5</v>
          </cell>
          <cell r="H4166">
            <v>580</v>
          </cell>
          <cell r="I4166">
            <v>556</v>
          </cell>
          <cell r="J4166">
            <v>550</v>
          </cell>
          <cell r="K4166">
            <v>550</v>
          </cell>
          <cell r="L4166">
            <v>577.5</v>
          </cell>
          <cell r="M4166">
            <v>573</v>
          </cell>
          <cell r="N4166">
            <v>573</v>
          </cell>
          <cell r="O4166">
            <v>573</v>
          </cell>
        </row>
        <row r="4167">
          <cell r="A4167" t="str">
            <v>SwitzerlandTotal Workforce</v>
          </cell>
          <cell r="B4167">
            <v>643.5</v>
          </cell>
          <cell r="C4167">
            <v>688.5</v>
          </cell>
          <cell r="D4167">
            <v>665</v>
          </cell>
          <cell r="E4167">
            <v>638</v>
          </cell>
          <cell r="F4167">
            <v>638</v>
          </cell>
          <cell r="G4167">
            <v>641.5</v>
          </cell>
          <cell r="H4167">
            <v>623</v>
          </cell>
          <cell r="I4167">
            <v>597</v>
          </cell>
          <cell r="J4167">
            <v>588</v>
          </cell>
          <cell r="K4167">
            <v>588</v>
          </cell>
          <cell r="L4167">
            <v>623.5</v>
          </cell>
          <cell r="M4167">
            <v>627</v>
          </cell>
          <cell r="N4167">
            <v>627</v>
          </cell>
          <cell r="O4167">
            <v>627</v>
          </cell>
        </row>
        <row r="4168">
          <cell r="A4168" t="str">
            <v>SwitzerlandTotal Earned Revenue</v>
          </cell>
          <cell r="B4168">
            <v>-64201716.390000001</v>
          </cell>
          <cell r="C4168">
            <v>-63524883.539999999</v>
          </cell>
          <cell r="D4168">
            <v>-60612891.189999998</v>
          </cell>
          <cell r="E4168">
            <v>-73632310</v>
          </cell>
          <cell r="F4168">
            <v>-261971801.12</v>
          </cell>
          <cell r="G4168">
            <v>-66916080.294110999</v>
          </cell>
          <cell r="H4168">
            <v>-68476918.620205</v>
          </cell>
          <cell r="I4168">
            <v>-70777316.846156001</v>
          </cell>
          <cell r="J4168">
            <v>-70558468.283544004</v>
          </cell>
          <cell r="K4168">
            <v>-276728784.04401499</v>
          </cell>
          <cell r="L4168">
            <v>-65789143.960000001</v>
          </cell>
          <cell r="M4168">
            <v>-280860886</v>
          </cell>
          <cell r="N4168">
            <v>-291875042</v>
          </cell>
          <cell r="O4168">
            <v>-301431327</v>
          </cell>
        </row>
        <row r="4169">
          <cell r="A4169" t="str">
            <v>SwitzerlandOrdinary Gains - PreTax</v>
          </cell>
          <cell r="B4169">
            <v>0</v>
          </cell>
          <cell r="C4169">
            <v>0</v>
          </cell>
          <cell r="D4169">
            <v>0</v>
          </cell>
          <cell r="E4169">
            <v>0</v>
          </cell>
          <cell r="F4169">
            <v>0</v>
          </cell>
          <cell r="G4169">
            <v>0</v>
          </cell>
          <cell r="H4169">
            <v>0</v>
          </cell>
          <cell r="I4169">
            <v>0</v>
          </cell>
          <cell r="J4169">
            <v>0</v>
          </cell>
          <cell r="K4169">
            <v>0</v>
          </cell>
          <cell r="L4169">
            <v>0</v>
          </cell>
          <cell r="M4169">
            <v>0</v>
          </cell>
          <cell r="N4169">
            <v>0</v>
          </cell>
          <cell r="O4169">
            <v>0</v>
          </cell>
        </row>
        <row r="4170">
          <cell r="A4170" t="str">
            <v>SwitzerlandOrdinary Gains - AfterTax</v>
          </cell>
          <cell r="B4170">
            <v>0</v>
          </cell>
          <cell r="C4170">
            <v>0</v>
          </cell>
          <cell r="D4170">
            <v>0</v>
          </cell>
          <cell r="E4170">
            <v>0</v>
          </cell>
          <cell r="F4170">
            <v>0</v>
          </cell>
          <cell r="G4170">
            <v>0</v>
          </cell>
          <cell r="H4170">
            <v>0</v>
          </cell>
          <cell r="I4170">
            <v>0</v>
          </cell>
          <cell r="J4170">
            <v>0</v>
          </cell>
          <cell r="K4170">
            <v>0</v>
          </cell>
          <cell r="L4170">
            <v>0</v>
          </cell>
          <cell r="M4170">
            <v>0</v>
          </cell>
          <cell r="N4170">
            <v>0</v>
          </cell>
          <cell r="O4170">
            <v>0</v>
          </cell>
        </row>
        <row r="4171">
          <cell r="A4171" t="str">
            <v>SwitzerlandTotal Volume</v>
          </cell>
          <cell r="B4171">
            <v>497286597.41000003</v>
          </cell>
          <cell r="C4171">
            <v>550027282.64999998</v>
          </cell>
          <cell r="D4171">
            <v>475425148.31</v>
          </cell>
          <cell r="E4171">
            <v>478772513</v>
          </cell>
          <cell r="F4171">
            <v>2001511541.3699999</v>
          </cell>
          <cell r="G4171">
            <v>479821344.68368399</v>
          </cell>
          <cell r="H4171">
            <v>586796295.41605198</v>
          </cell>
          <cell r="I4171">
            <v>521543020.847763</v>
          </cell>
          <cell r="J4171">
            <v>450952149.70423001</v>
          </cell>
          <cell r="K4171">
            <v>2039112810.6517301</v>
          </cell>
          <cell r="L4171">
            <v>508068016.17000002</v>
          </cell>
          <cell r="M4171">
            <v>2145531775</v>
          </cell>
          <cell r="N4171">
            <v>2241711082</v>
          </cell>
          <cell r="O4171">
            <v>2329754436</v>
          </cell>
        </row>
        <row r="4172">
          <cell r="A4172" t="str">
            <v>SwitzerlandTOTAL # ACTIVE ACCOUNTS</v>
          </cell>
          <cell r="B4172">
            <v>310681.31</v>
          </cell>
          <cell r="C4172">
            <v>315001.77</v>
          </cell>
          <cell r="D4172">
            <v>323723.44</v>
          </cell>
          <cell r="E4172">
            <v>319792</v>
          </cell>
          <cell r="F4172">
            <v>319792</v>
          </cell>
          <cell r="G4172">
            <v>324896.95511400001</v>
          </cell>
          <cell r="H4172">
            <v>328200.54191299999</v>
          </cell>
          <cell r="I4172">
            <v>330098.77179999999</v>
          </cell>
          <cell r="J4172">
            <v>330280</v>
          </cell>
          <cell r="K4172">
            <v>330280</v>
          </cell>
          <cell r="L4172">
            <v>0</v>
          </cell>
          <cell r="M4172">
            <v>354466</v>
          </cell>
          <cell r="N4172">
            <v>382733</v>
          </cell>
          <cell r="O4172">
            <v>400613</v>
          </cell>
        </row>
        <row r="4173">
          <cell r="A4173" t="str">
            <v>TaiwanTOTAL FINANCING RECEIVABLES</v>
          </cell>
          <cell r="B4173">
            <v>174737629.55000001</v>
          </cell>
          <cell r="C4173">
            <v>156244185.84</v>
          </cell>
          <cell r="D4173">
            <v>150623059.44999999</v>
          </cell>
          <cell r="E4173">
            <v>167052986.75999999</v>
          </cell>
          <cell r="F4173">
            <v>167052986.75999999</v>
          </cell>
          <cell r="G4173">
            <v>178422884.59999999</v>
          </cell>
          <cell r="H4173">
            <v>190447702.08571401</v>
          </cell>
          <cell r="I4173">
            <v>196386937.342857</v>
          </cell>
          <cell r="J4173">
            <v>201822773.228571</v>
          </cell>
          <cell r="K4173">
            <v>201822773.228571</v>
          </cell>
          <cell r="L4173">
            <v>164869749.53999999</v>
          </cell>
          <cell r="M4173">
            <v>240533795.969697</v>
          </cell>
          <cell r="N4173">
            <v>251783642.21212101</v>
          </cell>
          <cell r="O4173">
            <v>324598608.51515198</v>
          </cell>
        </row>
        <row r="4174">
          <cell r="A4174" t="str">
            <v>TaiwanRECEIVABLE RESERVES</v>
          </cell>
          <cell r="B4174">
            <v>-2897252.16</v>
          </cell>
          <cell r="C4174">
            <v>-2636022.9700000002</v>
          </cell>
          <cell r="D4174">
            <v>-3678668.69</v>
          </cell>
          <cell r="E4174">
            <v>-2729025.76</v>
          </cell>
          <cell r="F4174">
            <v>-2729025.76</v>
          </cell>
          <cell r="G4174">
            <v>-2611493.2571430001</v>
          </cell>
          <cell r="H4174">
            <v>-2915392.8285710001</v>
          </cell>
          <cell r="I4174">
            <v>-3064657.771429</v>
          </cell>
          <cell r="J4174">
            <v>-2905437.4571429999</v>
          </cell>
          <cell r="K4174">
            <v>-2905437.4571429999</v>
          </cell>
          <cell r="L4174">
            <v>-2880479.74</v>
          </cell>
          <cell r="M4174">
            <v>-4625072.3030300001</v>
          </cell>
          <cell r="N4174">
            <v>-4974601.3030300001</v>
          </cell>
          <cell r="O4174">
            <v>-6431834.6666670004</v>
          </cell>
        </row>
        <row r="4175">
          <cell r="A4175" t="str">
            <v>TaiwanCASH</v>
          </cell>
          <cell r="B4175">
            <v>7401103.2800000003</v>
          </cell>
          <cell r="C4175">
            <v>6489749.9299999997</v>
          </cell>
          <cell r="D4175">
            <v>8479076.7899999991</v>
          </cell>
          <cell r="E4175">
            <v>8186436.9199999999</v>
          </cell>
          <cell r="F4175">
            <v>8186436.9199999999</v>
          </cell>
          <cell r="G4175">
            <v>8142857.1428570002</v>
          </cell>
          <cell r="H4175">
            <v>8142857.1428570002</v>
          </cell>
          <cell r="I4175">
            <v>8142857.1428570002</v>
          </cell>
          <cell r="J4175">
            <v>8142857.1428570002</v>
          </cell>
          <cell r="K4175">
            <v>8142857.1428570002</v>
          </cell>
          <cell r="L4175">
            <v>9337086.0399999991</v>
          </cell>
          <cell r="M4175">
            <v>7696969.6969699999</v>
          </cell>
          <cell r="N4175">
            <v>9499406.0606059991</v>
          </cell>
          <cell r="O4175">
            <v>12246601.727273</v>
          </cell>
        </row>
        <row r="4176">
          <cell r="A4176" t="str">
            <v>TaiwanINVESTMENT SECURITIES</v>
          </cell>
          <cell r="B4176">
            <v>0</v>
          </cell>
          <cell r="C4176">
            <v>0</v>
          </cell>
          <cell r="D4176">
            <v>0</v>
          </cell>
          <cell r="E4176">
            <v>0</v>
          </cell>
          <cell r="F4176">
            <v>0</v>
          </cell>
          <cell r="G4176">
            <v>0</v>
          </cell>
          <cell r="H4176">
            <v>0</v>
          </cell>
          <cell r="I4176">
            <v>0</v>
          </cell>
          <cell r="J4176">
            <v>0</v>
          </cell>
          <cell r="K4176">
            <v>0</v>
          </cell>
          <cell r="L4176">
            <v>0</v>
          </cell>
          <cell r="M4176">
            <v>0</v>
          </cell>
          <cell r="N4176">
            <v>0</v>
          </cell>
          <cell r="O4176">
            <v>0</v>
          </cell>
        </row>
        <row r="4177">
          <cell r="A4177" t="str">
            <v>TaiwanINV IN NON CONSOL AFFILIATES</v>
          </cell>
          <cell r="B4177">
            <v>0</v>
          </cell>
          <cell r="C4177">
            <v>0</v>
          </cell>
          <cell r="D4177">
            <v>0</v>
          </cell>
          <cell r="E4177">
            <v>0</v>
          </cell>
          <cell r="F4177">
            <v>0</v>
          </cell>
          <cell r="G4177">
            <v>0</v>
          </cell>
          <cell r="H4177">
            <v>0</v>
          </cell>
          <cell r="I4177">
            <v>0</v>
          </cell>
          <cell r="J4177">
            <v>0</v>
          </cell>
          <cell r="K4177">
            <v>0</v>
          </cell>
          <cell r="L4177">
            <v>0</v>
          </cell>
          <cell r="M4177">
            <v>0</v>
          </cell>
          <cell r="N4177">
            <v>0</v>
          </cell>
          <cell r="O4177">
            <v>0</v>
          </cell>
        </row>
        <row r="4178">
          <cell r="A4178" t="str">
            <v>TaiwanINVESTMENT IN JOINT VENTURE</v>
          </cell>
          <cell r="B4178">
            <v>0</v>
          </cell>
          <cell r="C4178">
            <v>0</v>
          </cell>
          <cell r="D4178">
            <v>0</v>
          </cell>
          <cell r="E4178">
            <v>0</v>
          </cell>
          <cell r="F4178">
            <v>0</v>
          </cell>
          <cell r="G4178">
            <v>0</v>
          </cell>
          <cell r="H4178">
            <v>0</v>
          </cell>
          <cell r="I4178">
            <v>0</v>
          </cell>
          <cell r="J4178">
            <v>0</v>
          </cell>
          <cell r="K4178">
            <v>0</v>
          </cell>
          <cell r="L4178">
            <v>0</v>
          </cell>
          <cell r="M4178">
            <v>0</v>
          </cell>
          <cell r="N4178">
            <v>0</v>
          </cell>
          <cell r="O4178">
            <v>0</v>
          </cell>
        </row>
        <row r="4179">
          <cell r="A4179" t="str">
            <v>TaiwanALL OTHER RECEIVABLES (NON-FINANCING)</v>
          </cell>
          <cell r="B4179">
            <v>1185615.8999999999</v>
          </cell>
          <cell r="C4179">
            <v>1052835.2</v>
          </cell>
          <cell r="D4179">
            <v>1225119.67</v>
          </cell>
          <cell r="E4179">
            <v>1488458.87</v>
          </cell>
          <cell r="F4179">
            <v>1488458.87</v>
          </cell>
          <cell r="G4179">
            <v>1642683.8</v>
          </cell>
          <cell r="H4179">
            <v>1642683.8</v>
          </cell>
          <cell r="I4179">
            <v>1642683.8</v>
          </cell>
          <cell r="J4179">
            <v>1642683.8</v>
          </cell>
          <cell r="K4179">
            <v>1642683.8</v>
          </cell>
          <cell r="L4179">
            <v>1472828.37</v>
          </cell>
          <cell r="M4179">
            <v>1705416.212121</v>
          </cell>
          <cell r="N4179">
            <v>2104781.7272729999</v>
          </cell>
          <cell r="O4179">
            <v>2713477.3636360001</v>
          </cell>
        </row>
        <row r="4180">
          <cell r="A4180" t="str">
            <v>TaiwanELTO (NET)</v>
          </cell>
          <cell r="B4180">
            <v>0</v>
          </cell>
          <cell r="C4180">
            <v>0</v>
          </cell>
          <cell r="D4180">
            <v>0</v>
          </cell>
          <cell r="E4180">
            <v>0</v>
          </cell>
          <cell r="F4180">
            <v>0</v>
          </cell>
          <cell r="G4180">
            <v>0</v>
          </cell>
          <cell r="H4180">
            <v>0</v>
          </cell>
          <cell r="I4180">
            <v>0</v>
          </cell>
          <cell r="J4180">
            <v>0</v>
          </cell>
          <cell r="K4180">
            <v>0</v>
          </cell>
          <cell r="L4180">
            <v>0</v>
          </cell>
          <cell r="M4180">
            <v>0</v>
          </cell>
          <cell r="N4180">
            <v>0</v>
          </cell>
          <cell r="O4180">
            <v>0</v>
          </cell>
        </row>
        <row r="4181">
          <cell r="A4181" t="str">
            <v>TaiwanGOODWILL</v>
          </cell>
          <cell r="B4181">
            <v>489660.32</v>
          </cell>
          <cell r="C4181">
            <v>475115.93</v>
          </cell>
          <cell r="D4181">
            <v>460571.54</v>
          </cell>
          <cell r="E4181">
            <v>341208.66</v>
          </cell>
          <cell r="F4181">
            <v>341208.66</v>
          </cell>
          <cell r="G4181">
            <v>312382.17142899998</v>
          </cell>
          <cell r="H4181">
            <v>312382.17142899998</v>
          </cell>
          <cell r="I4181">
            <v>312382.17142899998</v>
          </cell>
          <cell r="J4181">
            <v>312382.17142899998</v>
          </cell>
          <cell r="K4181">
            <v>312382.17142899998</v>
          </cell>
          <cell r="L4181">
            <v>336416.68</v>
          </cell>
          <cell r="M4181">
            <v>384497.39393899997</v>
          </cell>
          <cell r="N4181">
            <v>323891.33333300002</v>
          </cell>
          <cell r="O4181">
            <v>263285.272727</v>
          </cell>
        </row>
        <row r="4182">
          <cell r="A4182" t="str">
            <v>TaiwanOTHER ASSETS</v>
          </cell>
          <cell r="B4182">
            <v>2729226.64</v>
          </cell>
          <cell r="C4182">
            <v>2449653.96</v>
          </cell>
          <cell r="D4182">
            <v>3131061.39</v>
          </cell>
          <cell r="E4182">
            <v>2772811.26</v>
          </cell>
          <cell r="F4182">
            <v>2772811.26</v>
          </cell>
          <cell r="G4182">
            <v>1094804.912857</v>
          </cell>
          <cell r="H4182">
            <v>1094804.912857</v>
          </cell>
          <cell r="I4182">
            <v>1094804.912857</v>
          </cell>
          <cell r="J4182">
            <v>1094804.912857</v>
          </cell>
          <cell r="K4182">
            <v>1094804.912857</v>
          </cell>
          <cell r="L4182">
            <v>2509788.52</v>
          </cell>
          <cell r="M4182">
            <v>3030303.030303</v>
          </cell>
          <cell r="N4182">
            <v>3739923.6363639999</v>
          </cell>
          <cell r="O4182">
            <v>4821496.7575759999</v>
          </cell>
        </row>
        <row r="4183">
          <cell r="A4183" t="str">
            <v>TaiwanACCOUNTS PAYABLE</v>
          </cell>
          <cell r="B4183">
            <v>531315.06000000006</v>
          </cell>
          <cell r="C4183">
            <v>1310127.29</v>
          </cell>
          <cell r="D4183">
            <v>1188221.04</v>
          </cell>
          <cell r="E4183">
            <v>-827075.23</v>
          </cell>
          <cell r="F4183">
            <v>-827075.23</v>
          </cell>
          <cell r="G4183">
            <v>-915736.62857099995</v>
          </cell>
          <cell r="H4183">
            <v>-915736.62857099995</v>
          </cell>
          <cell r="I4183">
            <v>-915736.62857099995</v>
          </cell>
          <cell r="J4183">
            <v>-915736.62857099995</v>
          </cell>
          <cell r="K4183">
            <v>-915736.62857099995</v>
          </cell>
          <cell r="L4183">
            <v>-889364.18</v>
          </cell>
          <cell r="M4183">
            <v>-1532863.6060609999</v>
          </cell>
          <cell r="N4183">
            <v>-2213112.7575759999</v>
          </cell>
          <cell r="O4183">
            <v>-2853137.3939390001</v>
          </cell>
        </row>
        <row r="4184">
          <cell r="A4184" t="str">
            <v>TaiwanDEFERRED INCOME TAXES</v>
          </cell>
          <cell r="B4184">
            <v>-1202886.79</v>
          </cell>
          <cell r="C4184">
            <v>-240284.49</v>
          </cell>
          <cell r="D4184">
            <v>-73676.63</v>
          </cell>
          <cell r="E4184">
            <v>1892077.23</v>
          </cell>
          <cell r="F4184">
            <v>1892077.23</v>
          </cell>
          <cell r="G4184">
            <v>1892077.23</v>
          </cell>
          <cell r="H4184">
            <v>1892077.23</v>
          </cell>
          <cell r="I4184">
            <v>1892077.23</v>
          </cell>
          <cell r="J4184">
            <v>1892077.23</v>
          </cell>
          <cell r="K4184">
            <v>1892077.23</v>
          </cell>
          <cell r="L4184">
            <v>1913646.93</v>
          </cell>
          <cell r="M4184">
            <v>0</v>
          </cell>
          <cell r="N4184">
            <v>0</v>
          </cell>
          <cell r="O4184">
            <v>0</v>
          </cell>
        </row>
        <row r="4185">
          <cell r="A4185" t="str">
            <v>TaiwanWRITE-OFF (MEMO)</v>
          </cell>
          <cell r="B4185">
            <v>230889.66</v>
          </cell>
          <cell r="C4185">
            <v>511286.78</v>
          </cell>
          <cell r="D4185">
            <v>441096.52</v>
          </cell>
          <cell r="E4185">
            <v>954484.41</v>
          </cell>
          <cell r="F4185">
            <v>954484.41</v>
          </cell>
          <cell r="G4185">
            <v>614709.17142899998</v>
          </cell>
          <cell r="H4185">
            <v>862993.88571399997</v>
          </cell>
          <cell r="I4185">
            <v>1159583.5428569999</v>
          </cell>
          <cell r="J4185">
            <v>1371375.8857140001</v>
          </cell>
          <cell r="K4185">
            <v>1371375.8857140001</v>
          </cell>
          <cell r="L4185">
            <v>329006.06</v>
          </cell>
          <cell r="M4185">
            <v>1417239</v>
          </cell>
          <cell r="N4185">
            <v>1632776</v>
          </cell>
          <cell r="O4185">
            <v>1699364</v>
          </cell>
        </row>
        <row r="4186">
          <cell r="A4186" t="str">
            <v>TaiwanINSURANCE RESERVES AND ANNUITY BENEFITS</v>
          </cell>
          <cell r="B4186">
            <v>0</v>
          </cell>
          <cell r="C4186">
            <v>0</v>
          </cell>
          <cell r="D4186">
            <v>0</v>
          </cell>
          <cell r="E4186">
            <v>0</v>
          </cell>
          <cell r="F4186">
            <v>0</v>
          </cell>
          <cell r="G4186">
            <v>0</v>
          </cell>
          <cell r="H4186">
            <v>0</v>
          </cell>
          <cell r="I4186">
            <v>0</v>
          </cell>
          <cell r="J4186">
            <v>0</v>
          </cell>
          <cell r="K4186">
            <v>0</v>
          </cell>
          <cell r="L4186">
            <v>0</v>
          </cell>
          <cell r="M4186">
            <v>0</v>
          </cell>
          <cell r="N4186">
            <v>0</v>
          </cell>
          <cell r="O4186">
            <v>0</v>
          </cell>
        </row>
        <row r="4187">
          <cell r="A4187" t="str">
            <v>TaiwanALL OTHER NON DEBT LIABILITIES</v>
          </cell>
          <cell r="B4187">
            <v>-5152867.1900000004</v>
          </cell>
          <cell r="C4187">
            <v>-5514326.5599999996</v>
          </cell>
          <cell r="D4187">
            <v>-6764267.1600000001</v>
          </cell>
          <cell r="E4187">
            <v>-6501365.2400000002</v>
          </cell>
          <cell r="F4187">
            <v>-6501365.2400000002</v>
          </cell>
          <cell r="G4187">
            <v>-4183916.714286</v>
          </cell>
          <cell r="H4187">
            <v>-4183916.714286</v>
          </cell>
          <cell r="I4187">
            <v>-4183916.714286</v>
          </cell>
          <cell r="J4187">
            <v>-4183916.714286</v>
          </cell>
          <cell r="K4187">
            <v>-4183916.714286</v>
          </cell>
          <cell r="L4187">
            <v>-5139593.43</v>
          </cell>
          <cell r="M4187">
            <v>-4186520.6363639999</v>
          </cell>
          <cell r="N4187">
            <v>-5695117.0909089996</v>
          </cell>
          <cell r="O4187">
            <v>-7342125.4242420001</v>
          </cell>
        </row>
        <row r="4188">
          <cell r="A4188" t="str">
            <v>TaiwanMINORITY INTEREST (BS)</v>
          </cell>
          <cell r="B4188">
            <v>0</v>
          </cell>
          <cell r="C4188">
            <v>0</v>
          </cell>
          <cell r="D4188">
            <v>0</v>
          </cell>
          <cell r="E4188">
            <v>0</v>
          </cell>
          <cell r="F4188">
            <v>0</v>
          </cell>
          <cell r="G4188">
            <v>0</v>
          </cell>
          <cell r="H4188">
            <v>0</v>
          </cell>
          <cell r="I4188">
            <v>0</v>
          </cell>
          <cell r="J4188">
            <v>0</v>
          </cell>
          <cell r="K4188">
            <v>0</v>
          </cell>
          <cell r="L4188">
            <v>0</v>
          </cell>
          <cell r="M4188">
            <v>0</v>
          </cell>
          <cell r="N4188">
            <v>0</v>
          </cell>
          <cell r="O4188">
            <v>0</v>
          </cell>
        </row>
        <row r="4189">
          <cell r="A4189" t="str">
            <v>TaiwanASIA PACIFIC ENI DIVIDEND</v>
          </cell>
          <cell r="B4189">
            <v>0</v>
          </cell>
          <cell r="C4189">
            <v>0</v>
          </cell>
          <cell r="D4189">
            <v>0</v>
          </cell>
          <cell r="E4189">
            <v>0</v>
          </cell>
          <cell r="F4189">
            <v>0</v>
          </cell>
          <cell r="G4189">
            <v>0</v>
          </cell>
          <cell r="H4189">
            <v>0</v>
          </cell>
          <cell r="I4189">
            <v>0</v>
          </cell>
          <cell r="J4189">
            <v>0</v>
          </cell>
          <cell r="K4189">
            <v>0</v>
          </cell>
          <cell r="L4189">
            <v>0</v>
          </cell>
          <cell r="M4189">
            <v>0</v>
          </cell>
          <cell r="N4189">
            <v>0</v>
          </cell>
          <cell r="O4189">
            <v>0</v>
          </cell>
        </row>
        <row r="4190">
          <cell r="A4190" t="str">
            <v>TaiwanFINANCING INCOME</v>
          </cell>
          <cell r="B4190">
            <v>-4226422.08</v>
          </cell>
          <cell r="C4190">
            <v>-3780380.11</v>
          </cell>
          <cell r="D4190">
            <v>-3539918.92</v>
          </cell>
          <cell r="E4190">
            <v>-3850168.24</v>
          </cell>
          <cell r="F4190">
            <v>-15396889.35</v>
          </cell>
          <cell r="G4190">
            <v>-4092680.771429</v>
          </cell>
          <cell r="H4190">
            <v>-4326847.3428570004</v>
          </cell>
          <cell r="I4190">
            <v>-4515321.5714290002</v>
          </cell>
          <cell r="J4190">
            <v>-4696907.2285709996</v>
          </cell>
          <cell r="K4190">
            <v>-17631756.914285999</v>
          </cell>
          <cell r="L4190">
            <v>-3678487.53</v>
          </cell>
          <cell r="M4190">
            <v>-21770015.424242001</v>
          </cell>
          <cell r="N4190">
            <v>-23605161.969696999</v>
          </cell>
          <cell r="O4190">
            <v>-28322938.272727001</v>
          </cell>
        </row>
        <row r="4191">
          <cell r="A4191" t="str">
            <v>TaiwanINSURANCE PREMIUM INCOME</v>
          </cell>
          <cell r="B4191">
            <v>0</v>
          </cell>
          <cell r="C4191">
            <v>0</v>
          </cell>
          <cell r="D4191">
            <v>0</v>
          </cell>
          <cell r="E4191">
            <v>0</v>
          </cell>
          <cell r="F4191">
            <v>0</v>
          </cell>
          <cell r="G4191">
            <v>0</v>
          </cell>
          <cell r="H4191">
            <v>0</v>
          </cell>
          <cell r="I4191">
            <v>0</v>
          </cell>
          <cell r="J4191">
            <v>0</v>
          </cell>
          <cell r="K4191">
            <v>0</v>
          </cell>
          <cell r="L4191">
            <v>0</v>
          </cell>
          <cell r="M4191">
            <v>0</v>
          </cell>
          <cell r="N4191">
            <v>0</v>
          </cell>
          <cell r="O4191">
            <v>0</v>
          </cell>
        </row>
        <row r="4192">
          <cell r="A4192" t="str">
            <v>TaiwanINSURANCE INCOME (COMMISSIONS)</v>
          </cell>
          <cell r="B4192">
            <v>0</v>
          </cell>
          <cell r="C4192">
            <v>0</v>
          </cell>
          <cell r="D4192">
            <v>0</v>
          </cell>
          <cell r="E4192">
            <v>0</v>
          </cell>
          <cell r="F4192">
            <v>0</v>
          </cell>
          <cell r="G4192">
            <v>0</v>
          </cell>
          <cell r="H4192">
            <v>0</v>
          </cell>
          <cell r="I4192">
            <v>0</v>
          </cell>
          <cell r="J4192">
            <v>0</v>
          </cell>
          <cell r="K4192">
            <v>0</v>
          </cell>
          <cell r="L4192">
            <v>0</v>
          </cell>
          <cell r="M4192">
            <v>0</v>
          </cell>
          <cell r="N4192">
            <v>0</v>
          </cell>
          <cell r="O4192">
            <v>0</v>
          </cell>
        </row>
        <row r="4193">
          <cell r="A4193" t="str">
            <v>TaiwanSUNDRY INCOME</v>
          </cell>
          <cell r="B4193">
            <v>-793882.65</v>
          </cell>
          <cell r="C4193">
            <v>-116667.94</v>
          </cell>
          <cell r="D4193">
            <v>-311508.59000000003</v>
          </cell>
          <cell r="E4193">
            <v>-243456.63</v>
          </cell>
          <cell r="F4193">
            <v>-1465515.81</v>
          </cell>
          <cell r="G4193">
            <v>-922247.65714300005</v>
          </cell>
          <cell r="H4193">
            <v>-1091116.4571430001</v>
          </cell>
          <cell r="I4193">
            <v>-1303642.371429</v>
          </cell>
          <cell r="J4193">
            <v>-1522950.942857</v>
          </cell>
          <cell r="K4193">
            <v>-4839957.428572</v>
          </cell>
          <cell r="L4193">
            <v>-941506.95</v>
          </cell>
          <cell r="M4193">
            <v>-6559026.121212</v>
          </cell>
          <cell r="N4193">
            <v>-10465377.969697</v>
          </cell>
          <cell r="O4193">
            <v>-13259272.484848</v>
          </cell>
        </row>
        <row r="4194">
          <cell r="A4194" t="str">
            <v>TaiwanINTEREST EXPENSE</v>
          </cell>
          <cell r="B4194">
            <v>2473491.87</v>
          </cell>
          <cell r="C4194">
            <v>1560670.92</v>
          </cell>
          <cell r="D4194">
            <v>1377485.4</v>
          </cell>
          <cell r="E4194">
            <v>1058457.69</v>
          </cell>
          <cell r="F4194">
            <v>6470105.8799999999</v>
          </cell>
          <cell r="G4194">
            <v>1813663.8285709999</v>
          </cell>
          <cell r="H4194">
            <v>1789823.342857</v>
          </cell>
          <cell r="I4194">
            <v>1710121.7428570001</v>
          </cell>
          <cell r="J4194">
            <v>1654723.0285710001</v>
          </cell>
          <cell r="K4194">
            <v>6968331.9428559998</v>
          </cell>
          <cell r="L4194">
            <v>1718868.26</v>
          </cell>
          <cell r="M4194">
            <v>9886964.1818179991</v>
          </cell>
          <cell r="N4194">
            <v>10797573.606061</v>
          </cell>
          <cell r="O4194">
            <v>12631061.363636</v>
          </cell>
        </row>
        <row r="4195">
          <cell r="A4195" t="str">
            <v>TaiwanINTEREST EXPENSE REDUCTIONS / BUS SHARING</v>
          </cell>
          <cell r="B4195">
            <v>-75014.149999999994</v>
          </cell>
          <cell r="C4195">
            <v>-56677</v>
          </cell>
          <cell r="D4195">
            <v>-60374.720000000001</v>
          </cell>
          <cell r="E4195">
            <v>-37183.839999999997</v>
          </cell>
          <cell r="F4195">
            <v>-229249.71</v>
          </cell>
          <cell r="G4195">
            <v>0</v>
          </cell>
          <cell r="H4195">
            <v>0</v>
          </cell>
          <cell r="I4195">
            <v>0</v>
          </cell>
          <cell r="J4195">
            <v>0</v>
          </cell>
          <cell r="K4195">
            <v>0</v>
          </cell>
          <cell r="L4195">
            <v>-29448.91</v>
          </cell>
          <cell r="M4195">
            <v>0</v>
          </cell>
          <cell r="N4195">
            <v>0</v>
          </cell>
          <cell r="O4195">
            <v>0</v>
          </cell>
        </row>
        <row r="4196">
          <cell r="A4196" t="str">
            <v>TaiwanALLOCATED COST OF PREFERRED EQUITY</v>
          </cell>
          <cell r="B4196">
            <v>24851.9</v>
          </cell>
          <cell r="C4196">
            <v>18001.02</v>
          </cell>
          <cell r="D4196">
            <v>14210.06</v>
          </cell>
          <cell r="E4196">
            <v>8388.57</v>
          </cell>
          <cell r="F4196">
            <v>65451.55</v>
          </cell>
          <cell r="G4196">
            <v>26881.342857</v>
          </cell>
          <cell r="H4196">
            <v>28373.742857000001</v>
          </cell>
          <cell r="I4196">
            <v>29753.085714000001</v>
          </cell>
          <cell r="J4196">
            <v>30408.485713999999</v>
          </cell>
          <cell r="K4196">
            <v>115416.657142</v>
          </cell>
          <cell r="L4196">
            <v>8388.57</v>
          </cell>
          <cell r="M4196">
            <v>0</v>
          </cell>
          <cell r="N4196">
            <v>0</v>
          </cell>
          <cell r="O4196">
            <v>0</v>
          </cell>
        </row>
        <row r="4197">
          <cell r="A4197" t="str">
            <v>TaiwanSALARIES &amp; BENEFITS</v>
          </cell>
          <cell r="B4197">
            <v>834335.37</v>
          </cell>
          <cell r="C4197">
            <v>865555.55</v>
          </cell>
          <cell r="D4197">
            <v>784886.63</v>
          </cell>
          <cell r="E4197">
            <v>813049.62</v>
          </cell>
          <cell r="F4197">
            <v>3297827.17</v>
          </cell>
          <cell r="G4197">
            <v>1050595.1142849999</v>
          </cell>
          <cell r="H4197">
            <v>1074712.8285709999</v>
          </cell>
          <cell r="I4197">
            <v>1095159.914286</v>
          </cell>
          <cell r="J4197">
            <v>1107617.857143</v>
          </cell>
          <cell r="K4197">
            <v>4328085.7142850002</v>
          </cell>
          <cell r="L4197">
            <v>840743.4</v>
          </cell>
          <cell r="M4197">
            <v>4334395.181818</v>
          </cell>
          <cell r="N4197">
            <v>4898568.5757579999</v>
          </cell>
          <cell r="O4197">
            <v>5865621.3939389996</v>
          </cell>
        </row>
        <row r="4198">
          <cell r="A4198" t="str">
            <v>TaiwanLOSSES ON OTHER ASSETS</v>
          </cell>
          <cell r="B4198">
            <v>0</v>
          </cell>
          <cell r="C4198">
            <v>-26563.279999999999</v>
          </cell>
          <cell r="D4198">
            <v>0</v>
          </cell>
          <cell r="E4198">
            <v>-626288.69999999995</v>
          </cell>
          <cell r="F4198">
            <v>-652851.98</v>
          </cell>
          <cell r="G4198">
            <v>0</v>
          </cell>
          <cell r="H4198">
            <v>0</v>
          </cell>
          <cell r="I4198">
            <v>0</v>
          </cell>
          <cell r="J4198">
            <v>0</v>
          </cell>
          <cell r="K4198">
            <v>0</v>
          </cell>
          <cell r="L4198">
            <v>17445.77</v>
          </cell>
          <cell r="M4198">
            <v>0</v>
          </cell>
          <cell r="N4198">
            <v>0</v>
          </cell>
          <cell r="O4198">
            <v>0</v>
          </cell>
        </row>
        <row r="4199">
          <cell r="A4199" t="str">
            <v>TaiwanCOST OF GOODS SOLD</v>
          </cell>
          <cell r="B4199">
            <v>0</v>
          </cell>
          <cell r="C4199">
            <v>0</v>
          </cell>
          <cell r="D4199">
            <v>0</v>
          </cell>
          <cell r="E4199">
            <v>0</v>
          </cell>
          <cell r="F4199">
            <v>0</v>
          </cell>
          <cell r="G4199">
            <v>0</v>
          </cell>
          <cell r="H4199">
            <v>0</v>
          </cell>
          <cell r="I4199">
            <v>0</v>
          </cell>
          <cell r="J4199">
            <v>0</v>
          </cell>
          <cell r="K4199">
            <v>0</v>
          </cell>
          <cell r="L4199">
            <v>0</v>
          </cell>
          <cell r="M4199">
            <v>0</v>
          </cell>
          <cell r="N4199">
            <v>0</v>
          </cell>
          <cell r="O4199">
            <v>0</v>
          </cell>
        </row>
        <row r="4200">
          <cell r="A4200" t="str">
            <v>TaiwanCOST OF GOODS SOLD - DISTRIBUTION</v>
          </cell>
          <cell r="B4200">
            <v>0</v>
          </cell>
          <cell r="C4200">
            <v>0</v>
          </cell>
          <cell r="D4200">
            <v>0</v>
          </cell>
          <cell r="E4200">
            <v>0</v>
          </cell>
          <cell r="F4200">
            <v>0</v>
          </cell>
          <cell r="G4200">
            <v>0</v>
          </cell>
          <cell r="H4200">
            <v>0</v>
          </cell>
          <cell r="I4200">
            <v>0</v>
          </cell>
          <cell r="J4200">
            <v>0</v>
          </cell>
          <cell r="K4200">
            <v>0</v>
          </cell>
          <cell r="L4200">
            <v>0</v>
          </cell>
          <cell r="M4200">
            <v>0</v>
          </cell>
          <cell r="N4200">
            <v>0</v>
          </cell>
          <cell r="O4200">
            <v>0</v>
          </cell>
        </row>
        <row r="4201">
          <cell r="A4201" t="str">
            <v>TaiwanPOSTAGE</v>
          </cell>
          <cell r="B4201">
            <v>36284.21</v>
          </cell>
          <cell r="C4201">
            <v>20201.03</v>
          </cell>
          <cell r="D4201">
            <v>40334.980000000003</v>
          </cell>
          <cell r="E4201">
            <v>13851.01</v>
          </cell>
          <cell r="F4201">
            <v>110671.23</v>
          </cell>
          <cell r="G4201">
            <v>39171.314286000001</v>
          </cell>
          <cell r="H4201">
            <v>39171.542857</v>
          </cell>
          <cell r="I4201">
            <v>39171.714286000002</v>
          </cell>
          <cell r="J4201">
            <v>39171.971428999997</v>
          </cell>
          <cell r="K4201">
            <v>156686.542858</v>
          </cell>
          <cell r="L4201">
            <v>30311.61</v>
          </cell>
          <cell r="M4201">
            <v>169711.15151500001</v>
          </cell>
          <cell r="N4201">
            <v>183288.06060600001</v>
          </cell>
          <cell r="O4201">
            <v>218112.78787900001</v>
          </cell>
        </row>
        <row r="4202">
          <cell r="A4202" t="str">
            <v>TaiwanTELEPHONE</v>
          </cell>
          <cell r="B4202">
            <v>37908.68</v>
          </cell>
          <cell r="C4202">
            <v>54806.98</v>
          </cell>
          <cell r="D4202">
            <v>59978.45</v>
          </cell>
          <cell r="E4202">
            <v>64480.66</v>
          </cell>
          <cell r="F4202">
            <v>217174.77</v>
          </cell>
          <cell r="G4202">
            <v>25884.771429</v>
          </cell>
          <cell r="H4202">
            <v>27463.342857</v>
          </cell>
          <cell r="I4202">
            <v>27877.428571</v>
          </cell>
          <cell r="J4202">
            <v>27206.142856999999</v>
          </cell>
          <cell r="K4202">
            <v>108431.68571400001</v>
          </cell>
          <cell r="L4202">
            <v>57712.98</v>
          </cell>
          <cell r="M4202">
            <v>167570.727273</v>
          </cell>
          <cell r="N4202">
            <v>173944.878788</v>
          </cell>
          <cell r="O4202">
            <v>210644.42424200001</v>
          </cell>
        </row>
        <row r="4203">
          <cell r="A4203" t="str">
            <v>TaiwanCUSTOMER SERVICE / COLLECTIONS</v>
          </cell>
          <cell r="B4203">
            <v>290793.65999999997</v>
          </cell>
          <cell r="C4203">
            <v>73851.88</v>
          </cell>
          <cell r="D4203">
            <v>244999.84</v>
          </cell>
          <cell r="E4203">
            <v>339367</v>
          </cell>
          <cell r="F4203">
            <v>949012.38</v>
          </cell>
          <cell r="G4203">
            <v>293786.68571400002</v>
          </cell>
          <cell r="H4203">
            <v>304163.20000000001</v>
          </cell>
          <cell r="I4203">
            <v>304702.11428600003</v>
          </cell>
          <cell r="J4203">
            <v>305083.91428600001</v>
          </cell>
          <cell r="K4203">
            <v>1207735.914286</v>
          </cell>
          <cell r="L4203">
            <v>253305.43</v>
          </cell>
          <cell r="M4203">
            <v>1301904.4545450001</v>
          </cell>
          <cell r="N4203">
            <v>1471405.060606</v>
          </cell>
          <cell r="O4203">
            <v>1761819.878788</v>
          </cell>
        </row>
        <row r="4204">
          <cell r="A4204" t="str">
            <v>TaiwanSTATIONARY - OFFICE SUPPLIES</v>
          </cell>
          <cell r="B4204">
            <v>17641.47</v>
          </cell>
          <cell r="C4204">
            <v>31038.48</v>
          </cell>
          <cell r="D4204">
            <v>32107.24</v>
          </cell>
          <cell r="E4204">
            <v>39384.92</v>
          </cell>
          <cell r="F4204">
            <v>120172.11</v>
          </cell>
          <cell r="G4204">
            <v>32157.342857</v>
          </cell>
          <cell r="H4204">
            <v>32214.457143</v>
          </cell>
          <cell r="I4204">
            <v>32785.571428000003</v>
          </cell>
          <cell r="J4204">
            <v>35071.428570999997</v>
          </cell>
          <cell r="K4204">
            <v>132228.79999900001</v>
          </cell>
          <cell r="L4204">
            <v>11937.71</v>
          </cell>
          <cell r="M4204">
            <v>126350.242424</v>
          </cell>
          <cell r="N4204">
            <v>136458.272727</v>
          </cell>
          <cell r="O4204">
            <v>162385.30303000001</v>
          </cell>
        </row>
        <row r="4205">
          <cell r="A4205" t="str">
            <v>TaiwanT&amp;L</v>
          </cell>
          <cell r="B4205">
            <v>42576.58</v>
          </cell>
          <cell r="C4205">
            <v>35633.57</v>
          </cell>
          <cell r="D4205">
            <v>1180.5999999999999</v>
          </cell>
          <cell r="E4205">
            <v>46350.82</v>
          </cell>
          <cell r="F4205">
            <v>125741.57</v>
          </cell>
          <cell r="G4205">
            <v>101799.971428</v>
          </cell>
          <cell r="H4205">
            <v>93856.914285000006</v>
          </cell>
          <cell r="I4205">
            <v>93400.171428999995</v>
          </cell>
          <cell r="J4205">
            <v>100800.228571</v>
          </cell>
          <cell r="K4205">
            <v>389857.28571299999</v>
          </cell>
          <cell r="L4205">
            <v>46238.87</v>
          </cell>
          <cell r="M4205">
            <v>261880.18181800001</v>
          </cell>
          <cell r="N4205">
            <v>296174</v>
          </cell>
          <cell r="O4205">
            <v>354484.57575800002</v>
          </cell>
        </row>
        <row r="4206">
          <cell r="A4206" t="str">
            <v>TaiwanRENTAL - BLDG/FACILITIES</v>
          </cell>
          <cell r="B4206">
            <v>87962.37</v>
          </cell>
          <cell r="C4206">
            <v>91092.91</v>
          </cell>
          <cell r="D4206">
            <v>83991.95</v>
          </cell>
          <cell r="E4206">
            <v>84136.99</v>
          </cell>
          <cell r="F4206">
            <v>347184.22</v>
          </cell>
          <cell r="G4206">
            <v>97485.657143000004</v>
          </cell>
          <cell r="H4206">
            <v>99771.514286000005</v>
          </cell>
          <cell r="I4206">
            <v>99771.457143000007</v>
          </cell>
          <cell r="J4206">
            <v>99771.6</v>
          </cell>
          <cell r="K4206">
            <v>396800.22857199999</v>
          </cell>
          <cell r="L4206">
            <v>82663.83</v>
          </cell>
          <cell r="M4206">
            <v>396767.272727</v>
          </cell>
          <cell r="N4206">
            <v>419965.63636399998</v>
          </cell>
          <cell r="O4206">
            <v>503146.93939399999</v>
          </cell>
        </row>
        <row r="4207">
          <cell r="A4207" t="str">
            <v>TaiwanRENTAL - FURNITURE/EQUIP</v>
          </cell>
          <cell r="B4207">
            <v>5284.16</v>
          </cell>
          <cell r="C4207">
            <v>6664.97</v>
          </cell>
          <cell r="D4207">
            <v>6898.6</v>
          </cell>
          <cell r="E4207">
            <v>9193.99</v>
          </cell>
          <cell r="F4207">
            <v>28041.72</v>
          </cell>
          <cell r="G4207">
            <v>13114.371429000001</v>
          </cell>
          <cell r="H4207">
            <v>13799.885714</v>
          </cell>
          <cell r="I4207">
            <v>13800.057143</v>
          </cell>
          <cell r="J4207">
            <v>13799.828571</v>
          </cell>
          <cell r="K4207">
            <v>54514.142856999999</v>
          </cell>
          <cell r="L4207">
            <v>5602</v>
          </cell>
          <cell r="M4207">
            <v>36803.636363999998</v>
          </cell>
          <cell r="N4207">
            <v>39747.909091000001</v>
          </cell>
          <cell r="O4207">
            <v>47300</v>
          </cell>
        </row>
        <row r="4208">
          <cell r="A4208" t="str">
            <v>TaiwanRENTAL - COMPUTERS</v>
          </cell>
          <cell r="B4208">
            <v>0</v>
          </cell>
          <cell r="C4208">
            <v>0</v>
          </cell>
          <cell r="D4208">
            <v>0</v>
          </cell>
          <cell r="E4208">
            <v>0</v>
          </cell>
          <cell r="F4208">
            <v>0</v>
          </cell>
          <cell r="G4208">
            <v>0</v>
          </cell>
          <cell r="H4208">
            <v>0</v>
          </cell>
          <cell r="I4208">
            <v>0</v>
          </cell>
          <cell r="J4208">
            <v>0</v>
          </cell>
          <cell r="K4208">
            <v>0</v>
          </cell>
          <cell r="L4208">
            <v>0</v>
          </cell>
          <cell r="M4208">
            <v>0</v>
          </cell>
          <cell r="N4208">
            <v>0</v>
          </cell>
          <cell r="O4208">
            <v>0</v>
          </cell>
        </row>
        <row r="4209">
          <cell r="A4209" t="str">
            <v>TaiwanLEASE IN - LEASE OUT</v>
          </cell>
          <cell r="B4209">
            <v>0</v>
          </cell>
          <cell r="C4209">
            <v>0</v>
          </cell>
          <cell r="D4209">
            <v>0</v>
          </cell>
          <cell r="E4209">
            <v>0</v>
          </cell>
          <cell r="F4209">
            <v>0</v>
          </cell>
          <cell r="G4209">
            <v>0</v>
          </cell>
          <cell r="H4209">
            <v>0</v>
          </cell>
          <cell r="I4209">
            <v>0</v>
          </cell>
          <cell r="J4209">
            <v>0</v>
          </cell>
          <cell r="K4209">
            <v>0</v>
          </cell>
          <cell r="L4209">
            <v>0</v>
          </cell>
          <cell r="M4209">
            <v>0</v>
          </cell>
          <cell r="N4209">
            <v>0</v>
          </cell>
          <cell r="O4209">
            <v>0</v>
          </cell>
        </row>
        <row r="4210">
          <cell r="A4210" t="str">
            <v>TaiwanFURNITURE / EQUIPMENT / COMPUTER EXP</v>
          </cell>
          <cell r="B4210">
            <v>92406.13</v>
          </cell>
          <cell r="C4210">
            <v>44620.66</v>
          </cell>
          <cell r="D4210">
            <v>12344.86</v>
          </cell>
          <cell r="E4210">
            <v>75358.100000000006</v>
          </cell>
          <cell r="F4210">
            <v>224729.75</v>
          </cell>
          <cell r="G4210">
            <v>81946.399999999994</v>
          </cell>
          <cell r="H4210">
            <v>60146.485714000002</v>
          </cell>
          <cell r="I4210">
            <v>65175.171429000002</v>
          </cell>
          <cell r="J4210">
            <v>76403.600000000006</v>
          </cell>
          <cell r="K4210">
            <v>283671.65714299999</v>
          </cell>
          <cell r="L4210">
            <v>68916.11</v>
          </cell>
          <cell r="M4210">
            <v>429049.21212099999</v>
          </cell>
          <cell r="N4210">
            <v>459032.54545500001</v>
          </cell>
          <cell r="O4210">
            <v>550542.39393899997</v>
          </cell>
        </row>
        <row r="4211">
          <cell r="A4211" t="str">
            <v>TaiwanSOFTWARE EXPENSE</v>
          </cell>
          <cell r="B4211">
            <v>0</v>
          </cell>
          <cell r="C4211">
            <v>0</v>
          </cell>
          <cell r="D4211">
            <v>0</v>
          </cell>
          <cell r="E4211">
            <v>0</v>
          </cell>
          <cell r="F4211">
            <v>0</v>
          </cell>
          <cell r="G4211">
            <v>0</v>
          </cell>
          <cell r="H4211">
            <v>0</v>
          </cell>
          <cell r="I4211">
            <v>0</v>
          </cell>
          <cell r="J4211">
            <v>0</v>
          </cell>
          <cell r="K4211">
            <v>0</v>
          </cell>
          <cell r="L4211">
            <v>0</v>
          </cell>
          <cell r="M4211">
            <v>0</v>
          </cell>
          <cell r="N4211">
            <v>0</v>
          </cell>
          <cell r="O4211">
            <v>0</v>
          </cell>
        </row>
        <row r="4212">
          <cell r="A4212" t="str">
            <v>TaiwanAMORTIZATION OF INTANGIBLES</v>
          </cell>
          <cell r="B4212">
            <v>47526.79</v>
          </cell>
          <cell r="C4212">
            <v>47628.38</v>
          </cell>
          <cell r="D4212">
            <v>45685.5</v>
          </cell>
          <cell r="E4212">
            <v>45459.02</v>
          </cell>
          <cell r="F4212">
            <v>186299.69</v>
          </cell>
          <cell r="G4212">
            <v>49114.571429000003</v>
          </cell>
          <cell r="H4212">
            <v>49114.285713999998</v>
          </cell>
          <cell r="I4212">
            <v>49114.457143</v>
          </cell>
          <cell r="J4212">
            <v>49114.142856999999</v>
          </cell>
          <cell r="K4212">
            <v>196457.45714300001</v>
          </cell>
          <cell r="L4212">
            <v>45216.99</v>
          </cell>
          <cell r="M4212">
            <v>189753.96969699999</v>
          </cell>
          <cell r="N4212">
            <v>214463.757576</v>
          </cell>
          <cell r="O4212">
            <v>256792.18181800001</v>
          </cell>
        </row>
        <row r="4213">
          <cell r="A4213" t="str">
            <v>TaiwanELTO MAINTENANCE</v>
          </cell>
          <cell r="B4213">
            <v>0</v>
          </cell>
          <cell r="C4213">
            <v>0</v>
          </cell>
          <cell r="D4213">
            <v>0</v>
          </cell>
          <cell r="E4213">
            <v>0</v>
          </cell>
          <cell r="F4213">
            <v>0</v>
          </cell>
          <cell r="G4213">
            <v>0</v>
          </cell>
          <cell r="H4213">
            <v>0</v>
          </cell>
          <cell r="I4213">
            <v>0</v>
          </cell>
          <cell r="J4213">
            <v>0</v>
          </cell>
          <cell r="K4213">
            <v>0</v>
          </cell>
          <cell r="L4213">
            <v>0</v>
          </cell>
          <cell r="M4213">
            <v>0</v>
          </cell>
          <cell r="N4213">
            <v>0</v>
          </cell>
          <cell r="O4213">
            <v>0</v>
          </cell>
        </row>
        <row r="4214">
          <cell r="A4214" t="str">
            <v>TaiwanELTO OTHER</v>
          </cell>
          <cell r="B4214">
            <v>0</v>
          </cell>
          <cell r="C4214">
            <v>0</v>
          </cell>
          <cell r="D4214">
            <v>0</v>
          </cell>
          <cell r="E4214">
            <v>0</v>
          </cell>
          <cell r="F4214">
            <v>0</v>
          </cell>
          <cell r="G4214">
            <v>0</v>
          </cell>
          <cell r="H4214">
            <v>0</v>
          </cell>
          <cell r="I4214">
            <v>0</v>
          </cell>
          <cell r="J4214">
            <v>0</v>
          </cell>
          <cell r="K4214">
            <v>0</v>
          </cell>
          <cell r="L4214">
            <v>0</v>
          </cell>
          <cell r="M4214">
            <v>0</v>
          </cell>
          <cell r="N4214">
            <v>0</v>
          </cell>
          <cell r="O4214">
            <v>0</v>
          </cell>
        </row>
        <row r="4215">
          <cell r="A4215" t="str">
            <v>TaiwanLEGAL</v>
          </cell>
          <cell r="B4215">
            <v>0</v>
          </cell>
          <cell r="C4215">
            <v>0</v>
          </cell>
          <cell r="D4215">
            <v>0</v>
          </cell>
          <cell r="E4215">
            <v>0</v>
          </cell>
          <cell r="F4215">
            <v>0</v>
          </cell>
          <cell r="G4215">
            <v>0</v>
          </cell>
          <cell r="H4215">
            <v>0</v>
          </cell>
          <cell r="I4215">
            <v>0</v>
          </cell>
          <cell r="J4215">
            <v>0</v>
          </cell>
          <cell r="K4215">
            <v>0</v>
          </cell>
          <cell r="L4215">
            <v>0</v>
          </cell>
          <cell r="M4215">
            <v>0</v>
          </cell>
          <cell r="N4215">
            <v>0</v>
          </cell>
          <cell r="O4215">
            <v>0</v>
          </cell>
        </row>
        <row r="4216">
          <cell r="A4216" t="str">
            <v>TaiwanADVERTISING</v>
          </cell>
          <cell r="B4216">
            <v>0</v>
          </cell>
          <cell r="C4216">
            <v>0</v>
          </cell>
          <cell r="D4216">
            <v>803.82</v>
          </cell>
          <cell r="E4216">
            <v>0</v>
          </cell>
          <cell r="F4216">
            <v>803.82</v>
          </cell>
          <cell r="G4216">
            <v>0</v>
          </cell>
          <cell r="H4216">
            <v>0</v>
          </cell>
          <cell r="I4216">
            <v>0</v>
          </cell>
          <cell r="J4216">
            <v>0</v>
          </cell>
          <cell r="K4216">
            <v>0</v>
          </cell>
          <cell r="L4216">
            <v>0</v>
          </cell>
          <cell r="M4216">
            <v>0</v>
          </cell>
          <cell r="N4216">
            <v>0</v>
          </cell>
          <cell r="O4216">
            <v>0</v>
          </cell>
        </row>
        <row r="4217">
          <cell r="A4217" t="str">
            <v>TaiwanSALES PROMOTIONS</v>
          </cell>
          <cell r="B4217">
            <v>0</v>
          </cell>
          <cell r="C4217">
            <v>401.89</v>
          </cell>
          <cell r="D4217">
            <v>0</v>
          </cell>
          <cell r="E4217">
            <v>0</v>
          </cell>
          <cell r="F4217">
            <v>401.89</v>
          </cell>
          <cell r="G4217">
            <v>0</v>
          </cell>
          <cell r="H4217">
            <v>0</v>
          </cell>
          <cell r="I4217">
            <v>0</v>
          </cell>
          <cell r="J4217">
            <v>0</v>
          </cell>
          <cell r="K4217">
            <v>0</v>
          </cell>
          <cell r="L4217">
            <v>0</v>
          </cell>
          <cell r="M4217">
            <v>454.545455</v>
          </cell>
          <cell r="N4217">
            <v>515.15151500000002</v>
          </cell>
          <cell r="O4217">
            <v>636.36363600000004</v>
          </cell>
        </row>
        <row r="4218">
          <cell r="A4218" t="str">
            <v>TaiwanDIRECT MAIL</v>
          </cell>
          <cell r="B4218">
            <v>0</v>
          </cell>
          <cell r="C4218">
            <v>0</v>
          </cell>
          <cell r="D4218">
            <v>0</v>
          </cell>
          <cell r="E4218">
            <v>0</v>
          </cell>
          <cell r="F4218">
            <v>0</v>
          </cell>
          <cell r="G4218">
            <v>0</v>
          </cell>
          <cell r="H4218">
            <v>0</v>
          </cell>
          <cell r="I4218">
            <v>0</v>
          </cell>
          <cell r="J4218">
            <v>0</v>
          </cell>
          <cell r="K4218">
            <v>0</v>
          </cell>
          <cell r="L4218">
            <v>0</v>
          </cell>
          <cell r="M4218">
            <v>0</v>
          </cell>
          <cell r="N4218">
            <v>0</v>
          </cell>
          <cell r="O4218">
            <v>0</v>
          </cell>
        </row>
        <row r="4219">
          <cell r="A4219" t="str">
            <v>TaiwanDATA PROCESSING</v>
          </cell>
          <cell r="B4219">
            <v>565.62</v>
          </cell>
          <cell r="C4219">
            <v>566.9</v>
          </cell>
          <cell r="D4219">
            <v>539.26</v>
          </cell>
          <cell r="E4219">
            <v>202.84</v>
          </cell>
          <cell r="F4219">
            <v>1874.62</v>
          </cell>
          <cell r="G4219">
            <v>7290.7142860000004</v>
          </cell>
          <cell r="H4219">
            <v>7290.6857140000002</v>
          </cell>
          <cell r="I4219">
            <v>7290.5142859999996</v>
          </cell>
          <cell r="J4219">
            <v>7290.6</v>
          </cell>
          <cell r="K4219">
            <v>29162.514286000001</v>
          </cell>
          <cell r="L4219">
            <v>0</v>
          </cell>
          <cell r="M4219">
            <v>2649.575758</v>
          </cell>
          <cell r="N4219">
            <v>2972.666667</v>
          </cell>
          <cell r="O4219">
            <v>3535.939394</v>
          </cell>
        </row>
        <row r="4220">
          <cell r="A4220" t="str">
            <v>TaiwanCONSULTING</v>
          </cell>
          <cell r="B4220">
            <v>0</v>
          </cell>
          <cell r="C4220">
            <v>0</v>
          </cell>
          <cell r="D4220">
            <v>0</v>
          </cell>
          <cell r="E4220">
            <v>0</v>
          </cell>
          <cell r="F4220">
            <v>0</v>
          </cell>
          <cell r="G4220">
            <v>0</v>
          </cell>
          <cell r="H4220">
            <v>0</v>
          </cell>
          <cell r="I4220">
            <v>0</v>
          </cell>
          <cell r="J4220">
            <v>0</v>
          </cell>
          <cell r="K4220">
            <v>0</v>
          </cell>
          <cell r="L4220">
            <v>0</v>
          </cell>
          <cell r="M4220">
            <v>0</v>
          </cell>
          <cell r="N4220">
            <v>0</v>
          </cell>
          <cell r="O4220">
            <v>0</v>
          </cell>
        </row>
        <row r="4221">
          <cell r="A4221" t="str">
            <v>TaiwanTEMP SERVICES</v>
          </cell>
          <cell r="B4221">
            <v>8672.09</v>
          </cell>
          <cell r="C4221">
            <v>14228.19</v>
          </cell>
          <cell r="D4221">
            <v>9140.19</v>
          </cell>
          <cell r="E4221">
            <v>38997.65</v>
          </cell>
          <cell r="F4221">
            <v>71038.12</v>
          </cell>
          <cell r="G4221">
            <v>0</v>
          </cell>
          <cell r="H4221">
            <v>0</v>
          </cell>
          <cell r="I4221">
            <v>0</v>
          </cell>
          <cell r="J4221">
            <v>0</v>
          </cell>
          <cell r="K4221">
            <v>0</v>
          </cell>
          <cell r="L4221">
            <v>5289.89</v>
          </cell>
          <cell r="M4221">
            <v>73590.030303000007</v>
          </cell>
          <cell r="N4221">
            <v>81440.515152000007</v>
          </cell>
          <cell r="O4221">
            <v>99003.606060999999</v>
          </cell>
        </row>
        <row r="4222">
          <cell r="A4222" t="str">
            <v>TaiwanGDC CHARGES</v>
          </cell>
          <cell r="B4222">
            <v>0</v>
          </cell>
          <cell r="C4222">
            <v>0</v>
          </cell>
          <cell r="D4222">
            <v>0</v>
          </cell>
          <cell r="E4222">
            <v>0</v>
          </cell>
          <cell r="F4222">
            <v>0</v>
          </cell>
          <cell r="G4222">
            <v>0</v>
          </cell>
          <cell r="H4222">
            <v>0</v>
          </cell>
          <cell r="I4222">
            <v>0</v>
          </cell>
          <cell r="J4222">
            <v>0</v>
          </cell>
          <cell r="K4222">
            <v>0</v>
          </cell>
          <cell r="L4222">
            <v>0</v>
          </cell>
          <cell r="M4222">
            <v>0</v>
          </cell>
          <cell r="N4222">
            <v>0</v>
          </cell>
          <cell r="O4222">
            <v>0</v>
          </cell>
        </row>
        <row r="4223">
          <cell r="A4223" t="str">
            <v>TaiwanTRAINING AND EDUCATION</v>
          </cell>
          <cell r="B4223">
            <v>1284.21</v>
          </cell>
          <cell r="C4223">
            <v>21127.58</v>
          </cell>
          <cell r="D4223">
            <v>2338.5700000000002</v>
          </cell>
          <cell r="E4223">
            <v>-15209.71</v>
          </cell>
          <cell r="F4223">
            <v>9540.65</v>
          </cell>
          <cell r="G4223">
            <v>7142.885714</v>
          </cell>
          <cell r="H4223">
            <v>7142.7714290000004</v>
          </cell>
          <cell r="I4223">
            <v>7142.885714</v>
          </cell>
          <cell r="J4223">
            <v>7142.6285710000002</v>
          </cell>
          <cell r="K4223">
            <v>28571.171428000001</v>
          </cell>
          <cell r="L4223">
            <v>11245.47</v>
          </cell>
          <cell r="M4223">
            <v>73436.575758000006</v>
          </cell>
          <cell r="N4223">
            <v>83717.696970000005</v>
          </cell>
          <cell r="O4223">
            <v>99624.060605999999</v>
          </cell>
        </row>
        <row r="4224">
          <cell r="A4224" t="str">
            <v>TaiwanOUTSIDE SERVICES  AND FEES</v>
          </cell>
          <cell r="B4224">
            <v>17569.509999999998</v>
          </cell>
          <cell r="C4224">
            <v>39421.03</v>
          </cell>
          <cell r="D4224">
            <v>82085.78</v>
          </cell>
          <cell r="E4224">
            <v>-24536.240000000002</v>
          </cell>
          <cell r="F4224">
            <v>114540.08</v>
          </cell>
          <cell r="G4224">
            <v>23549.857143000001</v>
          </cell>
          <cell r="H4224">
            <v>20978.714285999999</v>
          </cell>
          <cell r="I4224">
            <v>13549.942857</v>
          </cell>
          <cell r="J4224">
            <v>20121.514286000001</v>
          </cell>
          <cell r="K4224">
            <v>78200.028571999996</v>
          </cell>
          <cell r="L4224">
            <v>38202.01</v>
          </cell>
          <cell r="M4224">
            <v>80556.060605999999</v>
          </cell>
          <cell r="N4224">
            <v>91833.848484999995</v>
          </cell>
          <cell r="O4224">
            <v>109282.333333</v>
          </cell>
        </row>
        <row r="4225">
          <cell r="A4225" t="str">
            <v>TaiwanSTATE, FOREIGN, LOCAL TAXES</v>
          </cell>
          <cell r="B4225">
            <v>0</v>
          </cell>
          <cell r="C4225">
            <v>0</v>
          </cell>
          <cell r="D4225">
            <v>0</v>
          </cell>
          <cell r="E4225">
            <v>0</v>
          </cell>
          <cell r="F4225">
            <v>0</v>
          </cell>
          <cell r="G4225">
            <v>0</v>
          </cell>
          <cell r="H4225">
            <v>0</v>
          </cell>
          <cell r="I4225">
            <v>0</v>
          </cell>
          <cell r="J4225">
            <v>0</v>
          </cell>
          <cell r="K4225">
            <v>0</v>
          </cell>
          <cell r="L4225">
            <v>0</v>
          </cell>
          <cell r="M4225">
            <v>0</v>
          </cell>
          <cell r="N4225">
            <v>0</v>
          </cell>
          <cell r="O4225">
            <v>0</v>
          </cell>
        </row>
        <row r="4226">
          <cell r="A4226" t="str">
            <v>TaiwanS/L TAX - INSURANCE PREMIUMS</v>
          </cell>
          <cell r="B4226">
            <v>0</v>
          </cell>
          <cell r="C4226">
            <v>0</v>
          </cell>
          <cell r="D4226">
            <v>0</v>
          </cell>
          <cell r="E4226">
            <v>0</v>
          </cell>
          <cell r="F4226">
            <v>0</v>
          </cell>
          <cell r="G4226">
            <v>0</v>
          </cell>
          <cell r="H4226">
            <v>0</v>
          </cell>
          <cell r="I4226">
            <v>0</v>
          </cell>
          <cell r="J4226">
            <v>0</v>
          </cell>
          <cell r="K4226">
            <v>0</v>
          </cell>
          <cell r="L4226">
            <v>0</v>
          </cell>
          <cell r="M4226">
            <v>0</v>
          </cell>
          <cell r="N4226">
            <v>0</v>
          </cell>
          <cell r="O4226">
            <v>0</v>
          </cell>
        </row>
        <row r="4227">
          <cell r="A4227" t="str">
            <v>TaiwanSATELLITE LEASE EXPENSE</v>
          </cell>
          <cell r="B4227">
            <v>0</v>
          </cell>
          <cell r="C4227">
            <v>0</v>
          </cell>
          <cell r="D4227">
            <v>0</v>
          </cell>
          <cell r="E4227">
            <v>0</v>
          </cell>
          <cell r="F4227">
            <v>0</v>
          </cell>
          <cell r="G4227">
            <v>0</v>
          </cell>
          <cell r="H4227">
            <v>0</v>
          </cell>
          <cell r="I4227">
            <v>0</v>
          </cell>
          <cell r="J4227">
            <v>0</v>
          </cell>
          <cell r="K4227">
            <v>0</v>
          </cell>
          <cell r="L4227">
            <v>0</v>
          </cell>
          <cell r="M4227">
            <v>0</v>
          </cell>
          <cell r="N4227">
            <v>0</v>
          </cell>
          <cell r="O4227">
            <v>0</v>
          </cell>
        </row>
        <row r="4228">
          <cell r="A4228" t="str">
            <v>TaiwanBUSINESS SHARE EXPENSE</v>
          </cell>
          <cell r="B4228">
            <v>0</v>
          </cell>
          <cell r="C4228">
            <v>0</v>
          </cell>
          <cell r="D4228">
            <v>0</v>
          </cell>
          <cell r="E4228">
            <v>0</v>
          </cell>
          <cell r="F4228">
            <v>0</v>
          </cell>
          <cell r="G4228">
            <v>0</v>
          </cell>
          <cell r="H4228">
            <v>0</v>
          </cell>
          <cell r="I4228">
            <v>0</v>
          </cell>
          <cell r="J4228">
            <v>0</v>
          </cell>
          <cell r="K4228">
            <v>0</v>
          </cell>
          <cell r="L4228">
            <v>0</v>
          </cell>
          <cell r="M4228">
            <v>0</v>
          </cell>
          <cell r="N4228">
            <v>0</v>
          </cell>
          <cell r="O4228">
            <v>0</v>
          </cell>
        </row>
        <row r="4229">
          <cell r="A4229" t="str">
            <v>TaiwanINSURANCE AFFILIATE EXPENSE</v>
          </cell>
          <cell r="B4229">
            <v>0</v>
          </cell>
          <cell r="C4229">
            <v>0</v>
          </cell>
          <cell r="D4229">
            <v>0</v>
          </cell>
          <cell r="E4229">
            <v>0</v>
          </cell>
          <cell r="F4229">
            <v>0</v>
          </cell>
          <cell r="G4229">
            <v>0</v>
          </cell>
          <cell r="H4229">
            <v>0</v>
          </cell>
          <cell r="I4229">
            <v>0</v>
          </cell>
          <cell r="J4229">
            <v>0</v>
          </cell>
          <cell r="K4229">
            <v>0</v>
          </cell>
          <cell r="L4229">
            <v>0</v>
          </cell>
          <cell r="M4229">
            <v>0</v>
          </cell>
          <cell r="N4229">
            <v>0</v>
          </cell>
          <cell r="O4229">
            <v>0</v>
          </cell>
        </row>
        <row r="4230">
          <cell r="A4230" t="str">
            <v>TaiwanOTHER FACILITY EXPENSE</v>
          </cell>
          <cell r="B4230">
            <v>22851.74</v>
          </cell>
          <cell r="C4230">
            <v>31080.84</v>
          </cell>
          <cell r="D4230">
            <v>31639.87</v>
          </cell>
          <cell r="E4230">
            <v>34707.949999999997</v>
          </cell>
          <cell r="F4230">
            <v>120280.4</v>
          </cell>
          <cell r="G4230">
            <v>33428.571429000003</v>
          </cell>
          <cell r="H4230">
            <v>33942.857143000001</v>
          </cell>
          <cell r="I4230">
            <v>33942.800000000003</v>
          </cell>
          <cell r="J4230">
            <v>33942.857143000001</v>
          </cell>
          <cell r="K4230">
            <v>135257.08571499999</v>
          </cell>
          <cell r="L4230">
            <v>25228.19</v>
          </cell>
          <cell r="M4230">
            <v>109950.454545</v>
          </cell>
          <cell r="N4230">
            <v>119846.03030300001</v>
          </cell>
          <cell r="O4230">
            <v>142616.757576</v>
          </cell>
        </row>
        <row r="4231">
          <cell r="A4231" t="str">
            <v>TaiwanGROSS OP &amp; ADMIN BUS SHARE</v>
          </cell>
          <cell r="B4231">
            <v>0</v>
          </cell>
          <cell r="C4231">
            <v>0</v>
          </cell>
          <cell r="D4231">
            <v>0</v>
          </cell>
          <cell r="E4231">
            <v>0</v>
          </cell>
          <cell r="F4231">
            <v>0</v>
          </cell>
          <cell r="G4231">
            <v>0</v>
          </cell>
          <cell r="H4231">
            <v>0</v>
          </cell>
          <cell r="I4231">
            <v>0</v>
          </cell>
          <cell r="J4231">
            <v>0</v>
          </cell>
          <cell r="K4231">
            <v>0</v>
          </cell>
          <cell r="L4231">
            <v>0</v>
          </cell>
          <cell r="M4231">
            <v>0</v>
          </cell>
          <cell r="N4231">
            <v>0</v>
          </cell>
          <cell r="O4231">
            <v>0</v>
          </cell>
        </row>
        <row r="4232">
          <cell r="A4232" t="str">
            <v>TaiwanOTHER EXPENSE</v>
          </cell>
          <cell r="B4232">
            <v>-5119.74</v>
          </cell>
          <cell r="C4232">
            <v>49681.05</v>
          </cell>
          <cell r="D4232">
            <v>31720.21</v>
          </cell>
          <cell r="E4232">
            <v>19520.12</v>
          </cell>
          <cell r="F4232">
            <v>95801.64</v>
          </cell>
          <cell r="G4232">
            <v>29091.428571</v>
          </cell>
          <cell r="H4232">
            <v>29091.342857</v>
          </cell>
          <cell r="I4232">
            <v>29091.485713999999</v>
          </cell>
          <cell r="J4232">
            <v>29091.4</v>
          </cell>
          <cell r="K4232">
            <v>116365.657142</v>
          </cell>
          <cell r="L4232">
            <v>22901.33</v>
          </cell>
          <cell r="M4232">
            <v>416145.84848500002</v>
          </cell>
          <cell r="N4232">
            <v>561210.06060600001</v>
          </cell>
          <cell r="O4232">
            <v>671988.75757599995</v>
          </cell>
        </row>
        <row r="4233">
          <cell r="A4233" t="str">
            <v>TaiwanGECC INTERCO EXPENSES EXCL GECIS</v>
          </cell>
          <cell r="B4233">
            <v>60484.15</v>
          </cell>
          <cell r="C4233">
            <v>59789.39</v>
          </cell>
          <cell r="D4233">
            <v>59977.2</v>
          </cell>
          <cell r="E4233">
            <v>59907.23</v>
          </cell>
          <cell r="F4233">
            <v>240157.97</v>
          </cell>
          <cell r="G4233">
            <v>64643.085714000001</v>
          </cell>
          <cell r="H4233">
            <v>64643.028571000003</v>
          </cell>
          <cell r="I4233">
            <v>64642.771429</v>
          </cell>
          <cell r="J4233">
            <v>64642.828570999998</v>
          </cell>
          <cell r="K4233">
            <v>258571.71428499999</v>
          </cell>
          <cell r="L4233">
            <v>63000</v>
          </cell>
          <cell r="M4233">
            <v>279515.15151499998</v>
          </cell>
          <cell r="N4233">
            <v>315909.09090900002</v>
          </cell>
          <cell r="O4233">
            <v>378272.727273</v>
          </cell>
        </row>
        <row r="4234">
          <cell r="A4234" t="str">
            <v>TaiwanGECIS INTERCO CHARGES</v>
          </cell>
          <cell r="B4234">
            <v>-1088.03</v>
          </cell>
          <cell r="C4234">
            <v>7721.19</v>
          </cell>
          <cell r="D4234">
            <v>0.03</v>
          </cell>
          <cell r="E4234">
            <v>17584.79</v>
          </cell>
          <cell r="F4234">
            <v>24217.98</v>
          </cell>
          <cell r="G4234">
            <v>6499.942857</v>
          </cell>
          <cell r="H4234">
            <v>6500.057143</v>
          </cell>
          <cell r="I4234">
            <v>6500</v>
          </cell>
          <cell r="J4234">
            <v>6500</v>
          </cell>
          <cell r="K4234">
            <v>26000</v>
          </cell>
          <cell r="L4234">
            <v>5783.67</v>
          </cell>
          <cell r="M4234">
            <v>21146.666667000001</v>
          </cell>
          <cell r="N4234">
            <v>24107.212121</v>
          </cell>
          <cell r="O4234">
            <v>28687.575757999999</v>
          </cell>
        </row>
        <row r="4235">
          <cell r="A4235" t="str">
            <v>TaiwanLOSS ADJUSTED EXPENSE</v>
          </cell>
          <cell r="B4235">
            <v>0</v>
          </cell>
          <cell r="C4235">
            <v>0</v>
          </cell>
          <cell r="D4235">
            <v>0</v>
          </cell>
          <cell r="E4235">
            <v>0</v>
          </cell>
          <cell r="F4235">
            <v>0</v>
          </cell>
          <cell r="G4235">
            <v>0</v>
          </cell>
          <cell r="H4235">
            <v>0</v>
          </cell>
          <cell r="I4235">
            <v>0</v>
          </cell>
          <cell r="J4235">
            <v>0</v>
          </cell>
          <cell r="K4235">
            <v>0</v>
          </cell>
          <cell r="L4235">
            <v>0</v>
          </cell>
          <cell r="M4235">
            <v>0</v>
          </cell>
          <cell r="N4235">
            <v>0</v>
          </cell>
          <cell r="O4235">
            <v>0</v>
          </cell>
        </row>
        <row r="4236">
          <cell r="A4236" t="str">
            <v>TaiwanALL OTHER EXPENSES</v>
          </cell>
          <cell r="B4236">
            <v>-0.01</v>
          </cell>
          <cell r="C4236">
            <v>0.01</v>
          </cell>
          <cell r="D4236">
            <v>-0.01</v>
          </cell>
          <cell r="E4236">
            <v>0.01</v>
          </cell>
          <cell r="F4236">
            <v>0</v>
          </cell>
          <cell r="G4236">
            <v>0</v>
          </cell>
          <cell r="H4236">
            <v>0</v>
          </cell>
          <cell r="I4236">
            <v>0</v>
          </cell>
          <cell r="J4236">
            <v>0</v>
          </cell>
          <cell r="K4236">
            <v>0</v>
          </cell>
          <cell r="L4236">
            <v>0</v>
          </cell>
          <cell r="M4236">
            <v>0</v>
          </cell>
          <cell r="N4236">
            <v>0</v>
          </cell>
          <cell r="O4236">
            <v>0</v>
          </cell>
        </row>
        <row r="4237">
          <cell r="A4237" t="str">
            <v>TaiwanASSESSMENTS</v>
          </cell>
          <cell r="B4237">
            <v>73125</v>
          </cell>
          <cell r="C4237">
            <v>73124.990000000005</v>
          </cell>
          <cell r="D4237">
            <v>66533.009999999995</v>
          </cell>
          <cell r="E4237">
            <v>69829</v>
          </cell>
          <cell r="F4237">
            <v>282612</v>
          </cell>
          <cell r="G4237">
            <v>99520.742857000005</v>
          </cell>
          <cell r="H4237">
            <v>99520.657143000004</v>
          </cell>
          <cell r="I4237">
            <v>99520.685714000007</v>
          </cell>
          <cell r="J4237">
            <v>99520.4</v>
          </cell>
          <cell r="K4237">
            <v>398082.48571400001</v>
          </cell>
          <cell r="L4237">
            <v>98591.89</v>
          </cell>
          <cell r="M4237">
            <v>526742.42424199998</v>
          </cell>
          <cell r="N4237">
            <v>574242.42424199998</v>
          </cell>
          <cell r="O4237">
            <v>673830.30302999995</v>
          </cell>
        </row>
        <row r="4238">
          <cell r="A4238" t="str">
            <v>TaiwanFAS 91</v>
          </cell>
          <cell r="B4238">
            <v>-274420.84999999998</v>
          </cell>
          <cell r="C4238">
            <v>-210354.2</v>
          </cell>
          <cell r="D4238">
            <v>-221344.49</v>
          </cell>
          <cell r="E4238">
            <v>-303887.43</v>
          </cell>
          <cell r="F4238">
            <v>-1010006.97</v>
          </cell>
          <cell r="G4238">
            <v>-289714.22857099999</v>
          </cell>
          <cell r="H4238">
            <v>-289714.428571</v>
          </cell>
          <cell r="I4238">
            <v>-289714.45714299998</v>
          </cell>
          <cell r="J4238">
            <v>-289714.25714300002</v>
          </cell>
          <cell r="K4238">
            <v>-1158857.371428</v>
          </cell>
          <cell r="L4238">
            <v>-334010.83</v>
          </cell>
          <cell r="M4238">
            <v>-896652.03030300001</v>
          </cell>
          <cell r="N4238">
            <v>-922501.30302999995</v>
          </cell>
          <cell r="O4238">
            <v>-1044014.909091</v>
          </cell>
        </row>
        <row r="4239">
          <cell r="A4239" t="str">
            <v>TaiwanGOODWILL AMORTIZATION</v>
          </cell>
          <cell r="B4239">
            <v>14544.39</v>
          </cell>
          <cell r="C4239">
            <v>14544.39</v>
          </cell>
          <cell r="D4239">
            <v>14544.39</v>
          </cell>
          <cell r="E4239">
            <v>-36813.22</v>
          </cell>
          <cell r="F4239">
            <v>6819.95</v>
          </cell>
          <cell r="G4239">
            <v>0</v>
          </cell>
          <cell r="H4239">
            <v>0</v>
          </cell>
          <cell r="I4239">
            <v>0</v>
          </cell>
          <cell r="J4239">
            <v>0</v>
          </cell>
          <cell r="K4239">
            <v>0</v>
          </cell>
          <cell r="L4239">
            <v>0</v>
          </cell>
          <cell r="M4239">
            <v>57968.787879000003</v>
          </cell>
          <cell r="N4239">
            <v>57968.787879000003</v>
          </cell>
          <cell r="O4239">
            <v>57980.909091000001</v>
          </cell>
        </row>
        <row r="4240">
          <cell r="A4240" t="str">
            <v>TaiwanDEPRECIATION EXPENSE</v>
          </cell>
          <cell r="B4240">
            <v>43552.83</v>
          </cell>
          <cell r="C4240">
            <v>48074.15</v>
          </cell>
          <cell r="D4240">
            <v>52253.34</v>
          </cell>
          <cell r="E4240">
            <v>50945.07</v>
          </cell>
          <cell r="F4240">
            <v>194825.39</v>
          </cell>
          <cell r="G4240">
            <v>67888.428570999997</v>
          </cell>
          <cell r="H4240">
            <v>72557.942857000002</v>
          </cell>
          <cell r="I4240">
            <v>77420.857143000001</v>
          </cell>
          <cell r="J4240">
            <v>106944.857143</v>
          </cell>
          <cell r="K4240">
            <v>324812.08571399999</v>
          </cell>
          <cell r="L4240">
            <v>48362.85</v>
          </cell>
          <cell r="M4240">
            <v>254982.393939</v>
          </cell>
          <cell r="N4240">
            <v>288144.757576</v>
          </cell>
          <cell r="O4240">
            <v>345026.12121200003</v>
          </cell>
        </row>
        <row r="4241">
          <cell r="A4241" t="str">
            <v>TaiwanELTO AMORTIZATION</v>
          </cell>
          <cell r="B4241">
            <v>0</v>
          </cell>
          <cell r="C4241">
            <v>0</v>
          </cell>
          <cell r="D4241">
            <v>0</v>
          </cell>
          <cell r="E4241">
            <v>0</v>
          </cell>
          <cell r="F4241">
            <v>0</v>
          </cell>
          <cell r="G4241">
            <v>0</v>
          </cell>
          <cell r="H4241">
            <v>0</v>
          </cell>
          <cell r="I4241">
            <v>0</v>
          </cell>
          <cell r="J4241">
            <v>0</v>
          </cell>
          <cell r="K4241">
            <v>0</v>
          </cell>
          <cell r="L4241">
            <v>0</v>
          </cell>
          <cell r="M4241">
            <v>0</v>
          </cell>
          <cell r="N4241">
            <v>0</v>
          </cell>
          <cell r="O4241">
            <v>0</v>
          </cell>
        </row>
        <row r="4242">
          <cell r="A4242" t="str">
            <v>TaiwanINSURANCE LOSSES AND BENEFITS</v>
          </cell>
          <cell r="B4242">
            <v>0</v>
          </cell>
          <cell r="C4242">
            <v>0</v>
          </cell>
          <cell r="D4242">
            <v>0</v>
          </cell>
          <cell r="E4242">
            <v>0</v>
          </cell>
          <cell r="F4242">
            <v>0</v>
          </cell>
          <cell r="G4242">
            <v>0</v>
          </cell>
          <cell r="H4242">
            <v>0</v>
          </cell>
          <cell r="I4242">
            <v>0</v>
          </cell>
          <cell r="J4242">
            <v>0</v>
          </cell>
          <cell r="K4242">
            <v>0</v>
          </cell>
          <cell r="L4242">
            <v>0</v>
          </cell>
          <cell r="M4242">
            <v>0</v>
          </cell>
          <cell r="N4242">
            <v>0</v>
          </cell>
          <cell r="O4242">
            <v>0</v>
          </cell>
        </row>
        <row r="4243">
          <cell r="A4243" t="str">
            <v>TaiwanWRITE OFFS</v>
          </cell>
          <cell r="B4243">
            <v>-237633.07</v>
          </cell>
          <cell r="C4243">
            <v>195880.89</v>
          </cell>
          <cell r="D4243">
            <v>979665.34</v>
          </cell>
          <cell r="E4243">
            <v>-469079.43</v>
          </cell>
          <cell r="F4243">
            <v>468833.73</v>
          </cell>
          <cell r="G4243">
            <v>532337.48571399995</v>
          </cell>
          <cell r="H4243">
            <v>552184.25714300002</v>
          </cell>
          <cell r="I4243">
            <v>445854.62857100001</v>
          </cell>
          <cell r="J4243">
            <v>52572.085714000001</v>
          </cell>
          <cell r="K4243">
            <v>1582948.4571420001</v>
          </cell>
          <cell r="L4243">
            <v>520166.13</v>
          </cell>
          <cell r="M4243">
            <v>2912813.2727270001</v>
          </cell>
          <cell r="N4243">
            <v>3812166.5151519999</v>
          </cell>
          <cell r="O4243">
            <v>4672237.9696970005</v>
          </cell>
        </row>
        <row r="4244">
          <cell r="A4244" t="str">
            <v>TaiwanRESERVE CHANGE</v>
          </cell>
          <cell r="B4244">
            <v>0</v>
          </cell>
          <cell r="C4244">
            <v>0</v>
          </cell>
          <cell r="D4244">
            <v>0</v>
          </cell>
          <cell r="E4244">
            <v>0</v>
          </cell>
          <cell r="F4244">
            <v>0</v>
          </cell>
          <cell r="G4244">
            <v>0</v>
          </cell>
          <cell r="H4244">
            <v>0</v>
          </cell>
          <cell r="I4244">
            <v>0</v>
          </cell>
          <cell r="J4244">
            <v>0</v>
          </cell>
          <cell r="K4244">
            <v>0</v>
          </cell>
          <cell r="L4244">
            <v>0</v>
          </cell>
          <cell r="M4244">
            <v>0</v>
          </cell>
          <cell r="N4244">
            <v>0</v>
          </cell>
          <cell r="O4244">
            <v>0</v>
          </cell>
        </row>
        <row r="4245">
          <cell r="A4245" t="str">
            <v>TaiwanMINORITY INTEREST</v>
          </cell>
          <cell r="B4245">
            <v>0</v>
          </cell>
          <cell r="C4245">
            <v>0</v>
          </cell>
          <cell r="D4245">
            <v>0</v>
          </cell>
          <cell r="E4245">
            <v>0</v>
          </cell>
          <cell r="F4245">
            <v>0</v>
          </cell>
          <cell r="G4245">
            <v>0</v>
          </cell>
          <cell r="H4245">
            <v>0</v>
          </cell>
          <cell r="I4245">
            <v>0</v>
          </cell>
          <cell r="J4245">
            <v>0</v>
          </cell>
          <cell r="K4245">
            <v>0</v>
          </cell>
          <cell r="L4245">
            <v>0</v>
          </cell>
          <cell r="M4245">
            <v>0</v>
          </cell>
          <cell r="N4245">
            <v>0</v>
          </cell>
          <cell r="O4245">
            <v>0</v>
          </cell>
        </row>
        <row r="4246">
          <cell r="A4246" t="str">
            <v>TaiwanINCOME TAXES</v>
          </cell>
          <cell r="B4246">
            <v>367439.78</v>
          </cell>
          <cell r="C4246">
            <v>237821.97</v>
          </cell>
          <cell r="D4246">
            <v>151520.26</v>
          </cell>
          <cell r="E4246">
            <v>864880.6</v>
          </cell>
          <cell r="F4246">
            <v>1621662.61</v>
          </cell>
          <cell r="G4246">
            <v>301623.17142899998</v>
          </cell>
          <cell r="H4246">
            <v>448722.6</v>
          </cell>
          <cell r="I4246">
            <v>658586.68571400002</v>
          </cell>
          <cell r="J4246">
            <v>949827.6</v>
          </cell>
          <cell r="K4246">
            <v>2358760.057143</v>
          </cell>
          <cell r="L4246">
            <v>313068.24</v>
          </cell>
          <cell r="M4246">
            <v>1734875.4545450001</v>
          </cell>
          <cell r="N4246">
            <v>2321860.6060609999</v>
          </cell>
          <cell r="O4246">
            <v>3103642.818182</v>
          </cell>
        </row>
        <row r="4247">
          <cell r="A4247" t="str">
            <v>TaiwanCUMULATIVE TRANSITION ADJUSTMENT</v>
          </cell>
          <cell r="B4247">
            <v>0</v>
          </cell>
          <cell r="C4247">
            <v>0</v>
          </cell>
          <cell r="D4247">
            <v>0</v>
          </cell>
          <cell r="E4247">
            <v>0</v>
          </cell>
          <cell r="F4247">
            <v>0</v>
          </cell>
          <cell r="G4247">
            <v>0</v>
          </cell>
          <cell r="H4247">
            <v>0</v>
          </cell>
          <cell r="I4247">
            <v>0</v>
          </cell>
          <cell r="J4247">
            <v>0</v>
          </cell>
          <cell r="K4247">
            <v>0</v>
          </cell>
          <cell r="L4247">
            <v>0</v>
          </cell>
          <cell r="M4247">
            <v>0</v>
          </cell>
          <cell r="N4247">
            <v>0</v>
          </cell>
          <cell r="O4247">
            <v>0</v>
          </cell>
        </row>
        <row r="4248">
          <cell r="A4248" t="str">
            <v>TaiwanASIA PACIFIC NI DIVIDEND</v>
          </cell>
          <cell r="B4248">
            <v>0</v>
          </cell>
          <cell r="C4248">
            <v>0</v>
          </cell>
          <cell r="D4248">
            <v>0</v>
          </cell>
          <cell r="E4248">
            <v>0</v>
          </cell>
          <cell r="F4248">
            <v>0</v>
          </cell>
          <cell r="G4248">
            <v>0</v>
          </cell>
          <cell r="H4248">
            <v>0</v>
          </cell>
          <cell r="I4248">
            <v>0</v>
          </cell>
          <cell r="J4248">
            <v>0</v>
          </cell>
          <cell r="K4248">
            <v>0</v>
          </cell>
          <cell r="L4248">
            <v>0</v>
          </cell>
          <cell r="M4248">
            <v>0</v>
          </cell>
          <cell r="N4248">
            <v>0</v>
          </cell>
          <cell r="O4248">
            <v>0</v>
          </cell>
        </row>
        <row r="4249">
          <cell r="A4249" t="str">
            <v>TaiwanNet Income</v>
          </cell>
          <cell r="B4249">
            <v>-1012428.07</v>
          </cell>
          <cell r="C4249">
            <v>-547411.72</v>
          </cell>
          <cell r="D4249">
            <v>53718.65</v>
          </cell>
          <cell r="E4249">
            <v>-1852569.79</v>
          </cell>
          <cell r="F4249">
            <v>-3358690.93</v>
          </cell>
          <cell r="G4249">
            <v>-506024.97142999998</v>
          </cell>
          <cell r="H4249">
            <v>-752491.77142999996</v>
          </cell>
          <cell r="I4249">
            <v>-1104302.2571439999</v>
          </cell>
          <cell r="J4249">
            <v>-1592803.428573</v>
          </cell>
          <cell r="K4249">
            <v>-3955622.4285769998</v>
          </cell>
          <cell r="L4249">
            <v>-644263.02</v>
          </cell>
          <cell r="M4249">
            <v>-5379716.121212</v>
          </cell>
          <cell r="N4249">
            <v>-7566483.5757579999</v>
          </cell>
          <cell r="O4249">
            <v>-9677948.1818179991</v>
          </cell>
        </row>
        <row r="4250">
          <cell r="A4250" t="str">
            <v>TaiwanSubPart F</v>
          </cell>
          <cell r="B4250">
            <v>0</v>
          </cell>
          <cell r="C4250">
            <v>0</v>
          </cell>
          <cell r="D4250">
            <v>0</v>
          </cell>
          <cell r="E4250">
            <v>0</v>
          </cell>
          <cell r="F4250">
            <v>0</v>
          </cell>
          <cell r="G4250">
            <v>0</v>
          </cell>
          <cell r="H4250">
            <v>0</v>
          </cell>
          <cell r="I4250">
            <v>0</v>
          </cell>
          <cell r="J4250">
            <v>0</v>
          </cell>
          <cell r="K4250">
            <v>0</v>
          </cell>
          <cell r="L4250">
            <v>0</v>
          </cell>
          <cell r="M4250">
            <v>418000</v>
          </cell>
          <cell r="N4250">
            <v>613000</v>
          </cell>
          <cell r="O4250">
            <v>727000</v>
          </cell>
        </row>
        <row r="4251">
          <cell r="A4251" t="str">
            <v>TaiwanAssets</v>
          </cell>
          <cell r="B4251">
            <v>183645983.53</v>
          </cell>
          <cell r="C4251">
            <v>164075517.88999999</v>
          </cell>
          <cell r="D4251">
            <v>160240220.15000001</v>
          </cell>
          <cell r="E4251">
            <v>177112876.71000001</v>
          </cell>
          <cell r="F4251">
            <v>177112876.71000001</v>
          </cell>
          <cell r="G4251">
            <v>187004119.37</v>
          </cell>
          <cell r="H4251">
            <v>198725037.28428599</v>
          </cell>
          <cell r="I4251">
            <v>204515007.598571</v>
          </cell>
          <cell r="J4251">
            <v>210110063.79857099</v>
          </cell>
          <cell r="K4251">
            <v>210110063.79857099</v>
          </cell>
          <cell r="L4251">
            <v>175645389.41</v>
          </cell>
          <cell r="M4251">
            <v>248725910</v>
          </cell>
          <cell r="N4251">
            <v>262477043.66666701</v>
          </cell>
          <cell r="O4251">
            <v>338211634.969697</v>
          </cell>
        </row>
        <row r="4252">
          <cell r="A4252" t="str">
            <v>TaiwanEnding Net Investment (ENI) incl Asia</v>
          </cell>
          <cell r="B4252">
            <v>177821544.61000001</v>
          </cell>
          <cell r="C4252">
            <v>159631034.13</v>
          </cell>
          <cell r="D4252">
            <v>154590497.40000001</v>
          </cell>
          <cell r="E4252">
            <v>171676513.47</v>
          </cell>
          <cell r="F4252">
            <v>171676513.47</v>
          </cell>
          <cell r="G4252">
            <v>183796543.25714299</v>
          </cell>
          <cell r="H4252">
            <v>195517461.17142901</v>
          </cell>
          <cell r="I4252">
            <v>201307431.48571399</v>
          </cell>
          <cell r="J4252">
            <v>206902487.68571401</v>
          </cell>
          <cell r="K4252">
            <v>206902487.68571401</v>
          </cell>
          <cell r="L4252">
            <v>171530078.72999999</v>
          </cell>
          <cell r="M4252">
            <v>243006525.75757599</v>
          </cell>
          <cell r="N4252">
            <v>254568813.81818199</v>
          </cell>
          <cell r="O4252">
            <v>328016372.15151501</v>
          </cell>
        </row>
        <row r="4253">
          <cell r="A4253" t="str">
            <v>TaiwanANR YTD</v>
          </cell>
          <cell r="B4253">
            <v>179189757.625</v>
          </cell>
          <cell r="C4253">
            <v>171541233.69666699</v>
          </cell>
          <cell r="D4253">
            <v>166311690.13499999</v>
          </cell>
          <cell r="E4253">
            <v>166459949.46000001</v>
          </cell>
          <cell r="F4253">
            <v>166459949.46000001</v>
          </cell>
          <cell r="G4253">
            <v>89211442.299999997</v>
          </cell>
          <cell r="H4253">
            <v>122956862.228571</v>
          </cell>
          <cell r="I4253">
            <v>141314381.00714299</v>
          </cell>
          <cell r="J4253">
            <v>153416059.451428</v>
          </cell>
          <cell r="K4253">
            <v>153416059.451428</v>
          </cell>
          <cell r="L4253">
            <v>165961368.15000001</v>
          </cell>
          <cell r="M4253">
            <v>88908700.963635996</v>
          </cell>
          <cell r="N4253">
            <v>98463487.636363998</v>
          </cell>
          <cell r="O4253">
            <v>115276450.145455</v>
          </cell>
        </row>
        <row r="4254">
          <cell r="A4254" t="str">
            <v>TaiwanASA YTD</v>
          </cell>
          <cell r="B4254">
            <v>243648455.72</v>
          </cell>
          <cell r="C4254">
            <v>238227521.62666699</v>
          </cell>
          <cell r="D4254">
            <v>234478357.495</v>
          </cell>
          <cell r="E4254">
            <v>234874861.91800001</v>
          </cell>
          <cell r="F4254">
            <v>234874861.91800001</v>
          </cell>
          <cell r="G4254">
            <v>135506238.80000001</v>
          </cell>
          <cell r="H4254">
            <v>189815935.561905</v>
          </cell>
          <cell r="I4254">
            <v>223117296.25714299</v>
          </cell>
          <cell r="J4254">
            <v>244185279.851428</v>
          </cell>
          <cell r="K4254">
            <v>244185279.851428</v>
          </cell>
          <cell r="L4254">
            <v>200665314.57499999</v>
          </cell>
          <cell r="M4254">
            <v>128378109.163636</v>
          </cell>
          <cell r="N4254">
            <v>159952939.63636401</v>
          </cell>
          <cell r="O4254">
            <v>207072619.94545501</v>
          </cell>
        </row>
        <row r="4255">
          <cell r="A4255" t="str">
            <v>TaiwanANI YTD incl Asia - 5 pt</v>
          </cell>
          <cell r="B4255">
            <v>183068973.255</v>
          </cell>
          <cell r="C4255">
            <v>175256326.88</v>
          </cell>
          <cell r="D4255">
            <v>170089869.50999999</v>
          </cell>
          <cell r="E4255">
            <v>170407198.30199999</v>
          </cell>
          <cell r="F4255">
            <v>170407198.30199999</v>
          </cell>
          <cell r="G4255">
            <v>91898271.628571004</v>
          </cell>
          <cell r="H4255">
            <v>126438001.476191</v>
          </cell>
          <cell r="I4255">
            <v>145155358.97857201</v>
          </cell>
          <cell r="J4255">
            <v>157504784.72</v>
          </cell>
          <cell r="K4255">
            <v>157504784.72</v>
          </cell>
          <cell r="L4255">
            <v>171603296.09999999</v>
          </cell>
          <cell r="M4255">
            <v>89933466.206061006</v>
          </cell>
          <cell r="N4255">
            <v>99515067.915151998</v>
          </cell>
          <cell r="O4255">
            <v>116517037.193939</v>
          </cell>
        </row>
        <row r="4256">
          <cell r="A4256" t="str">
            <v>TaiwanOff Balance Sheet Assets</v>
          </cell>
          <cell r="B4256">
            <v>68939412.189999998</v>
          </cell>
          <cell r="C4256">
            <v>71141467.599999994</v>
          </cell>
          <cell r="D4256">
            <v>72607805.650000006</v>
          </cell>
          <cell r="E4256">
            <v>69407892.849999994</v>
          </cell>
          <cell r="F4256">
            <v>69407892.849999994</v>
          </cell>
          <cell r="G4256">
            <v>92589593</v>
          </cell>
          <cell r="H4256">
            <v>107987627</v>
          </cell>
          <cell r="I4256">
            <v>126634441</v>
          </cell>
          <cell r="J4256">
            <v>126634441</v>
          </cell>
          <cell r="K4256">
            <v>126634441</v>
          </cell>
          <cell r="L4256">
            <v>0</v>
          </cell>
          <cell r="M4256">
            <v>110416394</v>
          </cell>
          <cell r="N4256">
            <v>197030866</v>
          </cell>
          <cell r="O4256">
            <v>261949983</v>
          </cell>
        </row>
        <row r="4257">
          <cell r="A4257" t="str">
            <v>TaiwanJV Receivables</v>
          </cell>
          <cell r="B4257">
            <v>0</v>
          </cell>
          <cell r="C4257">
            <v>0</v>
          </cell>
          <cell r="D4257">
            <v>0</v>
          </cell>
          <cell r="E4257">
            <v>0</v>
          </cell>
          <cell r="F4257">
            <v>0</v>
          </cell>
          <cell r="G4257">
            <v>0</v>
          </cell>
          <cell r="H4257">
            <v>0</v>
          </cell>
          <cell r="I4257">
            <v>0</v>
          </cell>
          <cell r="J4257">
            <v>0</v>
          </cell>
          <cell r="K4257">
            <v>0</v>
          </cell>
          <cell r="L4257">
            <v>0</v>
          </cell>
          <cell r="M4257">
            <v>0</v>
          </cell>
          <cell r="N4257">
            <v>0</v>
          </cell>
          <cell r="O4257">
            <v>0</v>
          </cell>
        </row>
        <row r="4258">
          <cell r="A4258" t="str">
            <v>Taiwan30+ DELINQUENCY $</v>
          </cell>
          <cell r="B4258">
            <v>6100040</v>
          </cell>
          <cell r="C4258">
            <v>5406048.8300000001</v>
          </cell>
          <cell r="D4258">
            <v>5678489.3399999999</v>
          </cell>
          <cell r="E4258">
            <v>4540244.83</v>
          </cell>
          <cell r="F4258">
            <v>4540244.83</v>
          </cell>
          <cell r="G4258">
            <v>6184227</v>
          </cell>
          <cell r="H4258">
            <v>5651559</v>
          </cell>
          <cell r="I4258">
            <v>6344661</v>
          </cell>
          <cell r="J4258">
            <v>6573015</v>
          </cell>
          <cell r="K4258">
            <v>6573015</v>
          </cell>
          <cell r="L4258">
            <v>5395000</v>
          </cell>
          <cell r="M4258">
            <v>0</v>
          </cell>
          <cell r="N4258">
            <v>0</v>
          </cell>
          <cell r="O4258">
            <v>0</v>
          </cell>
        </row>
        <row r="4259">
          <cell r="A4259" t="str">
            <v>Taiwan90+ DELINQUENCY $</v>
          </cell>
          <cell r="B4259">
            <v>998000</v>
          </cell>
          <cell r="C4259">
            <v>781000</v>
          </cell>
          <cell r="D4259">
            <v>798302.22</v>
          </cell>
          <cell r="E4259">
            <v>1090392.27</v>
          </cell>
          <cell r="F4259">
            <v>1090392.27</v>
          </cell>
          <cell r="G4259">
            <v>881334</v>
          </cell>
          <cell r="H4259">
            <v>996939</v>
          </cell>
          <cell r="I4259">
            <v>986931</v>
          </cell>
          <cell r="J4259">
            <v>1173390</v>
          </cell>
          <cell r="K4259">
            <v>1173390</v>
          </cell>
          <cell r="L4259">
            <v>1284000</v>
          </cell>
          <cell r="M4259">
            <v>0</v>
          </cell>
          <cell r="N4259">
            <v>0</v>
          </cell>
          <cell r="O4259">
            <v>0</v>
          </cell>
        </row>
        <row r="4260">
          <cell r="A4260" t="str">
            <v>TaiwanTemporary Staff</v>
          </cell>
          <cell r="B4260">
            <v>0</v>
          </cell>
          <cell r="C4260">
            <v>0</v>
          </cell>
          <cell r="D4260">
            <v>0</v>
          </cell>
          <cell r="E4260">
            <v>0</v>
          </cell>
          <cell r="F4260">
            <v>0</v>
          </cell>
          <cell r="G4260">
            <v>0</v>
          </cell>
          <cell r="H4260">
            <v>0</v>
          </cell>
          <cell r="I4260">
            <v>0</v>
          </cell>
          <cell r="J4260">
            <v>0</v>
          </cell>
          <cell r="K4260">
            <v>0</v>
          </cell>
          <cell r="L4260">
            <v>6</v>
          </cell>
          <cell r="M4260">
            <v>3</v>
          </cell>
          <cell r="N4260">
            <v>3</v>
          </cell>
          <cell r="O4260">
            <v>3</v>
          </cell>
        </row>
        <row r="4261">
          <cell r="A4261" t="str">
            <v>TaiwanContractors</v>
          </cell>
          <cell r="B4261">
            <v>8</v>
          </cell>
          <cell r="C4261">
            <v>10</v>
          </cell>
          <cell r="D4261">
            <v>10</v>
          </cell>
          <cell r="E4261">
            <v>14</v>
          </cell>
          <cell r="F4261">
            <v>14</v>
          </cell>
          <cell r="G4261">
            <v>0</v>
          </cell>
          <cell r="H4261">
            <v>0</v>
          </cell>
          <cell r="I4261">
            <v>0</v>
          </cell>
          <cell r="J4261">
            <v>0</v>
          </cell>
          <cell r="K4261">
            <v>0</v>
          </cell>
          <cell r="L4261">
            <v>8</v>
          </cell>
          <cell r="M4261">
            <v>2</v>
          </cell>
          <cell r="N4261">
            <v>2</v>
          </cell>
          <cell r="O4261">
            <v>2</v>
          </cell>
        </row>
        <row r="4262">
          <cell r="A4262" t="str">
            <v>TaiwanOutsourced to LCC</v>
          </cell>
          <cell r="B4262">
            <v>0</v>
          </cell>
          <cell r="C4262">
            <v>0</v>
          </cell>
          <cell r="D4262">
            <v>0</v>
          </cell>
          <cell r="E4262">
            <v>0</v>
          </cell>
          <cell r="F4262">
            <v>0</v>
          </cell>
          <cell r="G4262">
            <v>1</v>
          </cell>
          <cell r="H4262">
            <v>1</v>
          </cell>
          <cell r="I4262">
            <v>1</v>
          </cell>
          <cell r="J4262">
            <v>1</v>
          </cell>
          <cell r="K4262">
            <v>1</v>
          </cell>
          <cell r="L4262">
            <v>1</v>
          </cell>
          <cell r="M4262">
            <v>2</v>
          </cell>
          <cell r="N4262">
            <v>3</v>
          </cell>
          <cell r="O4262">
            <v>4</v>
          </cell>
        </row>
        <row r="4263">
          <cell r="A4263" t="str">
            <v>TaiwanTotal Headcount</v>
          </cell>
          <cell r="B4263">
            <v>97</v>
          </cell>
          <cell r="C4263">
            <v>106</v>
          </cell>
          <cell r="D4263">
            <v>114</v>
          </cell>
          <cell r="E4263">
            <v>117</v>
          </cell>
          <cell r="F4263">
            <v>117</v>
          </cell>
          <cell r="G4263">
            <v>143</v>
          </cell>
          <cell r="H4263">
            <v>147</v>
          </cell>
          <cell r="I4263">
            <v>153</v>
          </cell>
          <cell r="J4263">
            <v>153</v>
          </cell>
          <cell r="K4263">
            <v>153</v>
          </cell>
          <cell r="L4263">
            <v>123</v>
          </cell>
          <cell r="M4263">
            <v>151</v>
          </cell>
          <cell r="N4263">
            <v>174</v>
          </cell>
          <cell r="O4263">
            <v>207</v>
          </cell>
        </row>
        <row r="4264">
          <cell r="A4264" t="str">
            <v>TaiwanTotal Workforce</v>
          </cell>
          <cell r="B4264">
            <v>105</v>
          </cell>
          <cell r="C4264">
            <v>116</v>
          </cell>
          <cell r="D4264">
            <v>124</v>
          </cell>
          <cell r="E4264">
            <v>131</v>
          </cell>
          <cell r="F4264">
            <v>131</v>
          </cell>
          <cell r="G4264">
            <v>144</v>
          </cell>
          <cell r="H4264">
            <v>148</v>
          </cell>
          <cell r="I4264">
            <v>154</v>
          </cell>
          <cell r="J4264">
            <v>154</v>
          </cell>
          <cell r="K4264">
            <v>154</v>
          </cell>
          <cell r="L4264">
            <v>138</v>
          </cell>
          <cell r="M4264">
            <v>158</v>
          </cell>
          <cell r="N4264">
            <v>182</v>
          </cell>
          <cell r="O4264">
            <v>216</v>
          </cell>
        </row>
        <row r="4265">
          <cell r="A4265" t="str">
            <v>TaiwanTotal Earned Revenue</v>
          </cell>
          <cell r="B4265">
            <v>-5020304.7300000004</v>
          </cell>
          <cell r="C4265">
            <v>-3897048.05</v>
          </cell>
          <cell r="D4265">
            <v>-3851427.51</v>
          </cell>
          <cell r="E4265">
            <v>-4093624.87</v>
          </cell>
          <cell r="F4265">
            <v>-16862405.16</v>
          </cell>
          <cell r="G4265">
            <v>-5014928.428572</v>
          </cell>
          <cell r="H4265">
            <v>-5417963.7999999998</v>
          </cell>
          <cell r="I4265">
            <v>-5818963.9428580003</v>
          </cell>
          <cell r="J4265">
            <v>-6219858.1714279996</v>
          </cell>
          <cell r="K4265">
            <v>-22471714.342858002</v>
          </cell>
          <cell r="L4265">
            <v>-4619994.4800000004</v>
          </cell>
          <cell r="M4265">
            <v>-28329041.545455001</v>
          </cell>
          <cell r="N4265">
            <v>-34070539.939393997</v>
          </cell>
          <cell r="O4265">
            <v>-41582210.757576004</v>
          </cell>
        </row>
        <row r="4266">
          <cell r="A4266" t="str">
            <v>TaiwanOrdinary Gains - PreTax</v>
          </cell>
          <cell r="B4266">
            <v>0</v>
          </cell>
          <cell r="C4266">
            <v>0</v>
          </cell>
          <cell r="D4266">
            <v>0</v>
          </cell>
          <cell r="E4266">
            <v>0</v>
          </cell>
          <cell r="F4266">
            <v>0</v>
          </cell>
          <cell r="G4266">
            <v>0</v>
          </cell>
          <cell r="H4266">
            <v>0</v>
          </cell>
          <cell r="I4266">
            <v>0</v>
          </cell>
          <cell r="J4266">
            <v>0</v>
          </cell>
          <cell r="K4266">
            <v>0</v>
          </cell>
          <cell r="L4266">
            <v>0</v>
          </cell>
          <cell r="M4266">
            <v>0</v>
          </cell>
          <cell r="N4266">
            <v>0</v>
          </cell>
          <cell r="O4266">
            <v>0</v>
          </cell>
        </row>
        <row r="4267">
          <cell r="A4267" t="str">
            <v>TaiwanOrdinary Gains - AfterTax</v>
          </cell>
          <cell r="B4267">
            <v>0</v>
          </cell>
          <cell r="C4267">
            <v>0</v>
          </cell>
          <cell r="D4267">
            <v>0</v>
          </cell>
          <cell r="E4267">
            <v>0</v>
          </cell>
          <cell r="F4267">
            <v>0</v>
          </cell>
          <cell r="G4267">
            <v>0</v>
          </cell>
          <cell r="H4267">
            <v>0</v>
          </cell>
          <cell r="I4267">
            <v>0</v>
          </cell>
          <cell r="J4267">
            <v>0</v>
          </cell>
          <cell r="K4267">
            <v>0</v>
          </cell>
          <cell r="L4267">
            <v>0</v>
          </cell>
          <cell r="M4267">
            <v>0</v>
          </cell>
          <cell r="N4267">
            <v>0</v>
          </cell>
          <cell r="O4267">
            <v>0</v>
          </cell>
        </row>
        <row r="4268">
          <cell r="A4268" t="str">
            <v>TaiwanTotal Volume</v>
          </cell>
          <cell r="B4268">
            <v>18682774.09</v>
          </cell>
          <cell r="C4268">
            <v>19948122.41</v>
          </cell>
          <cell r="D4268">
            <v>20529351.710000001</v>
          </cell>
          <cell r="E4268">
            <v>35392947.600000001</v>
          </cell>
          <cell r="F4268">
            <v>94553195.810000002</v>
          </cell>
          <cell r="G4268">
            <v>39591339.428571001</v>
          </cell>
          <cell r="H4268">
            <v>41493542.857143998</v>
          </cell>
          <cell r="I4268">
            <v>35115051.428570002</v>
          </cell>
          <cell r="J4268">
            <v>39796013.714286998</v>
          </cell>
          <cell r="K4268">
            <v>155995947.428572</v>
          </cell>
          <cell r="L4268">
            <v>29448237.280000001</v>
          </cell>
          <cell r="M4268">
            <v>378804166.66666698</v>
          </cell>
          <cell r="N4268">
            <v>471990056.81818199</v>
          </cell>
          <cell r="O4268">
            <v>639139086.17424202</v>
          </cell>
        </row>
        <row r="4269">
          <cell r="A4269" t="str">
            <v>TaiwanTOTAL # ACTIVE ACCOUNTS</v>
          </cell>
          <cell r="B4269">
            <v>17424</v>
          </cell>
          <cell r="C4269">
            <v>16743</v>
          </cell>
          <cell r="D4269">
            <v>15897</v>
          </cell>
          <cell r="E4269">
            <v>25661</v>
          </cell>
          <cell r="F4269">
            <v>25661</v>
          </cell>
          <cell r="G4269">
            <v>29127</v>
          </cell>
          <cell r="H4269">
            <v>33511</v>
          </cell>
          <cell r="I4269">
            <v>36897</v>
          </cell>
          <cell r="J4269">
            <v>40840</v>
          </cell>
          <cell r="K4269">
            <v>40840</v>
          </cell>
          <cell r="L4269">
            <v>0</v>
          </cell>
          <cell r="M4269">
            <v>63610.201298</v>
          </cell>
          <cell r="N4269">
            <v>79829.807365000001</v>
          </cell>
          <cell r="O4269">
            <v>101629.040291</v>
          </cell>
        </row>
        <row r="4270">
          <cell r="A4270" t="str">
            <v>ThailandTOTAL FINANCING RECEIVABLES</v>
          </cell>
          <cell r="B4270">
            <v>743540005.11000001</v>
          </cell>
          <cell r="C4270">
            <v>769071526.98000002</v>
          </cell>
          <cell r="D4270">
            <v>809520773.25</v>
          </cell>
          <cell r="E4270">
            <v>925945772.01999998</v>
          </cell>
          <cell r="F4270">
            <v>925945772.01999998</v>
          </cell>
          <cell r="G4270">
            <v>939525796.21781003</v>
          </cell>
          <cell r="H4270">
            <v>991355733.92985797</v>
          </cell>
          <cell r="I4270">
            <v>1023269122.81953</v>
          </cell>
          <cell r="J4270">
            <v>1070301684.36877</v>
          </cell>
          <cell r="K4270">
            <v>1070301684.36877</v>
          </cell>
          <cell r="L4270">
            <v>1057047345.55</v>
          </cell>
          <cell r="M4270">
            <v>1038848824.4187</v>
          </cell>
          <cell r="N4270">
            <v>1290390855.4131999</v>
          </cell>
          <cell r="O4270">
            <v>1596241149.8851399</v>
          </cell>
        </row>
        <row r="4271">
          <cell r="A4271" t="str">
            <v>ThailandRECEIVABLE RESERVES</v>
          </cell>
          <cell r="B4271">
            <v>-33738967.5</v>
          </cell>
          <cell r="C4271">
            <v>-37627436.18</v>
          </cell>
          <cell r="D4271">
            <v>-41274163.990000002</v>
          </cell>
          <cell r="E4271">
            <v>-50345379.659999996</v>
          </cell>
          <cell r="F4271">
            <v>-50345379.659999996</v>
          </cell>
          <cell r="G4271">
            <v>-51188272.042030998</v>
          </cell>
          <cell r="H4271">
            <v>-55152348.832006998</v>
          </cell>
          <cell r="I4271">
            <v>-57639901.476460002</v>
          </cell>
          <cell r="J4271">
            <v>-61110848.420502</v>
          </cell>
          <cell r="K4271">
            <v>-61110848.420502</v>
          </cell>
          <cell r="L4271">
            <v>-59124744.520000003</v>
          </cell>
          <cell r="M4271">
            <v>-56863266.933773004</v>
          </cell>
          <cell r="N4271">
            <v>-78447931.952474996</v>
          </cell>
          <cell r="O4271">
            <v>-107063198.634323</v>
          </cell>
        </row>
        <row r="4272">
          <cell r="A4272" t="str">
            <v>ThailandCASH</v>
          </cell>
          <cell r="B4272">
            <v>3150422.16</v>
          </cell>
          <cell r="C4272">
            <v>-1186618.6000000001</v>
          </cell>
          <cell r="D4272">
            <v>2867189.08</v>
          </cell>
          <cell r="E4272">
            <v>2290168.9300000002</v>
          </cell>
          <cell r="F4272">
            <v>2290168.9300000002</v>
          </cell>
          <cell r="G4272">
            <v>-464291.60462</v>
          </cell>
          <cell r="H4272">
            <v>-475615.79009899998</v>
          </cell>
          <cell r="I4272">
            <v>-486939.97557800001</v>
          </cell>
          <cell r="J4272">
            <v>-498264.16105599998</v>
          </cell>
          <cell r="K4272">
            <v>-498264.16105599998</v>
          </cell>
          <cell r="L4272">
            <v>7397920.7400000002</v>
          </cell>
          <cell r="M4272">
            <v>1132164.1414739999</v>
          </cell>
          <cell r="N4272">
            <v>1132164.1414739999</v>
          </cell>
          <cell r="O4272">
            <v>1132164.1414739999</v>
          </cell>
        </row>
        <row r="4273">
          <cell r="A4273" t="str">
            <v>ThailandINVESTMENT SECURITIES</v>
          </cell>
          <cell r="B4273">
            <v>0</v>
          </cell>
          <cell r="C4273">
            <v>0</v>
          </cell>
          <cell r="D4273">
            <v>0</v>
          </cell>
          <cell r="E4273">
            <v>0</v>
          </cell>
          <cell r="F4273">
            <v>0</v>
          </cell>
          <cell r="G4273">
            <v>0</v>
          </cell>
          <cell r="H4273">
            <v>0</v>
          </cell>
          <cell r="I4273">
            <v>0</v>
          </cell>
          <cell r="J4273">
            <v>0</v>
          </cell>
          <cell r="K4273">
            <v>0</v>
          </cell>
          <cell r="L4273">
            <v>0</v>
          </cell>
          <cell r="M4273">
            <v>0</v>
          </cell>
          <cell r="N4273">
            <v>0</v>
          </cell>
          <cell r="O4273">
            <v>0</v>
          </cell>
        </row>
        <row r="4274">
          <cell r="A4274" t="str">
            <v>ThailandINV IN NON CONSOL AFFILIATES</v>
          </cell>
          <cell r="B4274">
            <v>42651783.350000001</v>
          </cell>
          <cell r="C4274">
            <v>62869046.109999999</v>
          </cell>
          <cell r="D4274">
            <v>76544042.510000005</v>
          </cell>
          <cell r="E4274">
            <v>107656759.44</v>
          </cell>
          <cell r="F4274">
            <v>107656759.44</v>
          </cell>
          <cell r="G4274">
            <v>135106712.881699</v>
          </cell>
          <cell r="H4274">
            <v>165427769.41641399</v>
          </cell>
          <cell r="I4274">
            <v>178537724.702943</v>
          </cell>
          <cell r="J4274">
            <v>209313996.19051901</v>
          </cell>
          <cell r="K4274">
            <v>209313996.19051901</v>
          </cell>
          <cell r="L4274">
            <v>119173834.73999999</v>
          </cell>
          <cell r="M4274">
            <v>107026443.587459</v>
          </cell>
          <cell r="N4274">
            <v>185160887.89703</v>
          </cell>
          <cell r="O4274">
            <v>268370534.06644699</v>
          </cell>
        </row>
        <row r="4275">
          <cell r="A4275" t="str">
            <v>ThailandINVESTMENT IN JOINT VENTURE</v>
          </cell>
          <cell r="B4275">
            <v>0</v>
          </cell>
          <cell r="C4275">
            <v>0</v>
          </cell>
          <cell r="D4275">
            <v>0</v>
          </cell>
          <cell r="E4275">
            <v>0</v>
          </cell>
          <cell r="F4275">
            <v>0</v>
          </cell>
          <cell r="G4275">
            <v>0</v>
          </cell>
          <cell r="H4275">
            <v>0</v>
          </cell>
          <cell r="I4275">
            <v>0</v>
          </cell>
          <cell r="J4275">
            <v>0</v>
          </cell>
          <cell r="K4275">
            <v>0</v>
          </cell>
          <cell r="L4275">
            <v>0</v>
          </cell>
          <cell r="M4275">
            <v>0</v>
          </cell>
          <cell r="N4275">
            <v>0</v>
          </cell>
          <cell r="O4275">
            <v>0</v>
          </cell>
        </row>
        <row r="4276">
          <cell r="A4276" t="str">
            <v>ThailandALL OTHER RECEIVABLES (NON-FINANCING)</v>
          </cell>
          <cell r="B4276">
            <v>43756996.740000002</v>
          </cell>
          <cell r="C4276">
            <v>31029212.84</v>
          </cell>
          <cell r="D4276">
            <v>24404608.5</v>
          </cell>
          <cell r="E4276">
            <v>23930246.670000002</v>
          </cell>
          <cell r="F4276">
            <v>23930246.670000002</v>
          </cell>
          <cell r="G4276">
            <v>41925098.889951997</v>
          </cell>
          <cell r="H4276">
            <v>40472537.078856997</v>
          </cell>
          <cell r="I4276">
            <v>39054626.377732001</v>
          </cell>
          <cell r="J4276">
            <v>37617875.286127001</v>
          </cell>
          <cell r="K4276">
            <v>37617875.286127001</v>
          </cell>
          <cell r="L4276">
            <v>23695573.399999999</v>
          </cell>
          <cell r="M4276">
            <v>61813103.284267999</v>
          </cell>
          <cell r="N4276">
            <v>65479092.836524002</v>
          </cell>
          <cell r="O4276">
            <v>71019939.544333994</v>
          </cell>
        </row>
        <row r="4277">
          <cell r="A4277" t="str">
            <v>ThailandELTO (NET)</v>
          </cell>
          <cell r="B4277">
            <v>4818615.93</v>
          </cell>
          <cell r="C4277">
            <v>3177136.09</v>
          </cell>
          <cell r="D4277">
            <v>3763624.39</v>
          </cell>
          <cell r="E4277">
            <v>484022.72</v>
          </cell>
          <cell r="F4277">
            <v>484022.72</v>
          </cell>
          <cell r="G4277">
            <v>0</v>
          </cell>
          <cell r="H4277">
            <v>0</v>
          </cell>
          <cell r="I4277">
            <v>0</v>
          </cell>
          <cell r="J4277">
            <v>0</v>
          </cell>
          <cell r="K4277">
            <v>0</v>
          </cell>
          <cell r="L4277">
            <v>0.96</v>
          </cell>
          <cell r="M4277">
            <v>18481848.184818</v>
          </cell>
          <cell r="N4277">
            <v>20902090.209020998</v>
          </cell>
          <cell r="O4277">
            <v>23102310.231022999</v>
          </cell>
        </row>
        <row r="4278">
          <cell r="A4278" t="str">
            <v>ThailandGOODWILL</v>
          </cell>
          <cell r="B4278">
            <v>11176692.98</v>
          </cell>
          <cell r="C4278">
            <v>11478354.029999999</v>
          </cell>
          <cell r="D4278">
            <v>11484174.15</v>
          </cell>
          <cell r="E4278">
            <v>11267079.359999999</v>
          </cell>
          <cell r="F4278">
            <v>11267079.359999999</v>
          </cell>
          <cell r="G4278">
            <v>10845642.920053</v>
          </cell>
          <cell r="H4278">
            <v>10845642.920053</v>
          </cell>
          <cell r="I4278">
            <v>10845642.920053</v>
          </cell>
          <cell r="J4278">
            <v>10845642.920053</v>
          </cell>
          <cell r="K4278">
            <v>10845642.920053</v>
          </cell>
          <cell r="L4278">
            <v>11405245.76</v>
          </cell>
          <cell r="M4278">
            <v>8228299.4583059996</v>
          </cell>
          <cell r="N4278">
            <v>6963553.7597359996</v>
          </cell>
          <cell r="O4278">
            <v>5698808.0609459998</v>
          </cell>
        </row>
        <row r="4279">
          <cell r="A4279" t="str">
            <v>ThailandOTHER ASSETS</v>
          </cell>
          <cell r="B4279">
            <v>24538900.960000001</v>
          </cell>
          <cell r="C4279">
            <v>29377544.420000002</v>
          </cell>
          <cell r="D4279">
            <v>25487737.120000001</v>
          </cell>
          <cell r="E4279">
            <v>26628428.469999999</v>
          </cell>
          <cell r="F4279">
            <v>26628428.469999999</v>
          </cell>
          <cell r="G4279">
            <v>36360678.661558002</v>
          </cell>
          <cell r="H4279">
            <v>37125398.877821997</v>
          </cell>
          <cell r="I4279">
            <v>37440137.715497002</v>
          </cell>
          <cell r="J4279">
            <v>37905716.543628998</v>
          </cell>
          <cell r="K4279">
            <v>37905716.543628998</v>
          </cell>
          <cell r="L4279">
            <v>19723325.52</v>
          </cell>
          <cell r="M4279">
            <v>-1010348.678328</v>
          </cell>
          <cell r="N4279">
            <v>-1921777.9823980001</v>
          </cell>
          <cell r="O4279">
            <v>-3016364.8182620001</v>
          </cell>
        </row>
        <row r="4280">
          <cell r="A4280" t="str">
            <v>ThailandACCOUNTS PAYABLE</v>
          </cell>
          <cell r="B4280">
            <v>-34961252.170000002</v>
          </cell>
          <cell r="C4280">
            <v>-40940118.030000001</v>
          </cell>
          <cell r="D4280">
            <v>-28361255.260000002</v>
          </cell>
          <cell r="E4280">
            <v>-28608377.219999999</v>
          </cell>
          <cell r="F4280">
            <v>-28608377.219999999</v>
          </cell>
          <cell r="G4280">
            <v>-25277747.362930998</v>
          </cell>
          <cell r="H4280">
            <v>-25945358.922471002</v>
          </cell>
          <cell r="I4280">
            <v>-26365402.389616001</v>
          </cell>
          <cell r="J4280">
            <v>-26785781.750013001</v>
          </cell>
          <cell r="K4280">
            <v>-26785781.750013001</v>
          </cell>
          <cell r="L4280">
            <v>-56402770.109999999</v>
          </cell>
          <cell r="M4280">
            <v>-36532520.360175997</v>
          </cell>
          <cell r="N4280">
            <v>-43192353.797140002</v>
          </cell>
          <cell r="O4280">
            <v>-51187981.384378001</v>
          </cell>
        </row>
        <row r="4281">
          <cell r="A4281" t="str">
            <v>ThailandDEFERRED INCOME TAXES</v>
          </cell>
          <cell r="B4281">
            <v>17734361.09</v>
          </cell>
          <cell r="C4281">
            <v>17254749.510000002</v>
          </cell>
          <cell r="D4281">
            <v>17471750.02</v>
          </cell>
          <cell r="E4281">
            <v>19824017.5</v>
          </cell>
          <cell r="F4281">
            <v>19824017.5</v>
          </cell>
          <cell r="G4281">
            <v>15143363.972767999</v>
          </cell>
          <cell r="H4281">
            <v>15692526.416591</v>
          </cell>
          <cell r="I4281">
            <v>16045697.453935999</v>
          </cell>
          <cell r="J4281">
            <v>16399134.406772001</v>
          </cell>
          <cell r="K4281">
            <v>16399134.406772001</v>
          </cell>
          <cell r="L4281">
            <v>21741699.219999999</v>
          </cell>
          <cell r="M4281">
            <v>11726107.879868001</v>
          </cell>
          <cell r="N4281">
            <v>11725937.008361001</v>
          </cell>
          <cell r="O4281">
            <v>11725749.049725</v>
          </cell>
        </row>
        <row r="4282">
          <cell r="A4282" t="str">
            <v>ThailandWRITE-OFF (MEMO)</v>
          </cell>
          <cell r="B4282">
            <v>2115310.4300000002</v>
          </cell>
          <cell r="C4282">
            <v>3971315.83</v>
          </cell>
          <cell r="D4282">
            <v>6924966.3200000003</v>
          </cell>
          <cell r="E4282">
            <v>7678093.6699999999</v>
          </cell>
          <cell r="F4282">
            <v>7678093.6699999999</v>
          </cell>
          <cell r="G4282">
            <v>3413953.3753789999</v>
          </cell>
          <cell r="H4282">
            <v>7729486.6716019996</v>
          </cell>
          <cell r="I4282">
            <v>13717534.462882999</v>
          </cell>
          <cell r="J4282">
            <v>19742607.517763</v>
          </cell>
          <cell r="K4282">
            <v>19742607.517763</v>
          </cell>
          <cell r="L4282">
            <v>2298355.38</v>
          </cell>
          <cell r="M4282">
            <v>12473419</v>
          </cell>
          <cell r="N4282">
            <v>15969704</v>
          </cell>
          <cell r="O4282">
            <v>21241327</v>
          </cell>
        </row>
        <row r="4283">
          <cell r="A4283" t="str">
            <v>ThailandINSURANCE RESERVES AND ANNUITY BENEFITS</v>
          </cell>
          <cell r="B4283">
            <v>0</v>
          </cell>
          <cell r="C4283">
            <v>0</v>
          </cell>
          <cell r="D4283">
            <v>0</v>
          </cell>
          <cell r="E4283">
            <v>0</v>
          </cell>
          <cell r="F4283">
            <v>0</v>
          </cell>
          <cell r="G4283">
            <v>0</v>
          </cell>
          <cell r="H4283">
            <v>0</v>
          </cell>
          <cell r="I4283">
            <v>0</v>
          </cell>
          <cell r="J4283">
            <v>0</v>
          </cell>
          <cell r="K4283">
            <v>0</v>
          </cell>
          <cell r="L4283">
            <v>0</v>
          </cell>
          <cell r="M4283">
            <v>0</v>
          </cell>
          <cell r="N4283">
            <v>0</v>
          </cell>
          <cell r="O4283">
            <v>0</v>
          </cell>
        </row>
        <row r="4284">
          <cell r="A4284" t="str">
            <v>ThailandALL OTHER NON DEBT LIABILITIES</v>
          </cell>
          <cell r="B4284">
            <v>-26007569.370000001</v>
          </cell>
          <cell r="C4284">
            <v>-22001927.09</v>
          </cell>
          <cell r="D4284">
            <v>-28685306.59</v>
          </cell>
          <cell r="E4284">
            <v>-32663271.91</v>
          </cell>
          <cell r="F4284">
            <v>-32663271.91</v>
          </cell>
          <cell r="G4284">
            <v>-22472207.552340999</v>
          </cell>
          <cell r="H4284">
            <v>-23319945.567644</v>
          </cell>
          <cell r="I4284">
            <v>-23786016.107174002</v>
          </cell>
          <cell r="J4284">
            <v>-24252604.482133999</v>
          </cell>
          <cell r="K4284">
            <v>-24252604.482133999</v>
          </cell>
          <cell r="L4284">
            <v>-31371672.399999999</v>
          </cell>
          <cell r="M4284">
            <v>-24028800.181958001</v>
          </cell>
          <cell r="N4284">
            <v>-30074780.239824001</v>
          </cell>
          <cell r="O4284">
            <v>-37325617.698129997</v>
          </cell>
        </row>
        <row r="4285">
          <cell r="A4285" t="str">
            <v>ThailandMINORITY INTEREST (BS)</v>
          </cell>
          <cell r="B4285">
            <v>-338953.79</v>
          </cell>
          <cell r="C4285">
            <v>-512884.47</v>
          </cell>
          <cell r="D4285">
            <v>-737239.59</v>
          </cell>
          <cell r="E4285">
            <v>-784713.27</v>
          </cell>
          <cell r="F4285">
            <v>-784713.27</v>
          </cell>
          <cell r="G4285">
            <v>0</v>
          </cell>
          <cell r="H4285">
            <v>0</v>
          </cell>
          <cell r="I4285">
            <v>0</v>
          </cell>
          <cell r="J4285">
            <v>0</v>
          </cell>
          <cell r="K4285">
            <v>0</v>
          </cell>
          <cell r="L4285">
            <v>-1084014.02</v>
          </cell>
          <cell r="M4285">
            <v>0</v>
          </cell>
          <cell r="N4285">
            <v>0</v>
          </cell>
          <cell r="O4285">
            <v>0</v>
          </cell>
        </row>
        <row r="4286">
          <cell r="A4286" t="str">
            <v>ThailandASIA PACIFIC ENI DIVIDEND</v>
          </cell>
          <cell r="B4286">
            <v>0</v>
          </cell>
          <cell r="C4286">
            <v>0</v>
          </cell>
          <cell r="D4286">
            <v>0</v>
          </cell>
          <cell r="E4286">
            <v>0</v>
          </cell>
          <cell r="F4286">
            <v>0</v>
          </cell>
          <cell r="G4286">
            <v>0</v>
          </cell>
          <cell r="H4286">
            <v>0</v>
          </cell>
          <cell r="I4286">
            <v>0</v>
          </cell>
          <cell r="J4286">
            <v>0</v>
          </cell>
          <cell r="K4286">
            <v>0</v>
          </cell>
          <cell r="L4286">
            <v>0</v>
          </cell>
          <cell r="M4286">
            <v>0</v>
          </cell>
          <cell r="N4286">
            <v>0</v>
          </cell>
          <cell r="O4286">
            <v>0</v>
          </cell>
        </row>
        <row r="4287">
          <cell r="A4287" t="str">
            <v>ThailandFINANCING INCOME</v>
          </cell>
          <cell r="B4287">
            <v>-31255693.239999998</v>
          </cell>
          <cell r="C4287">
            <v>-29258034.920000002</v>
          </cell>
          <cell r="D4287">
            <v>-29623484.760000002</v>
          </cell>
          <cell r="E4287">
            <v>-32197559.260000002</v>
          </cell>
          <cell r="F4287">
            <v>-122334772.18000001</v>
          </cell>
          <cell r="G4287">
            <v>-33562345.095867001</v>
          </cell>
          <cell r="H4287">
            <v>-35814054.308487996</v>
          </cell>
          <cell r="I4287">
            <v>-38724530.586203001</v>
          </cell>
          <cell r="J4287">
            <v>-42074321.027750999</v>
          </cell>
          <cell r="K4287">
            <v>-150175251.018309</v>
          </cell>
          <cell r="L4287">
            <v>-39240136.170000002</v>
          </cell>
          <cell r="M4287">
            <v>-138716043.51507199</v>
          </cell>
          <cell r="N4287">
            <v>-176926773.773597</v>
          </cell>
          <cell r="O4287">
            <v>-225387906.66160601</v>
          </cell>
        </row>
        <row r="4288">
          <cell r="A4288" t="str">
            <v>ThailandINSURANCE PREMIUM INCOME</v>
          </cell>
          <cell r="B4288">
            <v>0</v>
          </cell>
          <cell r="C4288">
            <v>0</v>
          </cell>
          <cell r="D4288">
            <v>0</v>
          </cell>
          <cell r="E4288">
            <v>0</v>
          </cell>
          <cell r="F4288">
            <v>0</v>
          </cell>
          <cell r="G4288">
            <v>0</v>
          </cell>
          <cell r="H4288">
            <v>0</v>
          </cell>
          <cell r="I4288">
            <v>0</v>
          </cell>
          <cell r="J4288">
            <v>0</v>
          </cell>
          <cell r="K4288">
            <v>0</v>
          </cell>
          <cell r="L4288">
            <v>0</v>
          </cell>
          <cell r="M4288">
            <v>0</v>
          </cell>
          <cell r="N4288">
            <v>0</v>
          </cell>
          <cell r="O4288">
            <v>0</v>
          </cell>
        </row>
        <row r="4289">
          <cell r="A4289" t="str">
            <v>ThailandINSURANCE INCOME (COMMISSIONS)</v>
          </cell>
          <cell r="B4289">
            <v>0</v>
          </cell>
          <cell r="C4289">
            <v>0</v>
          </cell>
          <cell r="D4289">
            <v>0</v>
          </cell>
          <cell r="E4289">
            <v>0</v>
          </cell>
          <cell r="F4289">
            <v>0</v>
          </cell>
          <cell r="G4289">
            <v>0</v>
          </cell>
          <cell r="H4289">
            <v>0</v>
          </cell>
          <cell r="I4289">
            <v>0</v>
          </cell>
          <cell r="J4289">
            <v>0</v>
          </cell>
          <cell r="K4289">
            <v>0</v>
          </cell>
          <cell r="L4289">
            <v>0</v>
          </cell>
          <cell r="M4289">
            <v>0</v>
          </cell>
          <cell r="N4289">
            <v>0</v>
          </cell>
          <cell r="O4289">
            <v>0</v>
          </cell>
        </row>
        <row r="4290">
          <cell r="A4290" t="str">
            <v>ThailandSUNDRY INCOME</v>
          </cell>
          <cell r="B4290">
            <v>-15706282.77</v>
          </cell>
          <cell r="C4290">
            <v>-13526418.199999999</v>
          </cell>
          <cell r="D4290">
            <v>-6740369.5700000003</v>
          </cell>
          <cell r="E4290">
            <v>-4879862.1399999997</v>
          </cell>
          <cell r="F4290">
            <v>-40852932.68</v>
          </cell>
          <cell r="G4290">
            <v>-3366789.8471249999</v>
          </cell>
          <cell r="H4290">
            <v>-3552943.3427940002</v>
          </cell>
          <cell r="I4290">
            <v>-3677344.63087</v>
          </cell>
          <cell r="J4290">
            <v>-3447035.6797790001</v>
          </cell>
          <cell r="K4290">
            <v>-14044113.500568001</v>
          </cell>
          <cell r="L4290">
            <v>-7360887.0099999998</v>
          </cell>
          <cell r="M4290">
            <v>-16214870.047085</v>
          </cell>
          <cell r="N4290">
            <v>-21918765.046425</v>
          </cell>
          <cell r="O4290">
            <v>-34661075.043784</v>
          </cell>
        </row>
        <row r="4291">
          <cell r="A4291" t="str">
            <v>ThailandINTEREST EXPENSE</v>
          </cell>
          <cell r="B4291">
            <v>6697177.54</v>
          </cell>
          <cell r="C4291">
            <v>7273353.3099999996</v>
          </cell>
          <cell r="D4291">
            <v>7736048.7999999998</v>
          </cell>
          <cell r="E4291">
            <v>11347888.85</v>
          </cell>
          <cell r="F4291">
            <v>33054468.5</v>
          </cell>
          <cell r="G4291">
            <v>10062684.466947</v>
          </cell>
          <cell r="H4291">
            <v>10297261.362435</v>
          </cell>
          <cell r="I4291">
            <v>10657229.992397999</v>
          </cell>
          <cell r="J4291">
            <v>10818442.316813</v>
          </cell>
          <cell r="K4291">
            <v>41835618.138593003</v>
          </cell>
          <cell r="L4291">
            <v>7739586.5999999996</v>
          </cell>
          <cell r="M4291">
            <v>45291497.730692998</v>
          </cell>
          <cell r="N4291">
            <v>50831085.945655003</v>
          </cell>
          <cell r="O4291">
            <v>59357323.096150003</v>
          </cell>
        </row>
        <row r="4292">
          <cell r="A4292" t="str">
            <v>ThailandINTEREST EXPENSE REDUCTIONS / BUS SHARING</v>
          </cell>
          <cell r="B4292">
            <v>-516.45000000000005</v>
          </cell>
          <cell r="C4292">
            <v>1044.54</v>
          </cell>
          <cell r="D4292">
            <v>0</v>
          </cell>
          <cell r="E4292">
            <v>0</v>
          </cell>
          <cell r="F4292">
            <v>528.09</v>
          </cell>
          <cell r="G4292">
            <v>0</v>
          </cell>
          <cell r="H4292">
            <v>0</v>
          </cell>
          <cell r="I4292">
            <v>0</v>
          </cell>
          <cell r="J4292">
            <v>0</v>
          </cell>
          <cell r="K4292">
            <v>0</v>
          </cell>
          <cell r="L4292">
            <v>0</v>
          </cell>
          <cell r="M4292">
            <v>0</v>
          </cell>
          <cell r="N4292">
            <v>0</v>
          </cell>
          <cell r="O4292">
            <v>0</v>
          </cell>
        </row>
        <row r="4293">
          <cell r="A4293" t="str">
            <v>ThailandALLOCATED COST OF PREFERRED EQUITY</v>
          </cell>
          <cell r="B4293">
            <v>95674.46</v>
          </cell>
          <cell r="C4293">
            <v>84872.06</v>
          </cell>
          <cell r="D4293">
            <v>70918.67</v>
          </cell>
          <cell r="E4293">
            <v>46852.68</v>
          </cell>
          <cell r="F4293">
            <v>298317.87</v>
          </cell>
          <cell r="G4293">
            <v>0</v>
          </cell>
          <cell r="H4293">
            <v>0</v>
          </cell>
          <cell r="I4293">
            <v>0</v>
          </cell>
          <cell r="J4293">
            <v>0</v>
          </cell>
          <cell r="K4293">
            <v>0</v>
          </cell>
          <cell r="L4293">
            <v>169024.14</v>
          </cell>
          <cell r="M4293">
            <v>0</v>
          </cell>
          <cell r="N4293">
            <v>0</v>
          </cell>
          <cell r="O4293">
            <v>0</v>
          </cell>
        </row>
        <row r="4294">
          <cell r="A4294" t="str">
            <v>ThailandSALARIES &amp; BENEFITS</v>
          </cell>
          <cell r="B4294">
            <v>5001747.7699999996</v>
          </cell>
          <cell r="C4294">
            <v>6952182.6299999999</v>
          </cell>
          <cell r="D4294">
            <v>5500851.1600000001</v>
          </cell>
          <cell r="E4294">
            <v>6444680.3600000003</v>
          </cell>
          <cell r="F4294">
            <v>23899461.920000002</v>
          </cell>
          <cell r="G4294">
            <v>5062598.9637550004</v>
          </cell>
          <cell r="H4294">
            <v>5136042.8800959997</v>
          </cell>
          <cell r="I4294">
            <v>5145134.8255599998</v>
          </cell>
          <cell r="J4294">
            <v>5148815.7340310002</v>
          </cell>
          <cell r="K4294">
            <v>20492592.403441999</v>
          </cell>
          <cell r="L4294">
            <v>4851981.88</v>
          </cell>
          <cell r="M4294">
            <v>21056323.388558999</v>
          </cell>
          <cell r="N4294">
            <v>24658043.994059</v>
          </cell>
          <cell r="O4294">
            <v>28367546.774037</v>
          </cell>
        </row>
        <row r="4295">
          <cell r="A4295" t="str">
            <v>ThailandLOSSES ON OTHER ASSETS</v>
          </cell>
          <cell r="B4295">
            <v>233683</v>
          </cell>
          <cell r="C4295">
            <v>-224014.26</v>
          </cell>
          <cell r="D4295">
            <v>93422.16</v>
          </cell>
          <cell r="E4295">
            <v>0</v>
          </cell>
          <cell r="F4295">
            <v>103090.9</v>
          </cell>
          <cell r="G4295">
            <v>0</v>
          </cell>
          <cell r="H4295">
            <v>0</v>
          </cell>
          <cell r="I4295">
            <v>0</v>
          </cell>
          <cell r="J4295">
            <v>0</v>
          </cell>
          <cell r="K4295">
            <v>0</v>
          </cell>
          <cell r="L4295">
            <v>796019</v>
          </cell>
          <cell r="M4295">
            <v>0</v>
          </cell>
          <cell r="N4295">
            <v>0</v>
          </cell>
          <cell r="O4295">
            <v>0</v>
          </cell>
        </row>
        <row r="4296">
          <cell r="A4296" t="str">
            <v>ThailandCOST OF GOODS SOLD</v>
          </cell>
          <cell r="B4296">
            <v>0</v>
          </cell>
          <cell r="C4296">
            <v>0</v>
          </cell>
          <cell r="D4296">
            <v>0</v>
          </cell>
          <cell r="E4296">
            <v>0</v>
          </cell>
          <cell r="F4296">
            <v>0</v>
          </cell>
          <cell r="G4296">
            <v>0</v>
          </cell>
          <cell r="H4296">
            <v>0</v>
          </cell>
          <cell r="I4296">
            <v>0</v>
          </cell>
          <cell r="J4296">
            <v>0</v>
          </cell>
          <cell r="K4296">
            <v>0</v>
          </cell>
          <cell r="L4296">
            <v>0</v>
          </cell>
          <cell r="M4296">
            <v>0</v>
          </cell>
          <cell r="N4296">
            <v>0</v>
          </cell>
          <cell r="O4296">
            <v>0</v>
          </cell>
        </row>
        <row r="4297">
          <cell r="A4297" t="str">
            <v>ThailandCOST OF GOODS SOLD - DISTRIBUTION</v>
          </cell>
          <cell r="B4297">
            <v>0</v>
          </cell>
          <cell r="C4297">
            <v>0</v>
          </cell>
          <cell r="D4297">
            <v>0</v>
          </cell>
          <cell r="E4297">
            <v>0</v>
          </cell>
          <cell r="F4297">
            <v>0</v>
          </cell>
          <cell r="G4297">
            <v>0</v>
          </cell>
          <cell r="H4297">
            <v>0</v>
          </cell>
          <cell r="I4297">
            <v>0</v>
          </cell>
          <cell r="J4297">
            <v>0</v>
          </cell>
          <cell r="K4297">
            <v>0</v>
          </cell>
          <cell r="L4297">
            <v>0</v>
          </cell>
          <cell r="M4297">
            <v>0</v>
          </cell>
          <cell r="N4297">
            <v>0</v>
          </cell>
          <cell r="O4297">
            <v>0</v>
          </cell>
        </row>
        <row r="4298">
          <cell r="A4298" t="str">
            <v>ThailandPOSTAGE</v>
          </cell>
          <cell r="B4298">
            <v>296767.56</v>
          </cell>
          <cell r="C4298">
            <v>345989.82</v>
          </cell>
          <cell r="D4298">
            <v>543456.91</v>
          </cell>
          <cell r="E4298">
            <v>263859.43</v>
          </cell>
          <cell r="F4298">
            <v>1450073.72</v>
          </cell>
          <cell r="G4298">
            <v>451478.27103900001</v>
          </cell>
          <cell r="H4298">
            <v>476266.41796499997</v>
          </cell>
          <cell r="I4298">
            <v>492674.02119100001</v>
          </cell>
          <cell r="J4298">
            <v>500730.50083899999</v>
          </cell>
          <cell r="K4298">
            <v>1921149.2110339999</v>
          </cell>
          <cell r="L4298">
            <v>346139.8</v>
          </cell>
          <cell r="M4298">
            <v>1337745.50495</v>
          </cell>
          <cell r="N4298">
            <v>1663185.805281</v>
          </cell>
          <cell r="O4298">
            <v>2042558.769197</v>
          </cell>
        </row>
        <row r="4299">
          <cell r="A4299" t="str">
            <v>ThailandTELEPHONE</v>
          </cell>
          <cell r="B4299">
            <v>546686.57999999996</v>
          </cell>
          <cell r="C4299">
            <v>770924.67</v>
          </cell>
          <cell r="D4299">
            <v>719598.42</v>
          </cell>
          <cell r="E4299">
            <v>657016.38</v>
          </cell>
          <cell r="F4299">
            <v>2694226.05</v>
          </cell>
          <cell r="G4299">
            <v>908878.18377799995</v>
          </cell>
          <cell r="H4299">
            <v>969354.231394</v>
          </cell>
          <cell r="I4299">
            <v>998147.48375799996</v>
          </cell>
          <cell r="J4299">
            <v>1029358.698459</v>
          </cell>
          <cell r="K4299">
            <v>3905738.597389</v>
          </cell>
          <cell r="L4299">
            <v>450377.54</v>
          </cell>
          <cell r="M4299">
            <v>2702947.6330030002</v>
          </cell>
          <cell r="N4299">
            <v>3303395.3819579999</v>
          </cell>
          <cell r="O4299">
            <v>4012167.1971399998</v>
          </cell>
        </row>
        <row r="4300">
          <cell r="A4300" t="str">
            <v>ThailandCUSTOMER SERVICE / COLLECTIONS</v>
          </cell>
          <cell r="B4300">
            <v>446162.27</v>
          </cell>
          <cell r="C4300">
            <v>495337.62</v>
          </cell>
          <cell r="D4300">
            <v>721122.85</v>
          </cell>
          <cell r="E4300">
            <v>685576.81</v>
          </cell>
          <cell r="F4300">
            <v>2348199.5499999998</v>
          </cell>
          <cell r="G4300">
            <v>708577.969407</v>
          </cell>
          <cell r="H4300">
            <v>915942.17253500002</v>
          </cell>
          <cell r="I4300">
            <v>1038036.245071</v>
          </cell>
          <cell r="J4300">
            <v>1040594.597615</v>
          </cell>
          <cell r="K4300">
            <v>3703150.9846279998</v>
          </cell>
          <cell r="L4300">
            <v>796931.26</v>
          </cell>
          <cell r="M4300">
            <v>1311032.571617</v>
          </cell>
          <cell r="N4300">
            <v>1596185.1346529999</v>
          </cell>
          <cell r="O4300">
            <v>1942520.39692</v>
          </cell>
        </row>
        <row r="4301">
          <cell r="A4301" t="str">
            <v>ThailandSTATIONARY - OFFICE SUPPLIES</v>
          </cell>
          <cell r="B4301">
            <v>359186.65</v>
          </cell>
          <cell r="C4301">
            <v>413185.92</v>
          </cell>
          <cell r="D4301">
            <v>500049.47</v>
          </cell>
          <cell r="E4301">
            <v>582832.38</v>
          </cell>
          <cell r="F4301">
            <v>1855254.42</v>
          </cell>
          <cell r="G4301">
            <v>539259.40073700005</v>
          </cell>
          <cell r="H4301">
            <v>571601.16715999995</v>
          </cell>
          <cell r="I4301">
            <v>579171.56757399999</v>
          </cell>
          <cell r="J4301">
            <v>587352.87237200001</v>
          </cell>
          <cell r="K4301">
            <v>2277385.0078429999</v>
          </cell>
          <cell r="L4301">
            <v>432469.32</v>
          </cell>
          <cell r="M4301">
            <v>1888200.726733</v>
          </cell>
          <cell r="N4301">
            <v>2342690.7419139999</v>
          </cell>
          <cell r="O4301">
            <v>2874599.921232</v>
          </cell>
        </row>
        <row r="4302">
          <cell r="A4302" t="str">
            <v>ThailandT&amp;L</v>
          </cell>
          <cell r="B4302">
            <v>406535.51</v>
          </cell>
          <cell r="C4302">
            <v>297400.15000000002</v>
          </cell>
          <cell r="D4302">
            <v>222646.7</v>
          </cell>
          <cell r="E4302">
            <v>255835.57</v>
          </cell>
          <cell r="F4302">
            <v>1182417.93</v>
          </cell>
          <cell r="G4302">
            <v>404049.23368</v>
          </cell>
          <cell r="H4302">
            <v>375994.385427</v>
          </cell>
          <cell r="I4302">
            <v>384728.64351800003</v>
          </cell>
          <cell r="J4302">
            <v>383706.35106900003</v>
          </cell>
          <cell r="K4302">
            <v>1548478.6136940001</v>
          </cell>
          <cell r="L4302">
            <v>228400.97</v>
          </cell>
          <cell r="M4302">
            <v>1562661.7971399999</v>
          </cell>
          <cell r="N4302">
            <v>1926097.6495050001</v>
          </cell>
          <cell r="O4302">
            <v>2350931.7280529998</v>
          </cell>
        </row>
        <row r="4303">
          <cell r="A4303" t="str">
            <v>ThailandRENTAL - BLDG/FACILITIES</v>
          </cell>
          <cell r="B4303">
            <v>243858.21</v>
          </cell>
          <cell r="C4303">
            <v>240376.34</v>
          </cell>
          <cell r="D4303">
            <v>195711.19</v>
          </cell>
          <cell r="E4303">
            <v>226474.8</v>
          </cell>
          <cell r="F4303">
            <v>906420.54</v>
          </cell>
          <cell r="G4303">
            <v>265614.34645999997</v>
          </cell>
          <cell r="H4303">
            <v>266020.14381099999</v>
          </cell>
          <cell r="I4303">
            <v>266140.53423599998</v>
          </cell>
          <cell r="J4303">
            <v>266140.53423599998</v>
          </cell>
          <cell r="K4303">
            <v>1063915.558743</v>
          </cell>
          <cell r="L4303">
            <v>163064.20000000001</v>
          </cell>
          <cell r="M4303">
            <v>527617.58415799995</v>
          </cell>
          <cell r="N4303">
            <v>553998.46336599998</v>
          </cell>
          <cell r="O4303">
            <v>581698.38679899997</v>
          </cell>
        </row>
        <row r="4304">
          <cell r="A4304" t="str">
            <v>ThailandRENTAL - FURNITURE/EQUIP</v>
          </cell>
          <cell r="B4304">
            <v>66620.38</v>
          </cell>
          <cell r="C4304">
            <v>83707.399999999994</v>
          </cell>
          <cell r="D4304">
            <v>84000.44</v>
          </cell>
          <cell r="E4304">
            <v>69404.09</v>
          </cell>
          <cell r="F4304">
            <v>303732.31</v>
          </cell>
          <cell r="G4304">
            <v>0</v>
          </cell>
          <cell r="H4304">
            <v>0</v>
          </cell>
          <cell r="I4304">
            <v>0</v>
          </cell>
          <cell r="J4304">
            <v>0</v>
          </cell>
          <cell r="K4304">
            <v>0</v>
          </cell>
          <cell r="L4304">
            <v>79331.289999999994</v>
          </cell>
          <cell r="M4304">
            <v>0</v>
          </cell>
          <cell r="N4304">
            <v>0</v>
          </cell>
          <cell r="O4304">
            <v>0</v>
          </cell>
        </row>
        <row r="4305">
          <cell r="A4305" t="str">
            <v>ThailandRENTAL - COMPUTERS</v>
          </cell>
          <cell r="B4305">
            <v>91616.99</v>
          </cell>
          <cell r="C4305">
            <v>47729.23</v>
          </cell>
          <cell r="D4305">
            <v>48823.43</v>
          </cell>
          <cell r="E4305">
            <v>26362.66</v>
          </cell>
          <cell r="F4305">
            <v>214532.31</v>
          </cell>
          <cell r="G4305">
            <v>0</v>
          </cell>
          <cell r="H4305">
            <v>0</v>
          </cell>
          <cell r="I4305">
            <v>0</v>
          </cell>
          <cell r="J4305">
            <v>0</v>
          </cell>
          <cell r="K4305">
            <v>0</v>
          </cell>
          <cell r="L4305">
            <v>26635.03</v>
          </cell>
          <cell r="M4305">
            <v>0</v>
          </cell>
          <cell r="N4305">
            <v>0</v>
          </cell>
          <cell r="O4305">
            <v>0</v>
          </cell>
        </row>
        <row r="4306">
          <cell r="A4306" t="str">
            <v>ThailandLEASE IN - LEASE OUT</v>
          </cell>
          <cell r="B4306">
            <v>0</v>
          </cell>
          <cell r="C4306">
            <v>0</v>
          </cell>
          <cell r="D4306">
            <v>0</v>
          </cell>
          <cell r="E4306">
            <v>-2335.13</v>
          </cell>
          <cell r="F4306">
            <v>-2335.13</v>
          </cell>
          <cell r="G4306">
            <v>0</v>
          </cell>
          <cell r="H4306">
            <v>0</v>
          </cell>
          <cell r="I4306">
            <v>0</v>
          </cell>
          <cell r="J4306">
            <v>0</v>
          </cell>
          <cell r="K4306">
            <v>0</v>
          </cell>
          <cell r="L4306">
            <v>-1140.92</v>
          </cell>
          <cell r="M4306">
            <v>0</v>
          </cell>
          <cell r="N4306">
            <v>0</v>
          </cell>
          <cell r="O4306">
            <v>0</v>
          </cell>
        </row>
        <row r="4307">
          <cell r="A4307" t="str">
            <v>ThailandFURNITURE / EQUIPMENT / COMPUTER EXP</v>
          </cell>
          <cell r="B4307">
            <v>220383.9</v>
          </cell>
          <cell r="C4307">
            <v>105020.04</v>
          </cell>
          <cell r="D4307">
            <v>202705.93</v>
          </cell>
          <cell r="E4307">
            <v>70438.13</v>
          </cell>
          <cell r="F4307">
            <v>598548</v>
          </cell>
          <cell r="G4307">
            <v>292790.64947200002</v>
          </cell>
          <cell r="H4307">
            <v>341238.83828800003</v>
          </cell>
          <cell r="I4307">
            <v>245865.77517899999</v>
          </cell>
          <cell r="J4307">
            <v>236074.79608100001</v>
          </cell>
          <cell r="K4307">
            <v>1115970.05902</v>
          </cell>
          <cell r="L4307">
            <v>225511.87</v>
          </cell>
          <cell r="M4307">
            <v>486900.31683199998</v>
          </cell>
          <cell r="N4307">
            <v>511245.332673</v>
          </cell>
          <cell r="O4307">
            <v>536807.59933999996</v>
          </cell>
        </row>
        <row r="4308">
          <cell r="A4308" t="str">
            <v>ThailandSOFTWARE EXPENSE</v>
          </cell>
          <cell r="B4308">
            <v>0</v>
          </cell>
          <cell r="C4308">
            <v>0</v>
          </cell>
          <cell r="D4308">
            <v>0</v>
          </cell>
          <cell r="E4308">
            <v>0</v>
          </cell>
          <cell r="F4308">
            <v>0</v>
          </cell>
          <cell r="G4308">
            <v>0</v>
          </cell>
          <cell r="H4308">
            <v>0</v>
          </cell>
          <cell r="I4308">
            <v>0</v>
          </cell>
          <cell r="J4308">
            <v>0</v>
          </cell>
          <cell r="K4308">
            <v>0</v>
          </cell>
          <cell r="L4308">
            <v>0</v>
          </cell>
          <cell r="M4308">
            <v>0</v>
          </cell>
          <cell r="N4308">
            <v>0</v>
          </cell>
          <cell r="O4308">
            <v>0</v>
          </cell>
        </row>
        <row r="4309">
          <cell r="A4309" t="str">
            <v>ThailandAMORTIZATION OF INTANGIBLES</v>
          </cell>
          <cell r="B4309">
            <v>0</v>
          </cell>
          <cell r="C4309">
            <v>0</v>
          </cell>
          <cell r="D4309">
            <v>0</v>
          </cell>
          <cell r="E4309">
            <v>0</v>
          </cell>
          <cell r="F4309">
            <v>0</v>
          </cell>
          <cell r="G4309">
            <v>0</v>
          </cell>
          <cell r="H4309">
            <v>0</v>
          </cell>
          <cell r="I4309">
            <v>0</v>
          </cell>
          <cell r="J4309">
            <v>0</v>
          </cell>
          <cell r="K4309">
            <v>0</v>
          </cell>
          <cell r="L4309">
            <v>0</v>
          </cell>
          <cell r="M4309">
            <v>0</v>
          </cell>
          <cell r="N4309">
            <v>0</v>
          </cell>
          <cell r="O4309">
            <v>0</v>
          </cell>
        </row>
        <row r="4310">
          <cell r="A4310" t="str">
            <v>ThailandELTO MAINTENANCE</v>
          </cell>
          <cell r="B4310">
            <v>0</v>
          </cell>
          <cell r="C4310">
            <v>0</v>
          </cell>
          <cell r="D4310">
            <v>0</v>
          </cell>
          <cell r="E4310">
            <v>0</v>
          </cell>
          <cell r="F4310">
            <v>0</v>
          </cell>
          <cell r="G4310">
            <v>0</v>
          </cell>
          <cell r="H4310">
            <v>0</v>
          </cell>
          <cell r="I4310">
            <v>0</v>
          </cell>
          <cell r="J4310">
            <v>0</v>
          </cell>
          <cell r="K4310">
            <v>0</v>
          </cell>
          <cell r="L4310">
            <v>0</v>
          </cell>
          <cell r="M4310">
            <v>0</v>
          </cell>
          <cell r="N4310">
            <v>0</v>
          </cell>
          <cell r="O4310">
            <v>0</v>
          </cell>
        </row>
        <row r="4311">
          <cell r="A4311" t="str">
            <v>ThailandELTO OTHER</v>
          </cell>
          <cell r="B4311">
            <v>0</v>
          </cell>
          <cell r="C4311">
            <v>0</v>
          </cell>
          <cell r="D4311">
            <v>0</v>
          </cell>
          <cell r="E4311">
            <v>0</v>
          </cell>
          <cell r="F4311">
            <v>0</v>
          </cell>
          <cell r="G4311">
            <v>0</v>
          </cell>
          <cell r="H4311">
            <v>0</v>
          </cell>
          <cell r="I4311">
            <v>0</v>
          </cell>
          <cell r="J4311">
            <v>0</v>
          </cell>
          <cell r="K4311">
            <v>0</v>
          </cell>
          <cell r="L4311">
            <v>0</v>
          </cell>
          <cell r="M4311">
            <v>0</v>
          </cell>
          <cell r="N4311">
            <v>0</v>
          </cell>
          <cell r="O4311">
            <v>0</v>
          </cell>
        </row>
        <row r="4312">
          <cell r="A4312" t="str">
            <v>ThailandLEGAL</v>
          </cell>
          <cell r="B4312">
            <v>541509.77</v>
          </cell>
          <cell r="C4312">
            <v>376430.37</v>
          </cell>
          <cell r="D4312">
            <v>898272.2</v>
          </cell>
          <cell r="E4312">
            <v>796469.39</v>
          </cell>
          <cell r="F4312">
            <v>2612681.73</v>
          </cell>
          <cell r="G4312">
            <v>122586.89907</v>
          </cell>
          <cell r="H4312">
            <v>98384.478828000007</v>
          </cell>
          <cell r="I4312">
            <v>98384.478828000007</v>
          </cell>
          <cell r="J4312">
            <v>98384.478828000007</v>
          </cell>
          <cell r="K4312">
            <v>417740.33555399999</v>
          </cell>
          <cell r="L4312">
            <v>154331.22</v>
          </cell>
          <cell r="M4312">
            <v>372351.749175</v>
          </cell>
          <cell r="N4312">
            <v>451065.34763500001</v>
          </cell>
          <cell r="O4312">
            <v>544788.84224400006</v>
          </cell>
        </row>
        <row r="4313">
          <cell r="A4313" t="str">
            <v>ThailandADVERTISING</v>
          </cell>
          <cell r="B4313">
            <v>263050.19</v>
          </cell>
          <cell r="C4313">
            <v>84400.2</v>
          </cell>
          <cell r="D4313">
            <v>180186.8</v>
          </cell>
          <cell r="E4313">
            <v>320591.15000000002</v>
          </cell>
          <cell r="F4313">
            <v>848228.34</v>
          </cell>
          <cell r="G4313">
            <v>303345.59539099998</v>
          </cell>
          <cell r="H4313">
            <v>304087.03008400003</v>
          </cell>
          <cell r="I4313">
            <v>352746.66691099998</v>
          </cell>
          <cell r="J4313">
            <v>404911.54967899999</v>
          </cell>
          <cell r="K4313">
            <v>1365090.842065</v>
          </cell>
          <cell r="L4313">
            <v>217128.84</v>
          </cell>
          <cell r="M4313">
            <v>3373558.8730469998</v>
          </cell>
          <cell r="N4313">
            <v>4055446.1808580002</v>
          </cell>
          <cell r="O4313">
            <v>4974362.8462049998</v>
          </cell>
        </row>
        <row r="4314">
          <cell r="A4314" t="str">
            <v>ThailandSALES PROMOTIONS</v>
          </cell>
          <cell r="B4314">
            <v>490968.91</v>
          </cell>
          <cell r="C4314">
            <v>342828.12</v>
          </cell>
          <cell r="D4314">
            <v>661947.19999999995</v>
          </cell>
          <cell r="E4314">
            <v>956661.99</v>
          </cell>
          <cell r="F4314">
            <v>2452406.2200000002</v>
          </cell>
          <cell r="G4314">
            <v>1070001.3218040001</v>
          </cell>
          <cell r="H4314">
            <v>1173826.5765279999</v>
          </cell>
          <cell r="I4314">
            <v>1151552.912616</v>
          </cell>
          <cell r="J4314">
            <v>1335723.0927520001</v>
          </cell>
          <cell r="K4314">
            <v>4731103.9036999997</v>
          </cell>
          <cell r="L4314">
            <v>417008.87</v>
          </cell>
          <cell r="M4314">
            <v>2366547.4710670002</v>
          </cell>
          <cell r="N4314">
            <v>3012974.79978</v>
          </cell>
          <cell r="O4314">
            <v>3759454.0609459998</v>
          </cell>
        </row>
        <row r="4315">
          <cell r="A4315" t="str">
            <v>ThailandDIRECT MAIL</v>
          </cell>
          <cell r="B4315">
            <v>0</v>
          </cell>
          <cell r="C4315">
            <v>0</v>
          </cell>
          <cell r="D4315">
            <v>0</v>
          </cell>
          <cell r="E4315">
            <v>0</v>
          </cell>
          <cell r="F4315">
            <v>0</v>
          </cell>
          <cell r="G4315">
            <v>0</v>
          </cell>
          <cell r="H4315">
            <v>0</v>
          </cell>
          <cell r="I4315">
            <v>0</v>
          </cell>
          <cell r="J4315">
            <v>0</v>
          </cell>
          <cell r="K4315">
            <v>0</v>
          </cell>
          <cell r="L4315">
            <v>0</v>
          </cell>
          <cell r="M4315">
            <v>0</v>
          </cell>
          <cell r="N4315">
            <v>0</v>
          </cell>
          <cell r="O4315">
            <v>0</v>
          </cell>
        </row>
        <row r="4316">
          <cell r="A4316" t="str">
            <v>ThailandDATA PROCESSING</v>
          </cell>
          <cell r="B4316">
            <v>516748.47</v>
          </cell>
          <cell r="C4316">
            <v>157389.81</v>
          </cell>
          <cell r="D4316">
            <v>535667.14</v>
          </cell>
          <cell r="E4316">
            <v>922595.27</v>
          </cell>
          <cell r="F4316">
            <v>2132400.69</v>
          </cell>
          <cell r="G4316">
            <v>897012.03124299995</v>
          </cell>
          <cell r="H4316">
            <v>828439.35875100002</v>
          </cell>
          <cell r="I4316">
            <v>828439.35875100002</v>
          </cell>
          <cell r="J4316">
            <v>828439.35875100002</v>
          </cell>
          <cell r="K4316">
            <v>3382330.1074959999</v>
          </cell>
          <cell r="L4316">
            <v>431120.44</v>
          </cell>
          <cell r="M4316">
            <v>5857234.9933989998</v>
          </cell>
          <cell r="N4316">
            <v>5820200.9465349996</v>
          </cell>
          <cell r="O4316">
            <v>6092784.7023099996</v>
          </cell>
        </row>
        <row r="4317">
          <cell r="A4317" t="str">
            <v>ThailandCONSULTING</v>
          </cell>
          <cell r="B4317">
            <v>20075.54</v>
          </cell>
          <cell r="C4317">
            <v>113484.02</v>
          </cell>
          <cell r="D4317">
            <v>51274.16</v>
          </cell>
          <cell r="E4317">
            <v>54111.21</v>
          </cell>
          <cell r="F4317">
            <v>238944.93</v>
          </cell>
          <cell r="G4317">
            <v>37155.887585999997</v>
          </cell>
          <cell r="H4317">
            <v>37155.887585999997</v>
          </cell>
          <cell r="I4317">
            <v>38247.715968999997</v>
          </cell>
          <cell r="J4317">
            <v>37155.887585999997</v>
          </cell>
          <cell r="K4317">
            <v>149715.378727</v>
          </cell>
          <cell r="L4317">
            <v>146799.39000000001</v>
          </cell>
          <cell r="M4317">
            <v>252572.31683200001</v>
          </cell>
          <cell r="N4317">
            <v>260149.48668900001</v>
          </cell>
          <cell r="O4317">
            <v>267953.97095699998</v>
          </cell>
        </row>
        <row r="4318">
          <cell r="A4318" t="str">
            <v>ThailandTEMP SERVICES</v>
          </cell>
          <cell r="B4318">
            <v>963136.75</v>
          </cell>
          <cell r="C4318">
            <v>808627.08</v>
          </cell>
          <cell r="D4318">
            <v>1155395.08</v>
          </cell>
          <cell r="E4318">
            <v>850130.45</v>
          </cell>
          <cell r="F4318">
            <v>3777289.36</v>
          </cell>
          <cell r="G4318">
            <v>1050764.96722</v>
          </cell>
          <cell r="H4318">
            <v>1110255.308254</v>
          </cell>
          <cell r="I4318">
            <v>1148638.7626</v>
          </cell>
          <cell r="J4318">
            <v>1183622.612985</v>
          </cell>
          <cell r="K4318">
            <v>4493281.6510589998</v>
          </cell>
          <cell r="L4318">
            <v>998829.08</v>
          </cell>
          <cell r="M4318">
            <v>3134503.8191419998</v>
          </cell>
          <cell r="N4318">
            <v>3995222.2961499998</v>
          </cell>
          <cell r="O4318">
            <v>4954040.805501</v>
          </cell>
        </row>
        <row r="4319">
          <cell r="A4319" t="str">
            <v>ThailandGDC CHARGES</v>
          </cell>
          <cell r="B4319">
            <v>0</v>
          </cell>
          <cell r="C4319">
            <v>0</v>
          </cell>
          <cell r="D4319">
            <v>0</v>
          </cell>
          <cell r="E4319">
            <v>0</v>
          </cell>
          <cell r="F4319">
            <v>0</v>
          </cell>
          <cell r="G4319">
            <v>0</v>
          </cell>
          <cell r="H4319">
            <v>0</v>
          </cell>
          <cell r="I4319">
            <v>0</v>
          </cell>
          <cell r="J4319">
            <v>0</v>
          </cell>
          <cell r="K4319">
            <v>0</v>
          </cell>
          <cell r="L4319">
            <v>0</v>
          </cell>
          <cell r="M4319">
            <v>0</v>
          </cell>
          <cell r="N4319">
            <v>0</v>
          </cell>
          <cell r="O4319">
            <v>0</v>
          </cell>
        </row>
        <row r="4320">
          <cell r="A4320" t="str">
            <v>ThailandTRAINING AND EDUCATION</v>
          </cell>
          <cell r="B4320">
            <v>8363.73</v>
          </cell>
          <cell r="C4320">
            <v>15199.06</v>
          </cell>
          <cell r="D4320">
            <v>22578.65</v>
          </cell>
          <cell r="E4320">
            <v>23078</v>
          </cell>
          <cell r="F4320">
            <v>69219.44</v>
          </cell>
          <cell r="G4320">
            <v>13239.489291</v>
          </cell>
          <cell r="H4320">
            <v>26568.597123</v>
          </cell>
          <cell r="I4320">
            <v>13266.616925</v>
          </cell>
          <cell r="J4320">
            <v>11632.338576</v>
          </cell>
          <cell r="K4320">
            <v>64707.041915000002</v>
          </cell>
          <cell r="L4320">
            <v>19065.560000000001</v>
          </cell>
          <cell r="M4320">
            <v>0</v>
          </cell>
          <cell r="N4320">
            <v>0</v>
          </cell>
          <cell r="O4320">
            <v>0</v>
          </cell>
        </row>
        <row r="4321">
          <cell r="A4321" t="str">
            <v>ThailandOUTSIDE SERVICES  AND FEES</v>
          </cell>
          <cell r="B4321">
            <v>304844.96999999997</v>
          </cell>
          <cell r="C4321">
            <v>345125.21</v>
          </cell>
          <cell r="D4321">
            <v>330965.34000000003</v>
          </cell>
          <cell r="E4321">
            <v>227737.84</v>
          </cell>
          <cell r="F4321">
            <v>1208673.3600000001</v>
          </cell>
          <cell r="G4321">
            <v>319845.822353</v>
          </cell>
          <cell r="H4321">
            <v>329543.35810700001</v>
          </cell>
          <cell r="I4321">
            <v>317950.970868</v>
          </cell>
          <cell r="J4321">
            <v>318460.38780899998</v>
          </cell>
          <cell r="K4321">
            <v>1285800.539137</v>
          </cell>
          <cell r="L4321">
            <v>249085.43</v>
          </cell>
          <cell r="M4321">
            <v>0</v>
          </cell>
          <cell r="N4321">
            <v>0</v>
          </cell>
          <cell r="O4321">
            <v>0</v>
          </cell>
        </row>
        <row r="4322">
          <cell r="A4322" t="str">
            <v>ThailandSTATE, FOREIGN, LOCAL TAXES</v>
          </cell>
          <cell r="B4322">
            <v>465758.28</v>
          </cell>
          <cell r="C4322">
            <v>1018538.68</v>
          </cell>
          <cell r="D4322">
            <v>-1827871.25</v>
          </cell>
          <cell r="E4322">
            <v>1219682.3700000001</v>
          </cell>
          <cell r="F4322">
            <v>876108.08</v>
          </cell>
          <cell r="G4322">
            <v>823406.36459699995</v>
          </cell>
          <cell r="H4322">
            <v>885124.479589</v>
          </cell>
          <cell r="I4322">
            <v>951972.68013899995</v>
          </cell>
          <cell r="J4322">
            <v>1059300.8995739999</v>
          </cell>
          <cell r="K4322">
            <v>3719804.423899</v>
          </cell>
          <cell r="L4322">
            <v>788745.71</v>
          </cell>
          <cell r="M4322">
            <v>2624986.6655669999</v>
          </cell>
          <cell r="N4322">
            <v>3568415.1166119999</v>
          </cell>
          <cell r="O4322">
            <v>4809120.7903190004</v>
          </cell>
        </row>
        <row r="4323">
          <cell r="A4323" t="str">
            <v>ThailandS/L TAX - INSURANCE PREMIUMS</v>
          </cell>
          <cell r="B4323">
            <v>4375.84</v>
          </cell>
          <cell r="C4323">
            <v>2356.92</v>
          </cell>
          <cell r="D4323">
            <v>6502</v>
          </cell>
          <cell r="E4323">
            <v>2806.3</v>
          </cell>
          <cell r="F4323">
            <v>16041.06</v>
          </cell>
          <cell r="G4323">
            <v>0</v>
          </cell>
          <cell r="H4323">
            <v>0</v>
          </cell>
          <cell r="I4323">
            <v>0</v>
          </cell>
          <cell r="J4323">
            <v>0</v>
          </cell>
          <cell r="K4323">
            <v>0</v>
          </cell>
          <cell r="L4323">
            <v>9036.57</v>
          </cell>
          <cell r="M4323">
            <v>0</v>
          </cell>
          <cell r="N4323">
            <v>0</v>
          </cell>
          <cell r="O4323">
            <v>0</v>
          </cell>
        </row>
        <row r="4324">
          <cell r="A4324" t="str">
            <v>ThailandSATELLITE LEASE EXPENSE</v>
          </cell>
          <cell r="B4324">
            <v>0</v>
          </cell>
          <cell r="C4324">
            <v>0</v>
          </cell>
          <cell r="D4324">
            <v>0</v>
          </cell>
          <cell r="E4324">
            <v>0</v>
          </cell>
          <cell r="F4324">
            <v>0</v>
          </cell>
          <cell r="G4324">
            <v>0</v>
          </cell>
          <cell r="H4324">
            <v>0</v>
          </cell>
          <cell r="I4324">
            <v>0</v>
          </cell>
          <cell r="J4324">
            <v>0</v>
          </cell>
          <cell r="K4324">
            <v>0</v>
          </cell>
          <cell r="L4324">
            <v>0</v>
          </cell>
          <cell r="M4324">
            <v>0</v>
          </cell>
          <cell r="N4324">
            <v>0</v>
          </cell>
          <cell r="O4324">
            <v>0</v>
          </cell>
        </row>
        <row r="4325">
          <cell r="A4325" t="str">
            <v>ThailandBUSINESS SHARE EXPENSE</v>
          </cell>
          <cell r="B4325">
            <v>0</v>
          </cell>
          <cell r="C4325">
            <v>0</v>
          </cell>
          <cell r="D4325">
            <v>0</v>
          </cell>
          <cell r="E4325">
            <v>0</v>
          </cell>
          <cell r="F4325">
            <v>0</v>
          </cell>
          <cell r="G4325">
            <v>0</v>
          </cell>
          <cell r="H4325">
            <v>0</v>
          </cell>
          <cell r="I4325">
            <v>0</v>
          </cell>
          <cell r="J4325">
            <v>0</v>
          </cell>
          <cell r="K4325">
            <v>0</v>
          </cell>
          <cell r="L4325">
            <v>0</v>
          </cell>
          <cell r="M4325">
            <v>0</v>
          </cell>
          <cell r="N4325">
            <v>0</v>
          </cell>
          <cell r="O4325">
            <v>0</v>
          </cell>
        </row>
        <row r="4326">
          <cell r="A4326" t="str">
            <v>ThailandINSURANCE AFFILIATE EXPENSE</v>
          </cell>
          <cell r="B4326">
            <v>0</v>
          </cell>
          <cell r="C4326">
            <v>0</v>
          </cell>
          <cell r="D4326">
            <v>0</v>
          </cell>
          <cell r="E4326">
            <v>0</v>
          </cell>
          <cell r="F4326">
            <v>0</v>
          </cell>
          <cell r="G4326">
            <v>0</v>
          </cell>
          <cell r="H4326">
            <v>0</v>
          </cell>
          <cell r="I4326">
            <v>0</v>
          </cell>
          <cell r="J4326">
            <v>0</v>
          </cell>
          <cell r="K4326">
            <v>0</v>
          </cell>
          <cell r="L4326">
            <v>0</v>
          </cell>
          <cell r="M4326">
            <v>0</v>
          </cell>
          <cell r="N4326">
            <v>0</v>
          </cell>
          <cell r="O4326">
            <v>0</v>
          </cell>
        </row>
        <row r="4327">
          <cell r="A4327" t="str">
            <v>ThailandOTHER FACILITY EXPENSE</v>
          </cell>
          <cell r="B4327">
            <v>212517.83</v>
          </cell>
          <cell r="C4327">
            <v>224444.19</v>
          </cell>
          <cell r="D4327">
            <v>230407.88</v>
          </cell>
          <cell r="E4327">
            <v>196656.24</v>
          </cell>
          <cell r="F4327">
            <v>864026.14</v>
          </cell>
          <cell r="G4327">
            <v>190552.355633</v>
          </cell>
          <cell r="H4327">
            <v>191094.76640200001</v>
          </cell>
          <cell r="I4327">
            <v>191202.59333500001</v>
          </cell>
          <cell r="J4327">
            <v>191202.59333500001</v>
          </cell>
          <cell r="K4327">
            <v>764052.30870499997</v>
          </cell>
          <cell r="L4327">
            <v>187014.55</v>
          </cell>
          <cell r="M4327">
            <v>451812.99009899999</v>
          </cell>
          <cell r="N4327">
            <v>474403.63960400003</v>
          </cell>
          <cell r="O4327">
            <v>498123.82156200003</v>
          </cell>
        </row>
        <row r="4328">
          <cell r="A4328" t="str">
            <v>ThailandGROSS OP &amp; ADMIN BUS SHARE</v>
          </cell>
          <cell r="B4328">
            <v>0</v>
          </cell>
          <cell r="C4328">
            <v>0</v>
          </cell>
          <cell r="D4328">
            <v>0</v>
          </cell>
          <cell r="E4328">
            <v>0</v>
          </cell>
          <cell r="F4328">
            <v>0</v>
          </cell>
          <cell r="G4328">
            <v>0</v>
          </cell>
          <cell r="H4328">
            <v>0</v>
          </cell>
          <cell r="I4328">
            <v>0</v>
          </cell>
          <cell r="J4328">
            <v>0</v>
          </cell>
          <cell r="K4328">
            <v>0</v>
          </cell>
          <cell r="L4328">
            <v>0</v>
          </cell>
          <cell r="M4328">
            <v>0</v>
          </cell>
          <cell r="N4328">
            <v>0</v>
          </cell>
          <cell r="O4328">
            <v>0</v>
          </cell>
        </row>
        <row r="4329">
          <cell r="A4329" t="str">
            <v>ThailandOTHER EXPENSE</v>
          </cell>
          <cell r="B4329">
            <v>835491.03</v>
          </cell>
          <cell r="C4329">
            <v>5959156.8300000001</v>
          </cell>
          <cell r="D4329">
            <v>797809.18</v>
          </cell>
          <cell r="E4329">
            <v>1943489.6</v>
          </cell>
          <cell r="F4329">
            <v>9535946.6400000006</v>
          </cell>
          <cell r="G4329">
            <v>136828.838571</v>
          </cell>
          <cell r="H4329">
            <v>-333139.183563</v>
          </cell>
          <cell r="I4329">
            <v>-277062.26347599999</v>
          </cell>
          <cell r="J4329">
            <v>-283869.604643</v>
          </cell>
          <cell r="K4329">
            <v>-757242.21311100002</v>
          </cell>
          <cell r="L4329">
            <v>2822465.65</v>
          </cell>
          <cell r="M4329">
            <v>-2201176.3315730002</v>
          </cell>
          <cell r="N4329">
            <v>-6163235.6237620004</v>
          </cell>
          <cell r="O4329">
            <v>-9977442.3821779992</v>
          </cell>
        </row>
        <row r="4330">
          <cell r="A4330" t="str">
            <v>ThailandGECC INTERCO EXPENSES EXCL GECIS</v>
          </cell>
          <cell r="B4330">
            <v>198553.2</v>
          </cell>
          <cell r="C4330">
            <v>174670.71</v>
          </cell>
          <cell r="D4330">
            <v>403492.23</v>
          </cell>
          <cell r="E4330">
            <v>0</v>
          </cell>
          <cell r="F4330">
            <v>776716.14</v>
          </cell>
          <cell r="G4330">
            <v>0</v>
          </cell>
          <cell r="H4330">
            <v>0</v>
          </cell>
          <cell r="I4330">
            <v>0</v>
          </cell>
          <cell r="J4330">
            <v>0</v>
          </cell>
          <cell r="K4330">
            <v>0</v>
          </cell>
          <cell r="L4330">
            <v>249012.99</v>
          </cell>
          <cell r="M4330">
            <v>0</v>
          </cell>
          <cell r="N4330">
            <v>0</v>
          </cell>
          <cell r="O4330">
            <v>0</v>
          </cell>
        </row>
        <row r="4331">
          <cell r="A4331" t="str">
            <v>ThailandGECIS INTERCO CHARGES</v>
          </cell>
          <cell r="B4331">
            <v>0</v>
          </cell>
          <cell r="C4331">
            <v>0</v>
          </cell>
          <cell r="D4331">
            <v>0</v>
          </cell>
          <cell r="E4331">
            <v>0</v>
          </cell>
          <cell r="F4331">
            <v>0</v>
          </cell>
          <cell r="G4331">
            <v>0</v>
          </cell>
          <cell r="H4331">
            <v>0</v>
          </cell>
          <cell r="I4331">
            <v>0</v>
          </cell>
          <cell r="J4331">
            <v>0</v>
          </cell>
          <cell r="K4331">
            <v>0</v>
          </cell>
          <cell r="L4331">
            <v>0</v>
          </cell>
          <cell r="M4331">
            <v>0</v>
          </cell>
          <cell r="N4331">
            <v>0</v>
          </cell>
          <cell r="O4331">
            <v>0</v>
          </cell>
        </row>
        <row r="4332">
          <cell r="A4332" t="str">
            <v>ThailandLOSS ADJUSTED EXPENSE</v>
          </cell>
          <cell r="B4332">
            <v>0</v>
          </cell>
          <cell r="C4332">
            <v>0</v>
          </cell>
          <cell r="D4332">
            <v>0</v>
          </cell>
          <cell r="E4332">
            <v>0</v>
          </cell>
          <cell r="F4332">
            <v>0</v>
          </cell>
          <cell r="G4332">
            <v>0</v>
          </cell>
          <cell r="H4332">
            <v>0</v>
          </cell>
          <cell r="I4332">
            <v>0</v>
          </cell>
          <cell r="J4332">
            <v>0</v>
          </cell>
          <cell r="K4332">
            <v>0</v>
          </cell>
          <cell r="L4332">
            <v>0</v>
          </cell>
          <cell r="M4332">
            <v>0</v>
          </cell>
          <cell r="N4332">
            <v>0</v>
          </cell>
          <cell r="O4332">
            <v>0</v>
          </cell>
        </row>
        <row r="4333">
          <cell r="A4333" t="str">
            <v>ThailandALL OTHER EXPENSES</v>
          </cell>
          <cell r="B4333">
            <v>0</v>
          </cell>
          <cell r="C4333">
            <v>-0.01</v>
          </cell>
          <cell r="D4333">
            <v>0.01</v>
          </cell>
          <cell r="E4333">
            <v>0.01</v>
          </cell>
          <cell r="F4333">
            <v>0.01</v>
          </cell>
          <cell r="G4333">
            <v>0</v>
          </cell>
          <cell r="H4333">
            <v>0</v>
          </cell>
          <cell r="I4333">
            <v>0</v>
          </cell>
          <cell r="J4333">
            <v>0</v>
          </cell>
          <cell r="K4333">
            <v>0</v>
          </cell>
          <cell r="L4333">
            <v>0</v>
          </cell>
          <cell r="M4333">
            <v>-1348100.952695</v>
          </cell>
          <cell r="N4333">
            <v>-969689.78877900005</v>
          </cell>
          <cell r="O4333">
            <v>-1472540.1075909999</v>
          </cell>
        </row>
        <row r="4334">
          <cell r="A4334" t="str">
            <v>ThailandASSESSMENTS</v>
          </cell>
          <cell r="B4334">
            <v>-638047.6</v>
          </cell>
          <cell r="C4334">
            <v>-894235.4</v>
          </cell>
          <cell r="D4334">
            <v>-496866.24</v>
          </cell>
          <cell r="E4334">
            <v>-1444661.34</v>
          </cell>
          <cell r="F4334">
            <v>-3473810.58</v>
          </cell>
          <cell r="G4334">
            <v>378195.25016200001</v>
          </cell>
          <cell r="H4334">
            <v>555826.39931300003</v>
          </cell>
          <cell r="I4334">
            <v>592196.97304700001</v>
          </cell>
          <cell r="J4334">
            <v>623462.39736199996</v>
          </cell>
          <cell r="K4334">
            <v>2149681.0198840001</v>
          </cell>
          <cell r="L4334">
            <v>424612.96</v>
          </cell>
          <cell r="M4334">
            <v>2494670.6426840001</v>
          </cell>
          <cell r="N4334">
            <v>3152814.4310229998</v>
          </cell>
          <cell r="O4334">
            <v>3949706.5053909998</v>
          </cell>
        </row>
        <row r="4335">
          <cell r="A4335" t="str">
            <v>ThailandFAS 91</v>
          </cell>
          <cell r="B4335">
            <v>-342999.59</v>
          </cell>
          <cell r="C4335">
            <v>-278458.14</v>
          </cell>
          <cell r="D4335">
            <v>-184882.31</v>
          </cell>
          <cell r="E4335">
            <v>91953.56</v>
          </cell>
          <cell r="F4335">
            <v>-714386.48</v>
          </cell>
          <cell r="G4335">
            <v>-196355.72443199999</v>
          </cell>
          <cell r="H4335">
            <v>-230951.89084199999</v>
          </cell>
          <cell r="I4335">
            <v>-201157.95955199999</v>
          </cell>
          <cell r="J4335">
            <v>-206583.848532</v>
          </cell>
          <cell r="K4335">
            <v>-835049.423358</v>
          </cell>
          <cell r="L4335">
            <v>-1329161.56</v>
          </cell>
          <cell r="M4335">
            <v>-1399284.427283</v>
          </cell>
          <cell r="N4335">
            <v>-1378354.262266</v>
          </cell>
          <cell r="O4335">
            <v>-1292137.672827</v>
          </cell>
        </row>
        <row r="4336">
          <cell r="A4336" t="str">
            <v>ThailandGOODWILL AMORTIZATION</v>
          </cell>
          <cell r="B4336">
            <v>313091.75</v>
          </cell>
          <cell r="C4336">
            <v>304290.59999999998</v>
          </cell>
          <cell r="D4336">
            <v>297405.76</v>
          </cell>
          <cell r="E4336">
            <v>303522.67</v>
          </cell>
          <cell r="F4336">
            <v>1218310.78</v>
          </cell>
          <cell r="G4336">
            <v>0</v>
          </cell>
          <cell r="H4336">
            <v>0</v>
          </cell>
          <cell r="I4336">
            <v>0</v>
          </cell>
          <cell r="J4336">
            <v>0</v>
          </cell>
          <cell r="K4336">
            <v>0</v>
          </cell>
          <cell r="L4336">
            <v>0</v>
          </cell>
          <cell r="M4336">
            <v>1264718.065127</v>
          </cell>
          <cell r="N4336">
            <v>1264718.065127</v>
          </cell>
          <cell r="O4336">
            <v>1264718.065127</v>
          </cell>
        </row>
        <row r="4337">
          <cell r="A4337" t="str">
            <v>ThailandDEPRECIATION EXPENSE</v>
          </cell>
          <cell r="B4337">
            <v>282163.84999999998</v>
          </cell>
          <cell r="C4337">
            <v>1120953.3</v>
          </cell>
          <cell r="D4337">
            <v>518425.99</v>
          </cell>
          <cell r="E4337">
            <v>296020.64</v>
          </cell>
          <cell r="F4337">
            <v>2217563.7799999998</v>
          </cell>
          <cell r="G4337">
            <v>380329.97761499998</v>
          </cell>
          <cell r="H4337">
            <v>354930.02031200001</v>
          </cell>
          <cell r="I4337">
            <v>363044.07002400002</v>
          </cell>
          <cell r="J4337">
            <v>361472.61787900003</v>
          </cell>
          <cell r="K4337">
            <v>1459776.6858300001</v>
          </cell>
          <cell r="L4337">
            <v>360750.49</v>
          </cell>
          <cell r="M4337">
            <v>1074716.2376240001</v>
          </cell>
          <cell r="N4337">
            <v>1128452.049505</v>
          </cell>
          <cell r="O4337">
            <v>1184874.6521449999</v>
          </cell>
        </row>
        <row r="4338">
          <cell r="A4338" t="str">
            <v>ThailandELTO AMORTIZATION</v>
          </cell>
          <cell r="B4338">
            <v>0</v>
          </cell>
          <cell r="C4338">
            <v>0</v>
          </cell>
          <cell r="D4338">
            <v>0</v>
          </cell>
          <cell r="E4338">
            <v>0</v>
          </cell>
          <cell r="F4338">
            <v>0</v>
          </cell>
          <cell r="G4338">
            <v>0</v>
          </cell>
          <cell r="H4338">
            <v>0</v>
          </cell>
          <cell r="I4338">
            <v>0</v>
          </cell>
          <cell r="J4338">
            <v>0</v>
          </cell>
          <cell r="K4338">
            <v>0</v>
          </cell>
          <cell r="L4338">
            <v>0</v>
          </cell>
          <cell r="M4338">
            <v>0</v>
          </cell>
          <cell r="N4338">
            <v>0</v>
          </cell>
          <cell r="O4338">
            <v>0</v>
          </cell>
        </row>
        <row r="4339">
          <cell r="A4339" t="str">
            <v>ThailandINSURANCE LOSSES AND BENEFITS</v>
          </cell>
          <cell r="B4339">
            <v>0</v>
          </cell>
          <cell r="C4339">
            <v>0</v>
          </cell>
          <cell r="D4339">
            <v>0</v>
          </cell>
          <cell r="E4339">
            <v>0</v>
          </cell>
          <cell r="F4339">
            <v>0</v>
          </cell>
          <cell r="G4339">
            <v>0</v>
          </cell>
          <cell r="H4339">
            <v>0</v>
          </cell>
          <cell r="I4339">
            <v>0</v>
          </cell>
          <cell r="J4339">
            <v>0</v>
          </cell>
          <cell r="K4339">
            <v>0</v>
          </cell>
          <cell r="L4339">
            <v>0</v>
          </cell>
          <cell r="M4339">
            <v>0</v>
          </cell>
          <cell r="N4339">
            <v>0</v>
          </cell>
          <cell r="O4339">
            <v>0</v>
          </cell>
        </row>
        <row r="4340">
          <cell r="A4340" t="str">
            <v>ThailandWRITE OFFS</v>
          </cell>
          <cell r="B4340">
            <v>3939364.66</v>
          </cell>
          <cell r="C4340">
            <v>7081381.5499999998</v>
          </cell>
          <cell r="D4340">
            <v>5523626.9699999997</v>
          </cell>
          <cell r="E4340">
            <v>9781996.9100000001</v>
          </cell>
          <cell r="F4340">
            <v>26326370.09</v>
          </cell>
          <cell r="G4340">
            <v>6853807.8178040003</v>
          </cell>
          <cell r="H4340">
            <v>7806804.7574370001</v>
          </cell>
          <cell r="I4340">
            <v>8004746.3865</v>
          </cell>
          <cell r="J4340">
            <v>9024350.4529570006</v>
          </cell>
          <cell r="K4340">
            <v>31689709.414698001</v>
          </cell>
          <cell r="L4340">
            <v>10308961.76</v>
          </cell>
          <cell r="M4340">
            <v>29180861.056325998</v>
          </cell>
          <cell r="N4340">
            <v>39929431.262266003</v>
          </cell>
          <cell r="O4340">
            <v>53095513.154014997</v>
          </cell>
        </row>
        <row r="4341">
          <cell r="A4341" t="str">
            <v>ThailandRESERVE CHANGE</v>
          </cell>
          <cell r="B4341">
            <v>0</v>
          </cell>
          <cell r="C4341">
            <v>0</v>
          </cell>
          <cell r="D4341">
            <v>0</v>
          </cell>
          <cell r="E4341">
            <v>0</v>
          </cell>
          <cell r="F4341">
            <v>0</v>
          </cell>
          <cell r="G4341">
            <v>0</v>
          </cell>
          <cell r="H4341">
            <v>0</v>
          </cell>
          <cell r="I4341">
            <v>0</v>
          </cell>
          <cell r="J4341">
            <v>0</v>
          </cell>
          <cell r="K4341">
            <v>0</v>
          </cell>
          <cell r="L4341">
            <v>0</v>
          </cell>
          <cell r="M4341">
            <v>0</v>
          </cell>
          <cell r="N4341">
            <v>0</v>
          </cell>
          <cell r="O4341">
            <v>0</v>
          </cell>
        </row>
        <row r="4342">
          <cell r="A4342" t="str">
            <v>ThailandMINORITY INTEREST</v>
          </cell>
          <cell r="B4342">
            <v>226419.44</v>
          </cell>
          <cell r="C4342">
            <v>175088.06</v>
          </cell>
          <cell r="D4342">
            <v>224355.12</v>
          </cell>
          <cell r="E4342">
            <v>47473.68</v>
          </cell>
          <cell r="F4342">
            <v>673336.3</v>
          </cell>
          <cell r="G4342">
            <v>71971.246641999998</v>
          </cell>
          <cell r="H4342">
            <v>54733.999829</v>
          </cell>
          <cell r="I4342">
            <v>90182.995597999994</v>
          </cell>
          <cell r="J4342">
            <v>201372.86317999999</v>
          </cell>
          <cell r="K4342">
            <v>418261.10524900001</v>
          </cell>
          <cell r="L4342">
            <v>299300.75</v>
          </cell>
          <cell r="M4342">
            <v>355305.73883400002</v>
          </cell>
          <cell r="N4342">
            <v>707396.96941699996</v>
          </cell>
          <cell r="O4342">
            <v>1424958.8866890001</v>
          </cell>
        </row>
        <row r="4343">
          <cell r="A4343" t="str">
            <v>ThailandINCOME TAXES</v>
          </cell>
          <cell r="B4343">
            <v>7589065.1200000001</v>
          </cell>
          <cell r="C4343">
            <v>2824195.35</v>
          </cell>
          <cell r="D4343">
            <v>3774879.93</v>
          </cell>
          <cell r="E4343">
            <v>-252945.85</v>
          </cell>
          <cell r="F4343">
            <v>13935194.550000001</v>
          </cell>
          <cell r="G4343">
            <v>2145901.6581410002</v>
          </cell>
          <cell r="H4343">
            <v>2464188.8583490001</v>
          </cell>
          <cell r="I4343">
            <v>3189594.3870879998</v>
          </cell>
          <cell r="J4343">
            <v>3893155.6028900002</v>
          </cell>
          <cell r="K4343">
            <v>11692840.506468</v>
          </cell>
          <cell r="L4343">
            <v>5295648.21</v>
          </cell>
          <cell r="M4343">
            <v>10463362.115512</v>
          </cell>
          <cell r="N4343">
            <v>17055161.370000001</v>
          </cell>
          <cell r="O4343">
            <v>27009260.34</v>
          </cell>
        </row>
        <row r="4344">
          <cell r="A4344" t="str">
            <v>ThailandCUMULATIVE TRANSITION ADJUSTMENT</v>
          </cell>
          <cell r="B4344">
            <v>2554039.84</v>
          </cell>
          <cell r="C4344">
            <v>0</v>
          </cell>
          <cell r="D4344">
            <v>0</v>
          </cell>
          <cell r="E4344">
            <v>0</v>
          </cell>
          <cell r="F4344">
            <v>2554039.84</v>
          </cell>
          <cell r="G4344">
            <v>0</v>
          </cell>
          <cell r="H4344">
            <v>0</v>
          </cell>
          <cell r="I4344">
            <v>0</v>
          </cell>
          <cell r="J4344">
            <v>0</v>
          </cell>
          <cell r="K4344">
            <v>0</v>
          </cell>
          <cell r="L4344">
            <v>0</v>
          </cell>
          <cell r="M4344">
            <v>0</v>
          </cell>
          <cell r="N4344">
            <v>0</v>
          </cell>
          <cell r="O4344">
            <v>0</v>
          </cell>
        </row>
        <row r="4345">
          <cell r="A4345" t="str">
            <v>ThailandASIA PACIFIC NI DIVIDEND</v>
          </cell>
          <cell r="B4345">
            <v>0</v>
          </cell>
          <cell r="C4345">
            <v>0</v>
          </cell>
          <cell r="D4345">
            <v>0</v>
          </cell>
          <cell r="E4345">
            <v>0</v>
          </cell>
          <cell r="F4345">
            <v>0</v>
          </cell>
          <cell r="G4345">
            <v>0</v>
          </cell>
          <cell r="H4345">
            <v>0</v>
          </cell>
          <cell r="I4345">
            <v>0</v>
          </cell>
          <cell r="J4345">
            <v>0</v>
          </cell>
          <cell r="K4345">
            <v>0</v>
          </cell>
          <cell r="L4345">
            <v>0</v>
          </cell>
          <cell r="M4345">
            <v>0</v>
          </cell>
          <cell r="N4345">
            <v>0</v>
          </cell>
          <cell r="O4345">
            <v>0</v>
          </cell>
        </row>
        <row r="4346">
          <cell r="A4346" t="str">
            <v>ThailandNet Income</v>
          </cell>
          <cell r="B4346">
            <v>-13507899.66</v>
          </cell>
          <cell r="C4346">
            <v>-5941477.1399999997</v>
          </cell>
          <cell r="D4346">
            <v>-6620926.3600000003</v>
          </cell>
          <cell r="E4346">
            <v>-65164.3</v>
          </cell>
          <cell r="F4346">
            <v>-26135467.460000001</v>
          </cell>
          <cell r="G4346">
            <v>-3634613.6590260002</v>
          </cell>
          <cell r="H4346">
            <v>-4360403.2500839997</v>
          </cell>
          <cell r="I4346">
            <v>-5740798.7824170003</v>
          </cell>
          <cell r="J4346">
            <v>-6427946.6250470001</v>
          </cell>
          <cell r="K4346">
            <v>-20163762.316574</v>
          </cell>
          <cell r="L4346">
            <v>-8246934.29</v>
          </cell>
          <cell r="M4346">
            <v>-20447345.285588998</v>
          </cell>
          <cell r="N4346">
            <v>-35095038.084564999</v>
          </cell>
          <cell r="O4346">
            <v>-56895286.555710003</v>
          </cell>
        </row>
        <row r="4347">
          <cell r="A4347" t="str">
            <v>ThailandSubPart F</v>
          </cell>
          <cell r="B4347">
            <v>457500</v>
          </cell>
          <cell r="C4347">
            <v>1013000</v>
          </cell>
          <cell r="D4347">
            <v>87500</v>
          </cell>
          <cell r="E4347">
            <v>10384</v>
          </cell>
          <cell r="F4347">
            <v>1568384</v>
          </cell>
          <cell r="G4347">
            <v>3956.774304</v>
          </cell>
          <cell r="H4347">
            <v>3710.0131110000002</v>
          </cell>
          <cell r="I4347">
            <v>438.52148799999998</v>
          </cell>
          <cell r="J4347">
            <v>571.46276699999999</v>
          </cell>
          <cell r="K4347">
            <v>8676.7716710000004</v>
          </cell>
          <cell r="L4347">
            <v>89225</v>
          </cell>
          <cell r="M4347">
            <v>1553087.235839</v>
          </cell>
          <cell r="N4347">
            <v>2646159.612735</v>
          </cell>
          <cell r="O4347">
            <v>4313647.9810459996</v>
          </cell>
        </row>
        <row r="4348">
          <cell r="A4348" t="str">
            <v>ThailandAssets</v>
          </cell>
          <cell r="B4348">
            <v>839894449.73000002</v>
          </cell>
          <cell r="C4348">
            <v>868188765.69000006</v>
          </cell>
          <cell r="D4348">
            <v>912797985.00999999</v>
          </cell>
          <cell r="E4348">
            <v>1047857097.95</v>
          </cell>
          <cell r="F4348">
            <v>1047857097.95</v>
          </cell>
          <cell r="G4348">
            <v>1112111365.9244201</v>
          </cell>
          <cell r="H4348">
            <v>1189599117.6008899</v>
          </cell>
          <cell r="I4348">
            <v>1231020413.08371</v>
          </cell>
          <cell r="J4348">
            <v>1304375802.72754</v>
          </cell>
          <cell r="K4348">
            <v>1304375802.72754</v>
          </cell>
          <cell r="L4348">
            <v>1179318502.1500001</v>
          </cell>
          <cell r="M4348">
            <v>1177657067.46292</v>
          </cell>
          <cell r="N4348">
            <v>1489658934.3221099</v>
          </cell>
          <cell r="O4348">
            <v>1855485342.4767799</v>
          </cell>
        </row>
        <row r="4349">
          <cell r="A4349" t="str">
            <v>ThailandEnding Net Investment (ENI) incl Asia</v>
          </cell>
          <cell r="B4349">
            <v>796321035.49000001</v>
          </cell>
          <cell r="C4349">
            <v>821988585.61000001</v>
          </cell>
          <cell r="D4349">
            <v>872485933.59000003</v>
          </cell>
          <cell r="E4349">
            <v>1005624753.05</v>
          </cell>
          <cell r="F4349">
            <v>1005624753.05</v>
          </cell>
          <cell r="G4349">
            <v>1079504774.98191</v>
          </cell>
          <cell r="H4349">
            <v>1156026339.52737</v>
          </cell>
          <cell r="I4349">
            <v>1196914692.0408599</v>
          </cell>
          <cell r="J4349">
            <v>1269736550.9021599</v>
          </cell>
          <cell r="K4349">
            <v>1269736550.9021599</v>
          </cell>
          <cell r="L4349">
            <v>1112201744.8399999</v>
          </cell>
          <cell r="M4349">
            <v>1128821854.8006599</v>
          </cell>
          <cell r="N4349">
            <v>1428117737.29351</v>
          </cell>
          <cell r="O4349">
            <v>1778697492.444</v>
          </cell>
        </row>
        <row r="4350">
          <cell r="A4350" t="str">
            <v>ThailandANR YTD</v>
          </cell>
          <cell r="B4350">
            <v>718050072.255</v>
          </cell>
          <cell r="C4350">
            <v>735057223.83000004</v>
          </cell>
          <cell r="D4350">
            <v>753673111.18499994</v>
          </cell>
          <cell r="E4350">
            <v>788127643.352</v>
          </cell>
          <cell r="F4350">
            <v>788127643.352</v>
          </cell>
          <cell r="G4350">
            <v>469762898.10890502</v>
          </cell>
          <cell r="H4350">
            <v>643627176.71588898</v>
          </cell>
          <cell r="I4350">
            <v>738537663.241799</v>
          </cell>
          <cell r="J4350">
            <v>804890467.46719396</v>
          </cell>
          <cell r="K4350">
            <v>804890467.46719396</v>
          </cell>
          <cell r="L4350">
            <v>991496558.78499997</v>
          </cell>
          <cell r="M4350">
            <v>378015418.00651902</v>
          </cell>
          <cell r="N4350">
            <v>465847935.96638101</v>
          </cell>
          <cell r="O4350">
            <v>577326401.05966997</v>
          </cell>
        </row>
        <row r="4351">
          <cell r="A4351" t="str">
            <v>ThailandASA YTD</v>
          </cell>
          <cell r="B4351">
            <v>743412006.57500005</v>
          </cell>
          <cell r="C4351">
            <v>771613892.07333302</v>
          </cell>
          <cell r="D4351">
            <v>802213768.46500003</v>
          </cell>
          <cell r="E4351">
            <v>851241863.72000003</v>
          </cell>
          <cell r="F4351">
            <v>851241863.72000003</v>
          </cell>
          <cell r="G4351">
            <v>562036167.10890496</v>
          </cell>
          <cell r="H4351">
            <v>772951726.04922295</v>
          </cell>
          <cell r="I4351">
            <v>897879682.991799</v>
          </cell>
          <cell r="J4351">
            <v>982242969.46719396</v>
          </cell>
          <cell r="K4351">
            <v>982242969.46719396</v>
          </cell>
          <cell r="L4351">
            <v>1052200795.625</v>
          </cell>
          <cell r="M4351">
            <v>383344350.899809</v>
          </cell>
          <cell r="N4351">
            <v>473724723.64514798</v>
          </cell>
          <cell r="O4351">
            <v>586127281.14767897</v>
          </cell>
        </row>
        <row r="4352">
          <cell r="A4352" t="str">
            <v>ThailandANI YTD incl Asia - 5 pt</v>
          </cell>
          <cell r="B4352">
            <v>747817282.55999994</v>
          </cell>
          <cell r="C4352">
            <v>772541050.24333298</v>
          </cell>
          <cell r="D4352">
            <v>797527271.08000004</v>
          </cell>
          <cell r="E4352">
            <v>839146767.47399998</v>
          </cell>
          <cell r="F4352">
            <v>839146767.47399998</v>
          </cell>
          <cell r="G4352">
            <v>539752387.49095798</v>
          </cell>
          <cell r="H4352">
            <v>745177038.16976404</v>
          </cell>
          <cell r="I4352">
            <v>858111451.63753796</v>
          </cell>
          <cell r="J4352">
            <v>940436471.49046397</v>
          </cell>
          <cell r="K4352">
            <v>940436471.49046397</v>
          </cell>
          <cell r="L4352">
            <v>1058913248.9450001</v>
          </cell>
          <cell r="M4352">
            <v>408947158.73433399</v>
          </cell>
          <cell r="N4352">
            <v>511387918.41883397</v>
          </cell>
          <cell r="O4352">
            <v>641363045.94750297</v>
          </cell>
        </row>
        <row r="4353">
          <cell r="A4353" t="str">
            <v>ThailandOff Balance Sheet Assets</v>
          </cell>
          <cell r="B4353">
            <v>38070000</v>
          </cell>
          <cell r="C4353">
            <v>55769000</v>
          </cell>
          <cell r="D4353">
            <v>80729000</v>
          </cell>
          <cell r="E4353">
            <v>120924450</v>
          </cell>
          <cell r="F4353">
            <v>120924450</v>
          </cell>
          <cell r="G4353">
            <v>184546538</v>
          </cell>
          <cell r="H4353">
            <v>203427110</v>
          </cell>
          <cell r="I4353">
            <v>249394431</v>
          </cell>
          <cell r="J4353">
            <v>249394431</v>
          </cell>
          <cell r="K4353">
            <v>249394431</v>
          </cell>
          <cell r="L4353">
            <v>0</v>
          </cell>
          <cell r="M4353">
            <v>0</v>
          </cell>
          <cell r="N4353">
            <v>0</v>
          </cell>
          <cell r="O4353">
            <v>0</v>
          </cell>
        </row>
        <row r="4354">
          <cell r="A4354" t="str">
            <v>ThailandJV Receivables</v>
          </cell>
          <cell r="B4354">
            <v>0</v>
          </cell>
          <cell r="C4354">
            <v>0</v>
          </cell>
          <cell r="D4354">
            <v>0</v>
          </cell>
          <cell r="E4354">
            <v>0</v>
          </cell>
          <cell r="F4354">
            <v>0</v>
          </cell>
          <cell r="G4354">
            <v>0</v>
          </cell>
          <cell r="H4354">
            <v>0</v>
          </cell>
          <cell r="I4354">
            <v>0</v>
          </cell>
          <cell r="J4354">
            <v>0</v>
          </cell>
          <cell r="K4354">
            <v>0</v>
          </cell>
          <cell r="L4354">
            <v>134026020.08</v>
          </cell>
          <cell r="M4354">
            <v>0</v>
          </cell>
          <cell r="N4354">
            <v>0</v>
          </cell>
          <cell r="O4354">
            <v>0</v>
          </cell>
        </row>
        <row r="4355">
          <cell r="A4355" t="str">
            <v>Thailand30+ DELINQUENCY $</v>
          </cell>
          <cell r="B4355">
            <v>42782427.799999997</v>
          </cell>
          <cell r="C4355">
            <v>44852932.229999997</v>
          </cell>
          <cell r="D4355">
            <v>41387005.460000001</v>
          </cell>
          <cell r="E4355">
            <v>41868495.399999999</v>
          </cell>
          <cell r="F4355">
            <v>41868495.399999999</v>
          </cell>
          <cell r="G4355">
            <v>54105606.166599996</v>
          </cell>
          <cell r="H4355">
            <v>65257338.548299998</v>
          </cell>
          <cell r="I4355">
            <v>70102910.621099994</v>
          </cell>
          <cell r="J4355">
            <v>70709487.260299996</v>
          </cell>
          <cell r="K4355">
            <v>70709487.260299996</v>
          </cell>
          <cell r="L4355">
            <v>44537000</v>
          </cell>
          <cell r="M4355">
            <v>48809787.759999998</v>
          </cell>
          <cell r="N4355">
            <v>62774430.359999999</v>
          </cell>
          <cell r="O4355">
            <v>79495427.040000007</v>
          </cell>
        </row>
        <row r="4356">
          <cell r="A4356" t="str">
            <v>Thailand90+ DELINQUENCY $</v>
          </cell>
          <cell r="B4356">
            <v>9609072.5999999996</v>
          </cell>
          <cell r="C4356">
            <v>9799727.2300000004</v>
          </cell>
          <cell r="D4356">
            <v>8223943.1699999999</v>
          </cell>
          <cell r="E4356">
            <v>8650206.2400000002</v>
          </cell>
          <cell r="F4356">
            <v>8650206.2400000002</v>
          </cell>
          <cell r="G4356">
            <v>11192242.925899999</v>
          </cell>
          <cell r="H4356">
            <v>14417743.49632</v>
          </cell>
          <cell r="I4356">
            <v>13817829.2257</v>
          </cell>
          <cell r="J4356">
            <v>15764483.7575</v>
          </cell>
          <cell r="K4356">
            <v>15764483.7575</v>
          </cell>
          <cell r="L4356">
            <v>9659000</v>
          </cell>
          <cell r="M4356">
            <v>9673451.0800000001</v>
          </cell>
          <cell r="N4356">
            <v>13081586.08</v>
          </cell>
          <cell r="O4356">
            <v>17449231.379999999</v>
          </cell>
        </row>
        <row r="4357">
          <cell r="A4357" t="str">
            <v>ThailandTemporary Staff</v>
          </cell>
          <cell r="B4357">
            <v>480</v>
          </cell>
          <cell r="C4357">
            <v>480</v>
          </cell>
          <cell r="D4357">
            <v>480</v>
          </cell>
          <cell r="E4357">
            <v>507</v>
          </cell>
          <cell r="F4357">
            <v>507</v>
          </cell>
          <cell r="G4357">
            <v>0</v>
          </cell>
          <cell r="H4357">
            <v>0</v>
          </cell>
          <cell r="I4357">
            <v>0</v>
          </cell>
          <cell r="J4357">
            <v>0</v>
          </cell>
          <cell r="K4357">
            <v>0</v>
          </cell>
          <cell r="L4357">
            <v>0</v>
          </cell>
          <cell r="M4357">
            <v>0</v>
          </cell>
          <cell r="N4357">
            <v>0</v>
          </cell>
          <cell r="O4357">
            <v>0</v>
          </cell>
        </row>
        <row r="4358">
          <cell r="A4358" t="str">
            <v>ThailandContractors</v>
          </cell>
          <cell r="B4358">
            <v>0</v>
          </cell>
          <cell r="C4358">
            <v>0</v>
          </cell>
          <cell r="D4358">
            <v>0</v>
          </cell>
          <cell r="E4358">
            <v>0</v>
          </cell>
          <cell r="F4358">
            <v>0</v>
          </cell>
          <cell r="G4358">
            <v>0</v>
          </cell>
          <cell r="H4358">
            <v>0</v>
          </cell>
          <cell r="I4358">
            <v>0</v>
          </cell>
          <cell r="J4358">
            <v>0</v>
          </cell>
          <cell r="K4358">
            <v>0</v>
          </cell>
          <cell r="L4358">
            <v>623</v>
          </cell>
          <cell r="M4358">
            <v>0</v>
          </cell>
          <cell r="N4358">
            <v>0</v>
          </cell>
          <cell r="O4358">
            <v>0</v>
          </cell>
        </row>
        <row r="4359">
          <cell r="A4359" t="str">
            <v>ThailandOutsourced to LCC</v>
          </cell>
          <cell r="B4359">
            <v>0</v>
          </cell>
          <cell r="C4359">
            <v>0</v>
          </cell>
          <cell r="D4359">
            <v>0</v>
          </cell>
          <cell r="E4359">
            <v>0</v>
          </cell>
          <cell r="F4359">
            <v>0</v>
          </cell>
          <cell r="G4359">
            <v>0</v>
          </cell>
          <cell r="H4359">
            <v>0</v>
          </cell>
          <cell r="I4359">
            <v>0</v>
          </cell>
          <cell r="J4359">
            <v>0</v>
          </cell>
          <cell r="K4359">
            <v>0</v>
          </cell>
          <cell r="L4359">
            <v>0</v>
          </cell>
          <cell r="M4359">
            <v>0</v>
          </cell>
          <cell r="N4359">
            <v>0</v>
          </cell>
          <cell r="O4359">
            <v>0</v>
          </cell>
        </row>
        <row r="4360">
          <cell r="A4360" t="str">
            <v>ThailandTotal Headcount</v>
          </cell>
          <cell r="B4360">
            <v>1078</v>
          </cell>
          <cell r="C4360">
            <v>1072</v>
          </cell>
          <cell r="D4360">
            <v>1074</v>
          </cell>
          <cell r="E4360">
            <v>1072</v>
          </cell>
          <cell r="F4360">
            <v>1072</v>
          </cell>
          <cell r="G4360">
            <v>1097</v>
          </cell>
          <cell r="H4360">
            <v>1115</v>
          </cell>
          <cell r="I4360">
            <v>1098</v>
          </cell>
          <cell r="J4360">
            <v>1097</v>
          </cell>
          <cell r="K4360">
            <v>1097</v>
          </cell>
          <cell r="L4360">
            <v>1070</v>
          </cell>
          <cell r="M4360">
            <v>1243</v>
          </cell>
          <cell r="N4360">
            <v>1383</v>
          </cell>
          <cell r="O4360">
            <v>1555</v>
          </cell>
        </row>
        <row r="4361">
          <cell r="A4361" t="str">
            <v>ThailandTotal Workforce</v>
          </cell>
          <cell r="B4361">
            <v>1558</v>
          </cell>
          <cell r="C4361">
            <v>1552</v>
          </cell>
          <cell r="D4361">
            <v>1554</v>
          </cell>
          <cell r="E4361">
            <v>1579</v>
          </cell>
          <cell r="F4361">
            <v>1579</v>
          </cell>
          <cell r="G4361">
            <v>1097</v>
          </cell>
          <cell r="H4361">
            <v>1115</v>
          </cell>
          <cell r="I4361">
            <v>1098</v>
          </cell>
          <cell r="J4361">
            <v>1097</v>
          </cell>
          <cell r="K4361">
            <v>1097</v>
          </cell>
          <cell r="L4361">
            <v>1693</v>
          </cell>
          <cell r="M4361">
            <v>1243</v>
          </cell>
          <cell r="N4361">
            <v>1383</v>
          </cell>
          <cell r="O4361">
            <v>1555</v>
          </cell>
        </row>
        <row r="4362">
          <cell r="A4362" t="str">
            <v>ThailandTotal Earned Revenue</v>
          </cell>
          <cell r="B4362">
            <v>-46961976.009999998</v>
          </cell>
          <cell r="C4362">
            <v>-42784453.119999997</v>
          </cell>
          <cell r="D4362">
            <v>-36363854.329999998</v>
          </cell>
          <cell r="E4362">
            <v>-37077421.399999999</v>
          </cell>
          <cell r="F4362">
            <v>-163187704.86000001</v>
          </cell>
          <cell r="G4362">
            <v>-36929134.942992002</v>
          </cell>
          <cell r="H4362">
            <v>-39366997.651281998</v>
          </cell>
          <cell r="I4362">
            <v>-42401875.217073001</v>
          </cell>
          <cell r="J4362">
            <v>-45521356.707529999</v>
          </cell>
          <cell r="K4362">
            <v>-164219364.518877</v>
          </cell>
          <cell r="L4362">
            <v>-46601023.18</v>
          </cell>
          <cell r="M4362">
            <v>-154930913.56215599</v>
          </cell>
          <cell r="N4362">
            <v>-198845538.82002199</v>
          </cell>
          <cell r="O4362">
            <v>-260048981.70539099</v>
          </cell>
        </row>
        <row r="4363">
          <cell r="A4363" t="str">
            <v>ThailandOrdinary Gains - PreTax</v>
          </cell>
          <cell r="B4363">
            <v>0</v>
          </cell>
          <cell r="C4363">
            <v>0</v>
          </cell>
          <cell r="D4363">
            <v>0</v>
          </cell>
          <cell r="E4363">
            <v>0</v>
          </cell>
          <cell r="F4363">
            <v>0</v>
          </cell>
          <cell r="G4363">
            <v>0</v>
          </cell>
          <cell r="H4363">
            <v>0</v>
          </cell>
          <cell r="I4363">
            <v>0</v>
          </cell>
          <cell r="J4363">
            <v>0</v>
          </cell>
          <cell r="K4363">
            <v>0</v>
          </cell>
          <cell r="L4363">
            <v>0</v>
          </cell>
          <cell r="M4363">
            <v>0</v>
          </cell>
          <cell r="N4363">
            <v>0</v>
          </cell>
          <cell r="O4363">
            <v>0</v>
          </cell>
        </row>
        <row r="4364">
          <cell r="A4364" t="str">
            <v>ThailandOrdinary Gains - AfterTax</v>
          </cell>
          <cell r="B4364">
            <v>0</v>
          </cell>
          <cell r="C4364">
            <v>0</v>
          </cell>
          <cell r="D4364">
            <v>0</v>
          </cell>
          <cell r="E4364">
            <v>0</v>
          </cell>
          <cell r="F4364">
            <v>0</v>
          </cell>
          <cell r="G4364">
            <v>0</v>
          </cell>
          <cell r="H4364">
            <v>0</v>
          </cell>
          <cell r="I4364">
            <v>0</v>
          </cell>
          <cell r="J4364">
            <v>0</v>
          </cell>
          <cell r="K4364">
            <v>0</v>
          </cell>
          <cell r="L4364">
            <v>0</v>
          </cell>
          <cell r="M4364">
            <v>0</v>
          </cell>
          <cell r="N4364">
            <v>0</v>
          </cell>
          <cell r="O4364">
            <v>0</v>
          </cell>
        </row>
        <row r="4365">
          <cell r="A4365" t="str">
            <v>ThailandTotal Volume</v>
          </cell>
          <cell r="B4365">
            <v>207057592.09</v>
          </cell>
          <cell r="C4365">
            <v>195168207.31999999</v>
          </cell>
          <cell r="D4365">
            <v>185774851.19</v>
          </cell>
          <cell r="E4365">
            <v>290355889.19</v>
          </cell>
          <cell r="F4365">
            <v>878356539.78999996</v>
          </cell>
          <cell r="G4365">
            <v>229548203.562502</v>
          </cell>
          <cell r="H4365">
            <v>232893435.633266</v>
          </cell>
          <cell r="I4365">
            <v>224578496.29200101</v>
          </cell>
          <cell r="J4365">
            <v>254856019.770684</v>
          </cell>
          <cell r="K4365">
            <v>941876155.25845301</v>
          </cell>
          <cell r="L4365">
            <v>306154951.64999998</v>
          </cell>
          <cell r="M4365">
            <v>932322212</v>
          </cell>
          <cell r="N4365">
            <v>1209936731</v>
          </cell>
          <cell r="O4365">
            <v>1526142839</v>
          </cell>
        </row>
        <row r="4366">
          <cell r="A4366" t="str">
            <v>ThailandTOTAL # ACTIVE ACCOUNTS</v>
          </cell>
          <cell r="B4366">
            <v>952138</v>
          </cell>
          <cell r="C4366">
            <v>1073409</v>
          </cell>
          <cell r="D4366">
            <v>1066023</v>
          </cell>
          <cell r="E4366">
            <v>984657</v>
          </cell>
          <cell r="F4366">
            <v>984657</v>
          </cell>
          <cell r="G4366">
            <v>1214829</v>
          </cell>
          <cell r="H4366">
            <v>1344362</v>
          </cell>
          <cell r="I4366">
            <v>1486718</v>
          </cell>
          <cell r="J4366">
            <v>1484127</v>
          </cell>
          <cell r="K4366">
            <v>1484127</v>
          </cell>
          <cell r="L4366">
            <v>0</v>
          </cell>
          <cell r="M4366">
            <v>1656187</v>
          </cell>
          <cell r="N4366">
            <v>2155215</v>
          </cell>
          <cell r="O4366">
            <v>2708334</v>
          </cell>
        </row>
        <row r="4367">
          <cell r="A4367" t="str">
            <v>HQTOTAL FINANCING RECEIVABLES</v>
          </cell>
          <cell r="B4367">
            <v>0</v>
          </cell>
          <cell r="C4367">
            <v>0</v>
          </cell>
          <cell r="D4367">
            <v>0</v>
          </cell>
          <cell r="E4367">
            <v>0</v>
          </cell>
          <cell r="F4367">
            <v>0</v>
          </cell>
          <cell r="G4367">
            <v>-862541842.04027998</v>
          </cell>
          <cell r="H4367">
            <v>-893424714.18632698</v>
          </cell>
          <cell r="I4367">
            <v>-910429136.77775002</v>
          </cell>
          <cell r="J4367">
            <v>-925392321.94420195</v>
          </cell>
          <cell r="K4367">
            <v>-925392321.94420195</v>
          </cell>
          <cell r="L4367">
            <v>0</v>
          </cell>
          <cell r="M4367">
            <v>0</v>
          </cell>
          <cell r="N4367">
            <v>0</v>
          </cell>
          <cell r="O4367">
            <v>0</v>
          </cell>
        </row>
        <row r="4368">
          <cell r="A4368" t="str">
            <v>HQRECEIVABLE RESERVES</v>
          </cell>
          <cell r="B4368">
            <v>0</v>
          </cell>
          <cell r="C4368">
            <v>0</v>
          </cell>
          <cell r="D4368">
            <v>0</v>
          </cell>
          <cell r="E4368">
            <v>0</v>
          </cell>
          <cell r="F4368">
            <v>0</v>
          </cell>
          <cell r="G4368">
            <v>0</v>
          </cell>
          <cell r="H4368">
            <v>0</v>
          </cell>
          <cell r="I4368">
            <v>0</v>
          </cell>
          <cell r="J4368">
            <v>0</v>
          </cell>
          <cell r="K4368">
            <v>0</v>
          </cell>
          <cell r="L4368">
            <v>0</v>
          </cell>
          <cell r="M4368">
            <v>0</v>
          </cell>
          <cell r="N4368">
            <v>0</v>
          </cell>
          <cell r="O4368">
            <v>0</v>
          </cell>
        </row>
        <row r="4369">
          <cell r="A4369" t="str">
            <v>HQCASH</v>
          </cell>
          <cell r="B4369">
            <v>100000</v>
          </cell>
          <cell r="C4369">
            <v>100000</v>
          </cell>
          <cell r="D4369">
            <v>100000</v>
          </cell>
          <cell r="E4369">
            <v>-98183</v>
          </cell>
          <cell r="F4369">
            <v>-98183</v>
          </cell>
          <cell r="G4369">
            <v>100000</v>
          </cell>
          <cell r="H4369">
            <v>100000</v>
          </cell>
          <cell r="I4369">
            <v>100000</v>
          </cell>
          <cell r="J4369">
            <v>100000</v>
          </cell>
          <cell r="K4369">
            <v>100000</v>
          </cell>
          <cell r="L4369">
            <v>-98183</v>
          </cell>
          <cell r="M4369">
            <v>105000</v>
          </cell>
          <cell r="N4369">
            <v>110250</v>
          </cell>
          <cell r="O4369">
            <v>115762.5</v>
          </cell>
        </row>
        <row r="4370">
          <cell r="A4370" t="str">
            <v>HQINVESTMENT SECURITIES</v>
          </cell>
          <cell r="B4370">
            <v>0</v>
          </cell>
          <cell r="C4370">
            <v>0</v>
          </cell>
          <cell r="D4370">
            <v>0</v>
          </cell>
          <cell r="E4370">
            <v>0</v>
          </cell>
          <cell r="F4370">
            <v>0</v>
          </cell>
          <cell r="G4370">
            <v>0</v>
          </cell>
          <cell r="H4370">
            <v>0</v>
          </cell>
          <cell r="I4370">
            <v>0</v>
          </cell>
          <cell r="J4370">
            <v>0</v>
          </cell>
          <cell r="K4370">
            <v>0</v>
          </cell>
          <cell r="L4370">
            <v>0</v>
          </cell>
          <cell r="M4370">
            <v>0</v>
          </cell>
          <cell r="N4370">
            <v>0</v>
          </cell>
          <cell r="O4370">
            <v>0</v>
          </cell>
        </row>
        <row r="4371">
          <cell r="A4371" t="str">
            <v>HQINV IN NON CONSOL AFFILIATES</v>
          </cell>
          <cell r="B4371">
            <v>0</v>
          </cell>
          <cell r="C4371">
            <v>0</v>
          </cell>
          <cell r="D4371">
            <v>0</v>
          </cell>
          <cell r="E4371">
            <v>0</v>
          </cell>
          <cell r="F4371">
            <v>0</v>
          </cell>
          <cell r="G4371">
            <v>-39340517.714047</v>
          </cell>
          <cell r="H4371">
            <v>-41614136.745549999</v>
          </cell>
          <cell r="I4371">
            <v>-45491971.997731</v>
          </cell>
          <cell r="J4371">
            <v>-45553114.471565001</v>
          </cell>
          <cell r="K4371">
            <v>-45553114.471565001</v>
          </cell>
          <cell r="L4371">
            <v>0</v>
          </cell>
          <cell r="M4371">
            <v>0</v>
          </cell>
          <cell r="N4371">
            <v>0</v>
          </cell>
          <cell r="O4371">
            <v>0</v>
          </cell>
        </row>
        <row r="4372">
          <cell r="A4372" t="str">
            <v>HQINVESTMENT IN JOINT VENTURE</v>
          </cell>
          <cell r="B4372">
            <v>0</v>
          </cell>
          <cell r="C4372">
            <v>0</v>
          </cell>
          <cell r="D4372">
            <v>0</v>
          </cell>
          <cell r="E4372">
            <v>0</v>
          </cell>
          <cell r="F4372">
            <v>0</v>
          </cell>
          <cell r="G4372">
            <v>0</v>
          </cell>
          <cell r="H4372">
            <v>0</v>
          </cell>
          <cell r="I4372">
            <v>0</v>
          </cell>
          <cell r="J4372">
            <v>0</v>
          </cell>
          <cell r="K4372">
            <v>0</v>
          </cell>
          <cell r="L4372">
            <v>0</v>
          </cell>
          <cell r="M4372">
            <v>0</v>
          </cell>
          <cell r="N4372">
            <v>0</v>
          </cell>
          <cell r="O4372">
            <v>0</v>
          </cell>
        </row>
        <row r="4373">
          <cell r="A4373" t="str">
            <v>HQALL OTHER RECEIVABLES (NON-FINANCING)</v>
          </cell>
          <cell r="B4373">
            <v>4342864.63</v>
          </cell>
          <cell r="C4373">
            <v>3195324.04</v>
          </cell>
          <cell r="D4373">
            <v>2087972.75</v>
          </cell>
          <cell r="E4373">
            <v>3608902.73</v>
          </cell>
          <cell r="F4373">
            <v>3608902.73</v>
          </cell>
          <cell r="G4373">
            <v>3000000</v>
          </cell>
          <cell r="H4373">
            <v>250000</v>
          </cell>
          <cell r="I4373">
            <v>250000</v>
          </cell>
          <cell r="J4373">
            <v>250000</v>
          </cell>
          <cell r="K4373">
            <v>250000</v>
          </cell>
          <cell r="L4373">
            <v>821272.38</v>
          </cell>
          <cell r="M4373">
            <v>0</v>
          </cell>
          <cell r="N4373">
            <v>0</v>
          </cell>
          <cell r="O4373">
            <v>0</v>
          </cell>
        </row>
        <row r="4374">
          <cell r="A4374" t="str">
            <v>HQELTO (NET)</v>
          </cell>
          <cell r="B4374">
            <v>0</v>
          </cell>
          <cell r="C4374">
            <v>0</v>
          </cell>
          <cell r="D4374">
            <v>0</v>
          </cell>
          <cell r="E4374">
            <v>0</v>
          </cell>
          <cell r="F4374">
            <v>0</v>
          </cell>
          <cell r="G4374">
            <v>0</v>
          </cell>
          <cell r="H4374">
            <v>0</v>
          </cell>
          <cell r="I4374">
            <v>0</v>
          </cell>
          <cell r="J4374">
            <v>0</v>
          </cell>
          <cell r="K4374">
            <v>0</v>
          </cell>
          <cell r="L4374">
            <v>0</v>
          </cell>
          <cell r="M4374">
            <v>0</v>
          </cell>
          <cell r="N4374">
            <v>0</v>
          </cell>
          <cell r="O4374">
            <v>0</v>
          </cell>
        </row>
        <row r="4375">
          <cell r="A4375" t="str">
            <v>HQGOODWILL</v>
          </cell>
          <cell r="B4375">
            <v>0</v>
          </cell>
          <cell r="C4375">
            <v>0</v>
          </cell>
          <cell r="D4375">
            <v>0</v>
          </cell>
          <cell r="E4375">
            <v>0</v>
          </cell>
          <cell r="F4375">
            <v>0</v>
          </cell>
          <cell r="G4375">
            <v>0</v>
          </cell>
          <cell r="H4375">
            <v>0</v>
          </cell>
          <cell r="I4375">
            <v>0</v>
          </cell>
          <cell r="J4375">
            <v>0</v>
          </cell>
          <cell r="K4375">
            <v>0</v>
          </cell>
          <cell r="L4375">
            <v>0</v>
          </cell>
          <cell r="M4375">
            <v>0</v>
          </cell>
          <cell r="N4375">
            <v>0</v>
          </cell>
          <cell r="O4375">
            <v>0</v>
          </cell>
        </row>
        <row r="4376">
          <cell r="A4376" t="str">
            <v>HQOTHER ASSETS</v>
          </cell>
          <cell r="B4376">
            <v>15109121.199999999</v>
          </cell>
          <cell r="C4376">
            <v>13946193.640000001</v>
          </cell>
          <cell r="D4376">
            <v>12605761.66</v>
          </cell>
          <cell r="E4376">
            <v>9858036.5999999996</v>
          </cell>
          <cell r="F4376">
            <v>9858036.5999999996</v>
          </cell>
          <cell r="G4376">
            <v>10000000</v>
          </cell>
          <cell r="H4376">
            <v>10000000</v>
          </cell>
          <cell r="I4376">
            <v>10000000</v>
          </cell>
          <cell r="J4376">
            <v>10000000</v>
          </cell>
          <cell r="K4376">
            <v>10000000</v>
          </cell>
          <cell r="L4376">
            <v>9371832.7400000002</v>
          </cell>
          <cell r="M4376">
            <v>16273950</v>
          </cell>
          <cell r="N4376">
            <v>17087647.5</v>
          </cell>
          <cell r="O4376">
            <v>17942029.875</v>
          </cell>
        </row>
        <row r="4377">
          <cell r="A4377" t="str">
            <v>HQACCOUNTS PAYABLE</v>
          </cell>
          <cell r="B4377">
            <v>28000706.559999999</v>
          </cell>
          <cell r="C4377">
            <v>-60316982.420000002</v>
          </cell>
          <cell r="D4377">
            <v>-3141916.21</v>
          </cell>
          <cell r="E4377">
            <v>38976420.899999999</v>
          </cell>
          <cell r="F4377">
            <v>38976420.899999999</v>
          </cell>
          <cell r="G4377">
            <v>28615000</v>
          </cell>
          <cell r="H4377">
            <v>25915000</v>
          </cell>
          <cell r="I4377">
            <v>28215000</v>
          </cell>
          <cell r="J4377">
            <v>25265000</v>
          </cell>
          <cell r="K4377">
            <v>25265000</v>
          </cell>
          <cell r="L4377">
            <v>22145721.329999998</v>
          </cell>
          <cell r="M4377">
            <v>-2677500</v>
          </cell>
          <cell r="N4377">
            <v>-2811375</v>
          </cell>
          <cell r="O4377">
            <v>-2951943.75</v>
          </cell>
        </row>
        <row r="4378">
          <cell r="A4378" t="str">
            <v>HQDEFERRED INCOME TAXES</v>
          </cell>
          <cell r="B4378">
            <v>-28985553.16</v>
          </cell>
          <cell r="C4378">
            <v>-32963049.170000002</v>
          </cell>
          <cell r="D4378">
            <v>-37927430.359999999</v>
          </cell>
          <cell r="E4378">
            <v>-39904727.289999999</v>
          </cell>
          <cell r="F4378">
            <v>-39904727.289999999</v>
          </cell>
          <cell r="G4378">
            <v>-35562000</v>
          </cell>
          <cell r="H4378">
            <v>-36062000</v>
          </cell>
          <cell r="I4378">
            <v>-36562000</v>
          </cell>
          <cell r="J4378">
            <v>-37062000</v>
          </cell>
          <cell r="K4378">
            <v>-37062000</v>
          </cell>
          <cell r="L4378">
            <v>-57333909.590000004</v>
          </cell>
          <cell r="M4378">
            <v>-30146550</v>
          </cell>
          <cell r="N4378">
            <v>-31653877.5</v>
          </cell>
          <cell r="O4378">
            <v>-33236571.375</v>
          </cell>
        </row>
        <row r="4379">
          <cell r="A4379" t="str">
            <v>HQWRITE-OFF (MEMO)</v>
          </cell>
          <cell r="B4379">
            <v>0</v>
          </cell>
          <cell r="C4379">
            <v>0</v>
          </cell>
          <cell r="D4379">
            <v>0</v>
          </cell>
          <cell r="E4379">
            <v>0</v>
          </cell>
          <cell r="F4379">
            <v>0</v>
          </cell>
          <cell r="G4379">
            <v>0</v>
          </cell>
          <cell r="H4379">
            <v>0</v>
          </cell>
          <cell r="I4379">
            <v>0</v>
          </cell>
          <cell r="J4379">
            <v>0</v>
          </cell>
          <cell r="K4379">
            <v>0</v>
          </cell>
          <cell r="L4379">
            <v>0</v>
          </cell>
          <cell r="M4379">
            <v>0</v>
          </cell>
          <cell r="N4379">
            <v>0</v>
          </cell>
          <cell r="O4379">
            <v>0</v>
          </cell>
        </row>
        <row r="4380">
          <cell r="A4380" t="str">
            <v>HQINSURANCE RESERVES AND ANNUITY BENEFITS</v>
          </cell>
          <cell r="B4380">
            <v>0</v>
          </cell>
          <cell r="C4380">
            <v>0</v>
          </cell>
          <cell r="D4380">
            <v>0</v>
          </cell>
          <cell r="E4380">
            <v>0</v>
          </cell>
          <cell r="F4380">
            <v>0</v>
          </cell>
          <cell r="G4380">
            <v>0</v>
          </cell>
          <cell r="H4380">
            <v>0</v>
          </cell>
          <cell r="I4380">
            <v>0</v>
          </cell>
          <cell r="J4380">
            <v>0</v>
          </cell>
          <cell r="K4380">
            <v>0</v>
          </cell>
          <cell r="L4380">
            <v>0</v>
          </cell>
          <cell r="M4380">
            <v>0</v>
          </cell>
          <cell r="N4380">
            <v>0</v>
          </cell>
          <cell r="O4380">
            <v>0</v>
          </cell>
        </row>
        <row r="4381">
          <cell r="A4381" t="str">
            <v>HQALL OTHER NON DEBT LIABILITIES</v>
          </cell>
          <cell r="B4381">
            <v>-45803707.93</v>
          </cell>
          <cell r="C4381">
            <v>-65566251.5</v>
          </cell>
          <cell r="D4381">
            <v>-54350259.380000003</v>
          </cell>
          <cell r="E4381">
            <v>-51286012.57</v>
          </cell>
          <cell r="F4381">
            <v>-51286012.57</v>
          </cell>
          <cell r="G4381">
            <v>-59402000</v>
          </cell>
          <cell r="H4381">
            <v>-58952000</v>
          </cell>
          <cell r="I4381">
            <v>-60502000</v>
          </cell>
          <cell r="J4381">
            <v>-62052000</v>
          </cell>
          <cell r="K4381">
            <v>-62052000</v>
          </cell>
          <cell r="L4381">
            <v>-44501614.780000001</v>
          </cell>
          <cell r="M4381">
            <v>-47958750</v>
          </cell>
          <cell r="N4381">
            <v>-50356687.5</v>
          </cell>
          <cell r="O4381">
            <v>-52874521.875</v>
          </cell>
        </row>
        <row r="4382">
          <cell r="A4382" t="str">
            <v>HQMINORITY INTEREST (BS)</v>
          </cell>
          <cell r="B4382">
            <v>0</v>
          </cell>
          <cell r="C4382">
            <v>0</v>
          </cell>
          <cell r="D4382">
            <v>0</v>
          </cell>
          <cell r="E4382">
            <v>0</v>
          </cell>
          <cell r="F4382">
            <v>0</v>
          </cell>
          <cell r="G4382">
            <v>0</v>
          </cell>
          <cell r="H4382">
            <v>0</v>
          </cell>
          <cell r="I4382">
            <v>0</v>
          </cell>
          <cell r="J4382">
            <v>0</v>
          </cell>
          <cell r="K4382">
            <v>0</v>
          </cell>
          <cell r="L4382">
            <v>0</v>
          </cell>
          <cell r="M4382">
            <v>0</v>
          </cell>
          <cell r="N4382">
            <v>0</v>
          </cell>
          <cell r="O4382">
            <v>0</v>
          </cell>
        </row>
        <row r="4383">
          <cell r="A4383" t="str">
            <v>HQASIA PACIFIC ENI DIVIDEND</v>
          </cell>
          <cell r="B4383">
            <v>0</v>
          </cell>
          <cell r="C4383">
            <v>0</v>
          </cell>
          <cell r="D4383">
            <v>0</v>
          </cell>
          <cell r="E4383">
            <v>0</v>
          </cell>
          <cell r="F4383">
            <v>0</v>
          </cell>
          <cell r="G4383">
            <v>0</v>
          </cell>
          <cell r="H4383">
            <v>0</v>
          </cell>
          <cell r="I4383">
            <v>0</v>
          </cell>
          <cell r="J4383">
            <v>0</v>
          </cell>
          <cell r="K4383">
            <v>0</v>
          </cell>
          <cell r="L4383">
            <v>0</v>
          </cell>
          <cell r="M4383">
            <v>0</v>
          </cell>
          <cell r="N4383">
            <v>0</v>
          </cell>
          <cell r="O4383">
            <v>0</v>
          </cell>
        </row>
        <row r="4384">
          <cell r="A4384" t="str">
            <v>HQFINANCING INCOME</v>
          </cell>
          <cell r="B4384">
            <v>0</v>
          </cell>
          <cell r="C4384">
            <v>0</v>
          </cell>
          <cell r="D4384">
            <v>0</v>
          </cell>
          <cell r="E4384">
            <v>0</v>
          </cell>
          <cell r="F4384">
            <v>0</v>
          </cell>
          <cell r="G4384">
            <v>0</v>
          </cell>
          <cell r="H4384">
            <v>0</v>
          </cell>
          <cell r="I4384">
            <v>0</v>
          </cell>
          <cell r="J4384">
            <v>0</v>
          </cell>
          <cell r="K4384">
            <v>0</v>
          </cell>
          <cell r="L4384">
            <v>0</v>
          </cell>
          <cell r="M4384">
            <v>0</v>
          </cell>
          <cell r="N4384">
            <v>0</v>
          </cell>
          <cell r="O4384">
            <v>0</v>
          </cell>
        </row>
        <row r="4385">
          <cell r="A4385" t="str">
            <v>HQINSURANCE PREMIUM INCOME</v>
          </cell>
          <cell r="B4385">
            <v>0</v>
          </cell>
          <cell r="C4385">
            <v>0</v>
          </cell>
          <cell r="D4385">
            <v>0</v>
          </cell>
          <cell r="E4385">
            <v>0</v>
          </cell>
          <cell r="F4385">
            <v>0</v>
          </cell>
          <cell r="G4385">
            <v>0</v>
          </cell>
          <cell r="H4385">
            <v>0</v>
          </cell>
          <cell r="I4385">
            <v>0</v>
          </cell>
          <cell r="J4385">
            <v>0</v>
          </cell>
          <cell r="K4385">
            <v>0</v>
          </cell>
          <cell r="L4385">
            <v>0</v>
          </cell>
          <cell r="M4385">
            <v>0</v>
          </cell>
          <cell r="N4385">
            <v>0</v>
          </cell>
          <cell r="O4385">
            <v>0</v>
          </cell>
        </row>
        <row r="4386">
          <cell r="A4386" t="str">
            <v>HQINSURANCE INCOME (COMMISSIONS)</v>
          </cell>
          <cell r="B4386">
            <v>-1342308</v>
          </cell>
          <cell r="C4386">
            <v>0</v>
          </cell>
          <cell r="D4386">
            <v>0</v>
          </cell>
          <cell r="E4386">
            <v>0</v>
          </cell>
          <cell r="F4386">
            <v>-1342308</v>
          </cell>
          <cell r="G4386">
            <v>0</v>
          </cell>
          <cell r="H4386">
            <v>0</v>
          </cell>
          <cell r="I4386">
            <v>0</v>
          </cell>
          <cell r="J4386">
            <v>0</v>
          </cell>
          <cell r="K4386">
            <v>0</v>
          </cell>
          <cell r="L4386">
            <v>0</v>
          </cell>
          <cell r="M4386">
            <v>0</v>
          </cell>
          <cell r="N4386">
            <v>0</v>
          </cell>
          <cell r="O4386">
            <v>0</v>
          </cell>
        </row>
        <row r="4387">
          <cell r="A4387" t="str">
            <v>HQSUNDRY INCOME</v>
          </cell>
          <cell r="B4387">
            <v>0</v>
          </cell>
          <cell r="C4387">
            <v>0</v>
          </cell>
          <cell r="D4387">
            <v>0</v>
          </cell>
          <cell r="E4387">
            <v>-129233.82</v>
          </cell>
          <cell r="F4387">
            <v>-129233.82</v>
          </cell>
          <cell r="G4387">
            <v>0</v>
          </cell>
          <cell r="H4387">
            <v>-21894267.052244999</v>
          </cell>
          <cell r="I4387">
            <v>-23133672.129168</v>
          </cell>
          <cell r="J4387">
            <v>0</v>
          </cell>
          <cell r="K4387">
            <v>-45027939.181413002</v>
          </cell>
          <cell r="L4387">
            <v>120401.82</v>
          </cell>
          <cell r="M4387">
            <v>0</v>
          </cell>
          <cell r="N4387">
            <v>0</v>
          </cell>
          <cell r="O4387">
            <v>70950769.230768993</v>
          </cell>
        </row>
        <row r="4388">
          <cell r="A4388" t="str">
            <v>HQINTEREST EXPENSE</v>
          </cell>
          <cell r="B4388">
            <v>-932942.14</v>
          </cell>
          <cell r="C4388">
            <v>-269265.3</v>
          </cell>
          <cell r="D4388">
            <v>-1261576.97</v>
          </cell>
          <cell r="E4388">
            <v>-278352.45</v>
          </cell>
          <cell r="F4388">
            <v>-2742136.86</v>
          </cell>
          <cell r="G4388">
            <v>-170998.90358700001</v>
          </cell>
          <cell r="H4388">
            <v>-291411.64</v>
          </cell>
          <cell r="I4388">
            <v>-337391.64</v>
          </cell>
          <cell r="J4388">
            <v>-335301.64</v>
          </cell>
          <cell r="K4388">
            <v>-1135103.8235869999</v>
          </cell>
          <cell r="L4388">
            <v>-76881.820000000007</v>
          </cell>
          <cell r="M4388">
            <v>-1604950.2734999999</v>
          </cell>
          <cell r="N4388">
            <v>-1685197.7871749999</v>
          </cell>
          <cell r="O4388">
            <v>-1769457.6765340001</v>
          </cell>
        </row>
        <row r="4389">
          <cell r="A4389" t="str">
            <v>HQINTEREST EXPENSE REDUCTIONS / BUS SHARING</v>
          </cell>
          <cell r="B4389">
            <v>27855.21</v>
          </cell>
          <cell r="C4389">
            <v>0</v>
          </cell>
          <cell r="D4389">
            <v>0</v>
          </cell>
          <cell r="E4389">
            <v>0</v>
          </cell>
          <cell r="F4389">
            <v>27855.21</v>
          </cell>
          <cell r="G4389">
            <v>0</v>
          </cell>
          <cell r="H4389">
            <v>0</v>
          </cell>
          <cell r="I4389">
            <v>0</v>
          </cell>
          <cell r="J4389">
            <v>0</v>
          </cell>
          <cell r="K4389">
            <v>0</v>
          </cell>
          <cell r="L4389">
            <v>21767</v>
          </cell>
          <cell r="M4389">
            <v>0</v>
          </cell>
          <cell r="N4389">
            <v>0</v>
          </cell>
          <cell r="O4389">
            <v>0</v>
          </cell>
        </row>
        <row r="4390">
          <cell r="A4390" t="str">
            <v>HQALLOCATED COST OF PREFERRED EQUITY</v>
          </cell>
          <cell r="B4390">
            <v>-8992.89</v>
          </cell>
          <cell r="C4390">
            <v>-2744.67</v>
          </cell>
          <cell r="D4390">
            <v>0</v>
          </cell>
          <cell r="E4390">
            <v>-3165.19</v>
          </cell>
          <cell r="F4390">
            <v>-14902.75</v>
          </cell>
          <cell r="G4390">
            <v>0</v>
          </cell>
          <cell r="H4390">
            <v>0</v>
          </cell>
          <cell r="I4390">
            <v>0</v>
          </cell>
          <cell r="J4390">
            <v>0</v>
          </cell>
          <cell r="K4390">
            <v>0</v>
          </cell>
          <cell r="L4390">
            <v>-2963.25</v>
          </cell>
          <cell r="M4390">
            <v>-21238.624469999999</v>
          </cell>
          <cell r="N4390">
            <v>-22300.555692999998</v>
          </cell>
          <cell r="O4390">
            <v>-23415.583478</v>
          </cell>
        </row>
        <row r="4391">
          <cell r="A4391" t="str">
            <v>HQSALARIES &amp; BENEFITS</v>
          </cell>
          <cell r="B4391">
            <v>10475155.800000001</v>
          </cell>
          <cell r="C4391">
            <v>11122075.9</v>
          </cell>
          <cell r="D4391">
            <v>9680528.8499999996</v>
          </cell>
          <cell r="E4391">
            <v>11248232.720000001</v>
          </cell>
          <cell r="F4391">
            <v>42525993.270000003</v>
          </cell>
          <cell r="G4391">
            <v>12269881.464956</v>
          </cell>
          <cell r="H4391">
            <v>11593785.38683</v>
          </cell>
          <cell r="I4391">
            <v>12383214.790121</v>
          </cell>
          <cell r="J4391">
            <v>11420014.723331001</v>
          </cell>
          <cell r="K4391">
            <v>47666896.365239002</v>
          </cell>
          <cell r="L4391">
            <v>13495020.300000001</v>
          </cell>
          <cell r="M4391">
            <v>41984111.261524998</v>
          </cell>
          <cell r="N4391">
            <v>44083316.824601002</v>
          </cell>
          <cell r="O4391">
            <v>46287482.665831</v>
          </cell>
        </row>
        <row r="4392">
          <cell r="A4392" t="str">
            <v>HQLOSSES ON OTHER ASSETS</v>
          </cell>
          <cell r="B4392">
            <v>0</v>
          </cell>
          <cell r="C4392">
            <v>0</v>
          </cell>
          <cell r="D4392">
            <v>0</v>
          </cell>
          <cell r="E4392">
            <v>0</v>
          </cell>
          <cell r="F4392">
            <v>0</v>
          </cell>
          <cell r="G4392">
            <v>0</v>
          </cell>
          <cell r="H4392">
            <v>0</v>
          </cell>
          <cell r="I4392">
            <v>0</v>
          </cell>
          <cell r="J4392">
            <v>0</v>
          </cell>
          <cell r="K4392">
            <v>0</v>
          </cell>
          <cell r="L4392">
            <v>0</v>
          </cell>
          <cell r="M4392">
            <v>0</v>
          </cell>
          <cell r="N4392">
            <v>0</v>
          </cell>
          <cell r="O4392">
            <v>0</v>
          </cell>
        </row>
        <row r="4393">
          <cell r="A4393" t="str">
            <v>HQCOST OF GOODS SOLD</v>
          </cell>
          <cell r="B4393">
            <v>0</v>
          </cell>
          <cell r="C4393">
            <v>0</v>
          </cell>
          <cell r="D4393">
            <v>0</v>
          </cell>
          <cell r="E4393">
            <v>0</v>
          </cell>
          <cell r="F4393">
            <v>0</v>
          </cell>
          <cell r="G4393">
            <v>0</v>
          </cell>
          <cell r="H4393">
            <v>0</v>
          </cell>
          <cell r="I4393">
            <v>0</v>
          </cell>
          <cell r="J4393">
            <v>0</v>
          </cell>
          <cell r="K4393">
            <v>0</v>
          </cell>
          <cell r="L4393">
            <v>0</v>
          </cell>
          <cell r="M4393">
            <v>0</v>
          </cell>
          <cell r="N4393">
            <v>0</v>
          </cell>
          <cell r="O4393">
            <v>0</v>
          </cell>
        </row>
        <row r="4394">
          <cell r="A4394" t="str">
            <v>HQCOST OF GOODS SOLD - DISTRIBUTION</v>
          </cell>
          <cell r="B4394">
            <v>0</v>
          </cell>
          <cell r="C4394">
            <v>0</v>
          </cell>
          <cell r="D4394">
            <v>0</v>
          </cell>
          <cell r="E4394">
            <v>0</v>
          </cell>
          <cell r="F4394">
            <v>0</v>
          </cell>
          <cell r="G4394">
            <v>0</v>
          </cell>
          <cell r="H4394">
            <v>0</v>
          </cell>
          <cell r="I4394">
            <v>0</v>
          </cell>
          <cell r="J4394">
            <v>0</v>
          </cell>
          <cell r="K4394">
            <v>0</v>
          </cell>
          <cell r="L4394">
            <v>0</v>
          </cell>
          <cell r="M4394">
            <v>0</v>
          </cell>
          <cell r="N4394">
            <v>0</v>
          </cell>
          <cell r="O4394">
            <v>0</v>
          </cell>
        </row>
        <row r="4395">
          <cell r="A4395" t="str">
            <v>HQPOSTAGE</v>
          </cell>
          <cell r="B4395">
            <v>8926.9</v>
          </cell>
          <cell r="C4395">
            <v>21320.34</v>
          </cell>
          <cell r="D4395">
            <v>19283.849999999999</v>
          </cell>
          <cell r="E4395">
            <v>8123.35</v>
          </cell>
          <cell r="F4395">
            <v>57654.44</v>
          </cell>
          <cell r="G4395">
            <v>11637.5</v>
          </cell>
          <cell r="H4395">
            <v>11637.5</v>
          </cell>
          <cell r="I4395">
            <v>11637.5</v>
          </cell>
          <cell r="J4395">
            <v>11637.5</v>
          </cell>
          <cell r="K4395">
            <v>46550</v>
          </cell>
          <cell r="L4395">
            <v>8839.89</v>
          </cell>
          <cell r="M4395">
            <v>75922.350000000006</v>
          </cell>
          <cell r="N4395">
            <v>79718.467499999999</v>
          </cell>
          <cell r="O4395">
            <v>83704.390874999997</v>
          </cell>
        </row>
        <row r="4396">
          <cell r="A4396" t="str">
            <v>HQTELEPHONE</v>
          </cell>
          <cell r="B4396">
            <v>422217.76</v>
          </cell>
          <cell r="C4396">
            <v>332351.96999999997</v>
          </cell>
          <cell r="D4396">
            <v>395120.83</v>
          </cell>
          <cell r="E4396">
            <v>234336.33</v>
          </cell>
          <cell r="F4396">
            <v>1384026.89</v>
          </cell>
          <cell r="G4396">
            <v>254000</v>
          </cell>
          <cell r="H4396">
            <v>254000</v>
          </cell>
          <cell r="I4396">
            <v>254000</v>
          </cell>
          <cell r="J4396">
            <v>254000</v>
          </cell>
          <cell r="K4396">
            <v>1016000</v>
          </cell>
          <cell r="L4396">
            <v>269245.82</v>
          </cell>
          <cell r="M4396">
            <v>837645.09400000004</v>
          </cell>
          <cell r="N4396">
            <v>879527.34869999997</v>
          </cell>
          <cell r="O4396">
            <v>923503.716135</v>
          </cell>
        </row>
        <row r="4397">
          <cell r="A4397" t="str">
            <v>HQCUSTOMER SERVICE / COLLECTIONS</v>
          </cell>
          <cell r="B4397">
            <v>215.19</v>
          </cell>
          <cell r="C4397">
            <v>587.41</v>
          </cell>
          <cell r="D4397">
            <v>958.59</v>
          </cell>
          <cell r="E4397">
            <v>0</v>
          </cell>
          <cell r="F4397">
            <v>1761.19</v>
          </cell>
          <cell r="G4397">
            <v>0</v>
          </cell>
          <cell r="H4397">
            <v>0</v>
          </cell>
          <cell r="I4397">
            <v>0</v>
          </cell>
          <cell r="J4397">
            <v>0</v>
          </cell>
          <cell r="K4397">
            <v>0</v>
          </cell>
          <cell r="L4397">
            <v>0</v>
          </cell>
          <cell r="M4397">
            <v>225.9495</v>
          </cell>
          <cell r="N4397">
            <v>237.24697499999999</v>
          </cell>
          <cell r="O4397">
            <v>249.10932399999999</v>
          </cell>
        </row>
        <row r="4398">
          <cell r="A4398" t="str">
            <v>HQSTATIONARY - OFFICE SUPPLIES</v>
          </cell>
          <cell r="B4398">
            <v>70759.59</v>
          </cell>
          <cell r="C4398">
            <v>13721</v>
          </cell>
          <cell r="D4398">
            <v>15192.65</v>
          </cell>
          <cell r="E4398">
            <v>52605.13</v>
          </cell>
          <cell r="F4398">
            <v>152278.37</v>
          </cell>
          <cell r="G4398">
            <v>52625</v>
          </cell>
          <cell r="H4398">
            <v>22625</v>
          </cell>
          <cell r="I4398">
            <v>22625</v>
          </cell>
          <cell r="J4398">
            <v>22625</v>
          </cell>
          <cell r="K4398">
            <v>120500</v>
          </cell>
          <cell r="L4398">
            <v>29917.46</v>
          </cell>
          <cell r="M4398">
            <v>176516.9595</v>
          </cell>
          <cell r="N4398">
            <v>185342.80747500001</v>
          </cell>
          <cell r="O4398">
            <v>194609.94784899999</v>
          </cell>
        </row>
        <row r="4399">
          <cell r="A4399" t="str">
            <v>HQT&amp;L</v>
          </cell>
          <cell r="B4399">
            <v>2062593.84</v>
          </cell>
          <cell r="C4399">
            <v>2641922.66</v>
          </cell>
          <cell r="D4399">
            <v>1947067.14</v>
          </cell>
          <cell r="E4399">
            <v>2623589.98</v>
          </cell>
          <cell r="F4399">
            <v>9275173.6199999992</v>
          </cell>
          <cell r="G4399">
            <v>2542674.1666669999</v>
          </cell>
          <cell r="H4399">
            <v>2542674.1666669999</v>
          </cell>
          <cell r="I4399">
            <v>2954674.1666669999</v>
          </cell>
          <cell r="J4399">
            <v>2554674.1666669999</v>
          </cell>
          <cell r="K4399">
            <v>10594696.666666999</v>
          </cell>
          <cell r="L4399">
            <v>2955972.3</v>
          </cell>
          <cell r="M4399">
            <v>11674921.682813</v>
          </cell>
          <cell r="N4399">
            <v>12258667.766953001</v>
          </cell>
          <cell r="O4399">
            <v>12871601.155301001</v>
          </cell>
        </row>
        <row r="4400">
          <cell r="A4400" t="str">
            <v>HQRENTAL - BLDG/FACILITIES</v>
          </cell>
          <cell r="B4400">
            <v>233070.37</v>
          </cell>
          <cell r="C4400">
            <v>243926.8</v>
          </cell>
          <cell r="D4400">
            <v>175028.23</v>
          </cell>
          <cell r="E4400">
            <v>-285703.43</v>
          </cell>
          <cell r="F4400">
            <v>366321.97</v>
          </cell>
          <cell r="G4400">
            <v>556535</v>
          </cell>
          <cell r="H4400">
            <v>556535</v>
          </cell>
          <cell r="I4400">
            <v>712035</v>
          </cell>
          <cell r="J4400">
            <v>438035</v>
          </cell>
          <cell r="K4400">
            <v>2263140</v>
          </cell>
          <cell r="L4400">
            <v>108794.03</v>
          </cell>
          <cell r="M4400">
            <v>3502800.0965999998</v>
          </cell>
          <cell r="N4400">
            <v>3677940.1014299998</v>
          </cell>
          <cell r="O4400">
            <v>3861837.106501</v>
          </cell>
        </row>
        <row r="4401">
          <cell r="A4401" t="str">
            <v>HQRENTAL - FURNITURE/EQUIP</v>
          </cell>
          <cell r="B4401">
            <v>40425.160000000003</v>
          </cell>
          <cell r="C4401">
            <v>27609.88</v>
          </cell>
          <cell r="D4401">
            <v>45960.58</v>
          </cell>
          <cell r="E4401">
            <v>14374.4</v>
          </cell>
          <cell r="F4401">
            <v>128370.02</v>
          </cell>
          <cell r="G4401">
            <v>0</v>
          </cell>
          <cell r="H4401">
            <v>0</v>
          </cell>
          <cell r="I4401">
            <v>0</v>
          </cell>
          <cell r="J4401">
            <v>0</v>
          </cell>
          <cell r="K4401">
            <v>0</v>
          </cell>
          <cell r="L4401">
            <v>13924.37</v>
          </cell>
          <cell r="M4401">
            <v>42446.417999999998</v>
          </cell>
          <cell r="N4401">
            <v>44568.738899999997</v>
          </cell>
          <cell r="O4401">
            <v>46797.175844999998</v>
          </cell>
        </row>
        <row r="4402">
          <cell r="A4402" t="str">
            <v>HQRENTAL - COMPUTERS</v>
          </cell>
          <cell r="B4402">
            <v>30022.31</v>
          </cell>
          <cell r="C4402">
            <v>36697.33</v>
          </cell>
          <cell r="D4402">
            <v>34671.24</v>
          </cell>
          <cell r="E4402">
            <v>39880.199999999997</v>
          </cell>
          <cell r="F4402">
            <v>141271.07999999999</v>
          </cell>
          <cell r="G4402">
            <v>0</v>
          </cell>
          <cell r="H4402">
            <v>0</v>
          </cell>
          <cell r="I4402">
            <v>0</v>
          </cell>
          <cell r="J4402">
            <v>0</v>
          </cell>
          <cell r="K4402">
            <v>0</v>
          </cell>
          <cell r="L4402">
            <v>35162.21</v>
          </cell>
          <cell r="M4402">
            <v>31523.425500000001</v>
          </cell>
          <cell r="N4402">
            <v>33099.596774999998</v>
          </cell>
          <cell r="O4402">
            <v>34754.576613999998</v>
          </cell>
        </row>
        <row r="4403">
          <cell r="A4403" t="str">
            <v>HQLEASE IN - LEASE OUT</v>
          </cell>
          <cell r="B4403">
            <v>0</v>
          </cell>
          <cell r="C4403">
            <v>0</v>
          </cell>
          <cell r="D4403">
            <v>0</v>
          </cell>
          <cell r="E4403">
            <v>0</v>
          </cell>
          <cell r="F4403">
            <v>0</v>
          </cell>
          <cell r="G4403">
            <v>0</v>
          </cell>
          <cell r="H4403">
            <v>0</v>
          </cell>
          <cell r="I4403">
            <v>0</v>
          </cell>
          <cell r="J4403">
            <v>0</v>
          </cell>
          <cell r="K4403">
            <v>0</v>
          </cell>
          <cell r="L4403">
            <v>0</v>
          </cell>
          <cell r="M4403">
            <v>0</v>
          </cell>
          <cell r="N4403">
            <v>0</v>
          </cell>
          <cell r="O4403">
            <v>0</v>
          </cell>
        </row>
        <row r="4404">
          <cell r="A4404" t="str">
            <v>HQFURNITURE / EQUIPMENT / COMPUTER EXP</v>
          </cell>
          <cell r="B4404">
            <v>674218.42</v>
          </cell>
          <cell r="C4404">
            <v>252904.18</v>
          </cell>
          <cell r="D4404">
            <v>601257.67000000004</v>
          </cell>
          <cell r="E4404">
            <v>747196.66</v>
          </cell>
          <cell r="F4404">
            <v>2275576.9300000002</v>
          </cell>
          <cell r="G4404">
            <v>25725</v>
          </cell>
          <cell r="H4404">
            <v>25725</v>
          </cell>
          <cell r="I4404">
            <v>25725</v>
          </cell>
          <cell r="J4404">
            <v>25725</v>
          </cell>
          <cell r="K4404">
            <v>102900</v>
          </cell>
          <cell r="L4404">
            <v>791320.94</v>
          </cell>
          <cell r="M4404">
            <v>797603.926875</v>
          </cell>
          <cell r="N4404">
            <v>837484.12321899994</v>
          </cell>
          <cell r="O4404">
            <v>879358.32938000001</v>
          </cell>
        </row>
        <row r="4405">
          <cell r="A4405" t="str">
            <v>HQSOFTWARE EXPENSE</v>
          </cell>
          <cell r="B4405">
            <v>50000</v>
          </cell>
          <cell r="C4405">
            <v>117888.79</v>
          </cell>
          <cell r="D4405">
            <v>-87998.93</v>
          </cell>
          <cell r="E4405">
            <v>336242.5</v>
          </cell>
          <cell r="F4405">
            <v>416132.36</v>
          </cell>
          <cell r="G4405">
            <v>642631.75</v>
          </cell>
          <cell r="H4405">
            <v>642631.75</v>
          </cell>
          <cell r="I4405">
            <v>642631.75</v>
          </cell>
          <cell r="J4405">
            <v>642631.75</v>
          </cell>
          <cell r="K4405">
            <v>2570527</v>
          </cell>
          <cell r="L4405">
            <v>200321.89</v>
          </cell>
          <cell r="M4405">
            <v>4644952.8090000004</v>
          </cell>
          <cell r="N4405">
            <v>4877200.4494500002</v>
          </cell>
          <cell r="O4405">
            <v>5121060.4719230002</v>
          </cell>
        </row>
        <row r="4406">
          <cell r="A4406" t="str">
            <v>HQAMORTIZATION OF INTANGIBLES</v>
          </cell>
          <cell r="B4406">
            <v>1122123.98</v>
          </cell>
          <cell r="C4406">
            <v>1040237.49</v>
          </cell>
          <cell r="D4406">
            <v>982766.24</v>
          </cell>
          <cell r="E4406">
            <v>900167.44</v>
          </cell>
          <cell r="F4406">
            <v>4045295.15</v>
          </cell>
          <cell r="G4406">
            <v>0</v>
          </cell>
          <cell r="H4406">
            <v>0</v>
          </cell>
          <cell r="I4406">
            <v>0</v>
          </cell>
          <cell r="J4406">
            <v>0</v>
          </cell>
          <cell r="K4406">
            <v>0</v>
          </cell>
          <cell r="L4406">
            <v>682425.9</v>
          </cell>
          <cell r="M4406">
            <v>3.15</v>
          </cell>
          <cell r="N4406">
            <v>3.3075000000000001</v>
          </cell>
          <cell r="O4406">
            <v>3.4728750000000002</v>
          </cell>
        </row>
        <row r="4407">
          <cell r="A4407" t="str">
            <v>HQELTO MAINTENANCE</v>
          </cell>
          <cell r="B4407">
            <v>24604.62</v>
          </cell>
          <cell r="C4407">
            <v>15021.86</v>
          </cell>
          <cell r="D4407">
            <v>22899.919999999998</v>
          </cell>
          <cell r="E4407">
            <v>12921.19</v>
          </cell>
          <cell r="F4407">
            <v>75447.59</v>
          </cell>
          <cell r="G4407">
            <v>0</v>
          </cell>
          <cell r="H4407">
            <v>0</v>
          </cell>
          <cell r="I4407">
            <v>0</v>
          </cell>
          <cell r="J4407">
            <v>0</v>
          </cell>
          <cell r="K4407">
            <v>0</v>
          </cell>
          <cell r="L4407">
            <v>3269.34</v>
          </cell>
          <cell r="M4407">
            <v>25834.850999999999</v>
          </cell>
          <cell r="N4407">
            <v>27126.593550000001</v>
          </cell>
          <cell r="O4407">
            <v>28482.923228</v>
          </cell>
        </row>
        <row r="4408">
          <cell r="A4408" t="str">
            <v>HQELTO OTHER</v>
          </cell>
          <cell r="B4408">
            <v>0</v>
          </cell>
          <cell r="C4408">
            <v>0</v>
          </cell>
          <cell r="D4408">
            <v>0</v>
          </cell>
          <cell r="E4408">
            <v>0</v>
          </cell>
          <cell r="F4408">
            <v>0</v>
          </cell>
          <cell r="G4408">
            <v>0</v>
          </cell>
          <cell r="H4408">
            <v>0</v>
          </cell>
          <cell r="I4408">
            <v>0</v>
          </cell>
          <cell r="J4408">
            <v>0</v>
          </cell>
          <cell r="K4408">
            <v>0</v>
          </cell>
          <cell r="L4408">
            <v>0</v>
          </cell>
          <cell r="M4408">
            <v>0</v>
          </cell>
          <cell r="N4408">
            <v>0</v>
          </cell>
          <cell r="O4408">
            <v>0</v>
          </cell>
        </row>
        <row r="4409">
          <cell r="A4409" t="str">
            <v>HQLEGAL</v>
          </cell>
          <cell r="B4409">
            <v>306023.43</v>
          </cell>
          <cell r="C4409">
            <v>66723.399999999994</v>
          </cell>
          <cell r="D4409">
            <v>869869.68</v>
          </cell>
          <cell r="E4409">
            <v>240794.69</v>
          </cell>
          <cell r="F4409">
            <v>1483411.2</v>
          </cell>
          <cell r="G4409">
            <v>241375</v>
          </cell>
          <cell r="H4409">
            <v>241375</v>
          </cell>
          <cell r="I4409">
            <v>241375</v>
          </cell>
          <cell r="J4409">
            <v>241375</v>
          </cell>
          <cell r="K4409">
            <v>965500</v>
          </cell>
          <cell r="L4409">
            <v>-64976.49</v>
          </cell>
          <cell r="M4409">
            <v>567024.60149999999</v>
          </cell>
          <cell r="N4409">
            <v>595375.83157499996</v>
          </cell>
          <cell r="O4409">
            <v>625144.62315400003</v>
          </cell>
        </row>
        <row r="4410">
          <cell r="A4410" t="str">
            <v>HQADVERTISING</v>
          </cell>
          <cell r="B4410">
            <v>2666.25</v>
          </cell>
          <cell r="C4410">
            <v>1492.78</v>
          </cell>
          <cell r="D4410">
            <v>0</v>
          </cell>
          <cell r="E4410">
            <v>0</v>
          </cell>
          <cell r="F4410">
            <v>4159.03</v>
          </cell>
          <cell r="G4410">
            <v>0</v>
          </cell>
          <cell r="H4410">
            <v>0</v>
          </cell>
          <cell r="I4410">
            <v>0</v>
          </cell>
          <cell r="J4410">
            <v>0</v>
          </cell>
          <cell r="K4410">
            <v>0</v>
          </cell>
          <cell r="L4410">
            <v>132.5</v>
          </cell>
          <cell r="M4410">
            <v>2799.5625</v>
          </cell>
          <cell r="N4410">
            <v>2939.5406250000001</v>
          </cell>
          <cell r="O4410">
            <v>3086.517656</v>
          </cell>
        </row>
        <row r="4411">
          <cell r="A4411" t="str">
            <v>HQSALES PROMOTIONS</v>
          </cell>
          <cell r="B4411">
            <v>1907.45</v>
          </cell>
          <cell r="C4411">
            <v>3977.6</v>
          </cell>
          <cell r="D4411">
            <v>2660.68</v>
          </cell>
          <cell r="E4411">
            <v>13110.86</v>
          </cell>
          <cell r="F4411">
            <v>21656.59</v>
          </cell>
          <cell r="G4411">
            <v>999.66666699999996</v>
          </cell>
          <cell r="H4411">
            <v>1000</v>
          </cell>
          <cell r="I4411">
            <v>1000</v>
          </cell>
          <cell r="J4411">
            <v>1000</v>
          </cell>
          <cell r="K4411">
            <v>3999.666667</v>
          </cell>
          <cell r="L4411">
            <v>28253.82</v>
          </cell>
          <cell r="M4411">
            <v>17703.4725</v>
          </cell>
          <cell r="N4411">
            <v>18588.646124999999</v>
          </cell>
          <cell r="O4411">
            <v>19518.078431000002</v>
          </cell>
        </row>
        <row r="4412">
          <cell r="A4412" t="str">
            <v>HQDIRECT MAIL</v>
          </cell>
          <cell r="B4412">
            <v>0</v>
          </cell>
          <cell r="C4412">
            <v>0</v>
          </cell>
          <cell r="D4412">
            <v>0</v>
          </cell>
          <cell r="E4412">
            <v>0</v>
          </cell>
          <cell r="F4412">
            <v>0</v>
          </cell>
          <cell r="G4412">
            <v>0</v>
          </cell>
          <cell r="H4412">
            <v>0</v>
          </cell>
          <cell r="I4412">
            <v>0</v>
          </cell>
          <cell r="J4412">
            <v>0</v>
          </cell>
          <cell r="K4412">
            <v>0</v>
          </cell>
          <cell r="L4412">
            <v>0</v>
          </cell>
          <cell r="M4412">
            <v>0</v>
          </cell>
          <cell r="N4412">
            <v>0</v>
          </cell>
          <cell r="O4412">
            <v>0</v>
          </cell>
        </row>
        <row r="4413">
          <cell r="A4413" t="str">
            <v>HQDATA PROCESSING</v>
          </cell>
          <cell r="B4413">
            <v>3600717.79</v>
          </cell>
          <cell r="C4413">
            <v>-5330342.53</v>
          </cell>
          <cell r="D4413">
            <v>301711.65999999997</v>
          </cell>
          <cell r="E4413">
            <v>185516.07</v>
          </cell>
          <cell r="F4413">
            <v>-1242397.01</v>
          </cell>
          <cell r="G4413">
            <v>177678.52499999999</v>
          </cell>
          <cell r="H4413">
            <v>177678.52499999999</v>
          </cell>
          <cell r="I4413">
            <v>177678.52499999999</v>
          </cell>
          <cell r="J4413">
            <v>177678.52499999999</v>
          </cell>
          <cell r="K4413">
            <v>710714.1</v>
          </cell>
          <cell r="L4413">
            <v>-363131.75</v>
          </cell>
          <cell r="M4413">
            <v>1652075.8697269999</v>
          </cell>
          <cell r="N4413">
            <v>1734679.6632129999</v>
          </cell>
          <cell r="O4413">
            <v>1821413.646374</v>
          </cell>
        </row>
        <row r="4414">
          <cell r="A4414" t="str">
            <v>HQCONSULTING</v>
          </cell>
          <cell r="B4414">
            <v>1244961.8899999999</v>
          </cell>
          <cell r="C4414">
            <v>-1164365</v>
          </cell>
          <cell r="D4414">
            <v>11982.77</v>
          </cell>
          <cell r="E4414">
            <v>39501.33</v>
          </cell>
          <cell r="F4414">
            <v>132080.99</v>
          </cell>
          <cell r="G4414">
            <v>0</v>
          </cell>
          <cell r="H4414">
            <v>0</v>
          </cell>
          <cell r="I4414">
            <v>0</v>
          </cell>
          <cell r="J4414">
            <v>0</v>
          </cell>
          <cell r="K4414">
            <v>0</v>
          </cell>
          <cell r="L4414">
            <v>40142.080000000002</v>
          </cell>
          <cell r="M4414">
            <v>1307209.9845</v>
          </cell>
          <cell r="N4414">
            <v>1372570.4837249999</v>
          </cell>
          <cell r="O4414">
            <v>1441199.0079109999</v>
          </cell>
        </row>
        <row r="4415">
          <cell r="A4415" t="str">
            <v>HQTEMP SERVICES</v>
          </cell>
          <cell r="B4415">
            <v>2562549.1800000002</v>
          </cell>
          <cell r="C4415">
            <v>-914134.23</v>
          </cell>
          <cell r="D4415">
            <v>1403559.09</v>
          </cell>
          <cell r="E4415">
            <v>3655947.58</v>
          </cell>
          <cell r="F4415">
            <v>6707921.6200000001</v>
          </cell>
          <cell r="G4415">
            <v>0</v>
          </cell>
          <cell r="H4415">
            <v>0</v>
          </cell>
          <cell r="I4415">
            <v>0</v>
          </cell>
          <cell r="J4415">
            <v>0</v>
          </cell>
          <cell r="K4415">
            <v>0</v>
          </cell>
          <cell r="L4415">
            <v>-848868.52</v>
          </cell>
          <cell r="M4415">
            <v>2690676.639</v>
          </cell>
          <cell r="N4415">
            <v>2825210.47095</v>
          </cell>
          <cell r="O4415">
            <v>2966470.994498</v>
          </cell>
        </row>
        <row r="4416">
          <cell r="A4416" t="str">
            <v>HQGDC CHARGES</v>
          </cell>
          <cell r="B4416">
            <v>0</v>
          </cell>
          <cell r="C4416">
            <v>0</v>
          </cell>
          <cell r="D4416">
            <v>1719544.86</v>
          </cell>
          <cell r="E4416">
            <v>-928416.9</v>
          </cell>
          <cell r="F4416">
            <v>791127.96</v>
          </cell>
          <cell r="G4416">
            <v>1632123.75</v>
          </cell>
          <cell r="H4416">
            <v>1632123.75</v>
          </cell>
          <cell r="I4416">
            <v>1632123.75</v>
          </cell>
          <cell r="J4416">
            <v>1632123.75</v>
          </cell>
          <cell r="K4416">
            <v>6528495</v>
          </cell>
          <cell r="L4416">
            <v>1176121.7</v>
          </cell>
          <cell r="M4416">
            <v>0</v>
          </cell>
          <cell r="N4416">
            <v>0</v>
          </cell>
          <cell r="O4416">
            <v>0</v>
          </cell>
        </row>
        <row r="4417">
          <cell r="A4417" t="str">
            <v>HQTRAINING AND EDUCATION</v>
          </cell>
          <cell r="B4417">
            <v>21512.3</v>
          </cell>
          <cell r="C4417">
            <v>350.5</v>
          </cell>
          <cell r="D4417">
            <v>-350.5</v>
          </cell>
          <cell r="E4417">
            <v>0</v>
          </cell>
          <cell r="F4417">
            <v>21512.3</v>
          </cell>
          <cell r="G4417">
            <v>0</v>
          </cell>
          <cell r="H4417">
            <v>0</v>
          </cell>
          <cell r="I4417">
            <v>0</v>
          </cell>
          <cell r="J4417">
            <v>0</v>
          </cell>
          <cell r="K4417">
            <v>0</v>
          </cell>
          <cell r="L4417">
            <v>0</v>
          </cell>
          <cell r="M4417">
            <v>22587.915000000001</v>
          </cell>
          <cell r="N4417">
            <v>23717.310750000001</v>
          </cell>
          <cell r="O4417">
            <v>24903.176287999999</v>
          </cell>
        </row>
        <row r="4418">
          <cell r="A4418" t="str">
            <v>HQOUTSIDE SERVICES  AND FEES</v>
          </cell>
          <cell r="B4418">
            <v>-83106.929999999993</v>
          </cell>
          <cell r="C4418">
            <v>21485.39</v>
          </cell>
          <cell r="D4418">
            <v>212499.05</v>
          </cell>
          <cell r="E4418">
            <v>394853.5</v>
          </cell>
          <cell r="F4418">
            <v>545731.01</v>
          </cell>
          <cell r="G4418">
            <v>2346733.5</v>
          </cell>
          <cell r="H4418">
            <v>2374233.5</v>
          </cell>
          <cell r="I4418">
            <v>2339233.5</v>
          </cell>
          <cell r="J4418">
            <v>2301733.5</v>
          </cell>
          <cell r="K4418">
            <v>9361934</v>
          </cell>
          <cell r="L4418">
            <v>1540039.34</v>
          </cell>
          <cell r="M4418">
            <v>10722844.274625</v>
          </cell>
          <cell r="N4418">
            <v>11258986.488356</v>
          </cell>
          <cell r="O4418">
            <v>11821935.812774001</v>
          </cell>
        </row>
        <row r="4419">
          <cell r="A4419" t="str">
            <v>HQSTATE, FOREIGN, LOCAL TAXES</v>
          </cell>
          <cell r="B4419">
            <v>1715892.75</v>
          </cell>
          <cell r="C4419">
            <v>6336519.0700000003</v>
          </cell>
          <cell r="D4419">
            <v>-630780.5</v>
          </cell>
          <cell r="E4419">
            <v>-454896.79</v>
          </cell>
          <cell r="F4419">
            <v>6966734.5300000003</v>
          </cell>
          <cell r="G4419">
            <v>2261369.9862179998</v>
          </cell>
          <cell r="H4419">
            <v>2261369.9862179998</v>
          </cell>
          <cell r="I4419">
            <v>2261369.9862179998</v>
          </cell>
          <cell r="J4419">
            <v>2261369.9862179998</v>
          </cell>
          <cell r="K4419">
            <v>9045479.9448709991</v>
          </cell>
          <cell r="L4419">
            <v>2122005.5099999998</v>
          </cell>
          <cell r="M4419">
            <v>7251831.134416</v>
          </cell>
          <cell r="N4419">
            <v>7614422.691137</v>
          </cell>
          <cell r="O4419">
            <v>7995143.8256940003</v>
          </cell>
        </row>
        <row r="4420">
          <cell r="A4420" t="str">
            <v>HQS/L TAX - INSURANCE PREMIUMS</v>
          </cell>
          <cell r="B4420">
            <v>0</v>
          </cell>
          <cell r="C4420">
            <v>0</v>
          </cell>
          <cell r="D4420">
            <v>0</v>
          </cell>
          <cell r="E4420">
            <v>0</v>
          </cell>
          <cell r="F4420">
            <v>0</v>
          </cell>
          <cell r="G4420">
            <v>0</v>
          </cell>
          <cell r="H4420">
            <v>0</v>
          </cell>
          <cell r="I4420">
            <v>0</v>
          </cell>
          <cell r="J4420">
            <v>0</v>
          </cell>
          <cell r="K4420">
            <v>0</v>
          </cell>
          <cell r="L4420">
            <v>0</v>
          </cell>
          <cell r="M4420">
            <v>0</v>
          </cell>
          <cell r="N4420">
            <v>0</v>
          </cell>
          <cell r="O4420">
            <v>0</v>
          </cell>
        </row>
        <row r="4421">
          <cell r="A4421" t="str">
            <v>HQSATELLITE LEASE EXPENSE</v>
          </cell>
          <cell r="B4421">
            <v>0</v>
          </cell>
          <cell r="C4421">
            <v>0</v>
          </cell>
          <cell r="D4421">
            <v>0</v>
          </cell>
          <cell r="E4421">
            <v>0</v>
          </cell>
          <cell r="F4421">
            <v>0</v>
          </cell>
          <cell r="G4421">
            <v>0</v>
          </cell>
          <cell r="H4421">
            <v>0</v>
          </cell>
          <cell r="I4421">
            <v>0</v>
          </cell>
          <cell r="J4421">
            <v>0</v>
          </cell>
          <cell r="K4421">
            <v>0</v>
          </cell>
          <cell r="L4421">
            <v>0</v>
          </cell>
          <cell r="M4421">
            <v>0</v>
          </cell>
          <cell r="N4421">
            <v>0</v>
          </cell>
          <cell r="O4421">
            <v>0</v>
          </cell>
        </row>
        <row r="4422">
          <cell r="A4422" t="str">
            <v>HQBUSINESS SHARE EXPENSE</v>
          </cell>
          <cell r="B4422">
            <v>0</v>
          </cell>
          <cell r="C4422">
            <v>0</v>
          </cell>
          <cell r="D4422">
            <v>0</v>
          </cell>
          <cell r="E4422">
            <v>0</v>
          </cell>
          <cell r="F4422">
            <v>0</v>
          </cell>
          <cell r="G4422">
            <v>0</v>
          </cell>
          <cell r="H4422">
            <v>0</v>
          </cell>
          <cell r="I4422">
            <v>0</v>
          </cell>
          <cell r="J4422">
            <v>0</v>
          </cell>
          <cell r="K4422">
            <v>0</v>
          </cell>
          <cell r="L4422">
            <v>0</v>
          </cell>
          <cell r="M4422">
            <v>0</v>
          </cell>
          <cell r="N4422">
            <v>0</v>
          </cell>
          <cell r="O4422">
            <v>0</v>
          </cell>
        </row>
        <row r="4423">
          <cell r="A4423" t="str">
            <v>HQINSURANCE AFFILIATE EXPENSE</v>
          </cell>
          <cell r="B4423">
            <v>0</v>
          </cell>
          <cell r="C4423">
            <v>0</v>
          </cell>
          <cell r="D4423">
            <v>0</v>
          </cell>
          <cell r="E4423">
            <v>0</v>
          </cell>
          <cell r="F4423">
            <v>0</v>
          </cell>
          <cell r="G4423">
            <v>0</v>
          </cell>
          <cell r="H4423">
            <v>0</v>
          </cell>
          <cell r="I4423">
            <v>0</v>
          </cell>
          <cell r="J4423">
            <v>0</v>
          </cell>
          <cell r="K4423">
            <v>0</v>
          </cell>
          <cell r="L4423">
            <v>0</v>
          </cell>
          <cell r="M4423">
            <v>0</v>
          </cell>
          <cell r="N4423">
            <v>0</v>
          </cell>
          <cell r="O4423">
            <v>0</v>
          </cell>
        </row>
        <row r="4424">
          <cell r="A4424" t="str">
            <v>HQOTHER FACILITY EXPENSE</v>
          </cell>
          <cell r="B4424">
            <v>546772.52</v>
          </cell>
          <cell r="C4424">
            <v>423149.68</v>
          </cell>
          <cell r="D4424">
            <v>474785.51</v>
          </cell>
          <cell r="E4424">
            <v>406851.8</v>
          </cell>
          <cell r="F4424">
            <v>1851559.51</v>
          </cell>
          <cell r="G4424">
            <v>0</v>
          </cell>
          <cell r="H4424">
            <v>0</v>
          </cell>
          <cell r="I4424">
            <v>0</v>
          </cell>
          <cell r="J4424">
            <v>0</v>
          </cell>
          <cell r="K4424">
            <v>0</v>
          </cell>
          <cell r="L4424">
            <v>377500.24</v>
          </cell>
          <cell r="M4424">
            <v>574111.14599999995</v>
          </cell>
          <cell r="N4424">
            <v>602816.70330000005</v>
          </cell>
          <cell r="O4424">
            <v>632957.53846499999</v>
          </cell>
        </row>
        <row r="4425">
          <cell r="A4425" t="str">
            <v>HQGROSS OP &amp; ADMIN BUS SHARE</v>
          </cell>
          <cell r="B4425">
            <v>-6812</v>
          </cell>
          <cell r="C4425">
            <v>-28332.25</v>
          </cell>
          <cell r="D4425">
            <v>-39288</v>
          </cell>
          <cell r="E4425">
            <v>-41161</v>
          </cell>
          <cell r="F4425">
            <v>-115593.25</v>
          </cell>
          <cell r="G4425">
            <v>0</v>
          </cell>
          <cell r="H4425">
            <v>0</v>
          </cell>
          <cell r="I4425">
            <v>0</v>
          </cell>
          <cell r="J4425">
            <v>0</v>
          </cell>
          <cell r="K4425">
            <v>0</v>
          </cell>
          <cell r="L4425">
            <v>-53625.57</v>
          </cell>
          <cell r="M4425">
            <v>-7152.6</v>
          </cell>
          <cell r="N4425">
            <v>-7510.23</v>
          </cell>
          <cell r="O4425">
            <v>-7885.7415000000001</v>
          </cell>
        </row>
        <row r="4426">
          <cell r="A4426" t="str">
            <v>HQOTHER EXPENSE</v>
          </cell>
          <cell r="B4426">
            <v>-7186115.7699999996</v>
          </cell>
          <cell r="C4426">
            <v>9751503.5399999991</v>
          </cell>
          <cell r="D4426">
            <v>-17766617.559999999</v>
          </cell>
          <cell r="E4426">
            <v>7168265.1399999997</v>
          </cell>
          <cell r="F4426">
            <v>-8032964.6500000004</v>
          </cell>
          <cell r="G4426">
            <v>391442.96666699997</v>
          </cell>
          <cell r="H4426">
            <v>569798.28333300003</v>
          </cell>
          <cell r="I4426">
            <v>889854.2</v>
          </cell>
          <cell r="J4426">
            <v>1586510.7923310001</v>
          </cell>
          <cell r="K4426">
            <v>3437606.242331</v>
          </cell>
          <cell r="L4426">
            <v>6307863.0300000003</v>
          </cell>
          <cell r="M4426">
            <v>-8007777.5188849997</v>
          </cell>
          <cell r="N4426">
            <v>3099615.4128629998</v>
          </cell>
          <cell r="O4426">
            <v>2957042.0258140001</v>
          </cell>
        </row>
        <row r="4427">
          <cell r="A4427" t="str">
            <v>HQGECC INTERCO EXPENSES EXCL GECIS</v>
          </cell>
          <cell r="B4427">
            <v>0</v>
          </cell>
          <cell r="C4427">
            <v>0</v>
          </cell>
          <cell r="D4427">
            <v>0</v>
          </cell>
          <cell r="E4427">
            <v>0</v>
          </cell>
          <cell r="F4427">
            <v>0</v>
          </cell>
          <cell r="G4427">
            <v>0</v>
          </cell>
          <cell r="H4427">
            <v>0</v>
          </cell>
          <cell r="I4427">
            <v>0</v>
          </cell>
          <cell r="J4427">
            <v>0</v>
          </cell>
          <cell r="K4427">
            <v>0</v>
          </cell>
          <cell r="L4427">
            <v>0</v>
          </cell>
          <cell r="M4427">
            <v>0</v>
          </cell>
          <cell r="N4427">
            <v>0</v>
          </cell>
          <cell r="O4427">
            <v>0</v>
          </cell>
        </row>
        <row r="4428">
          <cell r="A4428" t="str">
            <v>HQGECIS INTERCO CHARGES</v>
          </cell>
          <cell r="B4428">
            <v>32884.33</v>
          </cell>
          <cell r="C4428">
            <v>90519.82</v>
          </cell>
          <cell r="D4428">
            <v>66752.899999999994</v>
          </cell>
          <cell r="E4428">
            <v>92230.92</v>
          </cell>
          <cell r="F4428">
            <v>282387.96999999997</v>
          </cell>
          <cell r="G4428">
            <v>294418.33333300002</v>
          </cell>
          <cell r="H4428">
            <v>420752.09523799998</v>
          </cell>
          <cell r="I4428">
            <v>504161.61904800002</v>
          </cell>
          <cell r="J4428">
            <v>639894.95238100004</v>
          </cell>
          <cell r="K4428">
            <v>1859227</v>
          </cell>
          <cell r="L4428">
            <v>413078.41</v>
          </cell>
          <cell r="M4428">
            <v>34528.546499999997</v>
          </cell>
          <cell r="N4428">
            <v>36254.973825000001</v>
          </cell>
          <cell r="O4428">
            <v>38067.722516000002</v>
          </cell>
        </row>
        <row r="4429">
          <cell r="A4429" t="str">
            <v>HQLOSS ADJUSTED EXPENSE</v>
          </cell>
          <cell r="B4429">
            <v>0</v>
          </cell>
          <cell r="C4429">
            <v>0</v>
          </cell>
          <cell r="D4429">
            <v>0</v>
          </cell>
          <cell r="E4429">
            <v>0</v>
          </cell>
          <cell r="F4429">
            <v>0</v>
          </cell>
          <cell r="G4429">
            <v>0</v>
          </cell>
          <cell r="H4429">
            <v>0</v>
          </cell>
          <cell r="I4429">
            <v>0</v>
          </cell>
          <cell r="J4429">
            <v>0</v>
          </cell>
          <cell r="K4429">
            <v>0</v>
          </cell>
          <cell r="L4429">
            <v>0</v>
          </cell>
          <cell r="M4429">
            <v>0</v>
          </cell>
          <cell r="N4429">
            <v>0</v>
          </cell>
          <cell r="O4429">
            <v>0</v>
          </cell>
        </row>
        <row r="4430">
          <cell r="A4430" t="str">
            <v>HQALL OTHER EXPENSES</v>
          </cell>
          <cell r="B4430">
            <v>22241.77</v>
          </cell>
          <cell r="C4430">
            <v>18957.04</v>
          </cell>
          <cell r="D4430">
            <v>-1076.26</v>
          </cell>
          <cell r="E4430">
            <v>26547.73</v>
          </cell>
          <cell r="F4430">
            <v>66670.28</v>
          </cell>
          <cell r="G4430">
            <v>0</v>
          </cell>
          <cell r="H4430">
            <v>0</v>
          </cell>
          <cell r="I4430">
            <v>0</v>
          </cell>
          <cell r="J4430">
            <v>0</v>
          </cell>
          <cell r="K4430">
            <v>0</v>
          </cell>
          <cell r="L4430">
            <v>0.01</v>
          </cell>
          <cell r="M4430">
            <v>17313245.396961998</v>
          </cell>
          <cell r="N4430">
            <v>11130781.474501999</v>
          </cell>
          <cell r="O4430">
            <v>33790465.628996</v>
          </cell>
        </row>
        <row r="4431">
          <cell r="A4431" t="str">
            <v>HQASSESSMENTS</v>
          </cell>
          <cell r="B4431">
            <v>-11856374.02</v>
          </cell>
          <cell r="C4431">
            <v>-10486956.85</v>
          </cell>
          <cell r="D4431">
            <v>-9626561.75</v>
          </cell>
          <cell r="E4431">
            <v>-15285988.470000001</v>
          </cell>
          <cell r="F4431">
            <v>-47255881.090000004</v>
          </cell>
          <cell r="G4431">
            <v>-13409388.590376001</v>
          </cell>
          <cell r="H4431">
            <v>-14147107.297427</v>
          </cell>
          <cell r="I4431">
            <v>-20056121.658202</v>
          </cell>
          <cell r="J4431">
            <v>-23712822.412760999</v>
          </cell>
          <cell r="K4431">
            <v>-71325439.958765998</v>
          </cell>
          <cell r="L4431">
            <v>-23137655.379999999</v>
          </cell>
          <cell r="M4431">
            <v>-46959246.422669001</v>
          </cell>
          <cell r="N4431">
            <v>-55424239</v>
          </cell>
          <cell r="O4431">
            <v>-62150749.017494999</v>
          </cell>
        </row>
        <row r="4432">
          <cell r="A4432" t="str">
            <v>HQFAS 91</v>
          </cell>
          <cell r="B4432">
            <v>0</v>
          </cell>
          <cell r="C4432">
            <v>0</v>
          </cell>
          <cell r="D4432">
            <v>0</v>
          </cell>
          <cell r="E4432">
            <v>0</v>
          </cell>
          <cell r="F4432">
            <v>0</v>
          </cell>
          <cell r="G4432">
            <v>0</v>
          </cell>
          <cell r="H4432">
            <v>0</v>
          </cell>
          <cell r="I4432">
            <v>0</v>
          </cell>
          <cell r="J4432">
            <v>0</v>
          </cell>
          <cell r="K4432">
            <v>0</v>
          </cell>
          <cell r="L4432">
            <v>0</v>
          </cell>
          <cell r="M4432">
            <v>0</v>
          </cell>
          <cell r="N4432">
            <v>0</v>
          </cell>
          <cell r="O4432">
            <v>0</v>
          </cell>
        </row>
        <row r="4433">
          <cell r="A4433" t="str">
            <v>HQGOODWILL AMORTIZATION</v>
          </cell>
          <cell r="B4433">
            <v>0</v>
          </cell>
          <cell r="C4433">
            <v>0</v>
          </cell>
          <cell r="D4433">
            <v>0</v>
          </cell>
          <cell r="E4433">
            <v>0</v>
          </cell>
          <cell r="F4433">
            <v>0</v>
          </cell>
          <cell r="G4433">
            <v>0</v>
          </cell>
          <cell r="H4433">
            <v>0</v>
          </cell>
          <cell r="I4433">
            <v>0</v>
          </cell>
          <cell r="J4433">
            <v>0</v>
          </cell>
          <cell r="K4433">
            <v>0</v>
          </cell>
          <cell r="L4433">
            <v>0</v>
          </cell>
          <cell r="M4433">
            <v>0</v>
          </cell>
          <cell r="N4433">
            <v>0</v>
          </cell>
          <cell r="O4433">
            <v>0</v>
          </cell>
        </row>
        <row r="4434">
          <cell r="A4434" t="str">
            <v>HQDEPRECIATION EXPENSE</v>
          </cell>
          <cell r="B4434">
            <v>96107.58</v>
          </cell>
          <cell r="C4434">
            <v>386850.52</v>
          </cell>
          <cell r="D4434">
            <v>-9048.64</v>
          </cell>
          <cell r="E4434">
            <v>119743.24</v>
          </cell>
          <cell r="F4434">
            <v>593652.69999999995</v>
          </cell>
          <cell r="G4434">
            <v>153030.13333300001</v>
          </cell>
          <cell r="H4434">
            <v>153030.13333300001</v>
          </cell>
          <cell r="I4434">
            <v>530030.13333300001</v>
          </cell>
          <cell r="J4434">
            <v>223530.13333300001</v>
          </cell>
          <cell r="K4434">
            <v>1059620.533333</v>
          </cell>
          <cell r="L4434">
            <v>152522.85</v>
          </cell>
          <cell r="M4434">
            <v>532369.77587500005</v>
          </cell>
          <cell r="N4434">
            <v>558988.26466900005</v>
          </cell>
          <cell r="O4434">
            <v>586937.67790200002</v>
          </cell>
        </row>
        <row r="4435">
          <cell r="A4435" t="str">
            <v>HQELTO AMORTIZATION</v>
          </cell>
          <cell r="B4435">
            <v>0</v>
          </cell>
          <cell r="C4435">
            <v>0</v>
          </cell>
          <cell r="D4435">
            <v>0</v>
          </cell>
          <cell r="E4435">
            <v>0</v>
          </cell>
          <cell r="F4435">
            <v>0</v>
          </cell>
          <cell r="G4435">
            <v>0</v>
          </cell>
          <cell r="H4435">
            <v>0</v>
          </cell>
          <cell r="I4435">
            <v>0</v>
          </cell>
          <cell r="J4435">
            <v>0</v>
          </cell>
          <cell r="K4435">
            <v>0</v>
          </cell>
          <cell r="L4435">
            <v>0</v>
          </cell>
          <cell r="M4435">
            <v>0</v>
          </cell>
          <cell r="N4435">
            <v>0</v>
          </cell>
          <cell r="O4435">
            <v>0</v>
          </cell>
        </row>
        <row r="4436">
          <cell r="A4436" t="str">
            <v>HQINSURANCE LOSSES AND BENEFITS</v>
          </cell>
          <cell r="B4436">
            <v>0</v>
          </cell>
          <cell r="C4436">
            <v>0</v>
          </cell>
          <cell r="D4436">
            <v>0</v>
          </cell>
          <cell r="E4436">
            <v>0</v>
          </cell>
          <cell r="F4436">
            <v>0</v>
          </cell>
          <cell r="G4436">
            <v>0</v>
          </cell>
          <cell r="H4436">
            <v>0</v>
          </cell>
          <cell r="I4436">
            <v>0</v>
          </cell>
          <cell r="J4436">
            <v>0</v>
          </cell>
          <cell r="K4436">
            <v>0</v>
          </cell>
          <cell r="L4436">
            <v>0</v>
          </cell>
          <cell r="M4436">
            <v>0</v>
          </cell>
          <cell r="N4436">
            <v>0</v>
          </cell>
          <cell r="O4436">
            <v>0</v>
          </cell>
        </row>
        <row r="4437">
          <cell r="A4437" t="str">
            <v>HQWRITE OFFS</v>
          </cell>
          <cell r="B4437">
            <v>0</v>
          </cell>
          <cell r="C4437">
            <v>0</v>
          </cell>
          <cell r="D4437">
            <v>0</v>
          </cell>
          <cell r="E4437">
            <v>0</v>
          </cell>
          <cell r="F4437">
            <v>0</v>
          </cell>
          <cell r="G4437">
            <v>0</v>
          </cell>
          <cell r="H4437">
            <v>0</v>
          </cell>
          <cell r="I4437">
            <v>0</v>
          </cell>
          <cell r="J4437">
            <v>0</v>
          </cell>
          <cell r="K4437">
            <v>0</v>
          </cell>
          <cell r="L4437">
            <v>0</v>
          </cell>
          <cell r="M4437">
            <v>0</v>
          </cell>
          <cell r="N4437">
            <v>0</v>
          </cell>
          <cell r="O4437">
            <v>0</v>
          </cell>
        </row>
        <row r="4438">
          <cell r="A4438" t="str">
            <v>HQRESERVE CHANGE</v>
          </cell>
          <cell r="B4438">
            <v>0</v>
          </cell>
          <cell r="C4438">
            <v>0</v>
          </cell>
          <cell r="D4438">
            <v>0</v>
          </cell>
          <cell r="E4438">
            <v>0</v>
          </cell>
          <cell r="F4438">
            <v>0</v>
          </cell>
          <cell r="G4438">
            <v>0</v>
          </cell>
          <cell r="H4438">
            <v>0</v>
          </cell>
          <cell r="I4438">
            <v>0</v>
          </cell>
          <cell r="J4438">
            <v>0</v>
          </cell>
          <cell r="K4438">
            <v>0</v>
          </cell>
          <cell r="L4438">
            <v>0</v>
          </cell>
          <cell r="M4438">
            <v>0</v>
          </cell>
          <cell r="N4438">
            <v>0</v>
          </cell>
          <cell r="O4438">
            <v>0</v>
          </cell>
        </row>
        <row r="4439">
          <cell r="A4439" t="str">
            <v>HQMINORITY INTEREST</v>
          </cell>
          <cell r="B4439">
            <v>0</v>
          </cell>
          <cell r="C4439">
            <v>0</v>
          </cell>
          <cell r="D4439">
            <v>0</v>
          </cell>
          <cell r="E4439">
            <v>0</v>
          </cell>
          <cell r="F4439">
            <v>0</v>
          </cell>
          <cell r="G4439">
            <v>0</v>
          </cell>
          <cell r="H4439">
            <v>0</v>
          </cell>
          <cell r="I4439">
            <v>0</v>
          </cell>
          <cell r="J4439">
            <v>0</v>
          </cell>
          <cell r="K4439">
            <v>0</v>
          </cell>
          <cell r="L4439">
            <v>0</v>
          </cell>
          <cell r="M4439">
            <v>0</v>
          </cell>
          <cell r="N4439">
            <v>0</v>
          </cell>
          <cell r="O4439">
            <v>0</v>
          </cell>
        </row>
        <row r="4440">
          <cell r="A4440" t="str">
            <v>HQINCOME TAXES</v>
          </cell>
          <cell r="B4440">
            <v>3536564.09</v>
          </cell>
          <cell r="C4440">
            <v>-1236457.45</v>
          </cell>
          <cell r="D4440">
            <v>10057744.98</v>
          </cell>
          <cell r="E4440">
            <v>2634938.5</v>
          </cell>
          <cell r="F4440">
            <v>14992790.119999999</v>
          </cell>
          <cell r="G4440">
            <v>8109580.3093900001</v>
          </cell>
          <cell r="H4440">
            <v>16544796.233742001</v>
          </cell>
          <cell r="I4440">
            <v>19180093.512448002</v>
          </cell>
          <cell r="J4440">
            <v>13238124.903627001</v>
          </cell>
          <cell r="K4440">
            <v>57072594.959206998</v>
          </cell>
          <cell r="L4440">
            <v>11573168.49</v>
          </cell>
          <cell r="M4440">
            <v>20193246.901778001</v>
          </cell>
          <cell r="N4440">
            <v>30342245.082417998</v>
          </cell>
          <cell r="O4440">
            <v>37212292.058862001</v>
          </cell>
        </row>
        <row r="4441">
          <cell r="A4441" t="str">
            <v>HQCUMULATIVE TRANSITION ADJUSTMENT</v>
          </cell>
          <cell r="B4441">
            <v>0</v>
          </cell>
          <cell r="C4441">
            <v>0</v>
          </cell>
          <cell r="D4441">
            <v>0</v>
          </cell>
          <cell r="E4441">
            <v>0</v>
          </cell>
          <cell r="F4441">
            <v>0</v>
          </cell>
          <cell r="G4441">
            <v>0</v>
          </cell>
          <cell r="H4441">
            <v>0</v>
          </cell>
          <cell r="I4441">
            <v>0</v>
          </cell>
          <cell r="J4441">
            <v>0</v>
          </cell>
          <cell r="K4441">
            <v>0</v>
          </cell>
          <cell r="L4441">
            <v>0</v>
          </cell>
          <cell r="M4441">
            <v>0</v>
          </cell>
          <cell r="N4441">
            <v>0</v>
          </cell>
          <cell r="O4441">
            <v>0</v>
          </cell>
        </row>
        <row r="4442">
          <cell r="A4442" t="str">
            <v>HQASIA PACIFIC NI DIVIDEND</v>
          </cell>
          <cell r="B4442">
            <v>0</v>
          </cell>
          <cell r="C4442">
            <v>0</v>
          </cell>
          <cell r="D4442">
            <v>0</v>
          </cell>
          <cell r="E4442">
            <v>0</v>
          </cell>
          <cell r="F4442">
            <v>0</v>
          </cell>
          <cell r="G4442">
            <v>0</v>
          </cell>
          <cell r="H4442">
            <v>0</v>
          </cell>
          <cell r="I4442">
            <v>0</v>
          </cell>
          <cell r="J4442">
            <v>0</v>
          </cell>
          <cell r="K4442">
            <v>0</v>
          </cell>
          <cell r="L4442">
            <v>0</v>
          </cell>
          <cell r="M4442">
            <v>0</v>
          </cell>
          <cell r="N4442">
            <v>0</v>
          </cell>
          <cell r="O4442">
            <v>0</v>
          </cell>
        </row>
        <row r="4443">
          <cell r="A4443" t="str">
            <v>HQNet Income</v>
          </cell>
          <cell r="B4443">
            <v>7516338.7300000004</v>
          </cell>
          <cell r="C4443">
            <v>13535196.67</v>
          </cell>
          <cell r="D4443">
            <v>-381452.14</v>
          </cell>
          <cell r="E4443">
            <v>13789053.210000001</v>
          </cell>
          <cell r="F4443">
            <v>34459136.469999999</v>
          </cell>
          <cell r="G4443">
            <v>18384074.558267001</v>
          </cell>
          <cell r="H4443">
            <v>3692985.32069</v>
          </cell>
          <cell r="I4443">
            <v>1236278.0054639999</v>
          </cell>
          <cell r="J4443">
            <v>13624560.630127</v>
          </cell>
          <cell r="K4443">
            <v>36937898.514549002</v>
          </cell>
          <cell r="L4443">
            <v>17919108.469999999</v>
          </cell>
          <cell r="M4443">
            <v>70076397.755670995</v>
          </cell>
          <cell r="N4443">
            <v>81062178.838192999</v>
          </cell>
          <cell r="O4443">
            <v>179269284.58877799</v>
          </cell>
        </row>
        <row r="4444">
          <cell r="A4444" t="str">
            <v>HQSubPart F</v>
          </cell>
          <cell r="B4444">
            <v>-4802000</v>
          </cell>
          <cell r="C4444">
            <v>-3195000</v>
          </cell>
          <cell r="D4444">
            <v>-3754656.89</v>
          </cell>
          <cell r="E4444">
            <v>-2986000.01</v>
          </cell>
          <cell r="F4444">
            <v>-14737656.9</v>
          </cell>
          <cell r="G4444">
            <v>-11705653.296497</v>
          </cell>
          <cell r="H4444">
            <v>-12046662.414174</v>
          </cell>
          <cell r="I4444">
            <v>-12899758.085003</v>
          </cell>
          <cell r="J4444">
            <v>-13373377.407902</v>
          </cell>
          <cell r="K4444">
            <v>-50025451.203575999</v>
          </cell>
          <cell r="L4444">
            <v>-14913000</v>
          </cell>
          <cell r="M4444">
            <v>-37652349.700640999</v>
          </cell>
          <cell r="N4444">
            <v>-48108921.913053997</v>
          </cell>
          <cell r="O4444">
            <v>-86932239.444332004</v>
          </cell>
        </row>
        <row r="4445">
          <cell r="A4445" t="str">
            <v>HQAssets</v>
          </cell>
          <cell r="B4445">
            <v>19551985.829999998</v>
          </cell>
          <cell r="C4445">
            <v>17241517.68</v>
          </cell>
          <cell r="D4445">
            <v>14793734.41</v>
          </cell>
          <cell r="E4445">
            <v>13368756.33</v>
          </cell>
          <cell r="F4445">
            <v>13368756.33</v>
          </cell>
          <cell r="G4445">
            <v>-888782359.75432706</v>
          </cell>
          <cell r="H4445">
            <v>-924688850.93187702</v>
          </cell>
          <cell r="I4445">
            <v>-945571108.77548099</v>
          </cell>
          <cell r="J4445">
            <v>-960595436.41576695</v>
          </cell>
          <cell r="K4445">
            <v>-960595436.41576695</v>
          </cell>
          <cell r="L4445">
            <v>10094922.119999999</v>
          </cell>
          <cell r="M4445">
            <v>16378950</v>
          </cell>
          <cell r="N4445">
            <v>17197897.5</v>
          </cell>
          <cell r="O4445">
            <v>18057792.375</v>
          </cell>
        </row>
        <row r="4446">
          <cell r="A4446" t="str">
            <v>HQEnding Net Investment (ENI) incl Asia</v>
          </cell>
          <cell r="B4446">
            <v>-27236568.699999999</v>
          </cell>
          <cell r="C4446">
            <v>-141604765.41</v>
          </cell>
          <cell r="D4446">
            <v>-80625871.540000007</v>
          </cell>
          <cell r="E4446">
            <v>-38845562.630000003</v>
          </cell>
          <cell r="F4446">
            <v>-38845562.630000003</v>
          </cell>
          <cell r="G4446">
            <v>-955131359.75432706</v>
          </cell>
          <cell r="H4446">
            <v>-993787850.93187702</v>
          </cell>
          <cell r="I4446">
            <v>-1014420108.77548</v>
          </cell>
          <cell r="J4446">
            <v>-1034444436.41576</v>
          </cell>
          <cell r="K4446">
            <v>-1034444436.41576</v>
          </cell>
          <cell r="L4446">
            <v>-69594880.920000002</v>
          </cell>
          <cell r="M4446">
            <v>-64403850</v>
          </cell>
          <cell r="N4446">
            <v>-67624042.5</v>
          </cell>
          <cell r="O4446">
            <v>-71005244.625</v>
          </cell>
        </row>
        <row r="4447">
          <cell r="A4447" t="str">
            <v>HQANR YTD</v>
          </cell>
          <cell r="B4447">
            <v>0</v>
          </cell>
          <cell r="C4447">
            <v>0</v>
          </cell>
          <cell r="D4447">
            <v>0</v>
          </cell>
          <cell r="E4447">
            <v>0</v>
          </cell>
          <cell r="F4447">
            <v>0</v>
          </cell>
          <cell r="G4447">
            <v>-431270921.02013999</v>
          </cell>
          <cell r="H4447">
            <v>-585322185.40886903</v>
          </cell>
          <cell r="I4447">
            <v>-666598923.25108898</v>
          </cell>
          <cell r="J4447">
            <v>-718357602.989712</v>
          </cell>
          <cell r="K4447">
            <v>-718357602.989712</v>
          </cell>
          <cell r="L4447">
            <v>0</v>
          </cell>
          <cell r="M4447">
            <v>0</v>
          </cell>
          <cell r="N4447">
            <v>0</v>
          </cell>
          <cell r="O4447">
            <v>0</v>
          </cell>
        </row>
        <row r="4448">
          <cell r="A4448" t="str">
            <v>HQASA YTD</v>
          </cell>
          <cell r="B4448">
            <v>0</v>
          </cell>
          <cell r="C4448">
            <v>0</v>
          </cell>
          <cell r="D4448">
            <v>0</v>
          </cell>
          <cell r="E4448">
            <v>0</v>
          </cell>
          <cell r="F4448">
            <v>0</v>
          </cell>
          <cell r="G4448">
            <v>-431270921.02013999</v>
          </cell>
          <cell r="H4448">
            <v>-585322185.40886903</v>
          </cell>
          <cell r="I4448">
            <v>-666598923.25108898</v>
          </cell>
          <cell r="J4448">
            <v>-718357602.989712</v>
          </cell>
          <cell r="K4448">
            <v>-718357602.989712</v>
          </cell>
          <cell r="L4448">
            <v>0</v>
          </cell>
          <cell r="M4448">
            <v>0</v>
          </cell>
          <cell r="N4448">
            <v>0</v>
          </cell>
          <cell r="O4448">
            <v>0</v>
          </cell>
        </row>
        <row r="4449">
          <cell r="A4449" t="str">
            <v>HQANI YTD incl Asia - 5 pt</v>
          </cell>
          <cell r="B4449">
            <v>-83341850.430000007</v>
          </cell>
          <cell r="C4449">
            <v>-102762822.09</v>
          </cell>
          <cell r="D4449">
            <v>-97228584.452500001</v>
          </cell>
          <cell r="E4449">
            <v>-85551980.088</v>
          </cell>
          <cell r="F4449">
            <v>-85551980.088</v>
          </cell>
          <cell r="G4449">
            <v>-496988461.19216299</v>
          </cell>
          <cell r="H4449">
            <v>-662588257.77206802</v>
          </cell>
          <cell r="I4449">
            <v>-750546220.52292097</v>
          </cell>
          <cell r="J4449">
            <v>-807325863.701491</v>
          </cell>
          <cell r="K4449">
            <v>-807325863.701491</v>
          </cell>
          <cell r="L4449">
            <v>-54220221.774999999</v>
          </cell>
          <cell r="M4449">
            <v>-25148170</v>
          </cell>
          <cell r="N4449">
            <v>-26405578.5</v>
          </cell>
          <cell r="O4449">
            <v>-27725857.425000001</v>
          </cell>
        </row>
        <row r="4450">
          <cell r="A4450" t="str">
            <v>HQOff Balance Sheet Assets</v>
          </cell>
          <cell r="B4450">
            <v>0</v>
          </cell>
          <cell r="C4450">
            <v>0</v>
          </cell>
          <cell r="D4450">
            <v>0</v>
          </cell>
          <cell r="E4450">
            <v>0</v>
          </cell>
          <cell r="F4450">
            <v>0</v>
          </cell>
          <cell r="G4450">
            <v>0</v>
          </cell>
          <cell r="H4450">
            <v>0</v>
          </cell>
          <cell r="I4450">
            <v>0</v>
          </cell>
          <cell r="J4450">
            <v>0</v>
          </cell>
          <cell r="K4450">
            <v>0</v>
          </cell>
          <cell r="L4450">
            <v>0</v>
          </cell>
          <cell r="M4450">
            <v>0</v>
          </cell>
          <cell r="N4450">
            <v>0</v>
          </cell>
          <cell r="O4450">
            <v>0</v>
          </cell>
        </row>
        <row r="4451">
          <cell r="A4451" t="str">
            <v>HQJV Receivables</v>
          </cell>
          <cell r="B4451">
            <v>0</v>
          </cell>
          <cell r="C4451">
            <v>0</v>
          </cell>
          <cell r="D4451">
            <v>0</v>
          </cell>
          <cell r="E4451">
            <v>0</v>
          </cell>
          <cell r="F4451">
            <v>0</v>
          </cell>
          <cell r="G4451">
            <v>0</v>
          </cell>
          <cell r="H4451">
            <v>0</v>
          </cell>
          <cell r="I4451">
            <v>0</v>
          </cell>
          <cell r="J4451">
            <v>0</v>
          </cell>
          <cell r="K4451">
            <v>0</v>
          </cell>
          <cell r="L4451">
            <v>0</v>
          </cell>
          <cell r="M4451">
            <v>0</v>
          </cell>
          <cell r="N4451">
            <v>0</v>
          </cell>
          <cell r="O4451">
            <v>0</v>
          </cell>
        </row>
        <row r="4452">
          <cell r="A4452" t="str">
            <v>HQ30+ DELINQUENCY $</v>
          </cell>
          <cell r="B4452">
            <v>0</v>
          </cell>
          <cell r="C4452">
            <v>0</v>
          </cell>
          <cell r="D4452">
            <v>0</v>
          </cell>
          <cell r="E4452">
            <v>0</v>
          </cell>
          <cell r="F4452">
            <v>0</v>
          </cell>
          <cell r="G4452">
            <v>0</v>
          </cell>
          <cell r="H4452">
            <v>0</v>
          </cell>
          <cell r="I4452">
            <v>0</v>
          </cell>
          <cell r="J4452">
            <v>0</v>
          </cell>
          <cell r="K4452">
            <v>0</v>
          </cell>
          <cell r="L4452">
            <v>0</v>
          </cell>
          <cell r="M4452">
            <v>0</v>
          </cell>
          <cell r="N4452">
            <v>0</v>
          </cell>
          <cell r="O4452">
            <v>0</v>
          </cell>
        </row>
        <row r="4453">
          <cell r="A4453" t="str">
            <v>HQ90+ DELINQUENCY $</v>
          </cell>
          <cell r="B4453">
            <v>0</v>
          </cell>
          <cell r="C4453">
            <v>0</v>
          </cell>
          <cell r="D4453">
            <v>0</v>
          </cell>
          <cell r="E4453">
            <v>0</v>
          </cell>
          <cell r="F4453">
            <v>0</v>
          </cell>
          <cell r="G4453">
            <v>0</v>
          </cell>
          <cell r="H4453">
            <v>0</v>
          </cell>
          <cell r="I4453">
            <v>0</v>
          </cell>
          <cell r="J4453">
            <v>0</v>
          </cell>
          <cell r="K4453">
            <v>0</v>
          </cell>
          <cell r="L4453">
            <v>0</v>
          </cell>
          <cell r="M4453">
            <v>0</v>
          </cell>
          <cell r="N4453">
            <v>0</v>
          </cell>
          <cell r="O4453">
            <v>0</v>
          </cell>
        </row>
        <row r="4454">
          <cell r="A4454" t="str">
            <v>HQTemporary Staff</v>
          </cell>
          <cell r="B4454">
            <v>0</v>
          </cell>
          <cell r="C4454">
            <v>0</v>
          </cell>
          <cell r="D4454">
            <v>0</v>
          </cell>
          <cell r="E4454">
            <v>0</v>
          </cell>
          <cell r="F4454">
            <v>0</v>
          </cell>
          <cell r="G4454">
            <v>0</v>
          </cell>
          <cell r="H4454">
            <v>0</v>
          </cell>
          <cell r="I4454">
            <v>0</v>
          </cell>
          <cell r="J4454">
            <v>0</v>
          </cell>
          <cell r="K4454">
            <v>0</v>
          </cell>
          <cell r="L4454">
            <v>0</v>
          </cell>
          <cell r="M4454">
            <v>0</v>
          </cell>
          <cell r="N4454">
            <v>0</v>
          </cell>
          <cell r="O4454">
            <v>0</v>
          </cell>
        </row>
        <row r="4455">
          <cell r="A4455" t="str">
            <v>HQContractors</v>
          </cell>
          <cell r="B4455">
            <v>0</v>
          </cell>
          <cell r="C4455">
            <v>21</v>
          </cell>
          <cell r="D4455">
            <v>21</v>
          </cell>
          <cell r="E4455">
            <v>21</v>
          </cell>
          <cell r="F4455">
            <v>21</v>
          </cell>
          <cell r="G4455">
            <v>12</v>
          </cell>
          <cell r="H4455">
            <v>12</v>
          </cell>
          <cell r="I4455">
            <v>12</v>
          </cell>
          <cell r="J4455">
            <v>12</v>
          </cell>
          <cell r="K4455">
            <v>12</v>
          </cell>
          <cell r="L4455">
            <v>21</v>
          </cell>
          <cell r="M4455">
            <v>26</v>
          </cell>
          <cell r="N4455">
            <v>26</v>
          </cell>
          <cell r="O4455">
            <v>26</v>
          </cell>
        </row>
        <row r="4456">
          <cell r="A4456" t="str">
            <v>HQOutsourced to LCC</v>
          </cell>
          <cell r="B4456">
            <v>0</v>
          </cell>
          <cell r="C4456">
            <v>0</v>
          </cell>
          <cell r="D4456">
            <v>0</v>
          </cell>
          <cell r="E4456">
            <v>0</v>
          </cell>
          <cell r="F4456">
            <v>0</v>
          </cell>
          <cell r="G4456">
            <v>95</v>
          </cell>
          <cell r="H4456">
            <v>98</v>
          </cell>
          <cell r="I4456">
            <v>101</v>
          </cell>
          <cell r="J4456">
            <v>103</v>
          </cell>
          <cell r="K4456">
            <v>103</v>
          </cell>
          <cell r="L4456">
            <v>69</v>
          </cell>
          <cell r="M4456">
            <v>61</v>
          </cell>
          <cell r="N4456">
            <v>61</v>
          </cell>
          <cell r="O4456">
            <v>61</v>
          </cell>
        </row>
        <row r="4457">
          <cell r="A4457" t="str">
            <v>HQTotal Headcount</v>
          </cell>
          <cell r="B4457">
            <v>170</v>
          </cell>
          <cell r="C4457">
            <v>183</v>
          </cell>
          <cell r="D4457">
            <v>182.5</v>
          </cell>
          <cell r="E4457">
            <v>178.5</v>
          </cell>
          <cell r="F4457">
            <v>178.5</v>
          </cell>
          <cell r="G4457">
            <v>-27</v>
          </cell>
          <cell r="H4457">
            <v>-27</v>
          </cell>
          <cell r="I4457">
            <v>-27</v>
          </cell>
          <cell r="J4457">
            <v>-27</v>
          </cell>
          <cell r="K4457">
            <v>-27</v>
          </cell>
          <cell r="L4457">
            <v>149.5</v>
          </cell>
          <cell r="M4457">
            <v>178</v>
          </cell>
          <cell r="N4457">
            <v>178</v>
          </cell>
          <cell r="O4457">
            <v>178</v>
          </cell>
        </row>
        <row r="4458">
          <cell r="A4458" t="str">
            <v>HQTotal Workforce</v>
          </cell>
          <cell r="B4458">
            <v>170</v>
          </cell>
          <cell r="C4458">
            <v>204</v>
          </cell>
          <cell r="D4458">
            <v>203.5</v>
          </cell>
          <cell r="E4458">
            <v>199.5</v>
          </cell>
          <cell r="F4458">
            <v>199.5</v>
          </cell>
          <cell r="G4458">
            <v>80</v>
          </cell>
          <cell r="H4458">
            <v>83</v>
          </cell>
          <cell r="I4458">
            <v>86</v>
          </cell>
          <cell r="J4458">
            <v>88</v>
          </cell>
          <cell r="K4458">
            <v>88</v>
          </cell>
          <cell r="L4458">
            <v>239.5</v>
          </cell>
          <cell r="M4458">
            <v>265</v>
          </cell>
          <cell r="N4458">
            <v>265</v>
          </cell>
          <cell r="O4458">
            <v>265</v>
          </cell>
        </row>
        <row r="4459">
          <cell r="A4459" t="str">
            <v>HQTotal Earned Revenue</v>
          </cell>
          <cell r="B4459">
            <v>-1342308</v>
          </cell>
          <cell r="C4459">
            <v>0</v>
          </cell>
          <cell r="D4459">
            <v>0</v>
          </cell>
          <cell r="E4459">
            <v>-129233.82</v>
          </cell>
          <cell r="F4459">
            <v>-1471541.82</v>
          </cell>
          <cell r="G4459">
            <v>0</v>
          </cell>
          <cell r="H4459">
            <v>-21894267.052244999</v>
          </cell>
          <cell r="I4459">
            <v>-23133672.129168</v>
          </cell>
          <cell r="J4459">
            <v>0</v>
          </cell>
          <cell r="K4459">
            <v>-45027939.181413002</v>
          </cell>
          <cell r="L4459">
            <v>120401.82</v>
          </cell>
          <cell r="M4459">
            <v>0</v>
          </cell>
          <cell r="N4459">
            <v>0</v>
          </cell>
          <cell r="O4459">
            <v>70950769.230768993</v>
          </cell>
        </row>
        <row r="4460">
          <cell r="A4460" t="str">
            <v>HQOrdinary Gains - PreTax</v>
          </cell>
          <cell r="B4460">
            <v>0</v>
          </cell>
          <cell r="C4460">
            <v>0</v>
          </cell>
          <cell r="D4460">
            <v>0</v>
          </cell>
          <cell r="E4460">
            <v>0</v>
          </cell>
          <cell r="F4460">
            <v>0</v>
          </cell>
          <cell r="G4460">
            <v>0</v>
          </cell>
          <cell r="H4460">
            <v>0</v>
          </cell>
          <cell r="I4460">
            <v>0</v>
          </cell>
          <cell r="J4460">
            <v>0</v>
          </cell>
          <cell r="K4460">
            <v>0</v>
          </cell>
          <cell r="L4460">
            <v>0</v>
          </cell>
          <cell r="M4460">
            <v>0</v>
          </cell>
          <cell r="N4460">
            <v>0</v>
          </cell>
          <cell r="O4460">
            <v>0</v>
          </cell>
        </row>
        <row r="4461">
          <cell r="A4461" t="str">
            <v>HQOrdinary Gains - AfterTax</v>
          </cell>
          <cell r="B4461">
            <v>0</v>
          </cell>
          <cell r="C4461">
            <v>0</v>
          </cell>
          <cell r="D4461">
            <v>0</v>
          </cell>
          <cell r="E4461">
            <v>0</v>
          </cell>
          <cell r="F4461">
            <v>0</v>
          </cell>
          <cell r="G4461">
            <v>0</v>
          </cell>
          <cell r="H4461">
            <v>0</v>
          </cell>
          <cell r="I4461">
            <v>0</v>
          </cell>
          <cell r="J4461">
            <v>0</v>
          </cell>
          <cell r="K4461">
            <v>0</v>
          </cell>
          <cell r="L4461">
            <v>0</v>
          </cell>
          <cell r="M4461">
            <v>0</v>
          </cell>
          <cell r="N4461">
            <v>0</v>
          </cell>
          <cell r="O4461">
            <v>0</v>
          </cell>
        </row>
        <row r="4462">
          <cell r="A4462" t="str">
            <v>HQTotal Volume</v>
          </cell>
          <cell r="B4462">
            <v>0</v>
          </cell>
          <cell r="C4462">
            <v>0</v>
          </cell>
          <cell r="D4462">
            <v>0</v>
          </cell>
          <cell r="E4462">
            <v>0</v>
          </cell>
          <cell r="F4462">
            <v>0</v>
          </cell>
          <cell r="G4462">
            <v>0</v>
          </cell>
          <cell r="H4462">
            <v>0</v>
          </cell>
          <cell r="I4462">
            <v>0</v>
          </cell>
          <cell r="J4462">
            <v>0</v>
          </cell>
          <cell r="K4462">
            <v>0</v>
          </cell>
          <cell r="L4462">
            <v>0</v>
          </cell>
          <cell r="M4462">
            <v>0</v>
          </cell>
          <cell r="N4462">
            <v>0</v>
          </cell>
          <cell r="O4462">
            <v>0</v>
          </cell>
        </row>
        <row r="4463">
          <cell r="A4463" t="str">
            <v>HQTOTAL # ACTIVE ACCOUNTS</v>
          </cell>
          <cell r="B4463">
            <v>0</v>
          </cell>
          <cell r="C4463">
            <v>0</v>
          </cell>
          <cell r="D4463">
            <v>0</v>
          </cell>
          <cell r="E4463">
            <v>0</v>
          </cell>
          <cell r="F4463">
            <v>0</v>
          </cell>
          <cell r="G4463">
            <v>0</v>
          </cell>
          <cell r="H4463">
            <v>0</v>
          </cell>
          <cell r="I4463">
            <v>0</v>
          </cell>
          <cell r="J4463">
            <v>0</v>
          </cell>
          <cell r="K4463">
            <v>0</v>
          </cell>
          <cell r="L4463">
            <v>0</v>
          </cell>
          <cell r="M4463">
            <v>0</v>
          </cell>
          <cell r="N4463">
            <v>0</v>
          </cell>
          <cell r="O4463">
            <v>0</v>
          </cell>
        </row>
        <row r="4464">
          <cell r="A4464" t="str">
            <v>Japan GECF (Business Split)TOTAL FINANCING RECEIVABLES</v>
          </cell>
          <cell r="B4464">
            <v>0</v>
          </cell>
          <cell r="C4464">
            <v>0</v>
          </cell>
          <cell r="D4464">
            <v>0</v>
          </cell>
          <cell r="E4464">
            <v>0</v>
          </cell>
          <cell r="F4464">
            <v>0</v>
          </cell>
          <cell r="G4464">
            <v>0</v>
          </cell>
          <cell r="H4464">
            <v>0</v>
          </cell>
          <cell r="I4464">
            <v>0</v>
          </cell>
          <cell r="J4464">
            <v>0</v>
          </cell>
          <cell r="K4464">
            <v>0</v>
          </cell>
          <cell r="L4464">
            <v>0</v>
          </cell>
          <cell r="M4464">
            <v>0</v>
          </cell>
          <cell r="N4464">
            <v>0</v>
          </cell>
          <cell r="O4464">
            <v>0</v>
          </cell>
        </row>
        <row r="4465">
          <cell r="A4465" t="str">
            <v>Japan GECF (Business Split)RECEIVABLE RESERVES</v>
          </cell>
          <cell r="B4465">
            <v>0</v>
          </cell>
          <cell r="C4465">
            <v>0</v>
          </cell>
          <cell r="D4465">
            <v>0</v>
          </cell>
          <cell r="E4465">
            <v>0</v>
          </cell>
          <cell r="F4465">
            <v>0</v>
          </cell>
          <cell r="G4465">
            <v>0</v>
          </cell>
          <cell r="H4465">
            <v>0</v>
          </cell>
          <cell r="I4465">
            <v>0</v>
          </cell>
          <cell r="J4465">
            <v>0</v>
          </cell>
          <cell r="K4465">
            <v>0</v>
          </cell>
          <cell r="L4465">
            <v>0</v>
          </cell>
          <cell r="M4465">
            <v>0</v>
          </cell>
          <cell r="N4465">
            <v>0</v>
          </cell>
          <cell r="O4465">
            <v>0</v>
          </cell>
        </row>
        <row r="4466">
          <cell r="A4466" t="str">
            <v>Japan GECF (Business Split)CASH</v>
          </cell>
          <cell r="B4466">
            <v>0</v>
          </cell>
          <cell r="C4466">
            <v>0</v>
          </cell>
          <cell r="D4466">
            <v>0</v>
          </cell>
          <cell r="E4466">
            <v>0</v>
          </cell>
          <cell r="F4466">
            <v>0</v>
          </cell>
          <cell r="G4466">
            <v>0</v>
          </cell>
          <cell r="H4466">
            <v>0</v>
          </cell>
          <cell r="I4466">
            <v>0</v>
          </cell>
          <cell r="J4466">
            <v>0</v>
          </cell>
          <cell r="K4466">
            <v>0</v>
          </cell>
          <cell r="L4466">
            <v>0</v>
          </cell>
          <cell r="M4466">
            <v>0</v>
          </cell>
          <cell r="N4466">
            <v>0</v>
          </cell>
          <cell r="O4466">
            <v>0</v>
          </cell>
        </row>
        <row r="4467">
          <cell r="A4467" t="str">
            <v>Japan GECF (Business Split)INVESTMENT SECURITIES</v>
          </cell>
          <cell r="B4467">
            <v>0</v>
          </cell>
          <cell r="C4467">
            <v>0</v>
          </cell>
          <cell r="D4467">
            <v>0</v>
          </cell>
          <cell r="E4467">
            <v>0</v>
          </cell>
          <cell r="F4467">
            <v>0</v>
          </cell>
          <cell r="G4467">
            <v>0</v>
          </cell>
          <cell r="H4467">
            <v>0</v>
          </cell>
          <cell r="I4467">
            <v>0</v>
          </cell>
          <cell r="J4467">
            <v>0</v>
          </cell>
          <cell r="K4467">
            <v>0</v>
          </cell>
          <cell r="L4467">
            <v>0</v>
          </cell>
          <cell r="M4467">
            <v>0</v>
          </cell>
          <cell r="N4467">
            <v>0</v>
          </cell>
          <cell r="O4467">
            <v>0</v>
          </cell>
        </row>
        <row r="4468">
          <cell r="A4468" t="str">
            <v>Japan GECF (Business Split)INV IN NON CONSOL AFFILIATES</v>
          </cell>
          <cell r="B4468">
            <v>0</v>
          </cell>
          <cell r="C4468">
            <v>0</v>
          </cell>
          <cell r="D4468">
            <v>0</v>
          </cell>
          <cell r="E4468">
            <v>0</v>
          </cell>
          <cell r="F4468">
            <v>0</v>
          </cell>
          <cell r="G4468">
            <v>0</v>
          </cell>
          <cell r="H4468">
            <v>0</v>
          </cell>
          <cell r="I4468">
            <v>0</v>
          </cell>
          <cell r="J4468">
            <v>0</v>
          </cell>
          <cell r="K4468">
            <v>0</v>
          </cell>
          <cell r="L4468">
            <v>0</v>
          </cell>
          <cell r="M4468">
            <v>0</v>
          </cell>
          <cell r="N4468">
            <v>0</v>
          </cell>
          <cell r="O4468">
            <v>0</v>
          </cell>
        </row>
        <row r="4469">
          <cell r="A4469" t="str">
            <v>Japan GECF (Business Split)INVESTMENT IN JOINT VENTURE</v>
          </cell>
          <cell r="B4469">
            <v>0</v>
          </cell>
          <cell r="C4469">
            <v>0</v>
          </cell>
          <cell r="D4469">
            <v>0</v>
          </cell>
          <cell r="E4469">
            <v>0</v>
          </cell>
          <cell r="F4469">
            <v>0</v>
          </cell>
          <cell r="G4469">
            <v>0</v>
          </cell>
          <cell r="H4469">
            <v>0</v>
          </cell>
          <cell r="I4469">
            <v>0</v>
          </cell>
          <cell r="J4469">
            <v>0</v>
          </cell>
          <cell r="K4469">
            <v>0</v>
          </cell>
          <cell r="L4469">
            <v>0</v>
          </cell>
          <cell r="M4469">
            <v>0</v>
          </cell>
          <cell r="N4469">
            <v>0</v>
          </cell>
          <cell r="O4469">
            <v>0</v>
          </cell>
        </row>
        <row r="4470">
          <cell r="A4470" t="str">
            <v>Japan GECF (Business Split)ALL OTHER RECEIVABLES (NON-FINANCING)</v>
          </cell>
          <cell r="B4470">
            <v>0</v>
          </cell>
          <cell r="C4470">
            <v>0</v>
          </cell>
          <cell r="D4470">
            <v>0</v>
          </cell>
          <cell r="E4470">
            <v>0</v>
          </cell>
          <cell r="F4470">
            <v>0</v>
          </cell>
          <cell r="G4470">
            <v>0</v>
          </cell>
          <cell r="H4470">
            <v>0</v>
          </cell>
          <cell r="I4470">
            <v>0</v>
          </cell>
          <cell r="J4470">
            <v>0</v>
          </cell>
          <cell r="K4470">
            <v>0</v>
          </cell>
          <cell r="L4470">
            <v>0</v>
          </cell>
          <cell r="M4470">
            <v>0</v>
          </cell>
          <cell r="N4470">
            <v>0</v>
          </cell>
          <cell r="O4470">
            <v>0</v>
          </cell>
        </row>
        <row r="4471">
          <cell r="A4471" t="str">
            <v>Japan GECF (Business Split)ELTO (NET)</v>
          </cell>
          <cell r="B4471">
            <v>0</v>
          </cell>
          <cell r="C4471">
            <v>0</v>
          </cell>
          <cell r="D4471">
            <v>0</v>
          </cell>
          <cell r="E4471">
            <v>0</v>
          </cell>
          <cell r="F4471">
            <v>0</v>
          </cell>
          <cell r="G4471">
            <v>0</v>
          </cell>
          <cell r="H4471">
            <v>0</v>
          </cell>
          <cell r="I4471">
            <v>0</v>
          </cell>
          <cell r="J4471">
            <v>0</v>
          </cell>
          <cell r="K4471">
            <v>0</v>
          </cell>
          <cell r="L4471">
            <v>0</v>
          </cell>
          <cell r="M4471">
            <v>0</v>
          </cell>
          <cell r="N4471">
            <v>0</v>
          </cell>
          <cell r="O4471">
            <v>0</v>
          </cell>
        </row>
        <row r="4472">
          <cell r="A4472" t="str">
            <v>Japan GECF (Business Split)GOODWILL</v>
          </cell>
          <cell r="B4472">
            <v>0</v>
          </cell>
          <cell r="C4472">
            <v>0</v>
          </cell>
          <cell r="D4472">
            <v>0</v>
          </cell>
          <cell r="E4472">
            <v>0</v>
          </cell>
          <cell r="F4472">
            <v>0</v>
          </cell>
          <cell r="G4472">
            <v>0</v>
          </cell>
          <cell r="H4472">
            <v>0</v>
          </cell>
          <cell r="I4472">
            <v>0</v>
          </cell>
          <cell r="J4472">
            <v>0</v>
          </cell>
          <cell r="K4472">
            <v>0</v>
          </cell>
          <cell r="L4472">
            <v>0</v>
          </cell>
          <cell r="M4472">
            <v>0</v>
          </cell>
          <cell r="N4472">
            <v>0</v>
          </cell>
          <cell r="O4472">
            <v>0</v>
          </cell>
        </row>
        <row r="4473">
          <cell r="A4473" t="str">
            <v>Japan GECF (Business Split)OTHER ASSETS</v>
          </cell>
          <cell r="B4473">
            <v>0</v>
          </cell>
          <cell r="C4473">
            <v>0</v>
          </cell>
          <cell r="D4473">
            <v>0</v>
          </cell>
          <cell r="E4473">
            <v>0</v>
          </cell>
          <cell r="F4473">
            <v>0</v>
          </cell>
          <cell r="G4473">
            <v>0</v>
          </cell>
          <cell r="H4473">
            <v>0</v>
          </cell>
          <cell r="I4473">
            <v>0</v>
          </cell>
          <cell r="J4473">
            <v>0</v>
          </cell>
          <cell r="K4473">
            <v>0</v>
          </cell>
          <cell r="L4473">
            <v>0</v>
          </cell>
          <cell r="M4473">
            <v>0</v>
          </cell>
          <cell r="N4473">
            <v>0</v>
          </cell>
          <cell r="O4473">
            <v>0</v>
          </cell>
        </row>
        <row r="4474">
          <cell r="A4474" t="str">
            <v>Japan GECF (Business Split)ACCOUNTS PAYABLE</v>
          </cell>
          <cell r="B4474">
            <v>0</v>
          </cell>
          <cell r="C4474">
            <v>0</v>
          </cell>
          <cell r="D4474">
            <v>0</v>
          </cell>
          <cell r="E4474">
            <v>0</v>
          </cell>
          <cell r="F4474">
            <v>0</v>
          </cell>
          <cell r="G4474">
            <v>0</v>
          </cell>
          <cell r="H4474">
            <v>0</v>
          </cell>
          <cell r="I4474">
            <v>0</v>
          </cell>
          <cell r="J4474">
            <v>0</v>
          </cell>
          <cell r="K4474">
            <v>0</v>
          </cell>
          <cell r="L4474">
            <v>0</v>
          </cell>
          <cell r="M4474">
            <v>0</v>
          </cell>
          <cell r="N4474">
            <v>0</v>
          </cell>
          <cell r="O4474">
            <v>0</v>
          </cell>
        </row>
        <row r="4475">
          <cell r="A4475" t="str">
            <v>Japan GECF (Business Split)DEFERRED INCOME TAXES</v>
          </cell>
          <cell r="B4475">
            <v>0</v>
          </cell>
          <cell r="C4475">
            <v>0</v>
          </cell>
          <cell r="D4475">
            <v>0</v>
          </cell>
          <cell r="E4475">
            <v>0</v>
          </cell>
          <cell r="F4475">
            <v>0</v>
          </cell>
          <cell r="G4475">
            <v>0</v>
          </cell>
          <cell r="H4475">
            <v>0</v>
          </cell>
          <cell r="I4475">
            <v>0</v>
          </cell>
          <cell r="J4475">
            <v>0</v>
          </cell>
          <cell r="K4475">
            <v>0</v>
          </cell>
          <cell r="L4475">
            <v>0</v>
          </cell>
          <cell r="M4475">
            <v>0</v>
          </cell>
          <cell r="N4475">
            <v>0</v>
          </cell>
          <cell r="O4475">
            <v>0</v>
          </cell>
        </row>
        <row r="4476">
          <cell r="A4476" t="str">
            <v>Japan GECF (Business Split)WRITE-OFF (MEMO)</v>
          </cell>
          <cell r="B4476">
            <v>0</v>
          </cell>
          <cell r="C4476">
            <v>0</v>
          </cell>
          <cell r="D4476">
            <v>0</v>
          </cell>
          <cell r="E4476">
            <v>0</v>
          </cell>
          <cell r="F4476">
            <v>0</v>
          </cell>
          <cell r="G4476">
            <v>0</v>
          </cell>
          <cell r="H4476">
            <v>0</v>
          </cell>
          <cell r="I4476">
            <v>0</v>
          </cell>
          <cell r="J4476">
            <v>0</v>
          </cell>
          <cell r="K4476">
            <v>0</v>
          </cell>
          <cell r="L4476">
            <v>0</v>
          </cell>
          <cell r="M4476">
            <v>0</v>
          </cell>
          <cell r="N4476">
            <v>0</v>
          </cell>
          <cell r="O4476">
            <v>0</v>
          </cell>
        </row>
        <row r="4477">
          <cell r="A4477" t="str">
            <v>Japan GECF (Business Split)INSURANCE RESERVES AND ANNUITY BENEFITS</v>
          </cell>
          <cell r="B4477">
            <v>0</v>
          </cell>
          <cell r="C4477">
            <v>0</v>
          </cell>
          <cell r="D4477">
            <v>0</v>
          </cell>
          <cell r="E4477">
            <v>0</v>
          </cell>
          <cell r="F4477">
            <v>0</v>
          </cell>
          <cell r="G4477">
            <v>0</v>
          </cell>
          <cell r="H4477">
            <v>0</v>
          </cell>
          <cell r="I4477">
            <v>0</v>
          </cell>
          <cell r="J4477">
            <v>0</v>
          </cell>
          <cell r="K4477">
            <v>0</v>
          </cell>
          <cell r="L4477">
            <v>0</v>
          </cell>
          <cell r="M4477">
            <v>0</v>
          </cell>
          <cell r="N4477">
            <v>0</v>
          </cell>
          <cell r="O4477">
            <v>0</v>
          </cell>
        </row>
        <row r="4478">
          <cell r="A4478" t="str">
            <v>Japan GECF (Business Split)ALL OTHER NON DEBT LIABILITIES</v>
          </cell>
          <cell r="B4478">
            <v>0</v>
          </cell>
          <cell r="C4478">
            <v>0</v>
          </cell>
          <cell r="D4478">
            <v>0</v>
          </cell>
          <cell r="E4478">
            <v>0</v>
          </cell>
          <cell r="F4478">
            <v>0</v>
          </cell>
          <cell r="G4478">
            <v>0</v>
          </cell>
          <cell r="H4478">
            <v>0</v>
          </cell>
          <cell r="I4478">
            <v>0</v>
          </cell>
          <cell r="J4478">
            <v>0</v>
          </cell>
          <cell r="K4478">
            <v>0</v>
          </cell>
          <cell r="L4478">
            <v>0</v>
          </cell>
          <cell r="M4478">
            <v>0</v>
          </cell>
          <cell r="N4478">
            <v>0</v>
          </cell>
          <cell r="O4478">
            <v>0</v>
          </cell>
        </row>
        <row r="4479">
          <cell r="A4479" t="str">
            <v>Japan GECF (Business Split)MINORITY INTEREST (BS)</v>
          </cell>
          <cell r="B4479">
            <v>0</v>
          </cell>
          <cell r="C4479">
            <v>0</v>
          </cell>
          <cell r="D4479">
            <v>0</v>
          </cell>
          <cell r="E4479">
            <v>0</v>
          </cell>
          <cell r="F4479">
            <v>0</v>
          </cell>
          <cell r="G4479">
            <v>0</v>
          </cell>
          <cell r="H4479">
            <v>0</v>
          </cell>
          <cell r="I4479">
            <v>0</v>
          </cell>
          <cell r="J4479">
            <v>0</v>
          </cell>
          <cell r="K4479">
            <v>0</v>
          </cell>
          <cell r="L4479">
            <v>0</v>
          </cell>
          <cell r="M4479">
            <v>0</v>
          </cell>
          <cell r="N4479">
            <v>0</v>
          </cell>
          <cell r="O4479">
            <v>0</v>
          </cell>
        </row>
        <row r="4480">
          <cell r="A4480" t="str">
            <v>Japan GECF (Business Split)ASIA PACIFIC ENI DIVIDEND</v>
          </cell>
          <cell r="B4480">
            <v>0</v>
          </cell>
          <cell r="C4480">
            <v>0</v>
          </cell>
          <cell r="D4480">
            <v>0</v>
          </cell>
          <cell r="E4480">
            <v>0</v>
          </cell>
          <cell r="F4480">
            <v>0</v>
          </cell>
          <cell r="G4480">
            <v>0</v>
          </cell>
          <cell r="H4480">
            <v>0</v>
          </cell>
          <cell r="I4480">
            <v>0</v>
          </cell>
          <cell r="J4480">
            <v>0</v>
          </cell>
          <cell r="K4480">
            <v>0</v>
          </cell>
          <cell r="L4480">
            <v>0</v>
          </cell>
          <cell r="M4480">
            <v>0</v>
          </cell>
          <cell r="N4480">
            <v>0</v>
          </cell>
          <cell r="O4480">
            <v>0</v>
          </cell>
        </row>
        <row r="4481">
          <cell r="A4481" t="str">
            <v>Japan GECF (Business Split)FINANCING INCOME</v>
          </cell>
          <cell r="B4481">
            <v>0</v>
          </cell>
          <cell r="C4481">
            <v>0</v>
          </cell>
          <cell r="D4481">
            <v>0</v>
          </cell>
          <cell r="E4481">
            <v>0</v>
          </cell>
          <cell r="F4481">
            <v>0</v>
          </cell>
          <cell r="G4481">
            <v>0</v>
          </cell>
          <cell r="H4481">
            <v>0</v>
          </cell>
          <cell r="I4481">
            <v>0</v>
          </cell>
          <cell r="J4481">
            <v>0</v>
          </cell>
          <cell r="K4481">
            <v>0</v>
          </cell>
          <cell r="L4481">
            <v>0</v>
          </cell>
          <cell r="M4481">
            <v>0</v>
          </cell>
          <cell r="N4481">
            <v>0</v>
          </cell>
          <cell r="O4481">
            <v>0</v>
          </cell>
        </row>
        <row r="4482">
          <cell r="A4482" t="str">
            <v>Japan GECF (Business Split)INSURANCE PREMIUM INCOME</v>
          </cell>
          <cell r="B4482">
            <v>0</v>
          </cell>
          <cell r="C4482">
            <v>0</v>
          </cell>
          <cell r="D4482">
            <v>0</v>
          </cell>
          <cell r="E4482">
            <v>0</v>
          </cell>
          <cell r="F4482">
            <v>0</v>
          </cell>
          <cell r="G4482">
            <v>0</v>
          </cell>
          <cell r="H4482">
            <v>0</v>
          </cell>
          <cell r="I4482">
            <v>0</v>
          </cell>
          <cell r="J4482">
            <v>0</v>
          </cell>
          <cell r="K4482">
            <v>0</v>
          </cell>
          <cell r="L4482">
            <v>0</v>
          </cell>
          <cell r="M4482">
            <v>0</v>
          </cell>
          <cell r="N4482">
            <v>0</v>
          </cell>
          <cell r="O4482">
            <v>0</v>
          </cell>
        </row>
        <row r="4483">
          <cell r="A4483" t="str">
            <v>Japan GECF (Business Split)INSURANCE INCOME (COMMISSIONS)</v>
          </cell>
          <cell r="B4483">
            <v>0</v>
          </cell>
          <cell r="C4483">
            <v>0</v>
          </cell>
          <cell r="D4483">
            <v>0</v>
          </cell>
          <cell r="E4483">
            <v>0</v>
          </cell>
          <cell r="F4483">
            <v>0</v>
          </cell>
          <cell r="G4483">
            <v>0</v>
          </cell>
          <cell r="H4483">
            <v>0</v>
          </cell>
          <cell r="I4483">
            <v>0</v>
          </cell>
          <cell r="J4483">
            <v>0</v>
          </cell>
          <cell r="K4483">
            <v>0</v>
          </cell>
          <cell r="L4483">
            <v>0</v>
          </cell>
          <cell r="M4483">
            <v>0</v>
          </cell>
          <cell r="N4483">
            <v>0</v>
          </cell>
          <cell r="O4483">
            <v>0</v>
          </cell>
        </row>
        <row r="4484">
          <cell r="A4484" t="str">
            <v>Japan GECF (Business Split)SUNDRY INCOME</v>
          </cell>
          <cell r="B4484">
            <v>0</v>
          </cell>
          <cell r="C4484">
            <v>0</v>
          </cell>
          <cell r="D4484">
            <v>0</v>
          </cell>
          <cell r="E4484">
            <v>0</v>
          </cell>
          <cell r="F4484">
            <v>0</v>
          </cell>
          <cell r="G4484">
            <v>0</v>
          </cell>
          <cell r="H4484">
            <v>0</v>
          </cell>
          <cell r="I4484">
            <v>0</v>
          </cell>
          <cell r="J4484">
            <v>0</v>
          </cell>
          <cell r="K4484">
            <v>0</v>
          </cell>
          <cell r="L4484">
            <v>0</v>
          </cell>
          <cell r="M4484">
            <v>0</v>
          </cell>
          <cell r="N4484">
            <v>0</v>
          </cell>
          <cell r="O4484">
            <v>0</v>
          </cell>
        </row>
        <row r="4485">
          <cell r="A4485" t="str">
            <v>Japan GECF (Business Split)INTEREST EXPENSE</v>
          </cell>
          <cell r="B4485">
            <v>0</v>
          </cell>
          <cell r="C4485">
            <v>0</v>
          </cell>
          <cell r="D4485">
            <v>0</v>
          </cell>
          <cell r="E4485">
            <v>0</v>
          </cell>
          <cell r="F4485">
            <v>0</v>
          </cell>
          <cell r="G4485">
            <v>0</v>
          </cell>
          <cell r="H4485">
            <v>0</v>
          </cell>
          <cell r="I4485">
            <v>0</v>
          </cell>
          <cell r="J4485">
            <v>0</v>
          </cell>
          <cell r="K4485">
            <v>0</v>
          </cell>
          <cell r="L4485">
            <v>0</v>
          </cell>
          <cell r="M4485">
            <v>0</v>
          </cell>
          <cell r="N4485">
            <v>0</v>
          </cell>
          <cell r="O4485">
            <v>0</v>
          </cell>
        </row>
        <row r="4486">
          <cell r="A4486" t="str">
            <v>Japan GECF (Business Split)INTEREST EXPENSE REDUCTIONS / BUS SHARING</v>
          </cell>
          <cell r="B4486">
            <v>0</v>
          </cell>
          <cell r="C4486">
            <v>0</v>
          </cell>
          <cell r="D4486">
            <v>0</v>
          </cell>
          <cell r="E4486">
            <v>0</v>
          </cell>
          <cell r="F4486">
            <v>0</v>
          </cell>
          <cell r="G4486">
            <v>0</v>
          </cell>
          <cell r="H4486">
            <v>0</v>
          </cell>
          <cell r="I4486">
            <v>0</v>
          </cell>
          <cell r="J4486">
            <v>0</v>
          </cell>
          <cell r="K4486">
            <v>0</v>
          </cell>
          <cell r="L4486">
            <v>0</v>
          </cell>
          <cell r="M4486">
            <v>0</v>
          </cell>
          <cell r="N4486">
            <v>0</v>
          </cell>
          <cell r="O4486">
            <v>0</v>
          </cell>
        </row>
        <row r="4487">
          <cell r="A4487" t="str">
            <v>Japan GECF (Business Split)ALLOCATED COST OF PREFERRED EQUITY</v>
          </cell>
          <cell r="B4487">
            <v>0</v>
          </cell>
          <cell r="C4487">
            <v>0</v>
          </cell>
          <cell r="D4487">
            <v>0</v>
          </cell>
          <cell r="E4487">
            <v>0</v>
          </cell>
          <cell r="F4487">
            <v>0</v>
          </cell>
          <cell r="G4487">
            <v>0</v>
          </cell>
          <cell r="H4487">
            <v>0</v>
          </cell>
          <cell r="I4487">
            <v>0</v>
          </cell>
          <cell r="J4487">
            <v>0</v>
          </cell>
          <cell r="K4487">
            <v>0</v>
          </cell>
          <cell r="L4487">
            <v>0</v>
          </cell>
          <cell r="M4487">
            <v>0</v>
          </cell>
          <cell r="N4487">
            <v>0</v>
          </cell>
          <cell r="O4487">
            <v>0</v>
          </cell>
        </row>
        <row r="4488">
          <cell r="A4488" t="str">
            <v>Japan GECF (Business Split)SALARIES &amp; BENEFITS</v>
          </cell>
          <cell r="B4488">
            <v>0</v>
          </cell>
          <cell r="C4488">
            <v>0</v>
          </cell>
          <cell r="D4488">
            <v>0</v>
          </cell>
          <cell r="E4488">
            <v>0</v>
          </cell>
          <cell r="F4488">
            <v>0</v>
          </cell>
          <cell r="G4488">
            <v>0</v>
          </cell>
          <cell r="H4488">
            <v>0</v>
          </cell>
          <cell r="I4488">
            <v>0</v>
          </cell>
          <cell r="J4488">
            <v>0</v>
          </cell>
          <cell r="K4488">
            <v>0</v>
          </cell>
          <cell r="L4488">
            <v>0</v>
          </cell>
          <cell r="M4488">
            <v>0</v>
          </cell>
          <cell r="N4488">
            <v>0</v>
          </cell>
          <cell r="O4488">
            <v>0</v>
          </cell>
        </row>
        <row r="4489">
          <cell r="A4489" t="str">
            <v>Japan GECF (Business Split)LOSSES ON OTHER ASSETS</v>
          </cell>
          <cell r="B4489">
            <v>0</v>
          </cell>
          <cell r="C4489">
            <v>0</v>
          </cell>
          <cell r="D4489">
            <v>0</v>
          </cell>
          <cell r="E4489">
            <v>0</v>
          </cell>
          <cell r="F4489">
            <v>0</v>
          </cell>
          <cell r="G4489">
            <v>0</v>
          </cell>
          <cell r="H4489">
            <v>0</v>
          </cell>
          <cell r="I4489">
            <v>0</v>
          </cell>
          <cell r="J4489">
            <v>0</v>
          </cell>
          <cell r="K4489">
            <v>0</v>
          </cell>
          <cell r="L4489">
            <v>0</v>
          </cell>
          <cell r="M4489">
            <v>0</v>
          </cell>
          <cell r="N4489">
            <v>0</v>
          </cell>
          <cell r="O4489">
            <v>0</v>
          </cell>
        </row>
        <row r="4490">
          <cell r="A4490" t="str">
            <v>Japan GECF (Business Split)COST OF GOODS SOLD</v>
          </cell>
          <cell r="B4490">
            <v>0</v>
          </cell>
          <cell r="C4490">
            <v>0</v>
          </cell>
          <cell r="D4490">
            <v>0</v>
          </cell>
          <cell r="E4490">
            <v>0</v>
          </cell>
          <cell r="F4490">
            <v>0</v>
          </cell>
          <cell r="G4490">
            <v>0</v>
          </cell>
          <cell r="H4490">
            <v>0</v>
          </cell>
          <cell r="I4490">
            <v>0</v>
          </cell>
          <cell r="J4490">
            <v>0</v>
          </cell>
          <cell r="K4490">
            <v>0</v>
          </cell>
          <cell r="L4490">
            <v>0</v>
          </cell>
          <cell r="M4490">
            <v>0</v>
          </cell>
          <cell r="N4490">
            <v>0</v>
          </cell>
          <cell r="O4490">
            <v>0</v>
          </cell>
        </row>
        <row r="4491">
          <cell r="A4491" t="str">
            <v>Japan GECF (Business Split)COST OF GOODS SOLD - DISTRIBUTION</v>
          </cell>
          <cell r="B4491">
            <v>0</v>
          </cell>
          <cell r="C4491">
            <v>0</v>
          </cell>
          <cell r="D4491">
            <v>0</v>
          </cell>
          <cell r="E4491">
            <v>0</v>
          </cell>
          <cell r="F4491">
            <v>0</v>
          </cell>
          <cell r="G4491">
            <v>0</v>
          </cell>
          <cell r="H4491">
            <v>0</v>
          </cell>
          <cell r="I4491">
            <v>0</v>
          </cell>
          <cell r="J4491">
            <v>0</v>
          </cell>
          <cell r="K4491">
            <v>0</v>
          </cell>
          <cell r="L4491">
            <v>0</v>
          </cell>
          <cell r="M4491">
            <v>0</v>
          </cell>
          <cell r="N4491">
            <v>0</v>
          </cell>
          <cell r="O4491">
            <v>0</v>
          </cell>
        </row>
        <row r="4492">
          <cell r="A4492" t="str">
            <v>Japan GECF (Business Split)POSTAGE</v>
          </cell>
          <cell r="B4492">
            <v>0</v>
          </cell>
          <cell r="C4492">
            <v>0</v>
          </cell>
          <cell r="D4492">
            <v>0</v>
          </cell>
          <cell r="E4492">
            <v>0</v>
          </cell>
          <cell r="F4492">
            <v>0</v>
          </cell>
          <cell r="G4492">
            <v>0</v>
          </cell>
          <cell r="H4492">
            <v>0</v>
          </cell>
          <cell r="I4492">
            <v>0</v>
          </cell>
          <cell r="J4492">
            <v>0</v>
          </cell>
          <cell r="K4492">
            <v>0</v>
          </cell>
          <cell r="L4492">
            <v>0</v>
          </cell>
          <cell r="M4492">
            <v>0</v>
          </cell>
          <cell r="N4492">
            <v>0</v>
          </cell>
          <cell r="O4492">
            <v>0</v>
          </cell>
        </row>
        <row r="4493">
          <cell r="A4493" t="str">
            <v>Japan GECF (Business Split)TELEPHONE</v>
          </cell>
          <cell r="B4493">
            <v>0</v>
          </cell>
          <cell r="C4493">
            <v>0</v>
          </cell>
          <cell r="D4493">
            <v>0</v>
          </cell>
          <cell r="E4493">
            <v>0</v>
          </cell>
          <cell r="F4493">
            <v>0</v>
          </cell>
          <cell r="G4493">
            <v>0</v>
          </cell>
          <cell r="H4493">
            <v>0</v>
          </cell>
          <cell r="I4493">
            <v>0</v>
          </cell>
          <cell r="J4493">
            <v>0</v>
          </cell>
          <cell r="K4493">
            <v>0</v>
          </cell>
          <cell r="L4493">
            <v>0</v>
          </cell>
          <cell r="M4493">
            <v>0</v>
          </cell>
          <cell r="N4493">
            <v>0</v>
          </cell>
          <cell r="O4493">
            <v>0</v>
          </cell>
        </row>
        <row r="4494">
          <cell r="A4494" t="str">
            <v>Japan GECF (Business Split)CUSTOMER SERVICE / COLLECTIONS</v>
          </cell>
          <cell r="B4494">
            <v>0</v>
          </cell>
          <cell r="C4494">
            <v>0</v>
          </cell>
          <cell r="D4494">
            <v>0</v>
          </cell>
          <cell r="E4494">
            <v>0</v>
          </cell>
          <cell r="F4494">
            <v>0</v>
          </cell>
          <cell r="G4494">
            <v>0</v>
          </cell>
          <cell r="H4494">
            <v>0</v>
          </cell>
          <cell r="I4494">
            <v>0</v>
          </cell>
          <cell r="J4494">
            <v>0</v>
          </cell>
          <cell r="K4494">
            <v>0</v>
          </cell>
          <cell r="L4494">
            <v>0</v>
          </cell>
          <cell r="M4494">
            <v>0</v>
          </cell>
          <cell r="N4494">
            <v>0</v>
          </cell>
          <cell r="O4494">
            <v>0</v>
          </cell>
        </row>
        <row r="4495">
          <cell r="A4495" t="str">
            <v>Japan GECF (Business Split)STATIONARY - OFFICE SUPPLIES</v>
          </cell>
          <cell r="B4495">
            <v>0</v>
          </cell>
          <cell r="C4495">
            <v>0</v>
          </cell>
          <cell r="D4495">
            <v>0</v>
          </cell>
          <cell r="E4495">
            <v>0</v>
          </cell>
          <cell r="F4495">
            <v>0</v>
          </cell>
          <cell r="G4495">
            <v>0</v>
          </cell>
          <cell r="H4495">
            <v>0</v>
          </cell>
          <cell r="I4495">
            <v>0</v>
          </cell>
          <cell r="J4495">
            <v>0</v>
          </cell>
          <cell r="K4495">
            <v>0</v>
          </cell>
          <cell r="L4495">
            <v>0</v>
          </cell>
          <cell r="M4495">
            <v>0</v>
          </cell>
          <cell r="N4495">
            <v>0</v>
          </cell>
          <cell r="O4495">
            <v>0</v>
          </cell>
        </row>
        <row r="4496">
          <cell r="A4496" t="str">
            <v>Japan GECF (Business Split)T&amp;L</v>
          </cell>
          <cell r="B4496">
            <v>0</v>
          </cell>
          <cell r="C4496">
            <v>0</v>
          </cell>
          <cell r="D4496">
            <v>0</v>
          </cell>
          <cell r="E4496">
            <v>0</v>
          </cell>
          <cell r="F4496">
            <v>0</v>
          </cell>
          <cell r="G4496">
            <v>0</v>
          </cell>
          <cell r="H4496">
            <v>0</v>
          </cell>
          <cell r="I4496">
            <v>0</v>
          </cell>
          <cell r="J4496">
            <v>0</v>
          </cell>
          <cell r="K4496">
            <v>0</v>
          </cell>
          <cell r="L4496">
            <v>0</v>
          </cell>
          <cell r="M4496">
            <v>0</v>
          </cell>
          <cell r="N4496">
            <v>0</v>
          </cell>
          <cell r="O4496">
            <v>0</v>
          </cell>
        </row>
        <row r="4497">
          <cell r="A4497" t="str">
            <v>Japan GECF (Business Split)RENTAL - BLDG/FACILITIES</v>
          </cell>
          <cell r="B4497">
            <v>0</v>
          </cell>
          <cell r="C4497">
            <v>0</v>
          </cell>
          <cell r="D4497">
            <v>0</v>
          </cell>
          <cell r="E4497">
            <v>0</v>
          </cell>
          <cell r="F4497">
            <v>0</v>
          </cell>
          <cell r="G4497">
            <v>0</v>
          </cell>
          <cell r="H4497">
            <v>0</v>
          </cell>
          <cell r="I4497">
            <v>0</v>
          </cell>
          <cell r="J4497">
            <v>0</v>
          </cell>
          <cell r="K4497">
            <v>0</v>
          </cell>
          <cell r="L4497">
            <v>0</v>
          </cell>
          <cell r="M4497">
            <v>0</v>
          </cell>
          <cell r="N4497">
            <v>0</v>
          </cell>
          <cell r="O4497">
            <v>0</v>
          </cell>
        </row>
        <row r="4498">
          <cell r="A4498" t="str">
            <v>Japan GECF (Business Split)RENTAL - FURNITURE/EQUIP</v>
          </cell>
          <cell r="B4498">
            <v>0</v>
          </cell>
          <cell r="C4498">
            <v>0</v>
          </cell>
          <cell r="D4498">
            <v>0</v>
          </cell>
          <cell r="E4498">
            <v>0</v>
          </cell>
          <cell r="F4498">
            <v>0</v>
          </cell>
          <cell r="G4498">
            <v>0</v>
          </cell>
          <cell r="H4498">
            <v>0</v>
          </cell>
          <cell r="I4498">
            <v>0</v>
          </cell>
          <cell r="J4498">
            <v>0</v>
          </cell>
          <cell r="K4498">
            <v>0</v>
          </cell>
          <cell r="L4498">
            <v>0</v>
          </cell>
          <cell r="M4498">
            <v>0</v>
          </cell>
          <cell r="N4498">
            <v>0</v>
          </cell>
          <cell r="O4498">
            <v>0</v>
          </cell>
        </row>
        <row r="4499">
          <cell r="A4499" t="str">
            <v>Japan GECF (Business Split)RENTAL - COMPUTERS</v>
          </cell>
          <cell r="B4499">
            <v>0</v>
          </cell>
          <cell r="C4499">
            <v>0</v>
          </cell>
          <cell r="D4499">
            <v>0</v>
          </cell>
          <cell r="E4499">
            <v>0</v>
          </cell>
          <cell r="F4499">
            <v>0</v>
          </cell>
          <cell r="G4499">
            <v>0</v>
          </cell>
          <cell r="H4499">
            <v>0</v>
          </cell>
          <cell r="I4499">
            <v>0</v>
          </cell>
          <cell r="J4499">
            <v>0</v>
          </cell>
          <cell r="K4499">
            <v>0</v>
          </cell>
          <cell r="L4499">
            <v>0</v>
          </cell>
          <cell r="M4499">
            <v>0</v>
          </cell>
          <cell r="N4499">
            <v>0</v>
          </cell>
          <cell r="O4499">
            <v>0</v>
          </cell>
        </row>
        <row r="4500">
          <cell r="A4500" t="str">
            <v>Japan GECF (Business Split)LEASE IN - LEASE OUT</v>
          </cell>
          <cell r="B4500">
            <v>0</v>
          </cell>
          <cell r="C4500">
            <v>0</v>
          </cell>
          <cell r="D4500">
            <v>0</v>
          </cell>
          <cell r="E4500">
            <v>0</v>
          </cell>
          <cell r="F4500">
            <v>0</v>
          </cell>
          <cell r="G4500">
            <v>0</v>
          </cell>
          <cell r="H4500">
            <v>0</v>
          </cell>
          <cell r="I4500">
            <v>0</v>
          </cell>
          <cell r="J4500">
            <v>0</v>
          </cell>
          <cell r="K4500">
            <v>0</v>
          </cell>
          <cell r="L4500">
            <v>0</v>
          </cell>
          <cell r="M4500">
            <v>0</v>
          </cell>
          <cell r="N4500">
            <v>0</v>
          </cell>
          <cell r="O4500">
            <v>0</v>
          </cell>
        </row>
        <row r="4501">
          <cell r="A4501" t="str">
            <v>Japan GECF (Business Split)FURNITURE / EQUIPMENT / COMPUTER EXP</v>
          </cell>
          <cell r="B4501">
            <v>0</v>
          </cell>
          <cell r="C4501">
            <v>0</v>
          </cell>
          <cell r="D4501">
            <v>0</v>
          </cell>
          <cell r="E4501">
            <v>0</v>
          </cell>
          <cell r="F4501">
            <v>0</v>
          </cell>
          <cell r="G4501">
            <v>0</v>
          </cell>
          <cell r="H4501">
            <v>0</v>
          </cell>
          <cell r="I4501">
            <v>0</v>
          </cell>
          <cell r="J4501">
            <v>0</v>
          </cell>
          <cell r="K4501">
            <v>0</v>
          </cell>
          <cell r="L4501">
            <v>0</v>
          </cell>
          <cell r="M4501">
            <v>0</v>
          </cell>
          <cell r="N4501">
            <v>0</v>
          </cell>
          <cell r="O4501">
            <v>0</v>
          </cell>
        </row>
        <row r="4502">
          <cell r="A4502" t="str">
            <v>Japan GECF (Business Split)SOFTWARE EXPENSE</v>
          </cell>
          <cell r="B4502">
            <v>0</v>
          </cell>
          <cell r="C4502">
            <v>0</v>
          </cell>
          <cell r="D4502">
            <v>0</v>
          </cell>
          <cell r="E4502">
            <v>0</v>
          </cell>
          <cell r="F4502">
            <v>0</v>
          </cell>
          <cell r="G4502">
            <v>0</v>
          </cell>
          <cell r="H4502">
            <v>0</v>
          </cell>
          <cell r="I4502">
            <v>0</v>
          </cell>
          <cell r="J4502">
            <v>0</v>
          </cell>
          <cell r="K4502">
            <v>0</v>
          </cell>
          <cell r="L4502">
            <v>0</v>
          </cell>
          <cell r="M4502">
            <v>0</v>
          </cell>
          <cell r="N4502">
            <v>0</v>
          </cell>
          <cell r="O4502">
            <v>0</v>
          </cell>
        </row>
        <row r="4503">
          <cell r="A4503" t="str">
            <v>Japan GECF (Business Split)AMORTIZATION OF INTANGIBLES</v>
          </cell>
          <cell r="B4503">
            <v>0</v>
          </cell>
          <cell r="C4503">
            <v>0</v>
          </cell>
          <cell r="D4503">
            <v>0</v>
          </cell>
          <cell r="E4503">
            <v>0</v>
          </cell>
          <cell r="F4503">
            <v>0</v>
          </cell>
          <cell r="G4503">
            <v>0</v>
          </cell>
          <cell r="H4503">
            <v>0</v>
          </cell>
          <cell r="I4503">
            <v>0</v>
          </cell>
          <cell r="J4503">
            <v>0</v>
          </cell>
          <cell r="K4503">
            <v>0</v>
          </cell>
          <cell r="L4503">
            <v>0</v>
          </cell>
          <cell r="M4503">
            <v>0</v>
          </cell>
          <cell r="N4503">
            <v>0</v>
          </cell>
          <cell r="O4503">
            <v>0</v>
          </cell>
        </row>
        <row r="4504">
          <cell r="A4504" t="str">
            <v>Japan GECF (Business Split)ELTO MAINTENANCE</v>
          </cell>
          <cell r="B4504">
            <v>0</v>
          </cell>
          <cell r="C4504">
            <v>0</v>
          </cell>
          <cell r="D4504">
            <v>0</v>
          </cell>
          <cell r="E4504">
            <v>0</v>
          </cell>
          <cell r="F4504">
            <v>0</v>
          </cell>
          <cell r="G4504">
            <v>0</v>
          </cell>
          <cell r="H4504">
            <v>0</v>
          </cell>
          <cell r="I4504">
            <v>0</v>
          </cell>
          <cell r="J4504">
            <v>0</v>
          </cell>
          <cell r="K4504">
            <v>0</v>
          </cell>
          <cell r="L4504">
            <v>0</v>
          </cell>
          <cell r="M4504">
            <v>0</v>
          </cell>
          <cell r="N4504">
            <v>0</v>
          </cell>
          <cell r="O4504">
            <v>0</v>
          </cell>
        </row>
        <row r="4505">
          <cell r="A4505" t="str">
            <v>Japan GECF (Business Split)ELTO OTHER</v>
          </cell>
          <cell r="B4505">
            <v>0</v>
          </cell>
          <cell r="C4505">
            <v>0</v>
          </cell>
          <cell r="D4505">
            <v>0</v>
          </cell>
          <cell r="E4505">
            <v>0</v>
          </cell>
          <cell r="F4505">
            <v>0</v>
          </cell>
          <cell r="G4505">
            <v>0</v>
          </cell>
          <cell r="H4505">
            <v>0</v>
          </cell>
          <cell r="I4505">
            <v>0</v>
          </cell>
          <cell r="J4505">
            <v>0</v>
          </cell>
          <cell r="K4505">
            <v>0</v>
          </cell>
          <cell r="L4505">
            <v>0</v>
          </cell>
          <cell r="M4505">
            <v>0</v>
          </cell>
          <cell r="N4505">
            <v>0</v>
          </cell>
          <cell r="O4505">
            <v>0</v>
          </cell>
        </row>
        <row r="4506">
          <cell r="A4506" t="str">
            <v>Japan GECF (Business Split)LEGAL</v>
          </cell>
          <cell r="B4506">
            <v>0</v>
          </cell>
          <cell r="C4506">
            <v>0</v>
          </cell>
          <cell r="D4506">
            <v>0</v>
          </cell>
          <cell r="E4506">
            <v>0</v>
          </cell>
          <cell r="F4506">
            <v>0</v>
          </cell>
          <cell r="G4506">
            <v>0</v>
          </cell>
          <cell r="H4506">
            <v>0</v>
          </cell>
          <cell r="I4506">
            <v>0</v>
          </cell>
          <cell r="J4506">
            <v>0</v>
          </cell>
          <cell r="K4506">
            <v>0</v>
          </cell>
          <cell r="L4506">
            <v>0</v>
          </cell>
          <cell r="M4506">
            <v>0</v>
          </cell>
          <cell r="N4506">
            <v>0</v>
          </cell>
          <cell r="O4506">
            <v>0</v>
          </cell>
        </row>
        <row r="4507">
          <cell r="A4507" t="str">
            <v>Japan GECF (Business Split)ADVERTISING</v>
          </cell>
          <cell r="B4507">
            <v>0</v>
          </cell>
          <cell r="C4507">
            <v>0</v>
          </cell>
          <cell r="D4507">
            <v>0</v>
          </cell>
          <cell r="E4507">
            <v>0</v>
          </cell>
          <cell r="F4507">
            <v>0</v>
          </cell>
          <cell r="G4507">
            <v>0</v>
          </cell>
          <cell r="H4507">
            <v>0</v>
          </cell>
          <cell r="I4507">
            <v>0</v>
          </cell>
          <cell r="J4507">
            <v>0</v>
          </cell>
          <cell r="K4507">
            <v>0</v>
          </cell>
          <cell r="L4507">
            <v>0</v>
          </cell>
          <cell r="M4507">
            <v>0</v>
          </cell>
          <cell r="N4507">
            <v>0</v>
          </cell>
          <cell r="O4507">
            <v>0</v>
          </cell>
        </row>
        <row r="4508">
          <cell r="A4508" t="str">
            <v>Japan GECF (Business Split)SALES PROMOTIONS</v>
          </cell>
          <cell r="B4508">
            <v>0</v>
          </cell>
          <cell r="C4508">
            <v>0</v>
          </cell>
          <cell r="D4508">
            <v>0</v>
          </cell>
          <cell r="E4508">
            <v>0</v>
          </cell>
          <cell r="F4508">
            <v>0</v>
          </cell>
          <cell r="G4508">
            <v>0</v>
          </cell>
          <cell r="H4508">
            <v>0</v>
          </cell>
          <cell r="I4508">
            <v>0</v>
          </cell>
          <cell r="J4508">
            <v>0</v>
          </cell>
          <cell r="K4508">
            <v>0</v>
          </cell>
          <cell r="L4508">
            <v>0</v>
          </cell>
          <cell r="M4508">
            <v>0</v>
          </cell>
          <cell r="N4508">
            <v>0</v>
          </cell>
          <cell r="O4508">
            <v>0</v>
          </cell>
        </row>
        <row r="4509">
          <cell r="A4509" t="str">
            <v>Japan GECF (Business Split)DIRECT MAIL</v>
          </cell>
          <cell r="B4509">
            <v>0</v>
          </cell>
          <cell r="C4509">
            <v>0</v>
          </cell>
          <cell r="D4509">
            <v>0</v>
          </cell>
          <cell r="E4509">
            <v>0</v>
          </cell>
          <cell r="F4509">
            <v>0</v>
          </cell>
          <cell r="G4509">
            <v>0</v>
          </cell>
          <cell r="H4509">
            <v>0</v>
          </cell>
          <cell r="I4509">
            <v>0</v>
          </cell>
          <cell r="J4509">
            <v>0</v>
          </cell>
          <cell r="K4509">
            <v>0</v>
          </cell>
          <cell r="L4509">
            <v>0</v>
          </cell>
          <cell r="M4509">
            <v>0</v>
          </cell>
          <cell r="N4509">
            <v>0</v>
          </cell>
          <cell r="O4509">
            <v>0</v>
          </cell>
        </row>
        <row r="4510">
          <cell r="A4510" t="str">
            <v>Japan GECF (Business Split)DATA PROCESSING</v>
          </cell>
          <cell r="B4510">
            <v>0</v>
          </cell>
          <cell r="C4510">
            <v>0</v>
          </cell>
          <cell r="D4510">
            <v>0</v>
          </cell>
          <cell r="E4510">
            <v>0</v>
          </cell>
          <cell r="F4510">
            <v>0</v>
          </cell>
          <cell r="G4510">
            <v>0</v>
          </cell>
          <cell r="H4510">
            <v>0</v>
          </cell>
          <cell r="I4510">
            <v>0</v>
          </cell>
          <cell r="J4510">
            <v>0</v>
          </cell>
          <cell r="K4510">
            <v>0</v>
          </cell>
          <cell r="L4510">
            <v>0</v>
          </cell>
          <cell r="M4510">
            <v>0</v>
          </cell>
          <cell r="N4510">
            <v>0</v>
          </cell>
          <cell r="O4510">
            <v>0</v>
          </cell>
        </row>
        <row r="4511">
          <cell r="A4511" t="str">
            <v>Japan GECF (Business Split)CONSULTING</v>
          </cell>
          <cell r="B4511">
            <v>0</v>
          </cell>
          <cell r="C4511">
            <v>0</v>
          </cell>
          <cell r="D4511">
            <v>0</v>
          </cell>
          <cell r="E4511">
            <v>0</v>
          </cell>
          <cell r="F4511">
            <v>0</v>
          </cell>
          <cell r="G4511">
            <v>0</v>
          </cell>
          <cell r="H4511">
            <v>0</v>
          </cell>
          <cell r="I4511">
            <v>0</v>
          </cell>
          <cell r="J4511">
            <v>0</v>
          </cell>
          <cell r="K4511">
            <v>0</v>
          </cell>
          <cell r="L4511">
            <v>0</v>
          </cell>
          <cell r="M4511">
            <v>0</v>
          </cell>
          <cell r="N4511">
            <v>0</v>
          </cell>
          <cell r="O4511">
            <v>0</v>
          </cell>
        </row>
        <row r="4512">
          <cell r="A4512" t="str">
            <v>Japan GECF (Business Split)TEMP SERVICES</v>
          </cell>
          <cell r="B4512">
            <v>0</v>
          </cell>
          <cell r="C4512">
            <v>0</v>
          </cell>
          <cell r="D4512">
            <v>0</v>
          </cell>
          <cell r="E4512">
            <v>0</v>
          </cell>
          <cell r="F4512">
            <v>0</v>
          </cell>
          <cell r="G4512">
            <v>0</v>
          </cell>
          <cell r="H4512">
            <v>0</v>
          </cell>
          <cell r="I4512">
            <v>0</v>
          </cell>
          <cell r="J4512">
            <v>0</v>
          </cell>
          <cell r="K4512">
            <v>0</v>
          </cell>
          <cell r="L4512">
            <v>0</v>
          </cell>
          <cell r="M4512">
            <v>0</v>
          </cell>
          <cell r="N4512">
            <v>0</v>
          </cell>
          <cell r="O4512">
            <v>0</v>
          </cell>
        </row>
        <row r="4513">
          <cell r="A4513" t="str">
            <v>Japan GECF (Business Split)GDC CHARGES</v>
          </cell>
          <cell r="B4513">
            <v>0</v>
          </cell>
          <cell r="C4513">
            <v>0</v>
          </cell>
          <cell r="D4513">
            <v>0</v>
          </cell>
          <cell r="E4513">
            <v>0</v>
          </cell>
          <cell r="F4513">
            <v>0</v>
          </cell>
          <cell r="G4513">
            <v>0</v>
          </cell>
          <cell r="H4513">
            <v>0</v>
          </cell>
          <cell r="I4513">
            <v>0</v>
          </cell>
          <cell r="J4513">
            <v>0</v>
          </cell>
          <cell r="K4513">
            <v>0</v>
          </cell>
          <cell r="L4513">
            <v>0</v>
          </cell>
          <cell r="M4513">
            <v>0</v>
          </cell>
          <cell r="N4513">
            <v>0</v>
          </cell>
          <cell r="O4513">
            <v>0</v>
          </cell>
        </row>
        <row r="4514">
          <cell r="A4514" t="str">
            <v>Japan GECF (Business Split)TRAINING AND EDUCATION</v>
          </cell>
          <cell r="B4514">
            <v>0</v>
          </cell>
          <cell r="C4514">
            <v>0</v>
          </cell>
          <cell r="D4514">
            <v>0</v>
          </cell>
          <cell r="E4514">
            <v>0</v>
          </cell>
          <cell r="F4514">
            <v>0</v>
          </cell>
          <cell r="G4514">
            <v>0</v>
          </cell>
          <cell r="H4514">
            <v>0</v>
          </cell>
          <cell r="I4514">
            <v>0</v>
          </cell>
          <cell r="J4514">
            <v>0</v>
          </cell>
          <cell r="K4514">
            <v>0</v>
          </cell>
          <cell r="L4514">
            <v>0</v>
          </cell>
          <cell r="M4514">
            <v>0</v>
          </cell>
          <cell r="N4514">
            <v>0</v>
          </cell>
          <cell r="O4514">
            <v>0</v>
          </cell>
        </row>
        <row r="4515">
          <cell r="A4515" t="str">
            <v>Japan GECF (Business Split)OUTSIDE SERVICES  AND FEES</v>
          </cell>
          <cell r="B4515">
            <v>0</v>
          </cell>
          <cell r="C4515">
            <v>0</v>
          </cell>
          <cell r="D4515">
            <v>0</v>
          </cell>
          <cell r="E4515">
            <v>0</v>
          </cell>
          <cell r="F4515">
            <v>0</v>
          </cell>
          <cell r="G4515">
            <v>0</v>
          </cell>
          <cell r="H4515">
            <v>0</v>
          </cell>
          <cell r="I4515">
            <v>0</v>
          </cell>
          <cell r="J4515">
            <v>0</v>
          </cell>
          <cell r="K4515">
            <v>0</v>
          </cell>
          <cell r="L4515">
            <v>0</v>
          </cell>
          <cell r="M4515">
            <v>0</v>
          </cell>
          <cell r="N4515">
            <v>0</v>
          </cell>
          <cell r="O4515">
            <v>0</v>
          </cell>
        </row>
        <row r="4516">
          <cell r="A4516" t="str">
            <v>Japan GECF (Business Split)STATE, FOREIGN, LOCAL TAXES</v>
          </cell>
          <cell r="B4516">
            <v>0</v>
          </cell>
          <cell r="C4516">
            <v>0</v>
          </cell>
          <cell r="D4516">
            <v>0</v>
          </cell>
          <cell r="E4516">
            <v>0</v>
          </cell>
          <cell r="F4516">
            <v>0</v>
          </cell>
          <cell r="G4516">
            <v>0</v>
          </cell>
          <cell r="H4516">
            <v>0</v>
          </cell>
          <cell r="I4516">
            <v>0</v>
          </cell>
          <cell r="J4516">
            <v>0</v>
          </cell>
          <cell r="K4516">
            <v>0</v>
          </cell>
          <cell r="L4516">
            <v>0</v>
          </cell>
          <cell r="M4516">
            <v>0</v>
          </cell>
          <cell r="N4516">
            <v>0</v>
          </cell>
          <cell r="O4516">
            <v>0</v>
          </cell>
        </row>
        <row r="4517">
          <cell r="A4517" t="str">
            <v>Japan GECF (Business Split)S/L TAX - INSURANCE PREMIUMS</v>
          </cell>
          <cell r="B4517">
            <v>0</v>
          </cell>
          <cell r="C4517">
            <v>0</v>
          </cell>
          <cell r="D4517">
            <v>0</v>
          </cell>
          <cell r="E4517">
            <v>0</v>
          </cell>
          <cell r="F4517">
            <v>0</v>
          </cell>
          <cell r="G4517">
            <v>0</v>
          </cell>
          <cell r="H4517">
            <v>0</v>
          </cell>
          <cell r="I4517">
            <v>0</v>
          </cell>
          <cell r="J4517">
            <v>0</v>
          </cell>
          <cell r="K4517">
            <v>0</v>
          </cell>
          <cell r="L4517">
            <v>0</v>
          </cell>
          <cell r="M4517">
            <v>0</v>
          </cell>
          <cell r="N4517">
            <v>0</v>
          </cell>
          <cell r="O4517">
            <v>0</v>
          </cell>
        </row>
        <row r="4518">
          <cell r="A4518" t="str">
            <v>Japan GECF (Business Split)SATELLITE LEASE EXPENSE</v>
          </cell>
          <cell r="B4518">
            <v>0</v>
          </cell>
          <cell r="C4518">
            <v>0</v>
          </cell>
          <cell r="D4518">
            <v>0</v>
          </cell>
          <cell r="E4518">
            <v>0</v>
          </cell>
          <cell r="F4518">
            <v>0</v>
          </cell>
          <cell r="G4518">
            <v>0</v>
          </cell>
          <cell r="H4518">
            <v>0</v>
          </cell>
          <cell r="I4518">
            <v>0</v>
          </cell>
          <cell r="J4518">
            <v>0</v>
          </cell>
          <cell r="K4518">
            <v>0</v>
          </cell>
          <cell r="L4518">
            <v>0</v>
          </cell>
          <cell r="M4518">
            <v>0</v>
          </cell>
          <cell r="N4518">
            <v>0</v>
          </cell>
          <cell r="O4518">
            <v>0</v>
          </cell>
        </row>
        <row r="4519">
          <cell r="A4519" t="str">
            <v>Japan GECF (Business Split)BUSINESS SHARE EXPENSE</v>
          </cell>
          <cell r="B4519">
            <v>0</v>
          </cell>
          <cell r="C4519">
            <v>0</v>
          </cell>
          <cell r="D4519">
            <v>0</v>
          </cell>
          <cell r="E4519">
            <v>0</v>
          </cell>
          <cell r="F4519">
            <v>0</v>
          </cell>
          <cell r="G4519">
            <v>0</v>
          </cell>
          <cell r="H4519">
            <v>0</v>
          </cell>
          <cell r="I4519">
            <v>0</v>
          </cell>
          <cell r="J4519">
            <v>0</v>
          </cell>
          <cell r="K4519">
            <v>0</v>
          </cell>
          <cell r="L4519">
            <v>0</v>
          </cell>
          <cell r="M4519">
            <v>0</v>
          </cell>
          <cell r="N4519">
            <v>0</v>
          </cell>
          <cell r="O4519">
            <v>0</v>
          </cell>
        </row>
        <row r="4520">
          <cell r="A4520" t="str">
            <v>Japan GECF (Business Split)INSURANCE AFFILIATE EXPENSE</v>
          </cell>
          <cell r="B4520">
            <v>0</v>
          </cell>
          <cell r="C4520">
            <v>0</v>
          </cell>
          <cell r="D4520">
            <v>0</v>
          </cell>
          <cell r="E4520">
            <v>0</v>
          </cell>
          <cell r="F4520">
            <v>0</v>
          </cell>
          <cell r="G4520">
            <v>0</v>
          </cell>
          <cell r="H4520">
            <v>0</v>
          </cell>
          <cell r="I4520">
            <v>0</v>
          </cell>
          <cell r="J4520">
            <v>0</v>
          </cell>
          <cell r="K4520">
            <v>0</v>
          </cell>
          <cell r="L4520">
            <v>0</v>
          </cell>
          <cell r="M4520">
            <v>0</v>
          </cell>
          <cell r="N4520">
            <v>0</v>
          </cell>
          <cell r="O4520">
            <v>0</v>
          </cell>
        </row>
        <row r="4521">
          <cell r="A4521" t="str">
            <v>Japan GECF (Business Split)OTHER FACILITY EXPENSE</v>
          </cell>
          <cell r="B4521">
            <v>0</v>
          </cell>
          <cell r="C4521">
            <v>0</v>
          </cell>
          <cell r="D4521">
            <v>0</v>
          </cell>
          <cell r="E4521">
            <v>0</v>
          </cell>
          <cell r="F4521">
            <v>0</v>
          </cell>
          <cell r="G4521">
            <v>0</v>
          </cell>
          <cell r="H4521">
            <v>0</v>
          </cell>
          <cell r="I4521">
            <v>0</v>
          </cell>
          <cell r="J4521">
            <v>0</v>
          </cell>
          <cell r="K4521">
            <v>0</v>
          </cell>
          <cell r="L4521">
            <v>0</v>
          </cell>
          <cell r="M4521">
            <v>0</v>
          </cell>
          <cell r="N4521">
            <v>0</v>
          </cell>
          <cell r="O4521">
            <v>0</v>
          </cell>
        </row>
        <row r="4522">
          <cell r="A4522" t="str">
            <v>Japan GECF (Business Split)GROSS OP &amp; ADMIN BUS SHARE</v>
          </cell>
          <cell r="B4522">
            <v>0</v>
          </cell>
          <cell r="C4522">
            <v>0</v>
          </cell>
          <cell r="D4522">
            <v>0</v>
          </cell>
          <cell r="E4522">
            <v>0</v>
          </cell>
          <cell r="F4522">
            <v>0</v>
          </cell>
          <cell r="G4522">
            <v>0</v>
          </cell>
          <cell r="H4522">
            <v>0</v>
          </cell>
          <cell r="I4522">
            <v>0</v>
          </cell>
          <cell r="J4522">
            <v>0</v>
          </cell>
          <cell r="K4522">
            <v>0</v>
          </cell>
          <cell r="L4522">
            <v>0</v>
          </cell>
          <cell r="M4522">
            <v>0</v>
          </cell>
          <cell r="N4522">
            <v>0</v>
          </cell>
          <cell r="O4522">
            <v>0</v>
          </cell>
        </row>
        <row r="4523">
          <cell r="A4523" t="str">
            <v>Japan GECF (Business Split)OTHER EXPENSE</v>
          </cell>
          <cell r="B4523">
            <v>0</v>
          </cell>
          <cell r="C4523">
            <v>0</v>
          </cell>
          <cell r="D4523">
            <v>0</v>
          </cell>
          <cell r="E4523">
            <v>0</v>
          </cell>
          <cell r="F4523">
            <v>0</v>
          </cell>
          <cell r="G4523">
            <v>0</v>
          </cell>
          <cell r="H4523">
            <v>0</v>
          </cell>
          <cell r="I4523">
            <v>0</v>
          </cell>
          <cell r="J4523">
            <v>0</v>
          </cell>
          <cell r="K4523">
            <v>0</v>
          </cell>
          <cell r="L4523">
            <v>0</v>
          </cell>
          <cell r="M4523">
            <v>0</v>
          </cell>
          <cell r="N4523">
            <v>0</v>
          </cell>
          <cell r="O4523">
            <v>0</v>
          </cell>
        </row>
        <row r="4524">
          <cell r="A4524" t="str">
            <v>Japan GECF (Business Split)GECC INTERCO EXPENSES EXCL GECIS</v>
          </cell>
          <cell r="B4524">
            <v>0</v>
          </cell>
          <cell r="C4524">
            <v>0</v>
          </cell>
          <cell r="D4524">
            <v>0</v>
          </cell>
          <cell r="E4524">
            <v>0</v>
          </cell>
          <cell r="F4524">
            <v>0</v>
          </cell>
          <cell r="G4524">
            <v>0</v>
          </cell>
          <cell r="H4524">
            <v>0</v>
          </cell>
          <cell r="I4524">
            <v>0</v>
          </cell>
          <cell r="J4524">
            <v>0</v>
          </cell>
          <cell r="K4524">
            <v>0</v>
          </cell>
          <cell r="L4524">
            <v>0</v>
          </cell>
          <cell r="M4524">
            <v>0</v>
          </cell>
          <cell r="N4524">
            <v>0</v>
          </cell>
          <cell r="O4524">
            <v>0</v>
          </cell>
        </row>
        <row r="4525">
          <cell r="A4525" t="str">
            <v>Japan GECF (Business Split)GECIS INTERCO CHARGES</v>
          </cell>
          <cell r="B4525">
            <v>0</v>
          </cell>
          <cell r="C4525">
            <v>0</v>
          </cell>
          <cell r="D4525">
            <v>0</v>
          </cell>
          <cell r="E4525">
            <v>0</v>
          </cell>
          <cell r="F4525">
            <v>0</v>
          </cell>
          <cell r="G4525">
            <v>0</v>
          </cell>
          <cell r="H4525">
            <v>0</v>
          </cell>
          <cell r="I4525">
            <v>0</v>
          </cell>
          <cell r="J4525">
            <v>0</v>
          </cell>
          <cell r="K4525">
            <v>0</v>
          </cell>
          <cell r="L4525">
            <v>0</v>
          </cell>
          <cell r="M4525">
            <v>0</v>
          </cell>
          <cell r="N4525">
            <v>0</v>
          </cell>
          <cell r="O4525">
            <v>0</v>
          </cell>
        </row>
        <row r="4526">
          <cell r="A4526" t="str">
            <v>Japan GECF (Business Split)LOSS ADJUSTED EXPENSE</v>
          </cell>
          <cell r="B4526">
            <v>0</v>
          </cell>
          <cell r="C4526">
            <v>0</v>
          </cell>
          <cell r="D4526">
            <v>0</v>
          </cell>
          <cell r="E4526">
            <v>0</v>
          </cell>
          <cell r="F4526">
            <v>0</v>
          </cell>
          <cell r="G4526">
            <v>0</v>
          </cell>
          <cell r="H4526">
            <v>0</v>
          </cell>
          <cell r="I4526">
            <v>0</v>
          </cell>
          <cell r="J4526">
            <v>0</v>
          </cell>
          <cell r="K4526">
            <v>0</v>
          </cell>
          <cell r="L4526">
            <v>0</v>
          </cell>
          <cell r="M4526">
            <v>0</v>
          </cell>
          <cell r="N4526">
            <v>0</v>
          </cell>
          <cell r="O4526">
            <v>0</v>
          </cell>
        </row>
        <row r="4527">
          <cell r="A4527" t="str">
            <v>Japan GECF (Business Split)ALL OTHER EXPENSES</v>
          </cell>
          <cell r="B4527">
            <v>0</v>
          </cell>
          <cell r="C4527">
            <v>0</v>
          </cell>
          <cell r="D4527">
            <v>0</v>
          </cell>
          <cell r="E4527">
            <v>0</v>
          </cell>
          <cell r="F4527">
            <v>0</v>
          </cell>
          <cell r="G4527">
            <v>0</v>
          </cell>
          <cell r="H4527">
            <v>0</v>
          </cell>
          <cell r="I4527">
            <v>0</v>
          </cell>
          <cell r="J4527">
            <v>0</v>
          </cell>
          <cell r="K4527">
            <v>0</v>
          </cell>
          <cell r="L4527">
            <v>0</v>
          </cell>
          <cell r="M4527">
            <v>0</v>
          </cell>
          <cell r="N4527">
            <v>0</v>
          </cell>
          <cell r="O4527">
            <v>0</v>
          </cell>
        </row>
        <row r="4528">
          <cell r="A4528" t="str">
            <v>Japan GECF (Business Split)ASSESSMENTS</v>
          </cell>
          <cell r="B4528">
            <v>0</v>
          </cell>
          <cell r="C4528">
            <v>0</v>
          </cell>
          <cell r="D4528">
            <v>0</v>
          </cell>
          <cell r="E4528">
            <v>0</v>
          </cell>
          <cell r="F4528">
            <v>0</v>
          </cell>
          <cell r="G4528">
            <v>0</v>
          </cell>
          <cell r="H4528">
            <v>0</v>
          </cell>
          <cell r="I4528">
            <v>0</v>
          </cell>
          <cell r="J4528">
            <v>0</v>
          </cell>
          <cell r="K4528">
            <v>0</v>
          </cell>
          <cell r="L4528">
            <v>0</v>
          </cell>
          <cell r="M4528">
            <v>0</v>
          </cell>
          <cell r="N4528">
            <v>0</v>
          </cell>
          <cell r="O4528">
            <v>0</v>
          </cell>
        </row>
        <row r="4529">
          <cell r="A4529" t="str">
            <v>Japan GECF (Business Split)FAS 91</v>
          </cell>
          <cell r="B4529">
            <v>0</v>
          </cell>
          <cell r="C4529">
            <v>0</v>
          </cell>
          <cell r="D4529">
            <v>0</v>
          </cell>
          <cell r="E4529">
            <v>0</v>
          </cell>
          <cell r="F4529">
            <v>0</v>
          </cell>
          <cell r="G4529">
            <v>0</v>
          </cell>
          <cell r="H4529">
            <v>0</v>
          </cell>
          <cell r="I4529">
            <v>0</v>
          </cell>
          <cell r="J4529">
            <v>0</v>
          </cell>
          <cell r="K4529">
            <v>0</v>
          </cell>
          <cell r="L4529">
            <v>0</v>
          </cell>
          <cell r="M4529">
            <v>0</v>
          </cell>
          <cell r="N4529">
            <v>0</v>
          </cell>
          <cell r="O4529">
            <v>0</v>
          </cell>
        </row>
        <row r="4530">
          <cell r="A4530" t="str">
            <v>Japan GECF (Business Split)GOODWILL AMORTIZATION</v>
          </cell>
          <cell r="B4530">
            <v>0</v>
          </cell>
          <cell r="C4530">
            <v>0</v>
          </cell>
          <cell r="D4530">
            <v>0</v>
          </cell>
          <cell r="E4530">
            <v>0</v>
          </cell>
          <cell r="F4530">
            <v>0</v>
          </cell>
          <cell r="G4530">
            <v>0</v>
          </cell>
          <cell r="H4530">
            <v>0</v>
          </cell>
          <cell r="I4530">
            <v>0</v>
          </cell>
          <cell r="J4530">
            <v>0</v>
          </cell>
          <cell r="K4530">
            <v>0</v>
          </cell>
          <cell r="L4530">
            <v>0</v>
          </cell>
          <cell r="M4530">
            <v>0</v>
          </cell>
          <cell r="N4530">
            <v>0</v>
          </cell>
          <cell r="O4530">
            <v>0</v>
          </cell>
        </row>
        <row r="4531">
          <cell r="A4531" t="str">
            <v>Japan GECF (Business Split)DEPRECIATION EXPENSE</v>
          </cell>
          <cell r="B4531">
            <v>0</v>
          </cell>
          <cell r="C4531">
            <v>0</v>
          </cell>
          <cell r="D4531">
            <v>0</v>
          </cell>
          <cell r="E4531">
            <v>0</v>
          </cell>
          <cell r="F4531">
            <v>0</v>
          </cell>
          <cell r="G4531">
            <v>0</v>
          </cell>
          <cell r="H4531">
            <v>0</v>
          </cell>
          <cell r="I4531">
            <v>0</v>
          </cell>
          <cell r="J4531">
            <v>0</v>
          </cell>
          <cell r="K4531">
            <v>0</v>
          </cell>
          <cell r="L4531">
            <v>0</v>
          </cell>
          <cell r="M4531">
            <v>0</v>
          </cell>
          <cell r="N4531">
            <v>0</v>
          </cell>
          <cell r="O4531">
            <v>0</v>
          </cell>
        </row>
        <row r="4532">
          <cell r="A4532" t="str">
            <v>Japan GECF (Business Split)ELTO AMORTIZATION</v>
          </cell>
          <cell r="B4532">
            <v>0</v>
          </cell>
          <cell r="C4532">
            <v>0</v>
          </cell>
          <cell r="D4532">
            <v>0</v>
          </cell>
          <cell r="E4532">
            <v>0</v>
          </cell>
          <cell r="F4532">
            <v>0</v>
          </cell>
          <cell r="G4532">
            <v>0</v>
          </cell>
          <cell r="H4532">
            <v>0</v>
          </cell>
          <cell r="I4532">
            <v>0</v>
          </cell>
          <cell r="J4532">
            <v>0</v>
          </cell>
          <cell r="K4532">
            <v>0</v>
          </cell>
          <cell r="L4532">
            <v>0</v>
          </cell>
          <cell r="M4532">
            <v>0</v>
          </cell>
          <cell r="N4532">
            <v>0</v>
          </cell>
          <cell r="O4532">
            <v>0</v>
          </cell>
        </row>
        <row r="4533">
          <cell r="A4533" t="str">
            <v>Japan GECF (Business Split)INSURANCE LOSSES AND BENEFITS</v>
          </cell>
          <cell r="B4533">
            <v>0</v>
          </cell>
          <cell r="C4533">
            <v>0</v>
          </cell>
          <cell r="D4533">
            <v>0</v>
          </cell>
          <cell r="E4533">
            <v>0</v>
          </cell>
          <cell r="F4533">
            <v>0</v>
          </cell>
          <cell r="G4533">
            <v>0</v>
          </cell>
          <cell r="H4533">
            <v>0</v>
          </cell>
          <cell r="I4533">
            <v>0</v>
          </cell>
          <cell r="J4533">
            <v>0</v>
          </cell>
          <cell r="K4533">
            <v>0</v>
          </cell>
          <cell r="L4533">
            <v>0</v>
          </cell>
          <cell r="M4533">
            <v>0</v>
          </cell>
          <cell r="N4533">
            <v>0</v>
          </cell>
          <cell r="O4533">
            <v>0</v>
          </cell>
        </row>
        <row r="4534">
          <cell r="A4534" t="str">
            <v>Japan GECF (Business Split)WRITE OFFS</v>
          </cell>
          <cell r="B4534">
            <v>0</v>
          </cell>
          <cell r="C4534">
            <v>0</v>
          </cell>
          <cell r="D4534">
            <v>0</v>
          </cell>
          <cell r="E4534">
            <v>0</v>
          </cell>
          <cell r="F4534">
            <v>0</v>
          </cell>
          <cell r="G4534">
            <v>0</v>
          </cell>
          <cell r="H4534">
            <v>0</v>
          </cell>
          <cell r="I4534">
            <v>0</v>
          </cell>
          <cell r="J4534">
            <v>0</v>
          </cell>
          <cell r="K4534">
            <v>0</v>
          </cell>
          <cell r="L4534">
            <v>0</v>
          </cell>
          <cell r="M4534">
            <v>0</v>
          </cell>
          <cell r="N4534">
            <v>0</v>
          </cell>
          <cell r="O4534">
            <v>0</v>
          </cell>
        </row>
        <row r="4535">
          <cell r="A4535" t="str">
            <v>Japan GECF (Business Split)RESERVE CHANGE</v>
          </cell>
          <cell r="B4535">
            <v>0</v>
          </cell>
          <cell r="C4535">
            <v>0</v>
          </cell>
          <cell r="D4535">
            <v>0</v>
          </cell>
          <cell r="E4535">
            <v>0</v>
          </cell>
          <cell r="F4535">
            <v>0</v>
          </cell>
          <cell r="G4535">
            <v>0</v>
          </cell>
          <cell r="H4535">
            <v>0</v>
          </cell>
          <cell r="I4535">
            <v>0</v>
          </cell>
          <cell r="J4535">
            <v>0</v>
          </cell>
          <cell r="K4535">
            <v>0</v>
          </cell>
          <cell r="L4535">
            <v>0</v>
          </cell>
          <cell r="M4535">
            <v>0</v>
          </cell>
          <cell r="N4535">
            <v>0</v>
          </cell>
          <cell r="O4535">
            <v>0</v>
          </cell>
        </row>
        <row r="4536">
          <cell r="A4536" t="str">
            <v>Japan GECF (Business Split)MINORITY INTEREST</v>
          </cell>
          <cell r="B4536">
            <v>0</v>
          </cell>
          <cell r="C4536">
            <v>0</v>
          </cell>
          <cell r="D4536">
            <v>0</v>
          </cell>
          <cell r="E4536">
            <v>0</v>
          </cell>
          <cell r="F4536">
            <v>0</v>
          </cell>
          <cell r="G4536">
            <v>0</v>
          </cell>
          <cell r="H4536">
            <v>0</v>
          </cell>
          <cell r="I4536">
            <v>0</v>
          </cell>
          <cell r="J4536">
            <v>0</v>
          </cell>
          <cell r="K4536">
            <v>0</v>
          </cell>
          <cell r="L4536">
            <v>0</v>
          </cell>
          <cell r="M4536">
            <v>0</v>
          </cell>
          <cell r="N4536">
            <v>0</v>
          </cell>
          <cell r="O4536">
            <v>0</v>
          </cell>
        </row>
        <row r="4537">
          <cell r="A4537" t="str">
            <v>Japan GECF (Business Split)INCOME TAXES</v>
          </cell>
          <cell r="B4537">
            <v>0</v>
          </cell>
          <cell r="C4537">
            <v>0</v>
          </cell>
          <cell r="D4537">
            <v>0</v>
          </cell>
          <cell r="E4537">
            <v>0</v>
          </cell>
          <cell r="F4537">
            <v>0</v>
          </cell>
          <cell r="G4537">
            <v>0</v>
          </cell>
          <cell r="H4537">
            <v>0</v>
          </cell>
          <cell r="I4537">
            <v>0</v>
          </cell>
          <cell r="J4537">
            <v>0</v>
          </cell>
          <cell r="K4537">
            <v>0</v>
          </cell>
          <cell r="L4537">
            <v>0</v>
          </cell>
          <cell r="M4537">
            <v>0</v>
          </cell>
          <cell r="N4537">
            <v>0</v>
          </cell>
          <cell r="O4537">
            <v>0</v>
          </cell>
        </row>
        <row r="4538">
          <cell r="A4538" t="str">
            <v>Japan GECF (Business Split)CUMULATIVE TRANSITION ADJUSTMENT</v>
          </cell>
          <cell r="B4538">
            <v>0</v>
          </cell>
          <cell r="C4538">
            <v>0</v>
          </cell>
          <cell r="D4538">
            <v>0</v>
          </cell>
          <cell r="E4538">
            <v>0</v>
          </cell>
          <cell r="F4538">
            <v>0</v>
          </cell>
          <cell r="G4538">
            <v>0</v>
          </cell>
          <cell r="H4538">
            <v>0</v>
          </cell>
          <cell r="I4538">
            <v>0</v>
          </cell>
          <cell r="J4538">
            <v>0</v>
          </cell>
          <cell r="K4538">
            <v>0</v>
          </cell>
          <cell r="L4538">
            <v>0</v>
          </cell>
          <cell r="M4538">
            <v>0</v>
          </cell>
          <cell r="N4538">
            <v>0</v>
          </cell>
          <cell r="O4538">
            <v>0</v>
          </cell>
        </row>
        <row r="4539">
          <cell r="A4539" t="str">
            <v>Japan GECF (Business Split)ASIA PACIFIC NI DIVIDEND</v>
          </cell>
          <cell r="B4539">
            <v>0</v>
          </cell>
          <cell r="C4539">
            <v>0</v>
          </cell>
          <cell r="D4539">
            <v>0</v>
          </cell>
          <cell r="E4539">
            <v>0</v>
          </cell>
          <cell r="F4539">
            <v>0</v>
          </cell>
          <cell r="G4539">
            <v>0</v>
          </cell>
          <cell r="H4539">
            <v>0</v>
          </cell>
          <cell r="I4539">
            <v>0</v>
          </cell>
          <cell r="J4539">
            <v>0</v>
          </cell>
          <cell r="K4539">
            <v>0</v>
          </cell>
          <cell r="L4539">
            <v>0</v>
          </cell>
          <cell r="M4539">
            <v>0</v>
          </cell>
          <cell r="N4539">
            <v>0</v>
          </cell>
          <cell r="O4539">
            <v>0</v>
          </cell>
        </row>
        <row r="4540">
          <cell r="A4540" t="str">
            <v>Japan GECF (Business Split)Net Income</v>
          </cell>
          <cell r="B4540">
            <v>0</v>
          </cell>
          <cell r="C4540">
            <v>0</v>
          </cell>
          <cell r="D4540">
            <v>0</v>
          </cell>
          <cell r="E4540">
            <v>0</v>
          </cell>
          <cell r="F4540">
            <v>0</v>
          </cell>
          <cell r="G4540">
            <v>0</v>
          </cell>
          <cell r="H4540">
            <v>0</v>
          </cell>
          <cell r="I4540">
            <v>0</v>
          </cell>
          <cell r="J4540">
            <v>0</v>
          </cell>
          <cell r="K4540">
            <v>0</v>
          </cell>
          <cell r="L4540">
            <v>0</v>
          </cell>
          <cell r="M4540">
            <v>0</v>
          </cell>
          <cell r="N4540">
            <v>0</v>
          </cell>
          <cell r="O4540">
            <v>0</v>
          </cell>
        </row>
        <row r="4541">
          <cell r="A4541" t="str">
            <v>Japan GECF (Business Split)SubPart F</v>
          </cell>
          <cell r="B4541">
            <v>0</v>
          </cell>
          <cell r="C4541">
            <v>0</v>
          </cell>
          <cell r="D4541">
            <v>0</v>
          </cell>
          <cell r="E4541">
            <v>0</v>
          </cell>
          <cell r="F4541">
            <v>0</v>
          </cell>
          <cell r="G4541">
            <v>0</v>
          </cell>
          <cell r="H4541">
            <v>0</v>
          </cell>
          <cell r="I4541">
            <v>0</v>
          </cell>
          <cell r="J4541">
            <v>0</v>
          </cell>
          <cell r="K4541">
            <v>0</v>
          </cell>
          <cell r="L4541">
            <v>0</v>
          </cell>
          <cell r="M4541">
            <v>0</v>
          </cell>
          <cell r="N4541">
            <v>0</v>
          </cell>
          <cell r="O4541">
            <v>0</v>
          </cell>
        </row>
        <row r="4542">
          <cell r="A4542" t="str">
            <v>Japan GECF (Business Split)Assets</v>
          </cell>
          <cell r="B4542">
            <v>0</v>
          </cell>
          <cell r="C4542">
            <v>0</v>
          </cell>
          <cell r="D4542">
            <v>0</v>
          </cell>
          <cell r="E4542">
            <v>0</v>
          </cell>
          <cell r="F4542">
            <v>0</v>
          </cell>
          <cell r="G4542">
            <v>0</v>
          </cell>
          <cell r="H4542">
            <v>0</v>
          </cell>
          <cell r="I4542">
            <v>0</v>
          </cell>
          <cell r="J4542">
            <v>0</v>
          </cell>
          <cell r="K4542">
            <v>0</v>
          </cell>
          <cell r="L4542">
            <v>0</v>
          </cell>
          <cell r="M4542">
            <v>0</v>
          </cell>
          <cell r="N4542">
            <v>0</v>
          </cell>
          <cell r="O4542">
            <v>0</v>
          </cell>
        </row>
        <row r="4543">
          <cell r="A4543" t="str">
            <v>Japan GECF (Business Split)Ending Net Investment (ENI) incl Asia</v>
          </cell>
          <cell r="B4543">
            <v>0</v>
          </cell>
          <cell r="C4543">
            <v>0</v>
          </cell>
          <cell r="D4543">
            <v>0</v>
          </cell>
          <cell r="E4543">
            <v>0</v>
          </cell>
          <cell r="F4543">
            <v>0</v>
          </cell>
          <cell r="G4543">
            <v>0</v>
          </cell>
          <cell r="H4543">
            <v>0</v>
          </cell>
          <cell r="I4543">
            <v>0</v>
          </cell>
          <cell r="J4543">
            <v>0</v>
          </cell>
          <cell r="K4543">
            <v>0</v>
          </cell>
          <cell r="L4543">
            <v>0</v>
          </cell>
          <cell r="M4543">
            <v>0</v>
          </cell>
          <cell r="N4543">
            <v>0</v>
          </cell>
          <cell r="O4543">
            <v>0</v>
          </cell>
        </row>
        <row r="4544">
          <cell r="A4544" t="str">
            <v>Japan GECF (Business Split)ANR YTD</v>
          </cell>
          <cell r="B4544">
            <v>931377454.66999495</v>
          </cell>
          <cell r="C4544">
            <v>620918303.11333001</v>
          </cell>
          <cell r="D4544">
            <v>465688727.334997</v>
          </cell>
          <cell r="E4544">
            <v>372550981.867998</v>
          </cell>
          <cell r="F4544">
            <v>372550981.867998</v>
          </cell>
          <cell r="G4544">
            <v>0</v>
          </cell>
          <cell r="H4544">
            <v>0</v>
          </cell>
          <cell r="I4544">
            <v>0</v>
          </cell>
          <cell r="J4544">
            <v>0</v>
          </cell>
          <cell r="K4544">
            <v>0</v>
          </cell>
          <cell r="L4544">
            <v>0</v>
          </cell>
          <cell r="M4544">
            <v>0</v>
          </cell>
          <cell r="N4544">
            <v>0</v>
          </cell>
          <cell r="O4544">
            <v>0</v>
          </cell>
        </row>
        <row r="4545">
          <cell r="A4545" t="str">
            <v>Japan GECF (Business Split)ASA YTD</v>
          </cell>
          <cell r="B4545">
            <v>931377454.66999495</v>
          </cell>
          <cell r="C4545">
            <v>620918303.11333001</v>
          </cell>
          <cell r="D4545">
            <v>465688727.334997</v>
          </cell>
          <cell r="E4545">
            <v>372550981.867998</v>
          </cell>
          <cell r="F4545">
            <v>372550981.867998</v>
          </cell>
          <cell r="G4545">
            <v>0</v>
          </cell>
          <cell r="H4545">
            <v>0</v>
          </cell>
          <cell r="I4545">
            <v>0</v>
          </cell>
          <cell r="J4545">
            <v>0</v>
          </cell>
          <cell r="K4545">
            <v>0</v>
          </cell>
          <cell r="L4545">
            <v>0</v>
          </cell>
          <cell r="M4545">
            <v>0</v>
          </cell>
          <cell r="N4545">
            <v>0</v>
          </cell>
          <cell r="O4545">
            <v>0</v>
          </cell>
        </row>
        <row r="4546">
          <cell r="A4546" t="str">
            <v>Japan GECF (Business Split)ANI YTD incl Asia - 5 pt</v>
          </cell>
          <cell r="B4546">
            <v>1188046557.59499</v>
          </cell>
          <cell r="C4546">
            <v>792031038.39666295</v>
          </cell>
          <cell r="D4546">
            <v>594023278.79749799</v>
          </cell>
          <cell r="E4546">
            <v>475218623.03799802</v>
          </cell>
          <cell r="F4546">
            <v>475218623.03799802</v>
          </cell>
          <cell r="G4546">
            <v>0</v>
          </cell>
          <cell r="H4546">
            <v>0</v>
          </cell>
          <cell r="I4546">
            <v>0</v>
          </cell>
          <cell r="J4546">
            <v>0</v>
          </cell>
          <cell r="K4546">
            <v>0</v>
          </cell>
          <cell r="L4546">
            <v>0</v>
          </cell>
          <cell r="M4546">
            <v>0</v>
          </cell>
          <cell r="N4546">
            <v>0</v>
          </cell>
          <cell r="O4546">
            <v>0</v>
          </cell>
        </row>
        <row r="4547">
          <cell r="A4547" t="str">
            <v>Japan GECF (Business Split)Off Balance Sheet Assets</v>
          </cell>
          <cell r="B4547">
            <v>0</v>
          </cell>
          <cell r="C4547">
            <v>0</v>
          </cell>
          <cell r="D4547">
            <v>0</v>
          </cell>
          <cell r="E4547">
            <v>0</v>
          </cell>
          <cell r="F4547">
            <v>0</v>
          </cell>
          <cell r="G4547">
            <v>0</v>
          </cell>
          <cell r="H4547">
            <v>0</v>
          </cell>
          <cell r="I4547">
            <v>0</v>
          </cell>
          <cell r="J4547">
            <v>0</v>
          </cell>
          <cell r="K4547">
            <v>0</v>
          </cell>
          <cell r="L4547">
            <v>0</v>
          </cell>
          <cell r="M4547">
            <v>0</v>
          </cell>
          <cell r="N4547">
            <v>0</v>
          </cell>
          <cell r="O4547">
            <v>0</v>
          </cell>
        </row>
        <row r="4548">
          <cell r="A4548" t="str">
            <v>Japan GECF (Business Split)JV Receivables</v>
          </cell>
          <cell r="B4548">
            <v>0</v>
          </cell>
          <cell r="C4548">
            <v>0</v>
          </cell>
          <cell r="D4548">
            <v>0</v>
          </cell>
          <cell r="E4548">
            <v>0</v>
          </cell>
          <cell r="F4548">
            <v>0</v>
          </cell>
          <cell r="G4548">
            <v>0</v>
          </cell>
          <cell r="H4548">
            <v>0</v>
          </cell>
          <cell r="I4548">
            <v>0</v>
          </cell>
          <cell r="J4548">
            <v>0</v>
          </cell>
          <cell r="K4548">
            <v>0</v>
          </cell>
          <cell r="L4548">
            <v>0</v>
          </cell>
          <cell r="M4548">
            <v>0</v>
          </cell>
          <cell r="N4548">
            <v>0</v>
          </cell>
          <cell r="O4548">
            <v>0</v>
          </cell>
        </row>
        <row r="4549">
          <cell r="A4549" t="str">
            <v>Japan GECF (Business Split)30+ DELINQUENCY $</v>
          </cell>
          <cell r="B4549">
            <v>0</v>
          </cell>
          <cell r="C4549">
            <v>0</v>
          </cell>
          <cell r="D4549">
            <v>0</v>
          </cell>
          <cell r="E4549">
            <v>0</v>
          </cell>
          <cell r="F4549">
            <v>0</v>
          </cell>
          <cell r="G4549">
            <v>0</v>
          </cell>
          <cell r="H4549">
            <v>0</v>
          </cell>
          <cell r="I4549">
            <v>0</v>
          </cell>
          <cell r="J4549">
            <v>0</v>
          </cell>
          <cell r="K4549">
            <v>0</v>
          </cell>
          <cell r="L4549">
            <v>0</v>
          </cell>
          <cell r="M4549">
            <v>0</v>
          </cell>
          <cell r="N4549">
            <v>0</v>
          </cell>
          <cell r="O4549">
            <v>0</v>
          </cell>
        </row>
        <row r="4550">
          <cell r="A4550" t="str">
            <v>Japan GECF (Business Split)90+ DELINQUENCY $</v>
          </cell>
          <cell r="B4550">
            <v>0</v>
          </cell>
          <cell r="C4550">
            <v>0</v>
          </cell>
          <cell r="D4550">
            <v>0</v>
          </cell>
          <cell r="E4550">
            <v>0</v>
          </cell>
          <cell r="F4550">
            <v>0</v>
          </cell>
          <cell r="G4550">
            <v>0</v>
          </cell>
          <cell r="H4550">
            <v>0</v>
          </cell>
          <cell r="I4550">
            <v>0</v>
          </cell>
          <cell r="J4550">
            <v>0</v>
          </cell>
          <cell r="K4550">
            <v>0</v>
          </cell>
          <cell r="L4550">
            <v>0</v>
          </cell>
          <cell r="M4550">
            <v>0</v>
          </cell>
          <cell r="N4550">
            <v>0</v>
          </cell>
          <cell r="O4550">
            <v>0</v>
          </cell>
        </row>
        <row r="4551">
          <cell r="A4551" t="str">
            <v>Japan GECF (Business Split)Temporary Staff</v>
          </cell>
          <cell r="B4551">
            <v>0</v>
          </cell>
          <cell r="C4551">
            <v>0</v>
          </cell>
          <cell r="D4551">
            <v>0</v>
          </cell>
          <cell r="E4551">
            <v>0</v>
          </cell>
          <cell r="F4551">
            <v>0</v>
          </cell>
          <cell r="G4551">
            <v>0</v>
          </cell>
          <cell r="H4551">
            <v>0</v>
          </cell>
          <cell r="I4551">
            <v>0</v>
          </cell>
          <cell r="J4551">
            <v>0</v>
          </cell>
          <cell r="K4551">
            <v>0</v>
          </cell>
          <cell r="L4551">
            <v>0</v>
          </cell>
          <cell r="M4551">
            <v>0</v>
          </cell>
          <cell r="N4551">
            <v>0</v>
          </cell>
          <cell r="O4551">
            <v>0</v>
          </cell>
        </row>
        <row r="4552">
          <cell r="A4552" t="str">
            <v>Japan GECF (Business Split)Contractors</v>
          </cell>
          <cell r="B4552">
            <v>0</v>
          </cell>
          <cell r="C4552">
            <v>0</v>
          </cell>
          <cell r="D4552">
            <v>0</v>
          </cell>
          <cell r="E4552">
            <v>0</v>
          </cell>
          <cell r="F4552">
            <v>0</v>
          </cell>
          <cell r="G4552">
            <v>0</v>
          </cell>
          <cell r="H4552">
            <v>0</v>
          </cell>
          <cell r="I4552">
            <v>0</v>
          </cell>
          <cell r="J4552">
            <v>0</v>
          </cell>
          <cell r="K4552">
            <v>0</v>
          </cell>
          <cell r="L4552">
            <v>0</v>
          </cell>
          <cell r="M4552">
            <v>0</v>
          </cell>
          <cell r="N4552">
            <v>0</v>
          </cell>
          <cell r="O4552">
            <v>0</v>
          </cell>
        </row>
        <row r="4553">
          <cell r="A4553" t="str">
            <v>Japan GECF (Business Split)Outsourced to LCC</v>
          </cell>
          <cell r="B4553">
            <v>0</v>
          </cell>
          <cell r="C4553">
            <v>0</v>
          </cell>
          <cell r="D4553">
            <v>0</v>
          </cell>
          <cell r="E4553">
            <v>0</v>
          </cell>
          <cell r="F4553">
            <v>0</v>
          </cell>
          <cell r="G4553">
            <v>0</v>
          </cell>
          <cell r="H4553">
            <v>0</v>
          </cell>
          <cell r="I4553">
            <v>0</v>
          </cell>
          <cell r="J4553">
            <v>0</v>
          </cell>
          <cell r="K4553">
            <v>0</v>
          </cell>
          <cell r="L4553">
            <v>0</v>
          </cell>
          <cell r="M4553">
            <v>0</v>
          </cell>
          <cell r="N4553">
            <v>0</v>
          </cell>
          <cell r="O4553">
            <v>0</v>
          </cell>
        </row>
        <row r="4554">
          <cell r="A4554" t="str">
            <v>Japan GECF (Business Split)Total Headcount</v>
          </cell>
          <cell r="B4554">
            <v>0</v>
          </cell>
          <cell r="C4554">
            <v>0</v>
          </cell>
          <cell r="D4554">
            <v>0</v>
          </cell>
          <cell r="E4554">
            <v>0</v>
          </cell>
          <cell r="F4554">
            <v>0</v>
          </cell>
          <cell r="G4554">
            <v>0</v>
          </cell>
          <cell r="H4554">
            <v>0</v>
          </cell>
          <cell r="I4554">
            <v>0</v>
          </cell>
          <cell r="J4554">
            <v>0</v>
          </cell>
          <cell r="K4554">
            <v>0</v>
          </cell>
          <cell r="L4554">
            <v>0</v>
          </cell>
          <cell r="M4554">
            <v>0</v>
          </cell>
          <cell r="N4554">
            <v>0</v>
          </cell>
          <cell r="O4554">
            <v>0</v>
          </cell>
        </row>
        <row r="4555">
          <cell r="A4555" t="str">
            <v>Japan GECF (Business Split)Total Workforce</v>
          </cell>
          <cell r="B4555">
            <v>0</v>
          </cell>
          <cell r="C4555">
            <v>0</v>
          </cell>
          <cell r="D4555">
            <v>0</v>
          </cell>
          <cell r="E4555">
            <v>0</v>
          </cell>
          <cell r="F4555">
            <v>0</v>
          </cell>
          <cell r="G4555">
            <v>0</v>
          </cell>
          <cell r="H4555">
            <v>0</v>
          </cell>
          <cell r="I4555">
            <v>0</v>
          </cell>
          <cell r="J4555">
            <v>0</v>
          </cell>
          <cell r="K4555">
            <v>0</v>
          </cell>
          <cell r="L4555">
            <v>0</v>
          </cell>
          <cell r="M4555">
            <v>0</v>
          </cell>
          <cell r="N4555">
            <v>0</v>
          </cell>
          <cell r="O4555">
            <v>0</v>
          </cell>
        </row>
        <row r="4556">
          <cell r="A4556" t="str">
            <v>Japan GECF (Business Split)Total Earned Revenue</v>
          </cell>
          <cell r="B4556">
            <v>0</v>
          </cell>
          <cell r="C4556">
            <v>0</v>
          </cell>
          <cell r="D4556">
            <v>0</v>
          </cell>
          <cell r="E4556">
            <v>0</v>
          </cell>
          <cell r="F4556">
            <v>0</v>
          </cell>
          <cell r="G4556">
            <v>0</v>
          </cell>
          <cell r="H4556">
            <v>0</v>
          </cell>
          <cell r="I4556">
            <v>0</v>
          </cell>
          <cell r="J4556">
            <v>0</v>
          </cell>
          <cell r="K4556">
            <v>0</v>
          </cell>
          <cell r="L4556">
            <v>0</v>
          </cell>
          <cell r="M4556">
            <v>0</v>
          </cell>
          <cell r="N4556">
            <v>0</v>
          </cell>
          <cell r="O4556">
            <v>0</v>
          </cell>
        </row>
        <row r="4557">
          <cell r="A4557" t="str">
            <v>Japan GECF (Business Split)Ordinary Gains - PreTax</v>
          </cell>
          <cell r="B4557">
            <v>0</v>
          </cell>
          <cell r="C4557">
            <v>0</v>
          </cell>
          <cell r="D4557">
            <v>0</v>
          </cell>
          <cell r="E4557">
            <v>0</v>
          </cell>
          <cell r="F4557">
            <v>0</v>
          </cell>
          <cell r="G4557">
            <v>0</v>
          </cell>
          <cell r="H4557">
            <v>0</v>
          </cell>
          <cell r="I4557">
            <v>0</v>
          </cell>
          <cell r="J4557">
            <v>0</v>
          </cell>
          <cell r="K4557">
            <v>0</v>
          </cell>
          <cell r="L4557">
            <v>0</v>
          </cell>
          <cell r="M4557">
            <v>0</v>
          </cell>
          <cell r="N4557">
            <v>0</v>
          </cell>
          <cell r="O4557">
            <v>0</v>
          </cell>
        </row>
        <row r="4558">
          <cell r="A4558" t="str">
            <v>Japan GECF (Business Split)Ordinary Gains - AfterTax</v>
          </cell>
          <cell r="B4558">
            <v>0</v>
          </cell>
          <cell r="C4558">
            <v>0</v>
          </cell>
          <cell r="D4558">
            <v>0</v>
          </cell>
          <cell r="E4558">
            <v>0</v>
          </cell>
          <cell r="F4558">
            <v>0</v>
          </cell>
          <cell r="G4558">
            <v>0</v>
          </cell>
          <cell r="H4558">
            <v>0</v>
          </cell>
          <cell r="I4558">
            <v>0</v>
          </cell>
          <cell r="J4558">
            <v>0</v>
          </cell>
          <cell r="K4558">
            <v>0</v>
          </cell>
          <cell r="L4558">
            <v>0</v>
          </cell>
          <cell r="M4558">
            <v>0</v>
          </cell>
          <cell r="N4558">
            <v>0</v>
          </cell>
          <cell r="O4558">
            <v>0</v>
          </cell>
        </row>
        <row r="4559">
          <cell r="A4559" t="str">
            <v>Japan GECF (Business Split)Total Volume</v>
          </cell>
          <cell r="B4559">
            <v>0</v>
          </cell>
          <cell r="C4559">
            <v>0</v>
          </cell>
          <cell r="D4559">
            <v>0</v>
          </cell>
          <cell r="E4559">
            <v>0</v>
          </cell>
          <cell r="F4559">
            <v>0</v>
          </cell>
          <cell r="G4559">
            <v>0</v>
          </cell>
          <cell r="H4559">
            <v>0</v>
          </cell>
          <cell r="I4559">
            <v>0</v>
          </cell>
          <cell r="J4559">
            <v>0</v>
          </cell>
          <cell r="K4559">
            <v>0</v>
          </cell>
          <cell r="L4559">
            <v>0</v>
          </cell>
          <cell r="M4559">
            <v>0</v>
          </cell>
          <cell r="N4559">
            <v>0</v>
          </cell>
          <cell r="O4559">
            <v>0</v>
          </cell>
        </row>
        <row r="4560">
          <cell r="A4560" t="str">
            <v>Japan GECF (Business Split)TOTAL # ACTIVE ACCOUNTS</v>
          </cell>
          <cell r="B4560">
            <v>0</v>
          </cell>
          <cell r="C4560">
            <v>0</v>
          </cell>
          <cell r="D4560">
            <v>0</v>
          </cell>
          <cell r="E4560">
            <v>0</v>
          </cell>
          <cell r="F4560">
            <v>0</v>
          </cell>
          <cell r="G4560">
            <v>0</v>
          </cell>
          <cell r="H4560">
            <v>0</v>
          </cell>
          <cell r="I4560">
            <v>0</v>
          </cell>
          <cell r="J4560">
            <v>0</v>
          </cell>
          <cell r="K4560">
            <v>0</v>
          </cell>
          <cell r="L4560">
            <v>0</v>
          </cell>
          <cell r="M4560">
            <v>0</v>
          </cell>
          <cell r="N4560">
            <v>0</v>
          </cell>
          <cell r="O4560">
            <v>0</v>
          </cell>
        </row>
        <row r="4561">
          <cell r="A4561" t="str">
            <v>Japan KOEI (Business Split)TOTAL FINANCING RECEIVABLES</v>
          </cell>
          <cell r="B4561">
            <v>0</v>
          </cell>
          <cell r="C4561">
            <v>0</v>
          </cell>
          <cell r="D4561">
            <v>0</v>
          </cell>
          <cell r="E4561">
            <v>0</v>
          </cell>
          <cell r="F4561">
            <v>0</v>
          </cell>
          <cell r="G4561">
            <v>0</v>
          </cell>
          <cell r="H4561">
            <v>0</v>
          </cell>
          <cell r="I4561">
            <v>0</v>
          </cell>
          <cell r="J4561">
            <v>0</v>
          </cell>
          <cell r="K4561">
            <v>0</v>
          </cell>
          <cell r="L4561">
            <v>0</v>
          </cell>
          <cell r="M4561">
            <v>0</v>
          </cell>
          <cell r="N4561">
            <v>0</v>
          </cell>
          <cell r="O4561">
            <v>0</v>
          </cell>
        </row>
        <row r="4562">
          <cell r="A4562" t="str">
            <v>Japan KOEI (Business Split)RECEIVABLE RESERVES</v>
          </cell>
          <cell r="B4562">
            <v>0</v>
          </cell>
          <cell r="C4562">
            <v>0</v>
          </cell>
          <cell r="D4562">
            <v>0</v>
          </cell>
          <cell r="E4562">
            <v>0</v>
          </cell>
          <cell r="F4562">
            <v>0</v>
          </cell>
          <cell r="G4562">
            <v>0</v>
          </cell>
          <cell r="H4562">
            <v>0</v>
          </cell>
          <cell r="I4562">
            <v>0</v>
          </cell>
          <cell r="J4562">
            <v>0</v>
          </cell>
          <cell r="K4562">
            <v>0</v>
          </cell>
          <cell r="L4562">
            <v>0</v>
          </cell>
          <cell r="M4562">
            <v>0</v>
          </cell>
          <cell r="N4562">
            <v>0</v>
          </cell>
          <cell r="O4562">
            <v>0</v>
          </cell>
        </row>
        <row r="4563">
          <cell r="A4563" t="str">
            <v>Japan KOEI (Business Split)CASH</v>
          </cell>
          <cell r="B4563">
            <v>0</v>
          </cell>
          <cell r="C4563">
            <v>0</v>
          </cell>
          <cell r="D4563">
            <v>0</v>
          </cell>
          <cell r="E4563">
            <v>0</v>
          </cell>
          <cell r="F4563">
            <v>0</v>
          </cell>
          <cell r="G4563">
            <v>0</v>
          </cell>
          <cell r="H4563">
            <v>0</v>
          </cell>
          <cell r="I4563">
            <v>0</v>
          </cell>
          <cell r="J4563">
            <v>0</v>
          </cell>
          <cell r="K4563">
            <v>0</v>
          </cell>
          <cell r="L4563">
            <v>0</v>
          </cell>
          <cell r="M4563">
            <v>0</v>
          </cell>
          <cell r="N4563">
            <v>0</v>
          </cell>
          <cell r="O4563">
            <v>0</v>
          </cell>
        </row>
        <row r="4564">
          <cell r="A4564" t="str">
            <v>Japan KOEI (Business Split)INVESTMENT SECURITIES</v>
          </cell>
          <cell r="B4564">
            <v>0</v>
          </cell>
          <cell r="C4564">
            <v>0</v>
          </cell>
          <cell r="D4564">
            <v>0</v>
          </cell>
          <cell r="E4564">
            <v>0</v>
          </cell>
          <cell r="F4564">
            <v>0</v>
          </cell>
          <cell r="G4564">
            <v>0</v>
          </cell>
          <cell r="H4564">
            <v>0</v>
          </cell>
          <cell r="I4564">
            <v>0</v>
          </cell>
          <cell r="J4564">
            <v>0</v>
          </cell>
          <cell r="K4564">
            <v>0</v>
          </cell>
          <cell r="L4564">
            <v>0</v>
          </cell>
          <cell r="M4564">
            <v>0</v>
          </cell>
          <cell r="N4564">
            <v>0</v>
          </cell>
          <cell r="O4564">
            <v>0</v>
          </cell>
        </row>
        <row r="4565">
          <cell r="A4565" t="str">
            <v>Japan KOEI (Business Split)INV IN NON CONSOL AFFILIATES</v>
          </cell>
          <cell r="B4565">
            <v>0</v>
          </cell>
          <cell r="C4565">
            <v>0</v>
          </cell>
          <cell r="D4565">
            <v>0</v>
          </cell>
          <cell r="E4565">
            <v>0</v>
          </cell>
          <cell r="F4565">
            <v>0</v>
          </cell>
          <cell r="G4565">
            <v>0</v>
          </cell>
          <cell r="H4565">
            <v>0</v>
          </cell>
          <cell r="I4565">
            <v>0</v>
          </cell>
          <cell r="J4565">
            <v>0</v>
          </cell>
          <cell r="K4565">
            <v>0</v>
          </cell>
          <cell r="L4565">
            <v>0</v>
          </cell>
          <cell r="M4565">
            <v>0</v>
          </cell>
          <cell r="N4565">
            <v>0</v>
          </cell>
          <cell r="O4565">
            <v>0</v>
          </cell>
        </row>
        <row r="4566">
          <cell r="A4566" t="str">
            <v>Japan KOEI (Business Split)INVESTMENT IN JOINT VENTURE</v>
          </cell>
          <cell r="B4566">
            <v>0</v>
          </cell>
          <cell r="C4566">
            <v>0</v>
          </cell>
          <cell r="D4566">
            <v>0</v>
          </cell>
          <cell r="E4566">
            <v>0</v>
          </cell>
          <cell r="F4566">
            <v>0</v>
          </cell>
          <cell r="G4566">
            <v>0</v>
          </cell>
          <cell r="H4566">
            <v>0</v>
          </cell>
          <cell r="I4566">
            <v>0</v>
          </cell>
          <cell r="J4566">
            <v>0</v>
          </cell>
          <cell r="K4566">
            <v>0</v>
          </cell>
          <cell r="L4566">
            <v>0</v>
          </cell>
          <cell r="M4566">
            <v>0</v>
          </cell>
          <cell r="N4566">
            <v>0</v>
          </cell>
          <cell r="O4566">
            <v>0</v>
          </cell>
        </row>
        <row r="4567">
          <cell r="A4567" t="str">
            <v>Japan KOEI (Business Split)ALL OTHER RECEIVABLES (NON-FINANCING)</v>
          </cell>
          <cell r="B4567">
            <v>0</v>
          </cell>
          <cell r="C4567">
            <v>0</v>
          </cell>
          <cell r="D4567">
            <v>0</v>
          </cell>
          <cell r="E4567">
            <v>0</v>
          </cell>
          <cell r="F4567">
            <v>0</v>
          </cell>
          <cell r="G4567">
            <v>0</v>
          </cell>
          <cell r="H4567">
            <v>0</v>
          </cell>
          <cell r="I4567">
            <v>0</v>
          </cell>
          <cell r="J4567">
            <v>0</v>
          </cell>
          <cell r="K4567">
            <v>0</v>
          </cell>
          <cell r="L4567">
            <v>0</v>
          </cell>
          <cell r="M4567">
            <v>0</v>
          </cell>
          <cell r="N4567">
            <v>0</v>
          </cell>
          <cell r="O4567">
            <v>0</v>
          </cell>
        </row>
        <row r="4568">
          <cell r="A4568" t="str">
            <v>Japan KOEI (Business Split)ELTO (NET)</v>
          </cell>
          <cell r="B4568">
            <v>0</v>
          </cell>
          <cell r="C4568">
            <v>0</v>
          </cell>
          <cell r="D4568">
            <v>0</v>
          </cell>
          <cell r="E4568">
            <v>0</v>
          </cell>
          <cell r="F4568">
            <v>0</v>
          </cell>
          <cell r="G4568">
            <v>0</v>
          </cell>
          <cell r="H4568">
            <v>0</v>
          </cell>
          <cell r="I4568">
            <v>0</v>
          </cell>
          <cell r="J4568">
            <v>0</v>
          </cell>
          <cell r="K4568">
            <v>0</v>
          </cell>
          <cell r="L4568">
            <v>0</v>
          </cell>
          <cell r="M4568">
            <v>0</v>
          </cell>
          <cell r="N4568">
            <v>0</v>
          </cell>
          <cell r="O4568">
            <v>0</v>
          </cell>
        </row>
        <row r="4569">
          <cell r="A4569" t="str">
            <v>Japan KOEI (Business Split)GOODWILL</v>
          </cell>
          <cell r="B4569">
            <v>0</v>
          </cell>
          <cell r="C4569">
            <v>0</v>
          </cell>
          <cell r="D4569">
            <v>0</v>
          </cell>
          <cell r="E4569">
            <v>0</v>
          </cell>
          <cell r="F4569">
            <v>0</v>
          </cell>
          <cell r="G4569">
            <v>0</v>
          </cell>
          <cell r="H4569">
            <v>0</v>
          </cell>
          <cell r="I4569">
            <v>0</v>
          </cell>
          <cell r="J4569">
            <v>0</v>
          </cell>
          <cell r="K4569">
            <v>0</v>
          </cell>
          <cell r="L4569">
            <v>0</v>
          </cell>
          <cell r="M4569">
            <v>0</v>
          </cell>
          <cell r="N4569">
            <v>0</v>
          </cell>
          <cell r="O4569">
            <v>0</v>
          </cell>
        </row>
        <row r="4570">
          <cell r="A4570" t="str">
            <v>Japan KOEI (Business Split)OTHER ASSETS</v>
          </cell>
          <cell r="B4570">
            <v>0</v>
          </cell>
          <cell r="C4570">
            <v>0</v>
          </cell>
          <cell r="D4570">
            <v>0</v>
          </cell>
          <cell r="E4570">
            <v>0</v>
          </cell>
          <cell r="F4570">
            <v>0</v>
          </cell>
          <cell r="G4570">
            <v>0</v>
          </cell>
          <cell r="H4570">
            <v>0</v>
          </cell>
          <cell r="I4570">
            <v>0</v>
          </cell>
          <cell r="J4570">
            <v>0</v>
          </cell>
          <cell r="K4570">
            <v>0</v>
          </cell>
          <cell r="L4570">
            <v>0</v>
          </cell>
          <cell r="M4570">
            <v>0</v>
          </cell>
          <cell r="N4570">
            <v>0</v>
          </cell>
          <cell r="O4570">
            <v>0</v>
          </cell>
        </row>
        <row r="4571">
          <cell r="A4571" t="str">
            <v>Japan KOEI (Business Split)ACCOUNTS PAYABLE</v>
          </cell>
          <cell r="B4571">
            <v>0</v>
          </cell>
          <cell r="C4571">
            <v>0</v>
          </cell>
          <cell r="D4571">
            <v>0</v>
          </cell>
          <cell r="E4571">
            <v>0</v>
          </cell>
          <cell r="F4571">
            <v>0</v>
          </cell>
          <cell r="G4571">
            <v>0</v>
          </cell>
          <cell r="H4571">
            <v>0</v>
          </cell>
          <cell r="I4571">
            <v>0</v>
          </cell>
          <cell r="J4571">
            <v>0</v>
          </cell>
          <cell r="K4571">
            <v>0</v>
          </cell>
          <cell r="L4571">
            <v>0</v>
          </cell>
          <cell r="M4571">
            <v>0</v>
          </cell>
          <cell r="N4571">
            <v>0</v>
          </cell>
          <cell r="O4571">
            <v>0</v>
          </cell>
        </row>
        <row r="4572">
          <cell r="A4572" t="str">
            <v>Japan KOEI (Business Split)DEFERRED INCOME TAXES</v>
          </cell>
          <cell r="B4572">
            <v>0</v>
          </cell>
          <cell r="C4572">
            <v>0</v>
          </cell>
          <cell r="D4572">
            <v>0</v>
          </cell>
          <cell r="E4572">
            <v>0</v>
          </cell>
          <cell r="F4572">
            <v>0</v>
          </cell>
          <cell r="G4572">
            <v>0</v>
          </cell>
          <cell r="H4572">
            <v>0</v>
          </cell>
          <cell r="I4572">
            <v>0</v>
          </cell>
          <cell r="J4572">
            <v>0</v>
          </cell>
          <cell r="K4572">
            <v>0</v>
          </cell>
          <cell r="L4572">
            <v>0</v>
          </cell>
          <cell r="M4572">
            <v>0</v>
          </cell>
          <cell r="N4572">
            <v>0</v>
          </cell>
          <cell r="O4572">
            <v>0</v>
          </cell>
        </row>
        <row r="4573">
          <cell r="A4573" t="str">
            <v>Japan KOEI (Business Split)WRITE-OFF (MEMO)</v>
          </cell>
          <cell r="B4573">
            <v>0</v>
          </cell>
          <cell r="C4573">
            <v>0</v>
          </cell>
          <cell r="D4573">
            <v>0</v>
          </cell>
          <cell r="E4573">
            <v>0</v>
          </cell>
          <cell r="F4573">
            <v>0</v>
          </cell>
          <cell r="G4573">
            <v>0</v>
          </cell>
          <cell r="H4573">
            <v>0</v>
          </cell>
          <cell r="I4573">
            <v>0</v>
          </cell>
          <cell r="J4573">
            <v>0</v>
          </cell>
          <cell r="K4573">
            <v>0</v>
          </cell>
          <cell r="L4573">
            <v>0</v>
          </cell>
          <cell r="M4573">
            <v>0</v>
          </cell>
          <cell r="N4573">
            <v>0</v>
          </cell>
          <cell r="O4573">
            <v>0</v>
          </cell>
        </row>
        <row r="4574">
          <cell r="A4574" t="str">
            <v>Japan KOEI (Business Split)INSURANCE RESERVES AND ANNUITY BENEFITS</v>
          </cell>
          <cell r="B4574">
            <v>0</v>
          </cell>
          <cell r="C4574">
            <v>0</v>
          </cell>
          <cell r="D4574">
            <v>0</v>
          </cell>
          <cell r="E4574">
            <v>0</v>
          </cell>
          <cell r="F4574">
            <v>0</v>
          </cell>
          <cell r="G4574">
            <v>0</v>
          </cell>
          <cell r="H4574">
            <v>0</v>
          </cell>
          <cell r="I4574">
            <v>0</v>
          </cell>
          <cell r="J4574">
            <v>0</v>
          </cell>
          <cell r="K4574">
            <v>0</v>
          </cell>
          <cell r="L4574">
            <v>0</v>
          </cell>
          <cell r="M4574">
            <v>0</v>
          </cell>
          <cell r="N4574">
            <v>0</v>
          </cell>
          <cell r="O4574">
            <v>0</v>
          </cell>
        </row>
        <row r="4575">
          <cell r="A4575" t="str">
            <v>Japan KOEI (Business Split)ALL OTHER NON DEBT LIABILITIES</v>
          </cell>
          <cell r="B4575">
            <v>0</v>
          </cell>
          <cell r="C4575">
            <v>0</v>
          </cell>
          <cell r="D4575">
            <v>0</v>
          </cell>
          <cell r="E4575">
            <v>0</v>
          </cell>
          <cell r="F4575">
            <v>0</v>
          </cell>
          <cell r="G4575">
            <v>0</v>
          </cell>
          <cell r="H4575">
            <v>0</v>
          </cell>
          <cell r="I4575">
            <v>0</v>
          </cell>
          <cell r="J4575">
            <v>0</v>
          </cell>
          <cell r="K4575">
            <v>0</v>
          </cell>
          <cell r="L4575">
            <v>0</v>
          </cell>
          <cell r="M4575">
            <v>0</v>
          </cell>
          <cell r="N4575">
            <v>0</v>
          </cell>
          <cell r="O4575">
            <v>0</v>
          </cell>
        </row>
        <row r="4576">
          <cell r="A4576" t="str">
            <v>Japan KOEI (Business Split)MINORITY INTEREST (BS)</v>
          </cell>
          <cell r="B4576">
            <v>0</v>
          </cell>
          <cell r="C4576">
            <v>0</v>
          </cell>
          <cell r="D4576">
            <v>0</v>
          </cell>
          <cell r="E4576">
            <v>0</v>
          </cell>
          <cell r="F4576">
            <v>0</v>
          </cell>
          <cell r="G4576">
            <v>0</v>
          </cell>
          <cell r="H4576">
            <v>0</v>
          </cell>
          <cell r="I4576">
            <v>0</v>
          </cell>
          <cell r="J4576">
            <v>0</v>
          </cell>
          <cell r="K4576">
            <v>0</v>
          </cell>
          <cell r="L4576">
            <v>0</v>
          </cell>
          <cell r="M4576">
            <v>0</v>
          </cell>
          <cell r="N4576">
            <v>0</v>
          </cell>
          <cell r="O4576">
            <v>0</v>
          </cell>
        </row>
        <row r="4577">
          <cell r="A4577" t="str">
            <v>Japan KOEI (Business Split)ASIA PACIFIC ENI DIVIDEND</v>
          </cell>
          <cell r="B4577">
            <v>0</v>
          </cell>
          <cell r="C4577">
            <v>0</v>
          </cell>
          <cell r="D4577">
            <v>0</v>
          </cell>
          <cell r="E4577">
            <v>0</v>
          </cell>
          <cell r="F4577">
            <v>0</v>
          </cell>
          <cell r="G4577">
            <v>0</v>
          </cell>
          <cell r="H4577">
            <v>0</v>
          </cell>
          <cell r="I4577">
            <v>0</v>
          </cell>
          <cell r="J4577">
            <v>0</v>
          </cell>
          <cell r="K4577">
            <v>0</v>
          </cell>
          <cell r="L4577">
            <v>0</v>
          </cell>
          <cell r="M4577">
            <v>0</v>
          </cell>
          <cell r="N4577">
            <v>0</v>
          </cell>
          <cell r="O4577">
            <v>0</v>
          </cell>
        </row>
        <row r="4578">
          <cell r="A4578" t="str">
            <v>Japan KOEI (Business Split)FINANCING INCOME</v>
          </cell>
          <cell r="B4578">
            <v>0</v>
          </cell>
          <cell r="C4578">
            <v>0</v>
          </cell>
          <cell r="D4578">
            <v>0</v>
          </cell>
          <cell r="E4578">
            <v>0</v>
          </cell>
          <cell r="F4578">
            <v>0</v>
          </cell>
          <cell r="G4578">
            <v>0</v>
          </cell>
          <cell r="H4578">
            <v>0</v>
          </cell>
          <cell r="I4578">
            <v>0</v>
          </cell>
          <cell r="J4578">
            <v>0</v>
          </cell>
          <cell r="K4578">
            <v>0</v>
          </cell>
          <cell r="L4578">
            <v>0</v>
          </cell>
          <cell r="M4578">
            <v>0</v>
          </cell>
          <cell r="N4578">
            <v>0</v>
          </cell>
          <cell r="O4578">
            <v>0</v>
          </cell>
        </row>
        <row r="4579">
          <cell r="A4579" t="str">
            <v>Japan KOEI (Business Split)INSURANCE PREMIUM INCOME</v>
          </cell>
          <cell r="B4579">
            <v>0</v>
          </cell>
          <cell r="C4579">
            <v>0</v>
          </cell>
          <cell r="D4579">
            <v>0</v>
          </cell>
          <cell r="E4579">
            <v>0</v>
          </cell>
          <cell r="F4579">
            <v>0</v>
          </cell>
          <cell r="G4579">
            <v>0</v>
          </cell>
          <cell r="H4579">
            <v>0</v>
          </cell>
          <cell r="I4579">
            <v>0</v>
          </cell>
          <cell r="J4579">
            <v>0</v>
          </cell>
          <cell r="K4579">
            <v>0</v>
          </cell>
          <cell r="L4579">
            <v>0</v>
          </cell>
          <cell r="M4579">
            <v>0</v>
          </cell>
          <cell r="N4579">
            <v>0</v>
          </cell>
          <cell r="O4579">
            <v>0</v>
          </cell>
        </row>
        <row r="4580">
          <cell r="A4580" t="str">
            <v>Japan KOEI (Business Split)INSURANCE INCOME (COMMISSIONS)</v>
          </cell>
          <cell r="B4580">
            <v>0</v>
          </cell>
          <cell r="C4580">
            <v>0</v>
          </cell>
          <cell r="D4580">
            <v>0</v>
          </cell>
          <cell r="E4580">
            <v>0</v>
          </cell>
          <cell r="F4580">
            <v>0</v>
          </cell>
          <cell r="G4580">
            <v>0</v>
          </cell>
          <cell r="H4580">
            <v>0</v>
          </cell>
          <cell r="I4580">
            <v>0</v>
          </cell>
          <cell r="J4580">
            <v>0</v>
          </cell>
          <cell r="K4580">
            <v>0</v>
          </cell>
          <cell r="L4580">
            <v>0</v>
          </cell>
          <cell r="M4580">
            <v>0</v>
          </cell>
          <cell r="N4580">
            <v>0</v>
          </cell>
          <cell r="O4580">
            <v>0</v>
          </cell>
        </row>
        <row r="4581">
          <cell r="A4581" t="str">
            <v>Japan KOEI (Business Split)SUNDRY INCOME</v>
          </cell>
          <cell r="B4581">
            <v>0</v>
          </cell>
          <cell r="C4581">
            <v>0</v>
          </cell>
          <cell r="D4581">
            <v>0</v>
          </cell>
          <cell r="E4581">
            <v>0</v>
          </cell>
          <cell r="F4581">
            <v>0</v>
          </cell>
          <cell r="G4581">
            <v>0</v>
          </cell>
          <cell r="H4581">
            <v>0</v>
          </cell>
          <cell r="I4581">
            <v>0</v>
          </cell>
          <cell r="J4581">
            <v>0</v>
          </cell>
          <cell r="K4581">
            <v>0</v>
          </cell>
          <cell r="L4581">
            <v>0</v>
          </cell>
          <cell r="M4581">
            <v>0</v>
          </cell>
          <cell r="N4581">
            <v>0</v>
          </cell>
          <cell r="O4581">
            <v>0</v>
          </cell>
        </row>
        <row r="4582">
          <cell r="A4582" t="str">
            <v>Japan KOEI (Business Split)INTEREST EXPENSE</v>
          </cell>
          <cell r="B4582">
            <v>0</v>
          </cell>
          <cell r="C4582">
            <v>0</v>
          </cell>
          <cell r="D4582">
            <v>0</v>
          </cell>
          <cell r="E4582">
            <v>0</v>
          </cell>
          <cell r="F4582">
            <v>0</v>
          </cell>
          <cell r="G4582">
            <v>0</v>
          </cell>
          <cell r="H4582">
            <v>0</v>
          </cell>
          <cell r="I4582">
            <v>0</v>
          </cell>
          <cell r="J4582">
            <v>0</v>
          </cell>
          <cell r="K4582">
            <v>0</v>
          </cell>
          <cell r="L4582">
            <v>0</v>
          </cell>
          <cell r="M4582">
            <v>0</v>
          </cell>
          <cell r="N4582">
            <v>0</v>
          </cell>
          <cell r="O4582">
            <v>0</v>
          </cell>
        </row>
        <row r="4583">
          <cell r="A4583" t="str">
            <v>Japan KOEI (Business Split)INTEREST EXPENSE REDUCTIONS / BUS SHARING</v>
          </cell>
          <cell r="B4583">
            <v>0</v>
          </cell>
          <cell r="C4583">
            <v>0</v>
          </cell>
          <cell r="D4583">
            <v>0</v>
          </cell>
          <cell r="E4583">
            <v>0</v>
          </cell>
          <cell r="F4583">
            <v>0</v>
          </cell>
          <cell r="G4583">
            <v>0</v>
          </cell>
          <cell r="H4583">
            <v>0</v>
          </cell>
          <cell r="I4583">
            <v>0</v>
          </cell>
          <cell r="J4583">
            <v>0</v>
          </cell>
          <cell r="K4583">
            <v>0</v>
          </cell>
          <cell r="L4583">
            <v>0</v>
          </cell>
          <cell r="M4583">
            <v>0</v>
          </cell>
          <cell r="N4583">
            <v>0</v>
          </cell>
          <cell r="O4583">
            <v>0</v>
          </cell>
        </row>
        <row r="4584">
          <cell r="A4584" t="str">
            <v>Japan KOEI (Business Split)ALLOCATED COST OF PREFERRED EQUITY</v>
          </cell>
          <cell r="B4584">
            <v>0</v>
          </cell>
          <cell r="C4584">
            <v>0</v>
          </cell>
          <cell r="D4584">
            <v>0</v>
          </cell>
          <cell r="E4584">
            <v>0</v>
          </cell>
          <cell r="F4584">
            <v>0</v>
          </cell>
          <cell r="G4584">
            <v>0</v>
          </cell>
          <cell r="H4584">
            <v>0</v>
          </cell>
          <cell r="I4584">
            <v>0</v>
          </cell>
          <cell r="J4584">
            <v>0</v>
          </cell>
          <cell r="K4584">
            <v>0</v>
          </cell>
          <cell r="L4584">
            <v>0</v>
          </cell>
          <cell r="M4584">
            <v>0</v>
          </cell>
          <cell r="N4584">
            <v>0</v>
          </cell>
          <cell r="O4584">
            <v>0</v>
          </cell>
        </row>
        <row r="4585">
          <cell r="A4585" t="str">
            <v>Japan KOEI (Business Split)SALARIES &amp; BENEFITS</v>
          </cell>
          <cell r="B4585">
            <v>0</v>
          </cell>
          <cell r="C4585">
            <v>0</v>
          </cell>
          <cell r="D4585">
            <v>0</v>
          </cell>
          <cell r="E4585">
            <v>0</v>
          </cell>
          <cell r="F4585">
            <v>0</v>
          </cell>
          <cell r="G4585">
            <v>0</v>
          </cell>
          <cell r="H4585">
            <v>0</v>
          </cell>
          <cell r="I4585">
            <v>0</v>
          </cell>
          <cell r="J4585">
            <v>0</v>
          </cell>
          <cell r="K4585">
            <v>0</v>
          </cell>
          <cell r="L4585">
            <v>0</v>
          </cell>
          <cell r="M4585">
            <v>0</v>
          </cell>
          <cell r="N4585">
            <v>0</v>
          </cell>
          <cell r="O4585">
            <v>0</v>
          </cell>
        </row>
        <row r="4586">
          <cell r="A4586" t="str">
            <v>Japan KOEI (Business Split)LOSSES ON OTHER ASSETS</v>
          </cell>
          <cell r="B4586">
            <v>0</v>
          </cell>
          <cell r="C4586">
            <v>0</v>
          </cell>
          <cell r="D4586">
            <v>0</v>
          </cell>
          <cell r="E4586">
            <v>0</v>
          </cell>
          <cell r="F4586">
            <v>0</v>
          </cell>
          <cell r="G4586">
            <v>0</v>
          </cell>
          <cell r="H4586">
            <v>0</v>
          </cell>
          <cell r="I4586">
            <v>0</v>
          </cell>
          <cell r="J4586">
            <v>0</v>
          </cell>
          <cell r="K4586">
            <v>0</v>
          </cell>
          <cell r="L4586">
            <v>0</v>
          </cell>
          <cell r="M4586">
            <v>0</v>
          </cell>
          <cell r="N4586">
            <v>0</v>
          </cell>
          <cell r="O4586">
            <v>0</v>
          </cell>
        </row>
        <row r="4587">
          <cell r="A4587" t="str">
            <v>Japan KOEI (Business Split)COST OF GOODS SOLD</v>
          </cell>
          <cell r="B4587">
            <v>0</v>
          </cell>
          <cell r="C4587">
            <v>0</v>
          </cell>
          <cell r="D4587">
            <v>0</v>
          </cell>
          <cell r="E4587">
            <v>0</v>
          </cell>
          <cell r="F4587">
            <v>0</v>
          </cell>
          <cell r="G4587">
            <v>0</v>
          </cell>
          <cell r="H4587">
            <v>0</v>
          </cell>
          <cell r="I4587">
            <v>0</v>
          </cell>
          <cell r="J4587">
            <v>0</v>
          </cell>
          <cell r="K4587">
            <v>0</v>
          </cell>
          <cell r="L4587">
            <v>0</v>
          </cell>
          <cell r="M4587">
            <v>0</v>
          </cell>
          <cell r="N4587">
            <v>0</v>
          </cell>
          <cell r="O4587">
            <v>0</v>
          </cell>
        </row>
        <row r="4588">
          <cell r="A4588" t="str">
            <v>Japan KOEI (Business Split)COST OF GOODS SOLD - DISTRIBUTION</v>
          </cell>
          <cell r="B4588">
            <v>0</v>
          </cell>
          <cell r="C4588">
            <v>0</v>
          </cell>
          <cell r="D4588">
            <v>0</v>
          </cell>
          <cell r="E4588">
            <v>0</v>
          </cell>
          <cell r="F4588">
            <v>0</v>
          </cell>
          <cell r="G4588">
            <v>0</v>
          </cell>
          <cell r="H4588">
            <v>0</v>
          </cell>
          <cell r="I4588">
            <v>0</v>
          </cell>
          <cell r="J4588">
            <v>0</v>
          </cell>
          <cell r="K4588">
            <v>0</v>
          </cell>
          <cell r="L4588">
            <v>0</v>
          </cell>
          <cell r="M4588">
            <v>0</v>
          </cell>
          <cell r="N4588">
            <v>0</v>
          </cell>
          <cell r="O4588">
            <v>0</v>
          </cell>
        </row>
        <row r="4589">
          <cell r="A4589" t="str">
            <v>Japan KOEI (Business Split)POSTAGE</v>
          </cell>
          <cell r="B4589">
            <v>0</v>
          </cell>
          <cell r="C4589">
            <v>0</v>
          </cell>
          <cell r="D4589">
            <v>0</v>
          </cell>
          <cell r="E4589">
            <v>0</v>
          </cell>
          <cell r="F4589">
            <v>0</v>
          </cell>
          <cell r="G4589">
            <v>0</v>
          </cell>
          <cell r="H4589">
            <v>0</v>
          </cell>
          <cell r="I4589">
            <v>0</v>
          </cell>
          <cell r="J4589">
            <v>0</v>
          </cell>
          <cell r="K4589">
            <v>0</v>
          </cell>
          <cell r="L4589">
            <v>0</v>
          </cell>
          <cell r="M4589">
            <v>0</v>
          </cell>
          <cell r="N4589">
            <v>0</v>
          </cell>
          <cell r="O4589">
            <v>0</v>
          </cell>
        </row>
        <row r="4590">
          <cell r="A4590" t="str">
            <v>Japan KOEI (Business Split)TELEPHONE</v>
          </cell>
          <cell r="B4590">
            <v>0</v>
          </cell>
          <cell r="C4590">
            <v>0</v>
          </cell>
          <cell r="D4590">
            <v>0</v>
          </cell>
          <cell r="E4590">
            <v>0</v>
          </cell>
          <cell r="F4590">
            <v>0</v>
          </cell>
          <cell r="G4590">
            <v>0</v>
          </cell>
          <cell r="H4590">
            <v>0</v>
          </cell>
          <cell r="I4590">
            <v>0</v>
          </cell>
          <cell r="J4590">
            <v>0</v>
          </cell>
          <cell r="K4590">
            <v>0</v>
          </cell>
          <cell r="L4590">
            <v>0</v>
          </cell>
          <cell r="M4590">
            <v>0</v>
          </cell>
          <cell r="N4590">
            <v>0</v>
          </cell>
          <cell r="O4590">
            <v>0</v>
          </cell>
        </row>
        <row r="4591">
          <cell r="A4591" t="str">
            <v>Japan KOEI (Business Split)CUSTOMER SERVICE / COLLECTIONS</v>
          </cell>
          <cell r="B4591">
            <v>0</v>
          </cell>
          <cell r="C4591">
            <v>0</v>
          </cell>
          <cell r="D4591">
            <v>0</v>
          </cell>
          <cell r="E4591">
            <v>0</v>
          </cell>
          <cell r="F4591">
            <v>0</v>
          </cell>
          <cell r="G4591">
            <v>0</v>
          </cell>
          <cell r="H4591">
            <v>0</v>
          </cell>
          <cell r="I4591">
            <v>0</v>
          </cell>
          <cell r="J4591">
            <v>0</v>
          </cell>
          <cell r="K4591">
            <v>0</v>
          </cell>
          <cell r="L4591">
            <v>0</v>
          </cell>
          <cell r="M4591">
            <v>0</v>
          </cell>
          <cell r="N4591">
            <v>0</v>
          </cell>
          <cell r="O4591">
            <v>0</v>
          </cell>
        </row>
        <row r="4592">
          <cell r="A4592" t="str">
            <v>Japan KOEI (Business Split)STATIONARY - OFFICE SUPPLIES</v>
          </cell>
          <cell r="B4592">
            <v>0</v>
          </cell>
          <cell r="C4592">
            <v>0</v>
          </cell>
          <cell r="D4592">
            <v>0</v>
          </cell>
          <cell r="E4592">
            <v>0</v>
          </cell>
          <cell r="F4592">
            <v>0</v>
          </cell>
          <cell r="G4592">
            <v>0</v>
          </cell>
          <cell r="H4592">
            <v>0</v>
          </cell>
          <cell r="I4592">
            <v>0</v>
          </cell>
          <cell r="J4592">
            <v>0</v>
          </cell>
          <cell r="K4592">
            <v>0</v>
          </cell>
          <cell r="L4592">
            <v>0</v>
          </cell>
          <cell r="M4592">
            <v>0</v>
          </cell>
          <cell r="N4592">
            <v>0</v>
          </cell>
          <cell r="O4592">
            <v>0</v>
          </cell>
        </row>
        <row r="4593">
          <cell r="A4593" t="str">
            <v>Japan KOEI (Business Split)T&amp;L</v>
          </cell>
          <cell r="B4593">
            <v>0</v>
          </cell>
          <cell r="C4593">
            <v>0</v>
          </cell>
          <cell r="D4593">
            <v>0</v>
          </cell>
          <cell r="E4593">
            <v>0</v>
          </cell>
          <cell r="F4593">
            <v>0</v>
          </cell>
          <cell r="G4593">
            <v>0</v>
          </cell>
          <cell r="H4593">
            <v>0</v>
          </cell>
          <cell r="I4593">
            <v>0</v>
          </cell>
          <cell r="J4593">
            <v>0</v>
          </cell>
          <cell r="K4593">
            <v>0</v>
          </cell>
          <cell r="L4593">
            <v>0</v>
          </cell>
          <cell r="M4593">
            <v>0</v>
          </cell>
          <cell r="N4593">
            <v>0</v>
          </cell>
          <cell r="O4593">
            <v>0</v>
          </cell>
        </row>
        <row r="4594">
          <cell r="A4594" t="str">
            <v>Japan KOEI (Business Split)RENTAL - BLDG/FACILITIES</v>
          </cell>
          <cell r="B4594">
            <v>0</v>
          </cell>
          <cell r="C4594">
            <v>0</v>
          </cell>
          <cell r="D4594">
            <v>0</v>
          </cell>
          <cell r="E4594">
            <v>0</v>
          </cell>
          <cell r="F4594">
            <v>0</v>
          </cell>
          <cell r="G4594">
            <v>0</v>
          </cell>
          <cell r="H4594">
            <v>0</v>
          </cell>
          <cell r="I4594">
            <v>0</v>
          </cell>
          <cell r="J4594">
            <v>0</v>
          </cell>
          <cell r="K4594">
            <v>0</v>
          </cell>
          <cell r="L4594">
            <v>0</v>
          </cell>
          <cell r="M4594">
            <v>0</v>
          </cell>
          <cell r="N4594">
            <v>0</v>
          </cell>
          <cell r="O4594">
            <v>0</v>
          </cell>
        </row>
        <row r="4595">
          <cell r="A4595" t="str">
            <v>Japan KOEI (Business Split)RENTAL - FURNITURE/EQUIP</v>
          </cell>
          <cell r="B4595">
            <v>0</v>
          </cell>
          <cell r="C4595">
            <v>0</v>
          </cell>
          <cell r="D4595">
            <v>0</v>
          </cell>
          <cell r="E4595">
            <v>0</v>
          </cell>
          <cell r="F4595">
            <v>0</v>
          </cell>
          <cell r="G4595">
            <v>0</v>
          </cell>
          <cell r="H4595">
            <v>0</v>
          </cell>
          <cell r="I4595">
            <v>0</v>
          </cell>
          <cell r="J4595">
            <v>0</v>
          </cell>
          <cell r="K4595">
            <v>0</v>
          </cell>
          <cell r="L4595">
            <v>0</v>
          </cell>
          <cell r="M4595">
            <v>0</v>
          </cell>
          <cell r="N4595">
            <v>0</v>
          </cell>
          <cell r="O4595">
            <v>0</v>
          </cell>
        </row>
        <row r="4596">
          <cell r="A4596" t="str">
            <v>Japan KOEI (Business Split)RENTAL - COMPUTERS</v>
          </cell>
          <cell r="B4596">
            <v>0</v>
          </cell>
          <cell r="C4596">
            <v>0</v>
          </cell>
          <cell r="D4596">
            <v>0</v>
          </cell>
          <cell r="E4596">
            <v>0</v>
          </cell>
          <cell r="F4596">
            <v>0</v>
          </cell>
          <cell r="G4596">
            <v>0</v>
          </cell>
          <cell r="H4596">
            <v>0</v>
          </cell>
          <cell r="I4596">
            <v>0</v>
          </cell>
          <cell r="J4596">
            <v>0</v>
          </cell>
          <cell r="K4596">
            <v>0</v>
          </cell>
          <cell r="L4596">
            <v>0</v>
          </cell>
          <cell r="M4596">
            <v>0</v>
          </cell>
          <cell r="N4596">
            <v>0</v>
          </cell>
          <cell r="O4596">
            <v>0</v>
          </cell>
        </row>
        <row r="4597">
          <cell r="A4597" t="str">
            <v>Japan KOEI (Business Split)LEASE IN - LEASE OUT</v>
          </cell>
          <cell r="B4597">
            <v>0</v>
          </cell>
          <cell r="C4597">
            <v>0</v>
          </cell>
          <cell r="D4597">
            <v>0</v>
          </cell>
          <cell r="E4597">
            <v>0</v>
          </cell>
          <cell r="F4597">
            <v>0</v>
          </cell>
          <cell r="G4597">
            <v>0</v>
          </cell>
          <cell r="H4597">
            <v>0</v>
          </cell>
          <cell r="I4597">
            <v>0</v>
          </cell>
          <cell r="J4597">
            <v>0</v>
          </cell>
          <cell r="K4597">
            <v>0</v>
          </cell>
          <cell r="L4597">
            <v>0</v>
          </cell>
          <cell r="M4597">
            <v>0</v>
          </cell>
          <cell r="N4597">
            <v>0</v>
          </cell>
          <cell r="O4597">
            <v>0</v>
          </cell>
        </row>
        <row r="4598">
          <cell r="A4598" t="str">
            <v>Japan KOEI (Business Split)FURNITURE / EQUIPMENT / COMPUTER EXP</v>
          </cell>
          <cell r="B4598">
            <v>0</v>
          </cell>
          <cell r="C4598">
            <v>0</v>
          </cell>
          <cell r="D4598">
            <v>0</v>
          </cell>
          <cell r="E4598">
            <v>0</v>
          </cell>
          <cell r="F4598">
            <v>0</v>
          </cell>
          <cell r="G4598">
            <v>0</v>
          </cell>
          <cell r="H4598">
            <v>0</v>
          </cell>
          <cell r="I4598">
            <v>0</v>
          </cell>
          <cell r="J4598">
            <v>0</v>
          </cell>
          <cell r="K4598">
            <v>0</v>
          </cell>
          <cell r="L4598">
            <v>0</v>
          </cell>
          <cell r="M4598">
            <v>0</v>
          </cell>
          <cell r="N4598">
            <v>0</v>
          </cell>
          <cell r="O4598">
            <v>0</v>
          </cell>
        </row>
        <row r="4599">
          <cell r="A4599" t="str">
            <v>Japan KOEI (Business Split)SOFTWARE EXPENSE</v>
          </cell>
          <cell r="B4599">
            <v>0</v>
          </cell>
          <cell r="C4599">
            <v>0</v>
          </cell>
          <cell r="D4599">
            <v>0</v>
          </cell>
          <cell r="E4599">
            <v>0</v>
          </cell>
          <cell r="F4599">
            <v>0</v>
          </cell>
          <cell r="G4599">
            <v>0</v>
          </cell>
          <cell r="H4599">
            <v>0</v>
          </cell>
          <cell r="I4599">
            <v>0</v>
          </cell>
          <cell r="J4599">
            <v>0</v>
          </cell>
          <cell r="K4599">
            <v>0</v>
          </cell>
          <cell r="L4599">
            <v>0</v>
          </cell>
          <cell r="M4599">
            <v>0</v>
          </cell>
          <cell r="N4599">
            <v>0</v>
          </cell>
          <cell r="O4599">
            <v>0</v>
          </cell>
        </row>
        <row r="4600">
          <cell r="A4600" t="str">
            <v>Japan KOEI (Business Split)AMORTIZATION OF INTANGIBLES</v>
          </cell>
          <cell r="B4600">
            <v>0</v>
          </cell>
          <cell r="C4600">
            <v>0</v>
          </cell>
          <cell r="D4600">
            <v>0</v>
          </cell>
          <cell r="E4600">
            <v>0</v>
          </cell>
          <cell r="F4600">
            <v>0</v>
          </cell>
          <cell r="G4600">
            <v>0</v>
          </cell>
          <cell r="H4600">
            <v>0</v>
          </cell>
          <cell r="I4600">
            <v>0</v>
          </cell>
          <cell r="J4600">
            <v>0</v>
          </cell>
          <cell r="K4600">
            <v>0</v>
          </cell>
          <cell r="L4600">
            <v>0</v>
          </cell>
          <cell r="M4600">
            <v>0</v>
          </cell>
          <cell r="N4600">
            <v>0</v>
          </cell>
          <cell r="O4600">
            <v>0</v>
          </cell>
        </row>
        <row r="4601">
          <cell r="A4601" t="str">
            <v>Japan KOEI (Business Split)ELTO MAINTENANCE</v>
          </cell>
          <cell r="B4601">
            <v>0</v>
          </cell>
          <cell r="C4601">
            <v>0</v>
          </cell>
          <cell r="D4601">
            <v>0</v>
          </cell>
          <cell r="E4601">
            <v>0</v>
          </cell>
          <cell r="F4601">
            <v>0</v>
          </cell>
          <cell r="G4601">
            <v>0</v>
          </cell>
          <cell r="H4601">
            <v>0</v>
          </cell>
          <cell r="I4601">
            <v>0</v>
          </cell>
          <cell r="J4601">
            <v>0</v>
          </cell>
          <cell r="K4601">
            <v>0</v>
          </cell>
          <cell r="L4601">
            <v>0</v>
          </cell>
          <cell r="M4601">
            <v>0</v>
          </cell>
          <cell r="N4601">
            <v>0</v>
          </cell>
          <cell r="O4601">
            <v>0</v>
          </cell>
        </row>
        <row r="4602">
          <cell r="A4602" t="str">
            <v>Japan KOEI (Business Split)ELTO OTHER</v>
          </cell>
          <cell r="B4602">
            <v>0</v>
          </cell>
          <cell r="C4602">
            <v>0</v>
          </cell>
          <cell r="D4602">
            <v>0</v>
          </cell>
          <cell r="E4602">
            <v>0</v>
          </cell>
          <cell r="F4602">
            <v>0</v>
          </cell>
          <cell r="G4602">
            <v>0</v>
          </cell>
          <cell r="H4602">
            <v>0</v>
          </cell>
          <cell r="I4602">
            <v>0</v>
          </cell>
          <cell r="J4602">
            <v>0</v>
          </cell>
          <cell r="K4602">
            <v>0</v>
          </cell>
          <cell r="L4602">
            <v>0</v>
          </cell>
          <cell r="M4602">
            <v>0</v>
          </cell>
          <cell r="N4602">
            <v>0</v>
          </cell>
          <cell r="O4602">
            <v>0</v>
          </cell>
        </row>
        <row r="4603">
          <cell r="A4603" t="str">
            <v>Japan KOEI (Business Split)LEGAL</v>
          </cell>
          <cell r="B4603">
            <v>0</v>
          </cell>
          <cell r="C4603">
            <v>0</v>
          </cell>
          <cell r="D4603">
            <v>0</v>
          </cell>
          <cell r="E4603">
            <v>0</v>
          </cell>
          <cell r="F4603">
            <v>0</v>
          </cell>
          <cell r="G4603">
            <v>0</v>
          </cell>
          <cell r="H4603">
            <v>0</v>
          </cell>
          <cell r="I4603">
            <v>0</v>
          </cell>
          <cell r="J4603">
            <v>0</v>
          </cell>
          <cell r="K4603">
            <v>0</v>
          </cell>
          <cell r="L4603">
            <v>0</v>
          </cell>
          <cell r="M4603">
            <v>0</v>
          </cell>
          <cell r="N4603">
            <v>0</v>
          </cell>
          <cell r="O4603">
            <v>0</v>
          </cell>
        </row>
        <row r="4604">
          <cell r="A4604" t="str">
            <v>Japan KOEI (Business Split)ADVERTISING</v>
          </cell>
          <cell r="B4604">
            <v>0</v>
          </cell>
          <cell r="C4604">
            <v>0</v>
          </cell>
          <cell r="D4604">
            <v>0</v>
          </cell>
          <cell r="E4604">
            <v>0</v>
          </cell>
          <cell r="F4604">
            <v>0</v>
          </cell>
          <cell r="G4604">
            <v>0</v>
          </cell>
          <cell r="H4604">
            <v>0</v>
          </cell>
          <cell r="I4604">
            <v>0</v>
          </cell>
          <cell r="J4604">
            <v>0</v>
          </cell>
          <cell r="K4604">
            <v>0</v>
          </cell>
          <cell r="L4604">
            <v>0</v>
          </cell>
          <cell r="M4604">
            <v>0</v>
          </cell>
          <cell r="N4604">
            <v>0</v>
          </cell>
          <cell r="O4604">
            <v>0</v>
          </cell>
        </row>
        <row r="4605">
          <cell r="A4605" t="str">
            <v>Japan KOEI (Business Split)SALES PROMOTIONS</v>
          </cell>
          <cell r="B4605">
            <v>0</v>
          </cell>
          <cell r="C4605">
            <v>0</v>
          </cell>
          <cell r="D4605">
            <v>0</v>
          </cell>
          <cell r="E4605">
            <v>0</v>
          </cell>
          <cell r="F4605">
            <v>0</v>
          </cell>
          <cell r="G4605">
            <v>0</v>
          </cell>
          <cell r="H4605">
            <v>0</v>
          </cell>
          <cell r="I4605">
            <v>0</v>
          </cell>
          <cell r="J4605">
            <v>0</v>
          </cell>
          <cell r="K4605">
            <v>0</v>
          </cell>
          <cell r="L4605">
            <v>0</v>
          </cell>
          <cell r="M4605">
            <v>0</v>
          </cell>
          <cell r="N4605">
            <v>0</v>
          </cell>
          <cell r="O4605">
            <v>0</v>
          </cell>
        </row>
        <row r="4606">
          <cell r="A4606" t="str">
            <v>Japan KOEI (Business Split)DIRECT MAIL</v>
          </cell>
          <cell r="B4606">
            <v>0</v>
          </cell>
          <cell r="C4606">
            <v>0</v>
          </cell>
          <cell r="D4606">
            <v>0</v>
          </cell>
          <cell r="E4606">
            <v>0</v>
          </cell>
          <cell r="F4606">
            <v>0</v>
          </cell>
          <cell r="G4606">
            <v>0</v>
          </cell>
          <cell r="H4606">
            <v>0</v>
          </cell>
          <cell r="I4606">
            <v>0</v>
          </cell>
          <cell r="J4606">
            <v>0</v>
          </cell>
          <cell r="K4606">
            <v>0</v>
          </cell>
          <cell r="L4606">
            <v>0</v>
          </cell>
          <cell r="M4606">
            <v>0</v>
          </cell>
          <cell r="N4606">
            <v>0</v>
          </cell>
          <cell r="O4606">
            <v>0</v>
          </cell>
        </row>
        <row r="4607">
          <cell r="A4607" t="str">
            <v>Japan KOEI (Business Split)DATA PROCESSING</v>
          </cell>
          <cell r="B4607">
            <v>0</v>
          </cell>
          <cell r="C4607">
            <v>0</v>
          </cell>
          <cell r="D4607">
            <v>0</v>
          </cell>
          <cell r="E4607">
            <v>0</v>
          </cell>
          <cell r="F4607">
            <v>0</v>
          </cell>
          <cell r="G4607">
            <v>0</v>
          </cell>
          <cell r="H4607">
            <v>0</v>
          </cell>
          <cell r="I4607">
            <v>0</v>
          </cell>
          <cell r="J4607">
            <v>0</v>
          </cell>
          <cell r="K4607">
            <v>0</v>
          </cell>
          <cell r="L4607">
            <v>0</v>
          </cell>
          <cell r="M4607">
            <v>0</v>
          </cell>
          <cell r="N4607">
            <v>0</v>
          </cell>
          <cell r="O4607">
            <v>0</v>
          </cell>
        </row>
        <row r="4608">
          <cell r="A4608" t="str">
            <v>Japan KOEI (Business Split)CONSULTING</v>
          </cell>
          <cell r="B4608">
            <v>0</v>
          </cell>
          <cell r="C4608">
            <v>0</v>
          </cell>
          <cell r="D4608">
            <v>0</v>
          </cell>
          <cell r="E4608">
            <v>0</v>
          </cell>
          <cell r="F4608">
            <v>0</v>
          </cell>
          <cell r="G4608">
            <v>0</v>
          </cell>
          <cell r="H4608">
            <v>0</v>
          </cell>
          <cell r="I4608">
            <v>0</v>
          </cell>
          <cell r="J4608">
            <v>0</v>
          </cell>
          <cell r="K4608">
            <v>0</v>
          </cell>
          <cell r="L4608">
            <v>0</v>
          </cell>
          <cell r="M4608">
            <v>0</v>
          </cell>
          <cell r="N4608">
            <v>0</v>
          </cell>
          <cell r="O4608">
            <v>0</v>
          </cell>
        </row>
        <row r="4609">
          <cell r="A4609" t="str">
            <v>Japan KOEI (Business Split)TEMP SERVICES</v>
          </cell>
          <cell r="B4609">
            <v>0</v>
          </cell>
          <cell r="C4609">
            <v>0</v>
          </cell>
          <cell r="D4609">
            <v>0</v>
          </cell>
          <cell r="E4609">
            <v>0</v>
          </cell>
          <cell r="F4609">
            <v>0</v>
          </cell>
          <cell r="G4609">
            <v>0</v>
          </cell>
          <cell r="H4609">
            <v>0</v>
          </cell>
          <cell r="I4609">
            <v>0</v>
          </cell>
          <cell r="J4609">
            <v>0</v>
          </cell>
          <cell r="K4609">
            <v>0</v>
          </cell>
          <cell r="L4609">
            <v>0</v>
          </cell>
          <cell r="M4609">
            <v>0</v>
          </cell>
          <cell r="N4609">
            <v>0</v>
          </cell>
          <cell r="O4609">
            <v>0</v>
          </cell>
        </row>
        <row r="4610">
          <cell r="A4610" t="str">
            <v>Japan KOEI (Business Split)GDC CHARGES</v>
          </cell>
          <cell r="B4610">
            <v>0</v>
          </cell>
          <cell r="C4610">
            <v>0</v>
          </cell>
          <cell r="D4610">
            <v>0</v>
          </cell>
          <cell r="E4610">
            <v>0</v>
          </cell>
          <cell r="F4610">
            <v>0</v>
          </cell>
          <cell r="G4610">
            <v>0</v>
          </cell>
          <cell r="H4610">
            <v>0</v>
          </cell>
          <cell r="I4610">
            <v>0</v>
          </cell>
          <cell r="J4610">
            <v>0</v>
          </cell>
          <cell r="K4610">
            <v>0</v>
          </cell>
          <cell r="L4610">
            <v>0</v>
          </cell>
          <cell r="M4610">
            <v>0</v>
          </cell>
          <cell r="N4610">
            <v>0</v>
          </cell>
          <cell r="O4610">
            <v>0</v>
          </cell>
        </row>
        <row r="4611">
          <cell r="A4611" t="str">
            <v>Japan KOEI (Business Split)TRAINING AND EDUCATION</v>
          </cell>
          <cell r="B4611">
            <v>0</v>
          </cell>
          <cell r="C4611">
            <v>0</v>
          </cell>
          <cell r="D4611">
            <v>0</v>
          </cell>
          <cell r="E4611">
            <v>0</v>
          </cell>
          <cell r="F4611">
            <v>0</v>
          </cell>
          <cell r="G4611">
            <v>0</v>
          </cell>
          <cell r="H4611">
            <v>0</v>
          </cell>
          <cell r="I4611">
            <v>0</v>
          </cell>
          <cell r="J4611">
            <v>0</v>
          </cell>
          <cell r="K4611">
            <v>0</v>
          </cell>
          <cell r="L4611">
            <v>0</v>
          </cell>
          <cell r="M4611">
            <v>0</v>
          </cell>
          <cell r="N4611">
            <v>0</v>
          </cell>
          <cell r="O4611">
            <v>0</v>
          </cell>
        </row>
        <row r="4612">
          <cell r="A4612" t="str">
            <v>Japan KOEI (Business Split)OUTSIDE SERVICES  AND FEES</v>
          </cell>
          <cell r="B4612">
            <v>0</v>
          </cell>
          <cell r="C4612">
            <v>0</v>
          </cell>
          <cell r="D4612">
            <v>0</v>
          </cell>
          <cell r="E4612">
            <v>0</v>
          </cell>
          <cell r="F4612">
            <v>0</v>
          </cell>
          <cell r="G4612">
            <v>0</v>
          </cell>
          <cell r="H4612">
            <v>0</v>
          </cell>
          <cell r="I4612">
            <v>0</v>
          </cell>
          <cell r="J4612">
            <v>0</v>
          </cell>
          <cell r="K4612">
            <v>0</v>
          </cell>
          <cell r="L4612">
            <v>0</v>
          </cell>
          <cell r="M4612">
            <v>0</v>
          </cell>
          <cell r="N4612">
            <v>0</v>
          </cell>
          <cell r="O4612">
            <v>0</v>
          </cell>
        </row>
        <row r="4613">
          <cell r="A4613" t="str">
            <v>Japan KOEI (Business Split)STATE, FOREIGN, LOCAL TAXES</v>
          </cell>
          <cell r="B4613">
            <v>0</v>
          </cell>
          <cell r="C4613">
            <v>0</v>
          </cell>
          <cell r="D4613">
            <v>0</v>
          </cell>
          <cell r="E4613">
            <v>0</v>
          </cell>
          <cell r="F4613">
            <v>0</v>
          </cell>
          <cell r="G4613">
            <v>0</v>
          </cell>
          <cell r="H4613">
            <v>0</v>
          </cell>
          <cell r="I4613">
            <v>0</v>
          </cell>
          <cell r="J4613">
            <v>0</v>
          </cell>
          <cell r="K4613">
            <v>0</v>
          </cell>
          <cell r="L4613">
            <v>0</v>
          </cell>
          <cell r="M4613">
            <v>0</v>
          </cell>
          <cell r="N4613">
            <v>0</v>
          </cell>
          <cell r="O4613">
            <v>0</v>
          </cell>
        </row>
        <row r="4614">
          <cell r="A4614" t="str">
            <v>Japan KOEI (Business Split)S/L TAX - INSURANCE PREMIUMS</v>
          </cell>
          <cell r="B4614">
            <v>0</v>
          </cell>
          <cell r="C4614">
            <v>0</v>
          </cell>
          <cell r="D4614">
            <v>0</v>
          </cell>
          <cell r="E4614">
            <v>0</v>
          </cell>
          <cell r="F4614">
            <v>0</v>
          </cell>
          <cell r="G4614">
            <v>0</v>
          </cell>
          <cell r="H4614">
            <v>0</v>
          </cell>
          <cell r="I4614">
            <v>0</v>
          </cell>
          <cell r="J4614">
            <v>0</v>
          </cell>
          <cell r="K4614">
            <v>0</v>
          </cell>
          <cell r="L4614">
            <v>0</v>
          </cell>
          <cell r="M4614">
            <v>0</v>
          </cell>
          <cell r="N4614">
            <v>0</v>
          </cell>
          <cell r="O4614">
            <v>0</v>
          </cell>
        </row>
        <row r="4615">
          <cell r="A4615" t="str">
            <v>Japan KOEI (Business Split)SATELLITE LEASE EXPENSE</v>
          </cell>
          <cell r="B4615">
            <v>0</v>
          </cell>
          <cell r="C4615">
            <v>0</v>
          </cell>
          <cell r="D4615">
            <v>0</v>
          </cell>
          <cell r="E4615">
            <v>0</v>
          </cell>
          <cell r="F4615">
            <v>0</v>
          </cell>
          <cell r="G4615">
            <v>0</v>
          </cell>
          <cell r="H4615">
            <v>0</v>
          </cell>
          <cell r="I4615">
            <v>0</v>
          </cell>
          <cell r="J4615">
            <v>0</v>
          </cell>
          <cell r="K4615">
            <v>0</v>
          </cell>
          <cell r="L4615">
            <v>0</v>
          </cell>
          <cell r="M4615">
            <v>0</v>
          </cell>
          <cell r="N4615">
            <v>0</v>
          </cell>
          <cell r="O4615">
            <v>0</v>
          </cell>
        </row>
        <row r="4616">
          <cell r="A4616" t="str">
            <v>Japan KOEI (Business Split)BUSINESS SHARE EXPENSE</v>
          </cell>
          <cell r="B4616">
            <v>0</v>
          </cell>
          <cell r="C4616">
            <v>0</v>
          </cell>
          <cell r="D4616">
            <v>0</v>
          </cell>
          <cell r="E4616">
            <v>0</v>
          </cell>
          <cell r="F4616">
            <v>0</v>
          </cell>
          <cell r="G4616">
            <v>0</v>
          </cell>
          <cell r="H4616">
            <v>0</v>
          </cell>
          <cell r="I4616">
            <v>0</v>
          </cell>
          <cell r="J4616">
            <v>0</v>
          </cell>
          <cell r="K4616">
            <v>0</v>
          </cell>
          <cell r="L4616">
            <v>0</v>
          </cell>
          <cell r="M4616">
            <v>0</v>
          </cell>
          <cell r="N4616">
            <v>0</v>
          </cell>
          <cell r="O4616">
            <v>0</v>
          </cell>
        </row>
        <row r="4617">
          <cell r="A4617" t="str">
            <v>Japan KOEI (Business Split)INSURANCE AFFILIATE EXPENSE</v>
          </cell>
          <cell r="B4617">
            <v>0</v>
          </cell>
          <cell r="C4617">
            <v>0</v>
          </cell>
          <cell r="D4617">
            <v>0</v>
          </cell>
          <cell r="E4617">
            <v>0</v>
          </cell>
          <cell r="F4617">
            <v>0</v>
          </cell>
          <cell r="G4617">
            <v>0</v>
          </cell>
          <cell r="H4617">
            <v>0</v>
          </cell>
          <cell r="I4617">
            <v>0</v>
          </cell>
          <cell r="J4617">
            <v>0</v>
          </cell>
          <cell r="K4617">
            <v>0</v>
          </cell>
          <cell r="L4617">
            <v>0</v>
          </cell>
          <cell r="M4617">
            <v>0</v>
          </cell>
          <cell r="N4617">
            <v>0</v>
          </cell>
          <cell r="O4617">
            <v>0</v>
          </cell>
        </row>
        <row r="4618">
          <cell r="A4618" t="str">
            <v>Japan KOEI (Business Split)OTHER FACILITY EXPENSE</v>
          </cell>
          <cell r="B4618">
            <v>0</v>
          </cell>
          <cell r="C4618">
            <v>0</v>
          </cell>
          <cell r="D4618">
            <v>0</v>
          </cell>
          <cell r="E4618">
            <v>0</v>
          </cell>
          <cell r="F4618">
            <v>0</v>
          </cell>
          <cell r="G4618">
            <v>0</v>
          </cell>
          <cell r="H4618">
            <v>0</v>
          </cell>
          <cell r="I4618">
            <v>0</v>
          </cell>
          <cell r="J4618">
            <v>0</v>
          </cell>
          <cell r="K4618">
            <v>0</v>
          </cell>
          <cell r="L4618">
            <v>0</v>
          </cell>
          <cell r="M4618">
            <v>0</v>
          </cell>
          <cell r="N4618">
            <v>0</v>
          </cell>
          <cell r="O4618">
            <v>0</v>
          </cell>
        </row>
        <row r="4619">
          <cell r="A4619" t="str">
            <v>Japan KOEI (Business Split)GROSS OP &amp; ADMIN BUS SHARE</v>
          </cell>
          <cell r="B4619">
            <v>0</v>
          </cell>
          <cell r="C4619">
            <v>0</v>
          </cell>
          <cell r="D4619">
            <v>0</v>
          </cell>
          <cell r="E4619">
            <v>0</v>
          </cell>
          <cell r="F4619">
            <v>0</v>
          </cell>
          <cell r="G4619">
            <v>0</v>
          </cell>
          <cell r="H4619">
            <v>0</v>
          </cell>
          <cell r="I4619">
            <v>0</v>
          </cell>
          <cell r="J4619">
            <v>0</v>
          </cell>
          <cell r="K4619">
            <v>0</v>
          </cell>
          <cell r="L4619">
            <v>0</v>
          </cell>
          <cell r="M4619">
            <v>0</v>
          </cell>
          <cell r="N4619">
            <v>0</v>
          </cell>
          <cell r="O4619">
            <v>0</v>
          </cell>
        </row>
        <row r="4620">
          <cell r="A4620" t="str">
            <v>Japan KOEI (Business Split)OTHER EXPENSE</v>
          </cell>
          <cell r="B4620">
            <v>0</v>
          </cell>
          <cell r="C4620">
            <v>0</v>
          </cell>
          <cell r="D4620">
            <v>0</v>
          </cell>
          <cell r="E4620">
            <v>0</v>
          </cell>
          <cell r="F4620">
            <v>0</v>
          </cell>
          <cell r="G4620">
            <v>0</v>
          </cell>
          <cell r="H4620">
            <v>0</v>
          </cell>
          <cell r="I4620">
            <v>0</v>
          </cell>
          <cell r="J4620">
            <v>0</v>
          </cell>
          <cell r="K4620">
            <v>0</v>
          </cell>
          <cell r="L4620">
            <v>0</v>
          </cell>
          <cell r="M4620">
            <v>0</v>
          </cell>
          <cell r="N4620">
            <v>0</v>
          </cell>
          <cell r="O4620">
            <v>0</v>
          </cell>
        </row>
        <row r="4621">
          <cell r="A4621" t="str">
            <v>Japan KOEI (Business Split)GECC INTERCO EXPENSES EXCL GECIS</v>
          </cell>
          <cell r="B4621">
            <v>0</v>
          </cell>
          <cell r="C4621">
            <v>0</v>
          </cell>
          <cell r="D4621">
            <v>0</v>
          </cell>
          <cell r="E4621">
            <v>0</v>
          </cell>
          <cell r="F4621">
            <v>0</v>
          </cell>
          <cell r="G4621">
            <v>0</v>
          </cell>
          <cell r="H4621">
            <v>0</v>
          </cell>
          <cell r="I4621">
            <v>0</v>
          </cell>
          <cell r="J4621">
            <v>0</v>
          </cell>
          <cell r="K4621">
            <v>0</v>
          </cell>
          <cell r="L4621">
            <v>0</v>
          </cell>
          <cell r="M4621">
            <v>0</v>
          </cell>
          <cell r="N4621">
            <v>0</v>
          </cell>
          <cell r="O4621">
            <v>0</v>
          </cell>
        </row>
        <row r="4622">
          <cell r="A4622" t="str">
            <v>Japan KOEI (Business Split)GECIS INTERCO CHARGES</v>
          </cell>
          <cell r="B4622">
            <v>0</v>
          </cell>
          <cell r="C4622">
            <v>0</v>
          </cell>
          <cell r="D4622">
            <v>0</v>
          </cell>
          <cell r="E4622">
            <v>0</v>
          </cell>
          <cell r="F4622">
            <v>0</v>
          </cell>
          <cell r="G4622">
            <v>0</v>
          </cell>
          <cell r="H4622">
            <v>0</v>
          </cell>
          <cell r="I4622">
            <v>0</v>
          </cell>
          <cell r="J4622">
            <v>0</v>
          </cell>
          <cell r="K4622">
            <v>0</v>
          </cell>
          <cell r="L4622">
            <v>0</v>
          </cell>
          <cell r="M4622">
            <v>0</v>
          </cell>
          <cell r="N4622">
            <v>0</v>
          </cell>
          <cell r="O4622">
            <v>0</v>
          </cell>
        </row>
        <row r="4623">
          <cell r="A4623" t="str">
            <v>Japan KOEI (Business Split)LOSS ADJUSTED EXPENSE</v>
          </cell>
          <cell r="B4623">
            <v>0</v>
          </cell>
          <cell r="C4623">
            <v>0</v>
          </cell>
          <cell r="D4623">
            <v>0</v>
          </cell>
          <cell r="E4623">
            <v>0</v>
          </cell>
          <cell r="F4623">
            <v>0</v>
          </cell>
          <cell r="G4623">
            <v>0</v>
          </cell>
          <cell r="H4623">
            <v>0</v>
          </cell>
          <cell r="I4623">
            <v>0</v>
          </cell>
          <cell r="J4623">
            <v>0</v>
          </cell>
          <cell r="K4623">
            <v>0</v>
          </cell>
          <cell r="L4623">
            <v>0</v>
          </cell>
          <cell r="M4623">
            <v>0</v>
          </cell>
          <cell r="N4623">
            <v>0</v>
          </cell>
          <cell r="O4623">
            <v>0</v>
          </cell>
        </row>
        <row r="4624">
          <cell r="A4624" t="str">
            <v>Japan KOEI (Business Split)ALL OTHER EXPENSES</v>
          </cell>
          <cell r="B4624">
            <v>0</v>
          </cell>
          <cell r="C4624">
            <v>0</v>
          </cell>
          <cell r="D4624">
            <v>0</v>
          </cell>
          <cell r="E4624">
            <v>0</v>
          </cell>
          <cell r="F4624">
            <v>0</v>
          </cell>
          <cell r="G4624">
            <v>0</v>
          </cell>
          <cell r="H4624">
            <v>0</v>
          </cell>
          <cell r="I4624">
            <v>0</v>
          </cell>
          <cell r="J4624">
            <v>0</v>
          </cell>
          <cell r="K4624">
            <v>0</v>
          </cell>
          <cell r="L4624">
            <v>0</v>
          </cell>
          <cell r="M4624">
            <v>0</v>
          </cell>
          <cell r="N4624">
            <v>0</v>
          </cell>
          <cell r="O4624">
            <v>0</v>
          </cell>
        </row>
        <row r="4625">
          <cell r="A4625" t="str">
            <v>Japan KOEI (Business Split)ASSESSMENTS</v>
          </cell>
          <cell r="B4625">
            <v>0</v>
          </cell>
          <cell r="C4625">
            <v>0</v>
          </cell>
          <cell r="D4625">
            <v>0</v>
          </cell>
          <cell r="E4625">
            <v>0</v>
          </cell>
          <cell r="F4625">
            <v>0</v>
          </cell>
          <cell r="G4625">
            <v>0</v>
          </cell>
          <cell r="H4625">
            <v>0</v>
          </cell>
          <cell r="I4625">
            <v>0</v>
          </cell>
          <cell r="J4625">
            <v>0</v>
          </cell>
          <cell r="K4625">
            <v>0</v>
          </cell>
          <cell r="L4625">
            <v>0</v>
          </cell>
          <cell r="M4625">
            <v>0</v>
          </cell>
          <cell r="N4625">
            <v>0</v>
          </cell>
          <cell r="O4625">
            <v>0</v>
          </cell>
        </row>
        <row r="4626">
          <cell r="A4626" t="str">
            <v>Japan KOEI (Business Split)FAS 91</v>
          </cell>
          <cell r="B4626">
            <v>0</v>
          </cell>
          <cell r="C4626">
            <v>0</v>
          </cell>
          <cell r="D4626">
            <v>0</v>
          </cell>
          <cell r="E4626">
            <v>0</v>
          </cell>
          <cell r="F4626">
            <v>0</v>
          </cell>
          <cell r="G4626">
            <v>0</v>
          </cell>
          <cell r="H4626">
            <v>0</v>
          </cell>
          <cell r="I4626">
            <v>0</v>
          </cell>
          <cell r="J4626">
            <v>0</v>
          </cell>
          <cell r="K4626">
            <v>0</v>
          </cell>
          <cell r="L4626">
            <v>0</v>
          </cell>
          <cell r="M4626">
            <v>0</v>
          </cell>
          <cell r="N4626">
            <v>0</v>
          </cell>
          <cell r="O4626">
            <v>0</v>
          </cell>
        </row>
        <row r="4627">
          <cell r="A4627" t="str">
            <v>Japan KOEI (Business Split)GOODWILL AMORTIZATION</v>
          </cell>
          <cell r="B4627">
            <v>0</v>
          </cell>
          <cell r="C4627">
            <v>0</v>
          </cell>
          <cell r="D4627">
            <v>0</v>
          </cell>
          <cell r="E4627">
            <v>0</v>
          </cell>
          <cell r="F4627">
            <v>0</v>
          </cell>
          <cell r="G4627">
            <v>0</v>
          </cell>
          <cell r="H4627">
            <v>0</v>
          </cell>
          <cell r="I4627">
            <v>0</v>
          </cell>
          <cell r="J4627">
            <v>0</v>
          </cell>
          <cell r="K4627">
            <v>0</v>
          </cell>
          <cell r="L4627">
            <v>0</v>
          </cell>
          <cell r="M4627">
            <v>0</v>
          </cell>
          <cell r="N4627">
            <v>0</v>
          </cell>
          <cell r="O4627">
            <v>0</v>
          </cell>
        </row>
        <row r="4628">
          <cell r="A4628" t="str">
            <v>Japan KOEI (Business Split)DEPRECIATION EXPENSE</v>
          </cell>
          <cell r="B4628">
            <v>0</v>
          </cell>
          <cell r="C4628">
            <v>0</v>
          </cell>
          <cell r="D4628">
            <v>0</v>
          </cell>
          <cell r="E4628">
            <v>0</v>
          </cell>
          <cell r="F4628">
            <v>0</v>
          </cell>
          <cell r="G4628">
            <v>0</v>
          </cell>
          <cell r="H4628">
            <v>0</v>
          </cell>
          <cell r="I4628">
            <v>0</v>
          </cell>
          <cell r="J4628">
            <v>0</v>
          </cell>
          <cell r="K4628">
            <v>0</v>
          </cell>
          <cell r="L4628">
            <v>0</v>
          </cell>
          <cell r="M4628">
            <v>0</v>
          </cell>
          <cell r="N4628">
            <v>0</v>
          </cell>
          <cell r="O4628">
            <v>0</v>
          </cell>
        </row>
        <row r="4629">
          <cell r="A4629" t="str">
            <v>Japan KOEI (Business Split)ELTO AMORTIZATION</v>
          </cell>
          <cell r="B4629">
            <v>0</v>
          </cell>
          <cell r="C4629">
            <v>0</v>
          </cell>
          <cell r="D4629">
            <v>0</v>
          </cell>
          <cell r="E4629">
            <v>0</v>
          </cell>
          <cell r="F4629">
            <v>0</v>
          </cell>
          <cell r="G4629">
            <v>0</v>
          </cell>
          <cell r="H4629">
            <v>0</v>
          </cell>
          <cell r="I4629">
            <v>0</v>
          </cell>
          <cell r="J4629">
            <v>0</v>
          </cell>
          <cell r="K4629">
            <v>0</v>
          </cell>
          <cell r="L4629">
            <v>0</v>
          </cell>
          <cell r="M4629">
            <v>0</v>
          </cell>
          <cell r="N4629">
            <v>0</v>
          </cell>
          <cell r="O4629">
            <v>0</v>
          </cell>
        </row>
        <row r="4630">
          <cell r="A4630" t="str">
            <v>Japan KOEI (Business Split)INSURANCE LOSSES AND BENEFITS</v>
          </cell>
          <cell r="B4630">
            <v>0</v>
          </cell>
          <cell r="C4630">
            <v>0</v>
          </cell>
          <cell r="D4630">
            <v>0</v>
          </cell>
          <cell r="E4630">
            <v>0</v>
          </cell>
          <cell r="F4630">
            <v>0</v>
          </cell>
          <cell r="G4630">
            <v>0</v>
          </cell>
          <cell r="H4630">
            <v>0</v>
          </cell>
          <cell r="I4630">
            <v>0</v>
          </cell>
          <cell r="J4630">
            <v>0</v>
          </cell>
          <cell r="K4630">
            <v>0</v>
          </cell>
          <cell r="L4630">
            <v>0</v>
          </cell>
          <cell r="M4630">
            <v>0</v>
          </cell>
          <cell r="N4630">
            <v>0</v>
          </cell>
          <cell r="O4630">
            <v>0</v>
          </cell>
        </row>
        <row r="4631">
          <cell r="A4631" t="str">
            <v>Japan KOEI (Business Split)WRITE OFFS</v>
          </cell>
          <cell r="B4631">
            <v>0</v>
          </cell>
          <cell r="C4631">
            <v>0</v>
          </cell>
          <cell r="D4631">
            <v>0</v>
          </cell>
          <cell r="E4631">
            <v>0</v>
          </cell>
          <cell r="F4631">
            <v>0</v>
          </cell>
          <cell r="G4631">
            <v>0</v>
          </cell>
          <cell r="H4631">
            <v>0</v>
          </cell>
          <cell r="I4631">
            <v>0</v>
          </cell>
          <cell r="J4631">
            <v>0</v>
          </cell>
          <cell r="K4631">
            <v>0</v>
          </cell>
          <cell r="L4631">
            <v>0</v>
          </cell>
          <cell r="M4631">
            <v>0</v>
          </cell>
          <cell r="N4631">
            <v>0</v>
          </cell>
          <cell r="O4631">
            <v>0</v>
          </cell>
        </row>
        <row r="4632">
          <cell r="A4632" t="str">
            <v>Japan KOEI (Business Split)RESERVE CHANGE</v>
          </cell>
          <cell r="B4632">
            <v>0</v>
          </cell>
          <cell r="C4632">
            <v>0</v>
          </cell>
          <cell r="D4632">
            <v>0</v>
          </cell>
          <cell r="E4632">
            <v>0</v>
          </cell>
          <cell r="F4632">
            <v>0</v>
          </cell>
          <cell r="G4632">
            <v>0</v>
          </cell>
          <cell r="H4632">
            <v>0</v>
          </cell>
          <cell r="I4632">
            <v>0</v>
          </cell>
          <cell r="J4632">
            <v>0</v>
          </cell>
          <cell r="K4632">
            <v>0</v>
          </cell>
          <cell r="L4632">
            <v>0</v>
          </cell>
          <cell r="M4632">
            <v>0</v>
          </cell>
          <cell r="N4632">
            <v>0</v>
          </cell>
          <cell r="O4632">
            <v>0</v>
          </cell>
        </row>
        <row r="4633">
          <cell r="A4633" t="str">
            <v>Japan KOEI (Business Split)MINORITY INTEREST</v>
          </cell>
          <cell r="B4633">
            <v>0</v>
          </cell>
          <cell r="C4633">
            <v>0</v>
          </cell>
          <cell r="D4633">
            <v>0</v>
          </cell>
          <cell r="E4633">
            <v>0</v>
          </cell>
          <cell r="F4633">
            <v>0</v>
          </cell>
          <cell r="G4633">
            <v>0</v>
          </cell>
          <cell r="H4633">
            <v>0</v>
          </cell>
          <cell r="I4633">
            <v>0</v>
          </cell>
          <cell r="J4633">
            <v>0</v>
          </cell>
          <cell r="K4633">
            <v>0</v>
          </cell>
          <cell r="L4633">
            <v>0</v>
          </cell>
          <cell r="M4633">
            <v>0</v>
          </cell>
          <cell r="N4633">
            <v>0</v>
          </cell>
          <cell r="O4633">
            <v>0</v>
          </cell>
        </row>
        <row r="4634">
          <cell r="A4634" t="str">
            <v>Japan KOEI (Business Split)INCOME TAXES</v>
          </cell>
          <cell r="B4634">
            <v>0</v>
          </cell>
          <cell r="C4634">
            <v>0</v>
          </cell>
          <cell r="D4634">
            <v>0</v>
          </cell>
          <cell r="E4634">
            <v>0</v>
          </cell>
          <cell r="F4634">
            <v>0</v>
          </cell>
          <cell r="G4634">
            <v>0</v>
          </cell>
          <cell r="H4634">
            <v>0</v>
          </cell>
          <cell r="I4634">
            <v>0</v>
          </cell>
          <cell r="J4634">
            <v>0</v>
          </cell>
          <cell r="K4634">
            <v>0</v>
          </cell>
          <cell r="L4634">
            <v>0</v>
          </cell>
          <cell r="M4634">
            <v>0</v>
          </cell>
          <cell r="N4634">
            <v>0</v>
          </cell>
          <cell r="O4634">
            <v>0</v>
          </cell>
        </row>
        <row r="4635">
          <cell r="A4635" t="str">
            <v>Japan KOEI (Business Split)CUMULATIVE TRANSITION ADJUSTMENT</v>
          </cell>
          <cell r="B4635">
            <v>0</v>
          </cell>
          <cell r="C4635">
            <v>0</v>
          </cell>
          <cell r="D4635">
            <v>0</v>
          </cell>
          <cell r="E4635">
            <v>0</v>
          </cell>
          <cell r="F4635">
            <v>0</v>
          </cell>
          <cell r="G4635">
            <v>0</v>
          </cell>
          <cell r="H4635">
            <v>0</v>
          </cell>
          <cell r="I4635">
            <v>0</v>
          </cell>
          <cell r="J4635">
            <v>0</v>
          </cell>
          <cell r="K4635">
            <v>0</v>
          </cell>
          <cell r="L4635">
            <v>0</v>
          </cell>
          <cell r="M4635">
            <v>0</v>
          </cell>
          <cell r="N4635">
            <v>0</v>
          </cell>
          <cell r="O4635">
            <v>0</v>
          </cell>
        </row>
        <row r="4636">
          <cell r="A4636" t="str">
            <v>Japan KOEI (Business Split)ASIA PACIFIC NI DIVIDEND</v>
          </cell>
          <cell r="B4636">
            <v>0</v>
          </cell>
          <cell r="C4636">
            <v>0</v>
          </cell>
          <cell r="D4636">
            <v>0</v>
          </cell>
          <cell r="E4636">
            <v>0</v>
          </cell>
          <cell r="F4636">
            <v>0</v>
          </cell>
          <cell r="G4636">
            <v>0</v>
          </cell>
          <cell r="H4636">
            <v>0</v>
          </cell>
          <cell r="I4636">
            <v>0</v>
          </cell>
          <cell r="J4636">
            <v>0</v>
          </cell>
          <cell r="K4636">
            <v>0</v>
          </cell>
          <cell r="L4636">
            <v>0</v>
          </cell>
          <cell r="M4636">
            <v>0</v>
          </cell>
          <cell r="N4636">
            <v>0</v>
          </cell>
          <cell r="O4636">
            <v>0</v>
          </cell>
        </row>
        <row r="4637">
          <cell r="A4637" t="str">
            <v>Japan KOEI (Business Split)Net Income</v>
          </cell>
          <cell r="B4637">
            <v>0</v>
          </cell>
          <cell r="C4637">
            <v>0</v>
          </cell>
          <cell r="D4637">
            <v>0</v>
          </cell>
          <cell r="E4637">
            <v>0</v>
          </cell>
          <cell r="F4637">
            <v>0</v>
          </cell>
          <cell r="G4637">
            <v>0</v>
          </cell>
          <cell r="H4637">
            <v>0</v>
          </cell>
          <cell r="I4637">
            <v>0</v>
          </cell>
          <cell r="J4637">
            <v>0</v>
          </cell>
          <cell r="K4637">
            <v>0</v>
          </cell>
          <cell r="L4637">
            <v>0</v>
          </cell>
          <cell r="M4637">
            <v>0</v>
          </cell>
          <cell r="N4637">
            <v>0</v>
          </cell>
          <cell r="O4637">
            <v>0</v>
          </cell>
        </row>
        <row r="4638">
          <cell r="A4638" t="str">
            <v>Japan KOEI (Business Split)SubPart F</v>
          </cell>
          <cell r="B4638">
            <v>0</v>
          </cell>
          <cell r="C4638">
            <v>0</v>
          </cell>
          <cell r="D4638">
            <v>0</v>
          </cell>
          <cell r="E4638">
            <v>0</v>
          </cell>
          <cell r="F4638">
            <v>0</v>
          </cell>
          <cell r="G4638">
            <v>0</v>
          </cell>
          <cell r="H4638">
            <v>0</v>
          </cell>
          <cell r="I4638">
            <v>0</v>
          </cell>
          <cell r="J4638">
            <v>0</v>
          </cell>
          <cell r="K4638">
            <v>0</v>
          </cell>
          <cell r="L4638">
            <v>0</v>
          </cell>
          <cell r="M4638">
            <v>0</v>
          </cell>
          <cell r="N4638">
            <v>0</v>
          </cell>
          <cell r="O4638">
            <v>0</v>
          </cell>
        </row>
        <row r="4639">
          <cell r="A4639" t="str">
            <v>Japan KOEI (Business Split)Assets</v>
          </cell>
          <cell r="B4639">
            <v>0</v>
          </cell>
          <cell r="C4639">
            <v>0</v>
          </cell>
          <cell r="D4639">
            <v>0</v>
          </cell>
          <cell r="E4639">
            <v>0</v>
          </cell>
          <cell r="F4639">
            <v>0</v>
          </cell>
          <cell r="G4639">
            <v>0</v>
          </cell>
          <cell r="H4639">
            <v>0</v>
          </cell>
          <cell r="I4639">
            <v>0</v>
          </cell>
          <cell r="J4639">
            <v>0</v>
          </cell>
          <cell r="K4639">
            <v>0</v>
          </cell>
          <cell r="L4639">
            <v>0</v>
          </cell>
          <cell r="M4639">
            <v>0</v>
          </cell>
          <cell r="N4639">
            <v>0</v>
          </cell>
          <cell r="O4639">
            <v>0</v>
          </cell>
        </row>
        <row r="4640">
          <cell r="A4640" t="str">
            <v>Japan KOEI (Business Split)Ending Net Investment (ENI) incl Asia</v>
          </cell>
          <cell r="B4640">
            <v>0</v>
          </cell>
          <cell r="C4640">
            <v>0</v>
          </cell>
          <cell r="D4640">
            <v>0</v>
          </cell>
          <cell r="E4640">
            <v>0</v>
          </cell>
          <cell r="F4640">
            <v>0</v>
          </cell>
          <cell r="G4640">
            <v>0</v>
          </cell>
          <cell r="H4640">
            <v>0</v>
          </cell>
          <cell r="I4640">
            <v>0</v>
          </cell>
          <cell r="J4640">
            <v>0</v>
          </cell>
          <cell r="K4640">
            <v>0</v>
          </cell>
          <cell r="L4640">
            <v>0</v>
          </cell>
          <cell r="M4640">
            <v>0</v>
          </cell>
          <cell r="N4640">
            <v>0</v>
          </cell>
          <cell r="O4640">
            <v>0</v>
          </cell>
        </row>
        <row r="4641">
          <cell r="A4641" t="str">
            <v>Japan KOEI (Business Split)ANR YTD</v>
          </cell>
          <cell r="B4641">
            <v>0</v>
          </cell>
          <cell r="C4641">
            <v>0</v>
          </cell>
          <cell r="D4641">
            <v>0</v>
          </cell>
          <cell r="E4641">
            <v>0</v>
          </cell>
          <cell r="F4641">
            <v>0</v>
          </cell>
          <cell r="G4641">
            <v>0</v>
          </cell>
          <cell r="H4641">
            <v>0</v>
          </cell>
          <cell r="I4641">
            <v>0</v>
          </cell>
          <cell r="J4641">
            <v>0</v>
          </cell>
          <cell r="K4641">
            <v>0</v>
          </cell>
          <cell r="L4641">
            <v>0</v>
          </cell>
          <cell r="M4641">
            <v>0</v>
          </cell>
          <cell r="N4641">
            <v>0</v>
          </cell>
          <cell r="O4641">
            <v>0</v>
          </cell>
        </row>
        <row r="4642">
          <cell r="A4642" t="str">
            <v>Japan KOEI (Business Split)ASA YTD</v>
          </cell>
          <cell r="B4642">
            <v>0</v>
          </cell>
          <cell r="C4642">
            <v>0</v>
          </cell>
          <cell r="D4642">
            <v>0</v>
          </cell>
          <cell r="E4642">
            <v>0</v>
          </cell>
          <cell r="F4642">
            <v>0</v>
          </cell>
          <cell r="G4642">
            <v>0</v>
          </cell>
          <cell r="H4642">
            <v>0</v>
          </cell>
          <cell r="I4642">
            <v>0</v>
          </cell>
          <cell r="J4642">
            <v>0</v>
          </cell>
          <cell r="K4642">
            <v>0</v>
          </cell>
          <cell r="L4642">
            <v>0</v>
          </cell>
          <cell r="M4642">
            <v>0</v>
          </cell>
          <cell r="N4642">
            <v>0</v>
          </cell>
          <cell r="O4642">
            <v>0</v>
          </cell>
        </row>
        <row r="4643">
          <cell r="A4643" t="str">
            <v>Japan KOEI (Business Split)ANI YTD incl Asia - 5 pt</v>
          </cell>
          <cell r="B4643">
            <v>0</v>
          </cell>
          <cell r="C4643">
            <v>0</v>
          </cell>
          <cell r="D4643">
            <v>0</v>
          </cell>
          <cell r="E4643">
            <v>0</v>
          </cell>
          <cell r="F4643">
            <v>0</v>
          </cell>
          <cell r="G4643">
            <v>0</v>
          </cell>
          <cell r="H4643">
            <v>0</v>
          </cell>
          <cell r="I4643">
            <v>0</v>
          </cell>
          <cell r="J4643">
            <v>0</v>
          </cell>
          <cell r="K4643">
            <v>0</v>
          </cell>
          <cell r="L4643">
            <v>0</v>
          </cell>
          <cell r="M4643">
            <v>0</v>
          </cell>
          <cell r="N4643">
            <v>0</v>
          </cell>
          <cell r="O4643">
            <v>0</v>
          </cell>
        </row>
        <row r="4644">
          <cell r="A4644" t="str">
            <v>Japan KOEI (Business Split)Off Balance Sheet Assets</v>
          </cell>
          <cell r="B4644">
            <v>0</v>
          </cell>
          <cell r="C4644">
            <v>0</v>
          </cell>
          <cell r="D4644">
            <v>0</v>
          </cell>
          <cell r="E4644">
            <v>0</v>
          </cell>
          <cell r="F4644">
            <v>0</v>
          </cell>
          <cell r="G4644">
            <v>0</v>
          </cell>
          <cell r="H4644">
            <v>0</v>
          </cell>
          <cell r="I4644">
            <v>0</v>
          </cell>
          <cell r="J4644">
            <v>0</v>
          </cell>
          <cell r="K4644">
            <v>0</v>
          </cell>
          <cell r="L4644">
            <v>0</v>
          </cell>
          <cell r="M4644">
            <v>0</v>
          </cell>
          <cell r="N4644">
            <v>0</v>
          </cell>
          <cell r="O4644">
            <v>0</v>
          </cell>
        </row>
        <row r="4645">
          <cell r="A4645" t="str">
            <v>Japan KOEI (Business Split)JV Receivables</v>
          </cell>
          <cell r="B4645">
            <v>0</v>
          </cell>
          <cell r="C4645">
            <v>0</v>
          </cell>
          <cell r="D4645">
            <v>0</v>
          </cell>
          <cell r="E4645">
            <v>0</v>
          </cell>
          <cell r="F4645">
            <v>0</v>
          </cell>
          <cell r="G4645">
            <v>0</v>
          </cell>
          <cell r="H4645">
            <v>0</v>
          </cell>
          <cell r="I4645">
            <v>0</v>
          </cell>
          <cell r="J4645">
            <v>0</v>
          </cell>
          <cell r="K4645">
            <v>0</v>
          </cell>
          <cell r="L4645">
            <v>0</v>
          </cell>
          <cell r="M4645">
            <v>0</v>
          </cell>
          <cell r="N4645">
            <v>0</v>
          </cell>
          <cell r="O4645">
            <v>0</v>
          </cell>
        </row>
        <row r="4646">
          <cell r="A4646" t="str">
            <v>Japan KOEI (Business Split)30+ DELINQUENCY $</v>
          </cell>
          <cell r="B4646">
            <v>0</v>
          </cell>
          <cell r="C4646">
            <v>0</v>
          </cell>
          <cell r="D4646">
            <v>0</v>
          </cell>
          <cell r="E4646">
            <v>0</v>
          </cell>
          <cell r="F4646">
            <v>0</v>
          </cell>
          <cell r="G4646">
            <v>0</v>
          </cell>
          <cell r="H4646">
            <v>0</v>
          </cell>
          <cell r="I4646">
            <v>0</v>
          </cell>
          <cell r="J4646">
            <v>0</v>
          </cell>
          <cell r="K4646">
            <v>0</v>
          </cell>
          <cell r="L4646">
            <v>0</v>
          </cell>
          <cell r="M4646">
            <v>0</v>
          </cell>
          <cell r="N4646">
            <v>0</v>
          </cell>
          <cell r="O4646">
            <v>0</v>
          </cell>
        </row>
        <row r="4647">
          <cell r="A4647" t="str">
            <v>Japan KOEI (Business Split)90+ DELINQUENCY $</v>
          </cell>
          <cell r="B4647">
            <v>0</v>
          </cell>
          <cell r="C4647">
            <v>0</v>
          </cell>
          <cell r="D4647">
            <v>0</v>
          </cell>
          <cell r="E4647">
            <v>0</v>
          </cell>
          <cell r="F4647">
            <v>0</v>
          </cell>
          <cell r="G4647">
            <v>0</v>
          </cell>
          <cell r="H4647">
            <v>0</v>
          </cell>
          <cell r="I4647">
            <v>0</v>
          </cell>
          <cell r="J4647">
            <v>0</v>
          </cell>
          <cell r="K4647">
            <v>0</v>
          </cell>
          <cell r="L4647">
            <v>0</v>
          </cell>
          <cell r="M4647">
            <v>0</v>
          </cell>
          <cell r="N4647">
            <v>0</v>
          </cell>
          <cell r="O4647">
            <v>0</v>
          </cell>
        </row>
        <row r="4648">
          <cell r="A4648" t="str">
            <v>Japan KOEI (Business Split)Temporary Staff</v>
          </cell>
          <cell r="B4648">
            <v>0</v>
          </cell>
          <cell r="C4648">
            <v>0</v>
          </cell>
          <cell r="D4648">
            <v>0</v>
          </cell>
          <cell r="E4648">
            <v>0</v>
          </cell>
          <cell r="F4648">
            <v>0</v>
          </cell>
          <cell r="G4648">
            <v>0</v>
          </cell>
          <cell r="H4648">
            <v>0</v>
          </cell>
          <cell r="I4648">
            <v>0</v>
          </cell>
          <cell r="J4648">
            <v>0</v>
          </cell>
          <cell r="K4648">
            <v>0</v>
          </cell>
          <cell r="L4648">
            <v>0</v>
          </cell>
          <cell r="M4648">
            <v>0</v>
          </cell>
          <cell r="N4648">
            <v>0</v>
          </cell>
          <cell r="O4648">
            <v>0</v>
          </cell>
        </row>
        <row r="4649">
          <cell r="A4649" t="str">
            <v>Japan KOEI (Business Split)Contractors</v>
          </cell>
          <cell r="B4649">
            <v>0</v>
          </cell>
          <cell r="C4649">
            <v>0</v>
          </cell>
          <cell r="D4649">
            <v>0</v>
          </cell>
          <cell r="E4649">
            <v>0</v>
          </cell>
          <cell r="F4649">
            <v>0</v>
          </cell>
          <cell r="G4649">
            <v>0</v>
          </cell>
          <cell r="H4649">
            <v>0</v>
          </cell>
          <cell r="I4649">
            <v>0</v>
          </cell>
          <cell r="J4649">
            <v>0</v>
          </cell>
          <cell r="K4649">
            <v>0</v>
          </cell>
          <cell r="L4649">
            <v>0</v>
          </cell>
          <cell r="M4649">
            <v>0</v>
          </cell>
          <cell r="N4649">
            <v>0</v>
          </cell>
          <cell r="O4649">
            <v>0</v>
          </cell>
        </row>
        <row r="4650">
          <cell r="A4650" t="str">
            <v>Japan KOEI (Business Split)Outsourced to LCC</v>
          </cell>
          <cell r="B4650">
            <v>0</v>
          </cell>
          <cell r="C4650">
            <v>0</v>
          </cell>
          <cell r="D4650">
            <v>0</v>
          </cell>
          <cell r="E4650">
            <v>0</v>
          </cell>
          <cell r="F4650">
            <v>0</v>
          </cell>
          <cell r="G4650">
            <v>0</v>
          </cell>
          <cell r="H4650">
            <v>0</v>
          </cell>
          <cell r="I4650">
            <v>0</v>
          </cell>
          <cell r="J4650">
            <v>0</v>
          </cell>
          <cell r="K4650">
            <v>0</v>
          </cell>
          <cell r="L4650">
            <v>0</v>
          </cell>
          <cell r="M4650">
            <v>0</v>
          </cell>
          <cell r="N4650">
            <v>0</v>
          </cell>
          <cell r="O4650">
            <v>0</v>
          </cell>
        </row>
        <row r="4651">
          <cell r="A4651" t="str">
            <v>Japan KOEI (Business Split)Total Headcount</v>
          </cell>
          <cell r="B4651">
            <v>0</v>
          </cell>
          <cell r="C4651">
            <v>0</v>
          </cell>
          <cell r="D4651">
            <v>0</v>
          </cell>
          <cell r="E4651">
            <v>0</v>
          </cell>
          <cell r="F4651">
            <v>0</v>
          </cell>
          <cell r="G4651">
            <v>0</v>
          </cell>
          <cell r="H4651">
            <v>0</v>
          </cell>
          <cell r="I4651">
            <v>0</v>
          </cell>
          <cell r="J4651">
            <v>0</v>
          </cell>
          <cell r="K4651">
            <v>0</v>
          </cell>
          <cell r="L4651">
            <v>0</v>
          </cell>
          <cell r="M4651">
            <v>0</v>
          </cell>
          <cell r="N4651">
            <v>0</v>
          </cell>
          <cell r="O4651">
            <v>0</v>
          </cell>
        </row>
        <row r="4652">
          <cell r="A4652" t="str">
            <v>Japan KOEI (Business Split)Total Workforce</v>
          </cell>
          <cell r="B4652">
            <v>0</v>
          </cell>
          <cell r="C4652">
            <v>0</v>
          </cell>
          <cell r="D4652">
            <v>0</v>
          </cell>
          <cell r="E4652">
            <v>0</v>
          </cell>
          <cell r="F4652">
            <v>0</v>
          </cell>
          <cell r="G4652">
            <v>0</v>
          </cell>
          <cell r="H4652">
            <v>0</v>
          </cell>
          <cell r="I4652">
            <v>0</v>
          </cell>
          <cell r="J4652">
            <v>0</v>
          </cell>
          <cell r="K4652">
            <v>0</v>
          </cell>
          <cell r="L4652">
            <v>0</v>
          </cell>
          <cell r="M4652">
            <v>0</v>
          </cell>
          <cell r="N4652">
            <v>0</v>
          </cell>
          <cell r="O4652">
            <v>0</v>
          </cell>
        </row>
        <row r="4653">
          <cell r="A4653" t="str">
            <v>Japan KOEI (Business Split)Total Earned Revenue</v>
          </cell>
          <cell r="B4653">
            <v>0</v>
          </cell>
          <cell r="C4653">
            <v>0</v>
          </cell>
          <cell r="D4653">
            <v>0</v>
          </cell>
          <cell r="E4653">
            <v>0</v>
          </cell>
          <cell r="F4653">
            <v>0</v>
          </cell>
          <cell r="G4653">
            <v>0</v>
          </cell>
          <cell r="H4653">
            <v>0</v>
          </cell>
          <cell r="I4653">
            <v>0</v>
          </cell>
          <cell r="J4653">
            <v>0</v>
          </cell>
          <cell r="K4653">
            <v>0</v>
          </cell>
          <cell r="L4653">
            <v>0</v>
          </cell>
          <cell r="M4653">
            <v>0</v>
          </cell>
          <cell r="N4653">
            <v>0</v>
          </cell>
          <cell r="O4653">
            <v>0</v>
          </cell>
        </row>
        <row r="4654">
          <cell r="A4654" t="str">
            <v>Japan KOEI (Business Split)Ordinary Gains - PreTax</v>
          </cell>
          <cell r="B4654">
            <v>0</v>
          </cell>
          <cell r="C4654">
            <v>0</v>
          </cell>
          <cell r="D4654">
            <v>0</v>
          </cell>
          <cell r="E4654">
            <v>0</v>
          </cell>
          <cell r="F4654">
            <v>0</v>
          </cell>
          <cell r="G4654">
            <v>0</v>
          </cell>
          <cell r="H4654">
            <v>0</v>
          </cell>
          <cell r="I4654">
            <v>0</v>
          </cell>
          <cell r="J4654">
            <v>0</v>
          </cell>
          <cell r="K4654">
            <v>0</v>
          </cell>
          <cell r="L4654">
            <v>0</v>
          </cell>
          <cell r="M4654">
            <v>0</v>
          </cell>
          <cell r="N4654">
            <v>0</v>
          </cell>
          <cell r="O4654">
            <v>0</v>
          </cell>
        </row>
        <row r="4655">
          <cell r="A4655" t="str">
            <v>Japan KOEI (Business Split)Ordinary Gains - AfterTax</v>
          </cell>
          <cell r="B4655">
            <v>0</v>
          </cell>
          <cell r="C4655">
            <v>0</v>
          </cell>
          <cell r="D4655">
            <v>0</v>
          </cell>
          <cell r="E4655">
            <v>0</v>
          </cell>
          <cell r="F4655">
            <v>0</v>
          </cell>
          <cell r="G4655">
            <v>0</v>
          </cell>
          <cell r="H4655">
            <v>0</v>
          </cell>
          <cell r="I4655">
            <v>0</v>
          </cell>
          <cell r="J4655">
            <v>0</v>
          </cell>
          <cell r="K4655">
            <v>0</v>
          </cell>
          <cell r="L4655">
            <v>0</v>
          </cell>
          <cell r="M4655">
            <v>0</v>
          </cell>
          <cell r="N4655">
            <v>0</v>
          </cell>
          <cell r="O4655">
            <v>0</v>
          </cell>
        </row>
        <row r="4656">
          <cell r="A4656" t="str">
            <v>Japan KOEI (Business Split)Total Volume</v>
          </cell>
          <cell r="B4656">
            <v>0</v>
          </cell>
          <cell r="C4656">
            <v>0</v>
          </cell>
          <cell r="D4656">
            <v>0</v>
          </cell>
          <cell r="E4656">
            <v>0</v>
          </cell>
          <cell r="F4656">
            <v>0</v>
          </cell>
          <cell r="G4656">
            <v>0</v>
          </cell>
          <cell r="H4656">
            <v>0</v>
          </cell>
          <cell r="I4656">
            <v>0</v>
          </cell>
          <cell r="J4656">
            <v>0</v>
          </cell>
          <cell r="K4656">
            <v>0</v>
          </cell>
          <cell r="L4656">
            <v>0</v>
          </cell>
          <cell r="M4656">
            <v>0</v>
          </cell>
          <cell r="N4656">
            <v>0</v>
          </cell>
          <cell r="O4656">
            <v>0</v>
          </cell>
        </row>
        <row r="4657">
          <cell r="A4657" t="str">
            <v>Japan KOEI (Business Split)TOTAL # ACTIVE ACCOUNTS</v>
          </cell>
          <cell r="B4657">
            <v>0</v>
          </cell>
          <cell r="C4657">
            <v>0</v>
          </cell>
          <cell r="D4657">
            <v>0</v>
          </cell>
          <cell r="E4657">
            <v>0</v>
          </cell>
          <cell r="F4657">
            <v>0</v>
          </cell>
          <cell r="G4657">
            <v>0</v>
          </cell>
          <cell r="H4657">
            <v>0</v>
          </cell>
          <cell r="I4657">
            <v>0</v>
          </cell>
          <cell r="J4657">
            <v>0</v>
          </cell>
          <cell r="K4657">
            <v>0</v>
          </cell>
          <cell r="L4657">
            <v>0</v>
          </cell>
          <cell r="M4657">
            <v>0</v>
          </cell>
          <cell r="N4657">
            <v>0</v>
          </cell>
          <cell r="O4657">
            <v>0</v>
          </cell>
        </row>
        <row r="4658">
          <cell r="A4658" t="str">
            <v>Total GCFTOTAL FINANCING RECEIVABLES</v>
          </cell>
          <cell r="B4658">
            <v>30921995348.25</v>
          </cell>
          <cell r="C4658">
            <v>33719082350.989899</v>
          </cell>
          <cell r="D4658">
            <v>36245090529.469902</v>
          </cell>
          <cell r="E4658">
            <v>37677574581.349998</v>
          </cell>
          <cell r="F4658">
            <v>37677574581.349998</v>
          </cell>
          <cell r="G4658">
            <v>37877149989.061996</v>
          </cell>
          <cell r="H4658">
            <v>39418180022.5504</v>
          </cell>
          <cell r="I4658">
            <v>40804111472.563202</v>
          </cell>
          <cell r="J4658">
            <v>42578714857.741798</v>
          </cell>
          <cell r="K4658">
            <v>42578714857.741798</v>
          </cell>
          <cell r="L4658">
            <v>38616617836.650002</v>
          </cell>
          <cell r="M4658">
            <v>43237700437.715797</v>
          </cell>
          <cell r="N4658">
            <v>49669399422.616302</v>
          </cell>
          <cell r="O4658">
            <v>55431099177.370003</v>
          </cell>
        </row>
        <row r="4659">
          <cell r="A4659" t="str">
            <v>Total GCFRECEIVABLE RESERVES</v>
          </cell>
          <cell r="B4659">
            <v>-1588456296.5899999</v>
          </cell>
          <cell r="C4659">
            <v>-1629083034.9200001</v>
          </cell>
          <cell r="D4659">
            <v>-1762394187.28</v>
          </cell>
          <cell r="E4659">
            <v>-1725798383</v>
          </cell>
          <cell r="F4659">
            <v>-1725798383</v>
          </cell>
          <cell r="G4659">
            <v>-1799581885.33518</v>
          </cell>
          <cell r="H4659">
            <v>-1846039755.67278</v>
          </cell>
          <cell r="I4659">
            <v>-1887436682.0834701</v>
          </cell>
          <cell r="J4659">
            <v>-1931902503.7404599</v>
          </cell>
          <cell r="K4659">
            <v>-1931902503.7404599</v>
          </cell>
          <cell r="L4659">
            <v>-1774792460.6800001</v>
          </cell>
          <cell r="M4659">
            <v>-1891550039.03635</v>
          </cell>
          <cell r="N4659">
            <v>-2152611760.43817</v>
          </cell>
          <cell r="O4659">
            <v>-2429478102.6925302</v>
          </cell>
        </row>
        <row r="4660">
          <cell r="A4660" t="str">
            <v>Total GCFCASH</v>
          </cell>
          <cell r="B4660">
            <v>1477287809.02</v>
          </cell>
          <cell r="C4660">
            <v>1695309313.1700001</v>
          </cell>
          <cell r="D4660">
            <v>1723605925.1800001</v>
          </cell>
          <cell r="E4660">
            <v>1920719334.71</v>
          </cell>
          <cell r="F4660">
            <v>1920719334.71</v>
          </cell>
          <cell r="G4660">
            <v>1622207471.2172699</v>
          </cell>
          <cell r="H4660">
            <v>1683623099.68577</v>
          </cell>
          <cell r="I4660">
            <v>1688909344.4335201</v>
          </cell>
          <cell r="J4660">
            <v>1730364373.0232999</v>
          </cell>
          <cell r="K4660">
            <v>1730364373.0232999</v>
          </cell>
          <cell r="L4660">
            <v>1748689237.8</v>
          </cell>
          <cell r="M4660">
            <v>1759075320.1774399</v>
          </cell>
          <cell r="N4660">
            <v>1901378549.5053999</v>
          </cell>
          <cell r="O4660">
            <v>1964288870.86323</v>
          </cell>
        </row>
        <row r="4661">
          <cell r="A4661" t="str">
            <v>Total GCFINVESTMENT SECURITIES</v>
          </cell>
          <cell r="B4661">
            <v>373130711.13999999</v>
          </cell>
          <cell r="C4661">
            <v>359350427.17000002</v>
          </cell>
          <cell r="D4661">
            <v>381206746.93000001</v>
          </cell>
          <cell r="E4661">
            <v>305142942.63999999</v>
          </cell>
          <cell r="F4661">
            <v>305142942.63999999</v>
          </cell>
          <cell r="G4661">
            <v>277510725.99531102</v>
          </cell>
          <cell r="H4661">
            <v>278815667.87179601</v>
          </cell>
          <cell r="I4661">
            <v>282083474.40887398</v>
          </cell>
          <cell r="J4661">
            <v>286513995.03584403</v>
          </cell>
          <cell r="K4661">
            <v>286513995.03584403</v>
          </cell>
          <cell r="L4661">
            <v>290773544.11000001</v>
          </cell>
          <cell r="M4661">
            <v>271672885.85499299</v>
          </cell>
          <cell r="N4661">
            <v>289662740.34054202</v>
          </cell>
          <cell r="O4661">
            <v>313690779.95090699</v>
          </cell>
        </row>
        <row r="4662">
          <cell r="A4662" t="str">
            <v>Total GCFINV IN NON CONSOL AFFILIATES</v>
          </cell>
          <cell r="B4662">
            <v>418763726</v>
          </cell>
          <cell r="C4662">
            <v>485552080.70999998</v>
          </cell>
          <cell r="D4662">
            <v>591977164.63</v>
          </cell>
          <cell r="E4662">
            <v>615753105.26999998</v>
          </cell>
          <cell r="F4662">
            <v>615753105.26999998</v>
          </cell>
          <cell r="G4662">
            <v>660390401.78933799</v>
          </cell>
          <cell r="H4662">
            <v>714425179.95054102</v>
          </cell>
          <cell r="I4662">
            <v>766801164.17970705</v>
          </cell>
          <cell r="J4662">
            <v>802503887.44467294</v>
          </cell>
          <cell r="K4662">
            <v>802503887.44467294</v>
          </cell>
          <cell r="L4662">
            <v>641645592.35000002</v>
          </cell>
          <cell r="M4662">
            <v>638735329.44165003</v>
          </cell>
          <cell r="N4662">
            <v>818487923.18243599</v>
          </cell>
          <cell r="O4662">
            <v>1005329065.9096</v>
          </cell>
        </row>
        <row r="4663">
          <cell r="A4663" t="str">
            <v>Total GCFINVESTMENT IN JOINT VENTURE</v>
          </cell>
          <cell r="B4663">
            <v>0</v>
          </cell>
          <cell r="C4663">
            <v>0</v>
          </cell>
          <cell r="D4663">
            <v>0</v>
          </cell>
          <cell r="E4663">
            <v>0</v>
          </cell>
          <cell r="F4663">
            <v>0</v>
          </cell>
          <cell r="G4663">
            <v>-17216000</v>
          </cell>
          <cell r="H4663">
            <v>-17216000</v>
          </cell>
          <cell r="I4663">
            <v>-17216000</v>
          </cell>
          <cell r="J4663">
            <v>-17216000</v>
          </cell>
          <cell r="K4663">
            <v>-17216000</v>
          </cell>
          <cell r="L4663">
            <v>0</v>
          </cell>
          <cell r="M4663">
            <v>2164080</v>
          </cell>
          <cell r="N4663">
            <v>2164080</v>
          </cell>
          <cell r="O4663">
            <v>2164080</v>
          </cell>
        </row>
        <row r="4664">
          <cell r="A4664" t="str">
            <v>Total GCFALL OTHER RECEIVABLES (NON-FINANCING)</v>
          </cell>
          <cell r="B4664">
            <v>586183894.08000004</v>
          </cell>
          <cell r="C4664">
            <v>446213512.89999998</v>
          </cell>
          <cell r="D4664">
            <v>481218098.18000001</v>
          </cell>
          <cell r="E4664">
            <v>473491362.5</v>
          </cell>
          <cell r="F4664">
            <v>473491362.5</v>
          </cell>
          <cell r="G4664">
            <v>430461365.843445</v>
          </cell>
          <cell r="H4664">
            <v>438624416.521016</v>
          </cell>
          <cell r="I4664">
            <v>438236705.445544</v>
          </cell>
          <cell r="J4664">
            <v>433785593.46246499</v>
          </cell>
          <cell r="K4664">
            <v>433785593.46246499</v>
          </cell>
          <cell r="L4664">
            <v>527876253.35000002</v>
          </cell>
          <cell r="M4664">
            <v>389752332.65222597</v>
          </cell>
          <cell r="N4664">
            <v>413689350.76470101</v>
          </cell>
          <cell r="O4664">
            <v>427285971.77903903</v>
          </cell>
        </row>
        <row r="4665">
          <cell r="A4665" t="str">
            <v>Total GCFELTO (NET)</v>
          </cell>
          <cell r="B4665">
            <v>10595955.130000001</v>
          </cell>
          <cell r="C4665">
            <v>4348103.82</v>
          </cell>
          <cell r="D4665">
            <v>6225919.4100000001</v>
          </cell>
          <cell r="E4665">
            <v>2123730.36</v>
          </cell>
          <cell r="F4665">
            <v>2123730.36</v>
          </cell>
          <cell r="G4665">
            <v>0</v>
          </cell>
          <cell r="H4665">
            <v>0</v>
          </cell>
          <cell r="I4665">
            <v>0</v>
          </cell>
          <cell r="J4665">
            <v>0</v>
          </cell>
          <cell r="K4665">
            <v>0</v>
          </cell>
          <cell r="L4665">
            <v>3452838.9</v>
          </cell>
          <cell r="M4665">
            <v>18481848.184818</v>
          </cell>
          <cell r="N4665">
            <v>20902090.209020998</v>
          </cell>
          <cell r="O4665">
            <v>23102310.231022999</v>
          </cell>
        </row>
        <row r="4666">
          <cell r="A4666" t="str">
            <v>Total GCFGOODWILL</v>
          </cell>
          <cell r="B4666">
            <v>3182840710.0900002</v>
          </cell>
          <cell r="C4666">
            <v>3397085588.0100002</v>
          </cell>
          <cell r="D4666">
            <v>3580327350.1100001</v>
          </cell>
          <cell r="E4666">
            <v>3628808458.7199998</v>
          </cell>
          <cell r="F4666">
            <v>3628808458.7199998</v>
          </cell>
          <cell r="G4666">
            <v>3752671109.0970402</v>
          </cell>
          <cell r="H4666">
            <v>3764048695.9231901</v>
          </cell>
          <cell r="I4666">
            <v>3761556087.1196399</v>
          </cell>
          <cell r="J4666">
            <v>3974942715.4819698</v>
          </cell>
          <cell r="K4666">
            <v>3974942715.4819698</v>
          </cell>
          <cell r="L4666">
            <v>3693305780.02</v>
          </cell>
          <cell r="M4666">
            <v>3546929349.4574199</v>
          </cell>
          <cell r="N4666">
            <v>3326199473.73276</v>
          </cell>
          <cell r="O4666">
            <v>3093683885.1385198</v>
          </cell>
        </row>
        <row r="4667">
          <cell r="A4667" t="str">
            <v>Total GCFOTHER ASSETS</v>
          </cell>
          <cell r="B4667">
            <v>961148981.48000002</v>
          </cell>
          <cell r="C4667">
            <v>1034315291.02</v>
          </cell>
          <cell r="D4667">
            <v>1092939917.8199999</v>
          </cell>
          <cell r="E4667">
            <v>989341385.48000002</v>
          </cell>
          <cell r="F4667">
            <v>989341385.48000002</v>
          </cell>
          <cell r="G4667">
            <v>978993503.93360198</v>
          </cell>
          <cell r="H4667">
            <v>997408677.155164</v>
          </cell>
          <cell r="I4667">
            <v>1015071143.33406</v>
          </cell>
          <cell r="J4667">
            <v>1014644284.01757</v>
          </cell>
          <cell r="K4667">
            <v>1014644284.01757</v>
          </cell>
          <cell r="L4667">
            <v>890300253.25</v>
          </cell>
          <cell r="M4667">
            <v>1451948806.7791901</v>
          </cell>
          <cell r="N4667">
            <v>1502109165.24316</v>
          </cell>
          <cell r="O4667">
            <v>1479811454.9300699</v>
          </cell>
        </row>
        <row r="4668">
          <cell r="A4668" t="str">
            <v>Total GCFACCOUNTS PAYABLE</v>
          </cell>
          <cell r="B4668">
            <v>-622881337.48000002</v>
          </cell>
          <cell r="C4668">
            <v>-776296441.17000103</v>
          </cell>
          <cell r="D4668">
            <v>-905094230.14999998</v>
          </cell>
          <cell r="E4668">
            <v>-1165738497.26</v>
          </cell>
          <cell r="F4668">
            <v>-1165738497.26</v>
          </cell>
          <cell r="G4668">
            <v>-821975286.59889901</v>
          </cell>
          <cell r="H4668">
            <v>-847983118.57220399</v>
          </cell>
          <cell r="I4668">
            <v>-809269564.91940105</v>
          </cell>
          <cell r="J4668">
            <v>-1087508567.0090699</v>
          </cell>
          <cell r="K4668">
            <v>-1087508567.0090699</v>
          </cell>
          <cell r="L4668">
            <v>-869425538.63999999</v>
          </cell>
          <cell r="M4668">
            <v>-802774033.50276506</v>
          </cell>
          <cell r="N4668">
            <v>-587100721.02625</v>
          </cell>
          <cell r="O4668">
            <v>-603937197.255077</v>
          </cell>
        </row>
        <row r="4669">
          <cell r="A4669" t="str">
            <v>Total GCFDEFERRED INCOME TAXES</v>
          </cell>
          <cell r="B4669">
            <v>722020388.20000005</v>
          </cell>
          <cell r="C4669">
            <v>723329830.64999998</v>
          </cell>
          <cell r="D4669">
            <v>777536614.69000006</v>
          </cell>
          <cell r="E4669">
            <v>708204178.53999996</v>
          </cell>
          <cell r="F4669">
            <v>708204178.53999996</v>
          </cell>
          <cell r="G4669">
            <v>690242989.21991003</v>
          </cell>
          <cell r="H4669">
            <v>690036702.80741596</v>
          </cell>
          <cell r="I4669">
            <v>693149685.967224</v>
          </cell>
          <cell r="J4669">
            <v>695343963.582335</v>
          </cell>
          <cell r="K4669">
            <v>695343963.582335</v>
          </cell>
          <cell r="L4669">
            <v>597064033.46000004</v>
          </cell>
          <cell r="M4669">
            <v>489651464.791372</v>
          </cell>
          <cell r="N4669">
            <v>490759877.59187001</v>
          </cell>
          <cell r="O4669">
            <v>469094465.68900299</v>
          </cell>
        </row>
        <row r="4670">
          <cell r="A4670" t="str">
            <v>Total GCFWRITE-OFF (MEMO)</v>
          </cell>
          <cell r="B4670">
            <v>157531637.08000001</v>
          </cell>
          <cell r="C4670">
            <v>388303841.25</v>
          </cell>
          <cell r="D4670">
            <v>553835695.88999999</v>
          </cell>
          <cell r="E4670">
            <v>799533088.35000002</v>
          </cell>
          <cell r="F4670">
            <v>799533088.35000002</v>
          </cell>
          <cell r="G4670">
            <v>234237766.97031301</v>
          </cell>
          <cell r="H4670">
            <v>466195299.75832498</v>
          </cell>
          <cell r="I4670">
            <v>725881657.579808</v>
          </cell>
          <cell r="J4670">
            <v>991511809.04296398</v>
          </cell>
          <cell r="K4670">
            <v>991511809.04296398</v>
          </cell>
          <cell r="L4670">
            <v>178355169.49000001</v>
          </cell>
          <cell r="M4670">
            <v>870022678.35794401</v>
          </cell>
          <cell r="N4670">
            <v>1001062726.32726</v>
          </cell>
          <cell r="O4670">
            <v>1156795301.4809501</v>
          </cell>
        </row>
        <row r="4671">
          <cell r="A4671" t="str">
            <v>Total GCFINSURANCE RESERVES AND ANNUITY BENEFITS</v>
          </cell>
          <cell r="B4671">
            <v>-42228708.170000002</v>
          </cell>
          <cell r="C4671">
            <v>-44607619.329999998</v>
          </cell>
          <cell r="D4671">
            <v>-42647378.799999997</v>
          </cell>
          <cell r="E4671">
            <v>-46540058.399999999</v>
          </cell>
          <cell r="F4671">
            <v>-46540058.399999999</v>
          </cell>
          <cell r="G4671">
            <v>-46104624.799999997</v>
          </cell>
          <cell r="H4671">
            <v>-47196988.799999997</v>
          </cell>
          <cell r="I4671">
            <v>-50017468.799999997</v>
          </cell>
          <cell r="J4671">
            <v>-53040124.799999997</v>
          </cell>
          <cell r="K4671">
            <v>-53040124.799999997</v>
          </cell>
          <cell r="L4671">
            <v>-47997496.43</v>
          </cell>
          <cell r="M4671">
            <v>-60873951.195903003</v>
          </cell>
          <cell r="N4671">
            <v>-74779274.042686999</v>
          </cell>
          <cell r="O4671">
            <v>-91635781.135493994</v>
          </cell>
        </row>
        <row r="4672">
          <cell r="A4672" t="str">
            <v>Total GCFALL OTHER NON DEBT LIABILITIES</v>
          </cell>
          <cell r="B4672">
            <v>-1283013272.6600001</v>
          </cell>
          <cell r="C4672">
            <v>-978963185.44000006</v>
          </cell>
          <cell r="D4672">
            <v>-1059596558.6799999</v>
          </cell>
          <cell r="E4672">
            <v>-1125238656.8699999</v>
          </cell>
          <cell r="F4672">
            <v>-1125238656.8699999</v>
          </cell>
          <cell r="G4672">
            <v>-837709051.428514</v>
          </cell>
          <cell r="H4672">
            <v>-852283905.25307703</v>
          </cell>
          <cell r="I4672">
            <v>-850358490.02528501</v>
          </cell>
          <cell r="J4672">
            <v>-864579951.62275696</v>
          </cell>
          <cell r="K4672">
            <v>-864579951.62275696</v>
          </cell>
          <cell r="L4672">
            <v>-1113314135.98</v>
          </cell>
          <cell r="M4672">
            <v>-1201261607.3080399</v>
          </cell>
          <cell r="N4672">
            <v>-1232655064.78583</v>
          </cell>
          <cell r="O4672">
            <v>-1280642796.4398501</v>
          </cell>
        </row>
        <row r="4673">
          <cell r="A4673" t="str">
            <v>Total GCFMINORITY INTEREST (BS)</v>
          </cell>
          <cell r="B4673">
            <v>-48207207.140000001</v>
          </cell>
          <cell r="C4673">
            <v>-21542966.77</v>
          </cell>
          <cell r="D4673">
            <v>-15494957.17</v>
          </cell>
          <cell r="E4673">
            <v>-16670963.24</v>
          </cell>
          <cell r="F4673">
            <v>-16670963.24</v>
          </cell>
          <cell r="G4673">
            <v>-16778818.247506998</v>
          </cell>
          <cell r="H4673">
            <v>-17272957.794489998</v>
          </cell>
          <cell r="I4673">
            <v>-17702259.086013999</v>
          </cell>
          <cell r="J4673">
            <v>-17939184.056721002</v>
          </cell>
          <cell r="K4673">
            <v>-17939184.056721002</v>
          </cell>
          <cell r="L4673">
            <v>-17043346.550000001</v>
          </cell>
          <cell r="M4673">
            <v>-4627203.7372390004</v>
          </cell>
          <cell r="N4673">
            <v>-5311659.7772009997</v>
          </cell>
          <cell r="O4673">
            <v>-6081342.2120300001</v>
          </cell>
        </row>
        <row r="4674">
          <cell r="A4674" t="str">
            <v>Total GCFASIA PACIFIC ENI DIVIDEND</v>
          </cell>
          <cell r="B4674">
            <v>0</v>
          </cell>
          <cell r="C4674">
            <v>0</v>
          </cell>
          <cell r="D4674">
            <v>0</v>
          </cell>
          <cell r="E4674">
            <v>0</v>
          </cell>
          <cell r="F4674">
            <v>0</v>
          </cell>
          <cell r="G4674">
            <v>0</v>
          </cell>
          <cell r="H4674">
            <v>0</v>
          </cell>
          <cell r="I4674">
            <v>0</v>
          </cell>
          <cell r="J4674">
            <v>0</v>
          </cell>
          <cell r="K4674">
            <v>0</v>
          </cell>
          <cell r="L4674">
            <v>0</v>
          </cell>
          <cell r="M4674">
            <v>0</v>
          </cell>
          <cell r="N4674">
            <v>0</v>
          </cell>
          <cell r="O4674">
            <v>0</v>
          </cell>
        </row>
        <row r="4675">
          <cell r="A4675" t="str">
            <v>Total GCFFINANCING INCOME</v>
          </cell>
          <cell r="B4675">
            <v>-1157619495.9200001</v>
          </cell>
          <cell r="C4675">
            <v>-1210209623.6400001</v>
          </cell>
          <cell r="D4675">
            <v>-1244555863.4200001</v>
          </cell>
          <cell r="E4675">
            <v>-1298064742.8900001</v>
          </cell>
          <cell r="F4675">
            <v>-4910449725.8699999</v>
          </cell>
          <cell r="G4675">
            <v>-1300937568.95697</v>
          </cell>
          <cell r="H4675">
            <v>-1368501976.9335499</v>
          </cell>
          <cell r="I4675">
            <v>-1440820438.25506</v>
          </cell>
          <cell r="J4675">
            <v>-1496728153.7047901</v>
          </cell>
          <cell r="K4675">
            <v>-5606988137.8503904</v>
          </cell>
          <cell r="L4675">
            <v>-1270737146.8499999</v>
          </cell>
          <cell r="M4675">
            <v>-5906444993.2575502</v>
          </cell>
          <cell r="N4675">
            <v>-6777531941.6724997</v>
          </cell>
          <cell r="O4675">
            <v>-7677107589.6984901</v>
          </cell>
        </row>
        <row r="4676">
          <cell r="A4676" t="str">
            <v>Total GCFINSURANCE PREMIUM INCOME</v>
          </cell>
          <cell r="B4676">
            <v>-6872924.7800000003</v>
          </cell>
          <cell r="C4676">
            <v>-6537820.0499999998</v>
          </cell>
          <cell r="D4676">
            <v>-6282947.4000000004</v>
          </cell>
          <cell r="E4676">
            <v>-6888023.75</v>
          </cell>
          <cell r="F4676">
            <v>-26581715.98</v>
          </cell>
          <cell r="G4676">
            <v>-9023733.6941129994</v>
          </cell>
          <cell r="H4676">
            <v>-8587324.7657619994</v>
          </cell>
          <cell r="I4676">
            <v>-9052629.6943079997</v>
          </cell>
          <cell r="J4676">
            <v>-9651665.1045500003</v>
          </cell>
          <cell r="K4676">
            <v>-36315353.258734003</v>
          </cell>
          <cell r="L4676">
            <v>-6440326.46</v>
          </cell>
          <cell r="M4676">
            <v>-53810279.568743996</v>
          </cell>
          <cell r="N4676">
            <v>-67471653.376784995</v>
          </cell>
          <cell r="O4676">
            <v>-87598203.884001002</v>
          </cell>
        </row>
        <row r="4677">
          <cell r="A4677" t="str">
            <v>Total GCFINSURANCE INCOME (COMMISSIONS)</v>
          </cell>
          <cell r="B4677">
            <v>-40212039.549999997</v>
          </cell>
          <cell r="C4677">
            <v>-33713660.07</v>
          </cell>
          <cell r="D4677">
            <v>-37620800.530000001</v>
          </cell>
          <cell r="E4677">
            <v>-45013977.960000001</v>
          </cell>
          <cell r="F4677">
            <v>-156560478.11000001</v>
          </cell>
          <cell r="G4677">
            <v>-40833533.689728998</v>
          </cell>
          <cell r="H4677">
            <v>-43387396.488527</v>
          </cell>
          <cell r="I4677">
            <v>-44286964.592588</v>
          </cell>
          <cell r="J4677">
            <v>-48141725.487985998</v>
          </cell>
          <cell r="K4677">
            <v>-176649620.25883001</v>
          </cell>
          <cell r="L4677">
            <v>-73036804.090000004</v>
          </cell>
          <cell r="M4677">
            <v>-163673540.38978499</v>
          </cell>
          <cell r="N4677">
            <v>-176764707.14304301</v>
          </cell>
          <cell r="O4677">
            <v>-199750730.22207099</v>
          </cell>
        </row>
        <row r="4678">
          <cell r="A4678" t="str">
            <v>Total GCFSUNDRY INCOME</v>
          </cell>
          <cell r="B4678">
            <v>-113353984.86</v>
          </cell>
          <cell r="C4678">
            <v>-119673650.63</v>
          </cell>
          <cell r="D4678">
            <v>-88631855.829999998</v>
          </cell>
          <cell r="E4678">
            <v>-145641174.93000001</v>
          </cell>
          <cell r="F4678">
            <v>-467300666.25</v>
          </cell>
          <cell r="G4678">
            <v>-106980583.325697</v>
          </cell>
          <cell r="H4678">
            <v>-130516313.506349</v>
          </cell>
          <cell r="I4678">
            <v>-136859241.71622899</v>
          </cell>
          <cell r="J4678">
            <v>-115966507.22628801</v>
          </cell>
          <cell r="K4678">
            <v>-490322645.774562</v>
          </cell>
          <cell r="L4678">
            <v>-119368028.98999999</v>
          </cell>
          <cell r="M4678">
            <v>-455021068.03578001</v>
          </cell>
          <cell r="N4678">
            <v>-552933555.57958698</v>
          </cell>
          <cell r="O4678">
            <v>-603915140.86118901</v>
          </cell>
        </row>
        <row r="4679">
          <cell r="A4679" t="str">
            <v>Total GCFINTEREST EXPENSE</v>
          </cell>
          <cell r="B4679">
            <v>335039035.80000001</v>
          </cell>
          <cell r="C4679">
            <v>353921668.88999999</v>
          </cell>
          <cell r="D4679">
            <v>344238981.01999998</v>
          </cell>
          <cell r="E4679">
            <v>358488299.41000003</v>
          </cell>
          <cell r="F4679">
            <v>1391687985.1199999</v>
          </cell>
          <cell r="G4679">
            <v>367928750.67924398</v>
          </cell>
          <cell r="H4679">
            <v>381526185.76964498</v>
          </cell>
          <cell r="I4679">
            <v>398254626.83350998</v>
          </cell>
          <cell r="J4679">
            <v>422979739.23990297</v>
          </cell>
          <cell r="K4679">
            <v>1570689302.5223</v>
          </cell>
          <cell r="L4679">
            <v>359270231.13999999</v>
          </cell>
          <cell r="M4679">
            <v>1877919887.4207201</v>
          </cell>
          <cell r="N4679">
            <v>2169812267.8208299</v>
          </cell>
          <cell r="O4679">
            <v>2470978536.1872001</v>
          </cell>
        </row>
        <row r="4680">
          <cell r="A4680" t="str">
            <v>Total GCFINTEREST EXPENSE REDUCTIONS / BUS SHARING</v>
          </cell>
          <cell r="B4680">
            <v>-16229263.18</v>
          </cell>
          <cell r="C4680">
            <v>-17440003.489999998</v>
          </cell>
          <cell r="D4680">
            <v>-22984146.34</v>
          </cell>
          <cell r="E4680">
            <v>-17980003.359999999</v>
          </cell>
          <cell r="F4680">
            <v>-74633416.370000005</v>
          </cell>
          <cell r="G4680">
            <v>-15412387.173222</v>
          </cell>
          <cell r="H4680">
            <v>-15274370.196056999</v>
          </cell>
          <cell r="I4680">
            <v>-15443431.426024999</v>
          </cell>
          <cell r="J4680">
            <v>-15541429.344993999</v>
          </cell>
          <cell r="K4680">
            <v>-61671618.140298001</v>
          </cell>
          <cell r="L4680">
            <v>-14172439.49</v>
          </cell>
          <cell r="M4680">
            <v>0</v>
          </cell>
          <cell r="N4680">
            <v>0</v>
          </cell>
          <cell r="O4680">
            <v>0</v>
          </cell>
        </row>
        <row r="4681">
          <cell r="A4681" t="str">
            <v>Total GCFALLOCATED COST OF PREFERRED EQUITY</v>
          </cell>
          <cell r="B4681">
            <v>4416693.37</v>
          </cell>
          <cell r="C4681">
            <v>3812498.34</v>
          </cell>
          <cell r="D4681">
            <v>4164816.25</v>
          </cell>
          <cell r="E4681">
            <v>1797312.76</v>
          </cell>
          <cell r="F4681">
            <v>14191320.720000001</v>
          </cell>
          <cell r="G4681">
            <v>3883766.4918470001</v>
          </cell>
          <cell r="H4681">
            <v>4038457.5961580002</v>
          </cell>
          <cell r="I4681">
            <v>4182657.1742639998</v>
          </cell>
          <cell r="J4681">
            <v>4332794.9466199996</v>
          </cell>
          <cell r="K4681">
            <v>16437676.208888</v>
          </cell>
          <cell r="L4681">
            <v>2750923.61</v>
          </cell>
          <cell r="M4681">
            <v>7981611.2394939996</v>
          </cell>
          <cell r="N4681">
            <v>9468769.4301079996</v>
          </cell>
          <cell r="O4681">
            <v>11866060.146489</v>
          </cell>
        </row>
        <row r="4682">
          <cell r="A4682" t="str">
            <v>Total GCFSALARIES &amp; BENEFITS</v>
          </cell>
          <cell r="B4682">
            <v>197344548.56</v>
          </cell>
          <cell r="C4682">
            <v>188878225.75</v>
          </cell>
          <cell r="D4682">
            <v>202503235.84999999</v>
          </cell>
          <cell r="E4682">
            <v>232513950.58000001</v>
          </cell>
          <cell r="F4682">
            <v>821239960.74000001</v>
          </cell>
          <cell r="G4682">
            <v>208083266.676635</v>
          </cell>
          <cell r="H4682">
            <v>209649675.385966</v>
          </cell>
          <cell r="I4682">
            <v>208229131.832991</v>
          </cell>
          <cell r="J4682">
            <v>215990336.781811</v>
          </cell>
          <cell r="K4682">
            <v>841952410.67740202</v>
          </cell>
          <cell r="L4682">
            <v>197507449.63</v>
          </cell>
          <cell r="M4682">
            <v>800299861.26096404</v>
          </cell>
          <cell r="N4682">
            <v>826017153.73470294</v>
          </cell>
          <cell r="O4682">
            <v>856804345.69758904</v>
          </cell>
        </row>
        <row r="4683">
          <cell r="A4683" t="str">
            <v>Total GCFLOSSES ON OTHER ASSETS</v>
          </cell>
          <cell r="B4683">
            <v>206072.63</v>
          </cell>
          <cell r="C4683">
            <v>448363.03</v>
          </cell>
          <cell r="D4683">
            <v>-1294790.3700000001</v>
          </cell>
          <cell r="E4683">
            <v>-1023523.85</v>
          </cell>
          <cell r="F4683">
            <v>-1663878.56</v>
          </cell>
          <cell r="G4683">
            <v>-797334.37259000004</v>
          </cell>
          <cell r="H4683">
            <v>305431.91032199998</v>
          </cell>
          <cell r="I4683">
            <v>304368.27192199999</v>
          </cell>
          <cell r="J4683">
            <v>302170.739122</v>
          </cell>
          <cell r="K4683">
            <v>114636.548776</v>
          </cell>
          <cell r="L4683">
            <v>9240019.9700000007</v>
          </cell>
          <cell r="M4683">
            <v>1660313.9781830001</v>
          </cell>
          <cell r="N4683">
            <v>1883260.207345</v>
          </cell>
          <cell r="O4683">
            <v>2071875.568252</v>
          </cell>
        </row>
        <row r="4684">
          <cell r="A4684" t="str">
            <v>Total GCFCOST OF GOODS SOLD</v>
          </cell>
          <cell r="B4684">
            <v>-157726.49</v>
          </cell>
          <cell r="C4684">
            <v>999.9</v>
          </cell>
          <cell r="D4684">
            <v>-10368.94</v>
          </cell>
          <cell r="E4684">
            <v>3461257.02</v>
          </cell>
          <cell r="F4684">
            <v>3294161.49</v>
          </cell>
          <cell r="G4684">
            <v>2236218</v>
          </cell>
          <cell r="H4684">
            <v>2645805</v>
          </cell>
          <cell r="I4684">
            <v>2466242</v>
          </cell>
          <cell r="J4684">
            <v>2995659</v>
          </cell>
          <cell r="K4684">
            <v>10343924</v>
          </cell>
          <cell r="L4684">
            <v>223436.65</v>
          </cell>
          <cell r="M4684">
            <v>5195847.9449349996</v>
          </cell>
          <cell r="N4684">
            <v>6454889.0447899997</v>
          </cell>
          <cell r="O4684">
            <v>7013715.7357029999</v>
          </cell>
        </row>
        <row r="4685">
          <cell r="A4685" t="str">
            <v>Total GCFCOST OF GOODS SOLD - DISTRIBUTION</v>
          </cell>
          <cell r="B4685">
            <v>0</v>
          </cell>
          <cell r="C4685">
            <v>0</v>
          </cell>
          <cell r="D4685">
            <v>0</v>
          </cell>
          <cell r="E4685">
            <v>0</v>
          </cell>
          <cell r="F4685">
            <v>0</v>
          </cell>
          <cell r="G4685">
            <v>0</v>
          </cell>
          <cell r="H4685">
            <v>0</v>
          </cell>
          <cell r="I4685">
            <v>0</v>
          </cell>
          <cell r="J4685">
            <v>0</v>
          </cell>
          <cell r="K4685">
            <v>0</v>
          </cell>
          <cell r="L4685">
            <v>0</v>
          </cell>
          <cell r="M4685">
            <v>0</v>
          </cell>
          <cell r="N4685">
            <v>0</v>
          </cell>
          <cell r="O4685">
            <v>0</v>
          </cell>
        </row>
        <row r="4686">
          <cell r="A4686" t="str">
            <v>Total GCFPOSTAGE</v>
          </cell>
          <cell r="B4686">
            <v>17114714.899999999</v>
          </cell>
          <cell r="C4686">
            <v>16789475.699999999</v>
          </cell>
          <cell r="D4686">
            <v>15721064.73</v>
          </cell>
          <cell r="E4686">
            <v>18898323.399999999</v>
          </cell>
          <cell r="F4686">
            <v>68523578.730000004</v>
          </cell>
          <cell r="G4686">
            <v>18110833.331007998</v>
          </cell>
          <cell r="H4686">
            <v>18953784.974589001</v>
          </cell>
          <cell r="I4686">
            <v>19765043.108309999</v>
          </cell>
          <cell r="J4686">
            <v>21599554.130284</v>
          </cell>
          <cell r="K4686">
            <v>78429215.544191003</v>
          </cell>
          <cell r="L4686">
            <v>15569738.82</v>
          </cell>
          <cell r="M4686">
            <v>76845745.765580997</v>
          </cell>
          <cell r="N4686">
            <v>83933807.088453993</v>
          </cell>
          <cell r="O4686">
            <v>89923632.312777996</v>
          </cell>
        </row>
        <row r="4687">
          <cell r="A4687" t="str">
            <v>Total GCFTELEPHONE</v>
          </cell>
          <cell r="B4687">
            <v>10577430.279999999</v>
          </cell>
          <cell r="C4687">
            <v>9479124.1099999994</v>
          </cell>
          <cell r="D4687">
            <v>9677772.4900000002</v>
          </cell>
          <cell r="E4687">
            <v>12557014.57</v>
          </cell>
          <cell r="F4687">
            <v>42291341.450000003</v>
          </cell>
          <cell r="G4687">
            <v>12538184.723701</v>
          </cell>
          <cell r="H4687">
            <v>12612980.954914</v>
          </cell>
          <cell r="I4687">
            <v>12661785.344697</v>
          </cell>
          <cell r="J4687">
            <v>13204148.010491</v>
          </cell>
          <cell r="K4687">
            <v>51017099.033803999</v>
          </cell>
          <cell r="L4687">
            <v>9049343.0500000007</v>
          </cell>
          <cell r="M4687">
            <v>49838414.21982</v>
          </cell>
          <cell r="N4687">
            <v>53539129.714139998</v>
          </cell>
          <cell r="O4687">
            <v>58457258.824588999</v>
          </cell>
        </row>
        <row r="4688">
          <cell r="A4688" t="str">
            <v>Total GCFCUSTOMER SERVICE / COLLECTIONS</v>
          </cell>
          <cell r="B4688">
            <v>12750493.77</v>
          </cell>
          <cell r="C4688">
            <v>12503094.43</v>
          </cell>
          <cell r="D4688">
            <v>11735410.449999999</v>
          </cell>
          <cell r="E4688">
            <v>15498824.5</v>
          </cell>
          <cell r="F4688">
            <v>52487823.149999999</v>
          </cell>
          <cell r="G4688">
            <v>15552356.261862</v>
          </cell>
          <cell r="H4688">
            <v>16429769.971222</v>
          </cell>
          <cell r="I4688">
            <v>16917715.664572001</v>
          </cell>
          <cell r="J4688">
            <v>17806796.526069999</v>
          </cell>
          <cell r="K4688">
            <v>66706638.423726</v>
          </cell>
          <cell r="L4688">
            <v>14772963.1</v>
          </cell>
          <cell r="M4688">
            <v>61833857.065548003</v>
          </cell>
          <cell r="N4688">
            <v>70749768.722092003</v>
          </cell>
          <cell r="O4688">
            <v>79684424.190493003</v>
          </cell>
        </row>
        <row r="4689">
          <cell r="A4689" t="str">
            <v>Total GCFSTATIONARY - OFFICE SUPPLIES</v>
          </cell>
          <cell r="B4689">
            <v>10409001.91</v>
          </cell>
          <cell r="C4689">
            <v>9460991.7200000007</v>
          </cell>
          <cell r="D4689">
            <v>6540636.5199999996</v>
          </cell>
          <cell r="E4689">
            <v>13859382.220000001</v>
          </cell>
          <cell r="F4689">
            <v>40270012.369999997</v>
          </cell>
          <cell r="G4689">
            <v>10733945.091378</v>
          </cell>
          <cell r="H4689">
            <v>11331760.074425999</v>
          </cell>
          <cell r="I4689">
            <v>11362283.307583001</v>
          </cell>
          <cell r="J4689">
            <v>10137286.399243999</v>
          </cell>
          <cell r="K4689">
            <v>43565274.872630998</v>
          </cell>
          <cell r="L4689">
            <v>5542371.4000000004</v>
          </cell>
          <cell r="M4689">
            <v>51091818.219555996</v>
          </cell>
          <cell r="N4689">
            <v>46473664.493501998</v>
          </cell>
          <cell r="O4689">
            <v>52983143.745807998</v>
          </cell>
        </row>
        <row r="4690">
          <cell r="A4690" t="str">
            <v>Total GCFT&amp;L</v>
          </cell>
          <cell r="B4690">
            <v>12797665.960000001</v>
          </cell>
          <cell r="C4690">
            <v>13942110.560000001</v>
          </cell>
          <cell r="D4690">
            <v>11697994.529999999</v>
          </cell>
          <cell r="E4690">
            <v>18528716.940000001</v>
          </cell>
          <cell r="F4690">
            <v>56966487.990000002</v>
          </cell>
          <cell r="G4690">
            <v>16114705.271098999</v>
          </cell>
          <cell r="H4690">
            <v>14982025.219374999</v>
          </cell>
          <cell r="I4690">
            <v>14586591.565482</v>
          </cell>
          <cell r="J4690">
            <v>14932452.616534</v>
          </cell>
          <cell r="K4690">
            <v>60615774.672489002</v>
          </cell>
          <cell r="L4690">
            <v>13169555.65</v>
          </cell>
          <cell r="M4690">
            <v>62318663.046650998</v>
          </cell>
          <cell r="N4690">
            <v>64799451.373255998</v>
          </cell>
          <cell r="O4690">
            <v>67381682.512948006</v>
          </cell>
        </row>
        <row r="4691">
          <cell r="A4691" t="str">
            <v>Total GCFRENTAL - BLDG/FACILITIES</v>
          </cell>
          <cell r="B4691">
            <v>27042633.420000002</v>
          </cell>
          <cell r="C4691">
            <v>27441013.960000001</v>
          </cell>
          <cell r="D4691">
            <v>23932689.559999999</v>
          </cell>
          <cell r="E4691">
            <v>28356324.77</v>
          </cell>
          <cell r="F4691">
            <v>106772661.70999999</v>
          </cell>
          <cell r="G4691">
            <v>27833293.545384001</v>
          </cell>
          <cell r="H4691">
            <v>28618986.299013998</v>
          </cell>
          <cell r="I4691">
            <v>28302521.645892002</v>
          </cell>
          <cell r="J4691">
            <v>27808371.933745999</v>
          </cell>
          <cell r="K4691">
            <v>112563173.424036</v>
          </cell>
          <cell r="L4691">
            <v>23233581.27</v>
          </cell>
          <cell r="M4691">
            <v>118463460.456058</v>
          </cell>
          <cell r="N4691">
            <v>122255987.990363</v>
          </cell>
          <cell r="O4691">
            <v>124308247.105822</v>
          </cell>
        </row>
        <row r="4692">
          <cell r="A4692" t="str">
            <v>Total GCFRENTAL - FURNITURE/EQUIP</v>
          </cell>
          <cell r="B4692">
            <v>1249460.72</v>
          </cell>
          <cell r="C4692">
            <v>1181233.32</v>
          </cell>
          <cell r="D4692">
            <v>1222100.27</v>
          </cell>
          <cell r="E4692">
            <v>1677944.42</v>
          </cell>
          <cell r="F4692">
            <v>5330738.7300000004</v>
          </cell>
          <cell r="G4692">
            <v>1174121.6016589999</v>
          </cell>
          <cell r="H4692">
            <v>989643.09657499997</v>
          </cell>
          <cell r="I4692">
            <v>1062725.572165</v>
          </cell>
          <cell r="J4692">
            <v>1077759.605701</v>
          </cell>
          <cell r="K4692">
            <v>4304249.8761010002</v>
          </cell>
          <cell r="L4692">
            <v>871887.95</v>
          </cell>
          <cell r="M4692">
            <v>6028849.6832919996</v>
          </cell>
          <cell r="N4692">
            <v>6271563.2968020001</v>
          </cell>
          <cell r="O4692">
            <v>6611921.8227319997</v>
          </cell>
        </row>
        <row r="4693">
          <cell r="A4693" t="str">
            <v>Total GCFRENTAL - COMPUTERS</v>
          </cell>
          <cell r="B4693">
            <v>2023464.05</v>
          </cell>
          <cell r="C4693">
            <v>2922599.13</v>
          </cell>
          <cell r="D4693">
            <v>1370847.02</v>
          </cell>
          <cell r="E4693">
            <v>1160943.04</v>
          </cell>
          <cell r="F4693">
            <v>7477853.2400000002</v>
          </cell>
          <cell r="G4693">
            <v>1419979.620448</v>
          </cell>
          <cell r="H4693">
            <v>1205442.995448</v>
          </cell>
          <cell r="I4693">
            <v>1406225.495448</v>
          </cell>
          <cell r="J4693">
            <v>1083196.162115</v>
          </cell>
          <cell r="K4693">
            <v>5114844.2734599998</v>
          </cell>
          <cell r="L4693">
            <v>1200753.68</v>
          </cell>
          <cell r="M4693">
            <v>9183124.0957709998</v>
          </cell>
          <cell r="N4693">
            <v>10928427.042971</v>
          </cell>
          <cell r="O4693">
            <v>14116041.189340999</v>
          </cell>
        </row>
        <row r="4694">
          <cell r="A4694" t="str">
            <v>Total GCFLEASE IN - LEASE OUT</v>
          </cell>
          <cell r="B4694">
            <v>78175.59</v>
          </cell>
          <cell r="C4694">
            <v>42222.37</v>
          </cell>
          <cell r="D4694">
            <v>168534.32</v>
          </cell>
          <cell r="E4694">
            <v>-782027.49</v>
          </cell>
          <cell r="F4694">
            <v>-493095.21</v>
          </cell>
          <cell r="G4694">
            <v>21789</v>
          </cell>
          <cell r="H4694">
            <v>17527</v>
          </cell>
          <cell r="I4694">
            <v>13939</v>
          </cell>
          <cell r="J4694">
            <v>8040</v>
          </cell>
          <cell r="K4694">
            <v>61295</v>
          </cell>
          <cell r="L4694">
            <v>168026.7</v>
          </cell>
          <cell r="M4694">
            <v>352291</v>
          </cell>
          <cell r="N4694">
            <v>387521</v>
          </cell>
          <cell r="O4694">
            <v>465025</v>
          </cell>
        </row>
        <row r="4695">
          <cell r="A4695" t="str">
            <v>Total GCFFURNITURE / EQUIPMENT / COMPUTER EXP</v>
          </cell>
          <cell r="B4695">
            <v>7838387.3399999999</v>
          </cell>
          <cell r="C4695">
            <v>11047445.970000001</v>
          </cell>
          <cell r="D4695">
            <v>6706525.2999999998</v>
          </cell>
          <cell r="E4695">
            <v>11880804.73</v>
          </cell>
          <cell r="F4695">
            <v>37473163.340000004</v>
          </cell>
          <cell r="G4695">
            <v>12433767.058054</v>
          </cell>
          <cell r="H4695">
            <v>11921473.665792</v>
          </cell>
          <cell r="I4695">
            <v>12179963.451273</v>
          </cell>
          <cell r="J4695">
            <v>11297228.758361001</v>
          </cell>
          <cell r="K4695">
            <v>47832432.933480002</v>
          </cell>
          <cell r="L4695">
            <v>10730430.029999999</v>
          </cell>
          <cell r="M4695">
            <v>39606469.304527</v>
          </cell>
          <cell r="N4695">
            <v>44028114.345059</v>
          </cell>
          <cell r="O4695">
            <v>49170814.883403003</v>
          </cell>
        </row>
        <row r="4696">
          <cell r="A4696" t="str">
            <v>Total GCFSOFTWARE EXPENSE</v>
          </cell>
          <cell r="B4696">
            <v>481607.33</v>
          </cell>
          <cell r="C4696">
            <v>1976124.63</v>
          </cell>
          <cell r="D4696">
            <v>855810.44</v>
          </cell>
          <cell r="E4696">
            <v>2788659.75</v>
          </cell>
          <cell r="F4696">
            <v>6102202.1500000004</v>
          </cell>
          <cell r="G4696">
            <v>7306264.3429709999</v>
          </cell>
          <cell r="H4696">
            <v>7266712.3563430002</v>
          </cell>
          <cell r="I4696">
            <v>7707740.7268850002</v>
          </cell>
          <cell r="J4696">
            <v>7775170.7680930002</v>
          </cell>
          <cell r="K4696">
            <v>30055888.194292001</v>
          </cell>
          <cell r="L4696">
            <v>2084407.97</v>
          </cell>
          <cell r="M4696">
            <v>17372133.874244001</v>
          </cell>
          <cell r="N4696">
            <v>16946349.709329002</v>
          </cell>
          <cell r="O4696">
            <v>17275621.377811</v>
          </cell>
        </row>
        <row r="4697">
          <cell r="A4697" t="str">
            <v>Total GCFAMORTIZATION OF INTANGIBLES</v>
          </cell>
          <cell r="B4697">
            <v>4484194.7300000004</v>
          </cell>
          <cell r="C4697">
            <v>5378901.8600000003</v>
          </cell>
          <cell r="D4697">
            <v>5614021.1399999997</v>
          </cell>
          <cell r="E4697">
            <v>11262676.52</v>
          </cell>
          <cell r="F4697">
            <v>26739794.25</v>
          </cell>
          <cell r="G4697">
            <v>1866275.4731950001</v>
          </cell>
          <cell r="H4697">
            <v>1570357.9768689999</v>
          </cell>
          <cell r="I4697">
            <v>1515241.9491580001</v>
          </cell>
          <cell r="J4697">
            <v>1506802.55525</v>
          </cell>
          <cell r="K4697">
            <v>6458677.9544719998</v>
          </cell>
          <cell r="L4697">
            <v>7172013.5599999996</v>
          </cell>
          <cell r="M4697">
            <v>8110359.0975740002</v>
          </cell>
          <cell r="N4697">
            <v>8535993.6103760004</v>
          </cell>
          <cell r="O4697">
            <v>8341380.8875150001</v>
          </cell>
        </row>
        <row r="4698">
          <cell r="A4698" t="str">
            <v>Total GCFELTO MAINTENANCE</v>
          </cell>
          <cell r="B4698">
            <v>412365.92</v>
          </cell>
          <cell r="C4698">
            <v>186280.26</v>
          </cell>
          <cell r="D4698">
            <v>156159.44</v>
          </cell>
          <cell r="E4698">
            <v>57592.21</v>
          </cell>
          <cell r="F4698">
            <v>812397.83</v>
          </cell>
          <cell r="G4698">
            <v>67645.190466</v>
          </cell>
          <cell r="H4698">
            <v>67154.000564000002</v>
          </cell>
          <cell r="I4698">
            <v>66672.078395999997</v>
          </cell>
          <cell r="J4698">
            <v>66245.762631999998</v>
          </cell>
          <cell r="K4698">
            <v>267717.03205799998</v>
          </cell>
          <cell r="L4698">
            <v>135581.64000000001</v>
          </cell>
          <cell r="M4698">
            <v>289427.74142799998</v>
          </cell>
          <cell r="N4698">
            <v>298627.27069099998</v>
          </cell>
          <cell r="O4698">
            <v>308129.38842899998</v>
          </cell>
        </row>
        <row r="4699">
          <cell r="A4699" t="str">
            <v>Total GCFELTO OTHER</v>
          </cell>
          <cell r="B4699">
            <v>0</v>
          </cell>
          <cell r="C4699">
            <v>0</v>
          </cell>
          <cell r="D4699">
            <v>0</v>
          </cell>
          <cell r="E4699">
            <v>0</v>
          </cell>
          <cell r="F4699">
            <v>0</v>
          </cell>
          <cell r="G4699">
            <v>0</v>
          </cell>
          <cell r="H4699">
            <v>0</v>
          </cell>
          <cell r="I4699">
            <v>0</v>
          </cell>
          <cell r="J4699">
            <v>0</v>
          </cell>
          <cell r="K4699">
            <v>0</v>
          </cell>
          <cell r="L4699">
            <v>0</v>
          </cell>
          <cell r="M4699">
            <v>0</v>
          </cell>
          <cell r="N4699">
            <v>0</v>
          </cell>
          <cell r="O4699">
            <v>0</v>
          </cell>
        </row>
        <row r="4700">
          <cell r="A4700" t="str">
            <v>Total GCFLEGAL</v>
          </cell>
          <cell r="B4700">
            <v>2795664.61</v>
          </cell>
          <cell r="C4700">
            <v>5535349.5800000001</v>
          </cell>
          <cell r="D4700">
            <v>5937394.0899999999</v>
          </cell>
          <cell r="E4700">
            <v>4540644.7300000004</v>
          </cell>
          <cell r="F4700">
            <v>18809053.010000002</v>
          </cell>
          <cell r="G4700">
            <v>3167192.4877300002</v>
          </cell>
          <cell r="H4700">
            <v>2817717.873898</v>
          </cell>
          <cell r="I4700">
            <v>2377865.2413670002</v>
          </cell>
          <cell r="J4700">
            <v>2311932.4407319999</v>
          </cell>
          <cell r="K4700">
            <v>10674708.043726999</v>
          </cell>
          <cell r="L4700">
            <v>1079410.3</v>
          </cell>
          <cell r="M4700">
            <v>11826592.137878001</v>
          </cell>
          <cell r="N4700">
            <v>12718929.163911</v>
          </cell>
          <cell r="O4700">
            <v>13826538.304155</v>
          </cell>
        </row>
        <row r="4701">
          <cell r="A4701" t="str">
            <v>Total GCFADVERTISING</v>
          </cell>
          <cell r="B4701">
            <v>24572239.41</v>
          </cell>
          <cell r="C4701">
            <v>32277835.370000001</v>
          </cell>
          <cell r="D4701">
            <v>39160956.43</v>
          </cell>
          <cell r="E4701">
            <v>35334315.009999998</v>
          </cell>
          <cell r="F4701">
            <v>131345346.22</v>
          </cell>
          <cell r="G4701">
            <v>35640726.953463003</v>
          </cell>
          <cell r="H4701">
            <v>42484524.428057</v>
          </cell>
          <cell r="I4701">
            <v>41379102.846453004</v>
          </cell>
          <cell r="J4701">
            <v>35080289.919845998</v>
          </cell>
          <cell r="K4701">
            <v>154584644.14781901</v>
          </cell>
          <cell r="L4701">
            <v>32090841.079999998</v>
          </cell>
          <cell r="M4701">
            <v>156395273.597996</v>
          </cell>
          <cell r="N4701">
            <v>164692522.35216299</v>
          </cell>
          <cell r="O4701">
            <v>170944344.79280001</v>
          </cell>
        </row>
        <row r="4702">
          <cell r="A4702" t="str">
            <v>Total GCFSALES PROMOTIONS</v>
          </cell>
          <cell r="B4702">
            <v>17840268.129999999</v>
          </cell>
          <cell r="C4702">
            <v>9169252.1600000001</v>
          </cell>
          <cell r="D4702">
            <v>11700089.130000001</v>
          </cell>
          <cell r="E4702">
            <v>20709606.789999999</v>
          </cell>
          <cell r="F4702">
            <v>59419216.210000001</v>
          </cell>
          <cell r="G4702">
            <v>11323942.464008</v>
          </cell>
          <cell r="H4702">
            <v>11970602.012044</v>
          </cell>
          <cell r="I4702">
            <v>12527242.532011</v>
          </cell>
          <cell r="J4702">
            <v>14066387.670562999</v>
          </cell>
          <cell r="K4702">
            <v>49888174.678625003</v>
          </cell>
          <cell r="L4702">
            <v>4191334.76</v>
          </cell>
          <cell r="M4702">
            <v>60068408.247328997</v>
          </cell>
          <cell r="N4702">
            <v>66705544.094384998</v>
          </cell>
          <cell r="O4702">
            <v>71329886.417432994</v>
          </cell>
        </row>
        <row r="4703">
          <cell r="A4703" t="str">
            <v>Total GCFDIRECT MAIL</v>
          </cell>
          <cell r="B4703">
            <v>-5372637.3399999999</v>
          </cell>
          <cell r="C4703">
            <v>5189400.72</v>
          </cell>
          <cell r="D4703">
            <v>3170546.39</v>
          </cell>
          <cell r="E4703">
            <v>394375.95</v>
          </cell>
          <cell r="F4703">
            <v>3381685.72</v>
          </cell>
          <cell r="G4703">
            <v>3438201.8216050002</v>
          </cell>
          <cell r="H4703">
            <v>4175939.4070560001</v>
          </cell>
          <cell r="I4703">
            <v>4345992.8116650004</v>
          </cell>
          <cell r="J4703">
            <v>5147150.4902600003</v>
          </cell>
          <cell r="K4703">
            <v>17107284.530586001</v>
          </cell>
          <cell r="L4703">
            <v>6423078</v>
          </cell>
          <cell r="M4703">
            <v>10378664.133206001</v>
          </cell>
          <cell r="N4703">
            <v>10575704.054902</v>
          </cell>
          <cell r="O4703">
            <v>10827856.894138999</v>
          </cell>
        </row>
        <row r="4704">
          <cell r="A4704" t="str">
            <v>Total GCFDATA PROCESSING</v>
          </cell>
          <cell r="B4704">
            <v>22843366.719999999</v>
          </cell>
          <cell r="C4704">
            <v>14746758.6</v>
          </cell>
          <cell r="D4704">
            <v>19519932</v>
          </cell>
          <cell r="E4704">
            <v>27800782.719999999</v>
          </cell>
          <cell r="F4704">
            <v>84910840.040000007</v>
          </cell>
          <cell r="G4704">
            <v>23623776.368717998</v>
          </cell>
          <cell r="H4704">
            <v>23909907.114831999</v>
          </cell>
          <cell r="I4704">
            <v>24665496.082814001</v>
          </cell>
          <cell r="J4704">
            <v>25352767.808373999</v>
          </cell>
          <cell r="K4704">
            <v>97551947.374736995</v>
          </cell>
          <cell r="L4704">
            <v>18845857.48</v>
          </cell>
          <cell r="M4704">
            <v>109736873.413607</v>
          </cell>
          <cell r="N4704">
            <v>116558129.077186</v>
          </cell>
          <cell r="O4704">
            <v>122713454.539543</v>
          </cell>
        </row>
        <row r="4705">
          <cell r="A4705" t="str">
            <v>Total GCFCONSULTING</v>
          </cell>
          <cell r="B4705">
            <v>8613522.1899999995</v>
          </cell>
          <cell r="C4705">
            <v>5281539.8</v>
          </cell>
          <cell r="D4705">
            <v>4631118.2300000004</v>
          </cell>
          <cell r="E4705">
            <v>9341633.3699999992</v>
          </cell>
          <cell r="F4705">
            <v>27867813.59</v>
          </cell>
          <cell r="G4705">
            <v>5828125.3852669997</v>
          </cell>
          <cell r="H4705">
            <v>5903326.0610570004</v>
          </cell>
          <cell r="I4705">
            <v>5270378.1720860004</v>
          </cell>
          <cell r="J4705">
            <v>5268437.5668489998</v>
          </cell>
          <cell r="K4705">
            <v>22270267.185260002</v>
          </cell>
          <cell r="L4705">
            <v>3844043.83</v>
          </cell>
          <cell r="M4705">
            <v>23354702.154755998</v>
          </cell>
          <cell r="N4705">
            <v>26270067.395369999</v>
          </cell>
          <cell r="O4705">
            <v>30596901.049945999</v>
          </cell>
        </row>
        <row r="4706">
          <cell r="A4706" t="str">
            <v>Total GCFTEMP SERVICES</v>
          </cell>
          <cell r="B4706">
            <v>22506103.530000001</v>
          </cell>
          <cell r="C4706">
            <v>19713135</v>
          </cell>
          <cell r="D4706">
            <v>22910211.829999998</v>
          </cell>
          <cell r="E4706">
            <v>27663402.940000001</v>
          </cell>
          <cell r="F4706">
            <v>92792853.299999997</v>
          </cell>
          <cell r="G4706">
            <v>26346656.159790002</v>
          </cell>
          <cell r="H4706">
            <v>30547789.650624</v>
          </cell>
          <cell r="I4706">
            <v>29721454.411669999</v>
          </cell>
          <cell r="J4706">
            <v>33723285.712592997</v>
          </cell>
          <cell r="K4706">
            <v>120339185.934677</v>
          </cell>
          <cell r="L4706">
            <v>21151206.02</v>
          </cell>
          <cell r="M4706">
            <v>63035829.698783003</v>
          </cell>
          <cell r="N4706">
            <v>62653188.243256003</v>
          </cell>
          <cell r="O4706">
            <v>64537931.892513998</v>
          </cell>
        </row>
        <row r="4707">
          <cell r="A4707" t="str">
            <v>Total GCFGDC CHARGES</v>
          </cell>
          <cell r="B4707">
            <v>766956.52</v>
          </cell>
          <cell r="C4707">
            <v>1273668.54</v>
          </cell>
          <cell r="D4707">
            <v>3242030.43</v>
          </cell>
          <cell r="E4707">
            <v>1549589.26</v>
          </cell>
          <cell r="F4707">
            <v>6832244.75</v>
          </cell>
          <cell r="G4707">
            <v>3012207.0469539999</v>
          </cell>
          <cell r="H4707">
            <v>3028336.0039539998</v>
          </cell>
          <cell r="I4707">
            <v>3048860.3919540001</v>
          </cell>
          <cell r="J4707">
            <v>3061090.2992870002</v>
          </cell>
          <cell r="K4707">
            <v>12150493.742149999</v>
          </cell>
          <cell r="L4707">
            <v>3185419.77</v>
          </cell>
          <cell r="M4707">
            <v>5298708.9459039997</v>
          </cell>
          <cell r="N4707">
            <v>5120614.0731250001</v>
          </cell>
          <cell r="O4707">
            <v>4969448.0569019997</v>
          </cell>
        </row>
        <row r="4708">
          <cell r="A4708" t="str">
            <v>Total GCFTRAINING AND EDUCATION</v>
          </cell>
          <cell r="B4708">
            <v>1980421.71</v>
          </cell>
          <cell r="C4708">
            <v>1584919.28</v>
          </cell>
          <cell r="D4708">
            <v>398219.81</v>
          </cell>
          <cell r="E4708">
            <v>3523372.9</v>
          </cell>
          <cell r="F4708">
            <v>7486933.7000000002</v>
          </cell>
          <cell r="G4708">
            <v>3444198.5380460001</v>
          </cell>
          <cell r="H4708">
            <v>3365082.0531000001</v>
          </cell>
          <cell r="I4708">
            <v>3359503.0964640002</v>
          </cell>
          <cell r="J4708">
            <v>3405675.8635180001</v>
          </cell>
          <cell r="K4708">
            <v>13574459.551129</v>
          </cell>
          <cell r="L4708">
            <v>2213801.9300000002</v>
          </cell>
          <cell r="M4708">
            <v>9372119.8163350001</v>
          </cell>
          <cell r="N4708">
            <v>9980621.6580880005</v>
          </cell>
          <cell r="O4708">
            <v>10670052.683648</v>
          </cell>
        </row>
        <row r="4709">
          <cell r="A4709" t="str">
            <v>Total GCFOUTSIDE SERVICES  AND FEES</v>
          </cell>
          <cell r="B4709">
            <v>18459411.239999998</v>
          </cell>
          <cell r="C4709">
            <v>24111240.43</v>
          </cell>
          <cell r="D4709">
            <v>26184097.170000002</v>
          </cell>
          <cell r="E4709">
            <v>31540146.859999999</v>
          </cell>
          <cell r="F4709">
            <v>100294895.7</v>
          </cell>
          <cell r="G4709">
            <v>29175104.245622002</v>
          </cell>
          <cell r="H4709">
            <v>33587387.259520002</v>
          </cell>
          <cell r="I4709">
            <v>32768183.236680001</v>
          </cell>
          <cell r="J4709">
            <v>35144616.904482</v>
          </cell>
          <cell r="K4709">
            <v>130675291.646304</v>
          </cell>
          <cell r="L4709">
            <v>19780410.280000001</v>
          </cell>
          <cell r="M4709">
            <v>141603729.83006999</v>
          </cell>
          <cell r="N4709">
            <v>155504565.771157</v>
          </cell>
          <cell r="O4709">
            <v>167952866.85713899</v>
          </cell>
        </row>
        <row r="4710">
          <cell r="A4710" t="str">
            <v>Total GCFSTATE, FOREIGN, LOCAL TAXES</v>
          </cell>
          <cell r="B4710">
            <v>34795130.829999998</v>
          </cell>
          <cell r="C4710">
            <v>17952281.640000001</v>
          </cell>
          <cell r="D4710">
            <v>21929100.5</v>
          </cell>
          <cell r="E4710">
            <v>19343660.300000001</v>
          </cell>
          <cell r="F4710">
            <v>94020173.269999996</v>
          </cell>
          <cell r="G4710">
            <v>20896783.538167</v>
          </cell>
          <cell r="H4710">
            <v>24726500.920832001</v>
          </cell>
          <cell r="I4710">
            <v>23436889.713605002</v>
          </cell>
          <cell r="J4710">
            <v>24400824.395468</v>
          </cell>
          <cell r="K4710">
            <v>93460998.568073004</v>
          </cell>
          <cell r="L4710">
            <v>25347939.829999998</v>
          </cell>
          <cell r="M4710">
            <v>86658959.980168998</v>
          </cell>
          <cell r="N4710">
            <v>91658158.483161002</v>
          </cell>
          <cell r="O4710">
            <v>96887397.251897007</v>
          </cell>
        </row>
        <row r="4711">
          <cell r="A4711" t="str">
            <v>Total GCFS/L TAX - INSURANCE PREMIUMS</v>
          </cell>
          <cell r="B4711">
            <v>40591.85</v>
          </cell>
          <cell r="C4711">
            <v>44570.26</v>
          </cell>
          <cell r="D4711">
            <v>6502</v>
          </cell>
          <cell r="E4711">
            <v>2806.3</v>
          </cell>
          <cell r="F4711">
            <v>94470.41</v>
          </cell>
          <cell r="G4711">
            <v>0</v>
          </cell>
          <cell r="H4711">
            <v>0</v>
          </cell>
          <cell r="I4711">
            <v>0</v>
          </cell>
          <cell r="J4711">
            <v>0</v>
          </cell>
          <cell r="K4711">
            <v>0</v>
          </cell>
          <cell r="L4711">
            <v>9036.57</v>
          </cell>
          <cell r="M4711">
            <v>0</v>
          </cell>
          <cell r="N4711">
            <v>0</v>
          </cell>
          <cell r="O4711">
            <v>0</v>
          </cell>
        </row>
        <row r="4712">
          <cell r="A4712" t="str">
            <v>Total GCFSATELLITE LEASE EXPENSE</v>
          </cell>
          <cell r="B4712">
            <v>0</v>
          </cell>
          <cell r="C4712">
            <v>0</v>
          </cell>
          <cell r="D4712">
            <v>0</v>
          </cell>
          <cell r="E4712">
            <v>0</v>
          </cell>
          <cell r="F4712">
            <v>0</v>
          </cell>
          <cell r="G4712">
            <v>0</v>
          </cell>
          <cell r="H4712">
            <v>0</v>
          </cell>
          <cell r="I4712">
            <v>0</v>
          </cell>
          <cell r="J4712">
            <v>0</v>
          </cell>
          <cell r="K4712">
            <v>0</v>
          </cell>
          <cell r="L4712">
            <v>0</v>
          </cell>
          <cell r="M4712">
            <v>0</v>
          </cell>
          <cell r="N4712">
            <v>0</v>
          </cell>
          <cell r="O4712">
            <v>0</v>
          </cell>
        </row>
        <row r="4713">
          <cell r="A4713" t="str">
            <v>Total GCFBUSINESS SHARE EXPENSE</v>
          </cell>
          <cell r="B4713">
            <v>-1544561.07</v>
          </cell>
          <cell r="C4713">
            <v>-2209408.19</v>
          </cell>
          <cell r="D4713">
            <v>-2285592.69</v>
          </cell>
          <cell r="E4713">
            <v>-2466872.89</v>
          </cell>
          <cell r="F4713">
            <v>-8506434.8399999999</v>
          </cell>
          <cell r="G4713">
            <v>-1445706.615272</v>
          </cell>
          <cell r="H4713">
            <v>-1373920.5701069999</v>
          </cell>
          <cell r="I4713">
            <v>-1965521.166249</v>
          </cell>
          <cell r="J4713">
            <v>-1425743.434896</v>
          </cell>
          <cell r="K4713">
            <v>-6210891.7865220001</v>
          </cell>
          <cell r="L4713">
            <v>-1643251.54</v>
          </cell>
          <cell r="M4713">
            <v>9088846.4954059999</v>
          </cell>
          <cell r="N4713">
            <v>9475251.5468719993</v>
          </cell>
          <cell r="O4713">
            <v>9896294.4212369993</v>
          </cell>
        </row>
        <row r="4714">
          <cell r="A4714" t="str">
            <v>Total GCFINSURANCE AFFILIATE EXPENSE</v>
          </cell>
          <cell r="B4714">
            <v>984876.07</v>
          </cell>
          <cell r="C4714">
            <v>826941.58</v>
          </cell>
          <cell r="D4714">
            <v>-1936206.65</v>
          </cell>
          <cell r="E4714">
            <v>2355114.3199999998</v>
          </cell>
          <cell r="F4714">
            <v>2230725.3199999998</v>
          </cell>
          <cell r="G4714">
            <v>1260917.561404</v>
          </cell>
          <cell r="H4714">
            <v>1227585.561404</v>
          </cell>
          <cell r="I4714">
            <v>1382389.561404</v>
          </cell>
          <cell r="J4714">
            <v>1592521.561404</v>
          </cell>
          <cell r="K4714">
            <v>5463414.2456139997</v>
          </cell>
          <cell r="L4714">
            <v>859123.64</v>
          </cell>
          <cell r="M4714">
            <v>18291.433847</v>
          </cell>
          <cell r="N4714">
            <v>21630.829694</v>
          </cell>
          <cell r="O4714">
            <v>25757.240355000002</v>
          </cell>
        </row>
        <row r="4715">
          <cell r="A4715" t="str">
            <v>Total GCFOTHER FACILITY EXPENSE</v>
          </cell>
          <cell r="B4715">
            <v>13898253.76</v>
          </cell>
          <cell r="C4715">
            <v>15758469.460000001</v>
          </cell>
          <cell r="D4715">
            <v>15875689.43</v>
          </cell>
          <cell r="E4715">
            <v>23856902.489999998</v>
          </cell>
          <cell r="F4715">
            <v>69389315.140000001</v>
          </cell>
          <cell r="G4715">
            <v>14383516.046118001</v>
          </cell>
          <cell r="H4715">
            <v>16053503.965710999</v>
          </cell>
          <cell r="I4715">
            <v>16533304.504972</v>
          </cell>
          <cell r="J4715">
            <v>15628506.720446</v>
          </cell>
          <cell r="K4715">
            <v>62598831.237249002</v>
          </cell>
          <cell r="L4715">
            <v>12083185.32</v>
          </cell>
          <cell r="M4715">
            <v>63198777.052553996</v>
          </cell>
          <cell r="N4715">
            <v>62172587.181942001</v>
          </cell>
          <cell r="O4715">
            <v>63594191.450745001</v>
          </cell>
        </row>
        <row r="4716">
          <cell r="A4716" t="str">
            <v>Total GCFGROSS OP &amp; ADMIN BUS SHARE</v>
          </cell>
          <cell r="B4716">
            <v>-2407980</v>
          </cell>
          <cell r="C4716">
            <v>-2368698.0099999998</v>
          </cell>
          <cell r="D4716">
            <v>-2657303.65</v>
          </cell>
          <cell r="E4716">
            <v>-3729370.85</v>
          </cell>
          <cell r="F4716">
            <v>-11163352.51</v>
          </cell>
          <cell r="G4716">
            <v>-2285603.821523</v>
          </cell>
          <cell r="H4716">
            <v>-2189557.1617220002</v>
          </cell>
          <cell r="I4716">
            <v>-1652997.5252100001</v>
          </cell>
          <cell r="J4716">
            <v>-2170410.9898780002</v>
          </cell>
          <cell r="K4716">
            <v>-8298569.4983320003</v>
          </cell>
          <cell r="L4716">
            <v>-2055801.06</v>
          </cell>
          <cell r="M4716">
            <v>-19659212.642829999</v>
          </cell>
          <cell r="N4716">
            <v>-20746200.684204001</v>
          </cell>
          <cell r="O4716">
            <v>-21898796.630667001</v>
          </cell>
        </row>
        <row r="4717">
          <cell r="A4717" t="str">
            <v>Total GCFOTHER EXPENSE</v>
          </cell>
          <cell r="B4717">
            <v>-3049807.76</v>
          </cell>
          <cell r="C4717">
            <v>23288003.68</v>
          </cell>
          <cell r="D4717">
            <v>12669486.41</v>
          </cell>
          <cell r="E4717">
            <v>44247108.289999999</v>
          </cell>
          <cell r="F4717">
            <v>77154790.620000005</v>
          </cell>
          <cell r="G4717">
            <v>-7753538.6819780003</v>
          </cell>
          <cell r="H4717">
            <v>-16742745.101707</v>
          </cell>
          <cell r="I4717">
            <v>-20690539.858957</v>
          </cell>
          <cell r="J4717">
            <v>-35628942.302651003</v>
          </cell>
          <cell r="K4717">
            <v>-80815765.945293993</v>
          </cell>
          <cell r="L4717">
            <v>29103296.48</v>
          </cell>
          <cell r="M4717">
            <v>-7018229.6133960001</v>
          </cell>
          <cell r="N4717">
            <v>1795765.3336400001</v>
          </cell>
          <cell r="O4717">
            <v>20474408.797382999</v>
          </cell>
        </row>
        <row r="4718">
          <cell r="A4718" t="str">
            <v>Total GCFGECC INTERCO EXPENSES EXCL GECIS</v>
          </cell>
          <cell r="B4718">
            <v>302533.15999999997</v>
          </cell>
          <cell r="C4718">
            <v>690192.72</v>
          </cell>
          <cell r="D4718">
            <v>3388724.68</v>
          </cell>
          <cell r="E4718">
            <v>1661442.32</v>
          </cell>
          <cell r="F4718">
            <v>6042892.8799999999</v>
          </cell>
          <cell r="G4718">
            <v>-740883.33815299999</v>
          </cell>
          <cell r="H4718">
            <v>-740542.15787300002</v>
          </cell>
          <cell r="I4718">
            <v>-740002.37750800001</v>
          </cell>
          <cell r="J4718">
            <v>-739532.36553099996</v>
          </cell>
          <cell r="K4718">
            <v>-2960960.2390649999</v>
          </cell>
          <cell r="L4718">
            <v>564746.64</v>
          </cell>
          <cell r="M4718">
            <v>1027794.842848</v>
          </cell>
          <cell r="N4718">
            <v>1207576.492299</v>
          </cell>
          <cell r="O4718">
            <v>1414499.5245689999</v>
          </cell>
        </row>
        <row r="4719">
          <cell r="A4719" t="str">
            <v>Total GCFGECIS INTERCO CHARGES</v>
          </cell>
          <cell r="B4719">
            <v>1041053.12</v>
          </cell>
          <cell r="C4719">
            <v>1694054.58</v>
          </cell>
          <cell r="D4719">
            <v>1971777.33</v>
          </cell>
          <cell r="E4719">
            <v>3041782.57</v>
          </cell>
          <cell r="F4719">
            <v>7748667.5999999996</v>
          </cell>
          <cell r="G4719">
            <v>2558884.3911000001</v>
          </cell>
          <cell r="H4719">
            <v>3020763.219391</v>
          </cell>
          <cell r="I4719">
            <v>3013109.8241570001</v>
          </cell>
          <cell r="J4719">
            <v>3086521.126652</v>
          </cell>
          <cell r="K4719">
            <v>11679278.5613</v>
          </cell>
          <cell r="L4719">
            <v>2141839.81</v>
          </cell>
          <cell r="M4719">
            <v>3706479.7777760001</v>
          </cell>
          <cell r="N4719">
            <v>3723348.4287859998</v>
          </cell>
          <cell r="O4719">
            <v>3742532.3032559999</v>
          </cell>
        </row>
        <row r="4720">
          <cell r="A4720" t="str">
            <v>Total GCFLOSS ADJUSTED EXPENSE</v>
          </cell>
          <cell r="B4720">
            <v>0</v>
          </cell>
          <cell r="C4720">
            <v>0</v>
          </cell>
          <cell r="D4720">
            <v>0</v>
          </cell>
          <cell r="E4720">
            <v>0</v>
          </cell>
          <cell r="F4720">
            <v>0</v>
          </cell>
          <cell r="G4720">
            <v>0</v>
          </cell>
          <cell r="H4720">
            <v>0</v>
          </cell>
          <cell r="I4720">
            <v>0</v>
          </cell>
          <cell r="J4720">
            <v>0</v>
          </cell>
          <cell r="K4720">
            <v>0</v>
          </cell>
          <cell r="L4720">
            <v>0</v>
          </cell>
          <cell r="M4720">
            <v>0</v>
          </cell>
          <cell r="N4720">
            <v>0</v>
          </cell>
          <cell r="O4720">
            <v>0</v>
          </cell>
        </row>
        <row r="4721">
          <cell r="A4721" t="str">
            <v>Total GCFALL OTHER EXPENSES</v>
          </cell>
          <cell r="B4721">
            <v>22241.91</v>
          </cell>
          <cell r="C4721">
            <v>18973.63</v>
          </cell>
          <cell r="D4721">
            <v>-1092.92</v>
          </cell>
          <cell r="E4721">
            <v>26548.61</v>
          </cell>
          <cell r="F4721">
            <v>66671.23</v>
          </cell>
          <cell r="G4721">
            <v>-207130.23529400001</v>
          </cell>
          <cell r="H4721">
            <v>-672556.37805399997</v>
          </cell>
          <cell r="I4721">
            <v>-1118071.3443430001</v>
          </cell>
          <cell r="J4721">
            <v>-1140159.991402</v>
          </cell>
          <cell r="K4721">
            <v>-3137917.9490939998</v>
          </cell>
          <cell r="L4721">
            <v>-0.05</v>
          </cell>
          <cell r="M4721">
            <v>14634581.879137</v>
          </cell>
          <cell r="N4721">
            <v>8302916.9598200005</v>
          </cell>
          <cell r="O4721">
            <v>30064207.782377001</v>
          </cell>
        </row>
        <row r="4722">
          <cell r="A4722" t="str">
            <v>Total GCFASSESSMENTS</v>
          </cell>
          <cell r="B4722">
            <v>9009612.3100000005</v>
          </cell>
          <cell r="C4722">
            <v>21759778.34</v>
          </cell>
          <cell r="D4722">
            <v>12795545.59</v>
          </cell>
          <cell r="E4722">
            <v>-566350.72</v>
          </cell>
          <cell r="F4722">
            <v>42998585.520000003</v>
          </cell>
          <cell r="G4722">
            <v>16154905.218697</v>
          </cell>
          <cell r="H4722">
            <v>15464271.27462</v>
          </cell>
          <cell r="I4722">
            <v>9690756.1817889996</v>
          </cell>
          <cell r="J4722">
            <v>5315090.9846379999</v>
          </cell>
          <cell r="K4722">
            <v>46625023.659744002</v>
          </cell>
          <cell r="L4722">
            <v>-6243901.4400000004</v>
          </cell>
          <cell r="M4722">
            <v>53072255.245885998</v>
          </cell>
          <cell r="N4722">
            <v>67869208.272637993</v>
          </cell>
          <cell r="O4722">
            <v>76369092.631344005</v>
          </cell>
        </row>
        <row r="4723">
          <cell r="A4723" t="str">
            <v>Total GCFFAS 91</v>
          </cell>
          <cell r="B4723">
            <v>-21625449.949999999</v>
          </cell>
          <cell r="C4723">
            <v>-23184218.199999999</v>
          </cell>
          <cell r="D4723">
            <v>-31575191.23</v>
          </cell>
          <cell r="E4723">
            <v>-26737383.09</v>
          </cell>
          <cell r="F4723">
            <v>-103122242.47</v>
          </cell>
          <cell r="G4723">
            <v>-33416245.220895998</v>
          </cell>
          <cell r="H4723">
            <v>-36386107.712927997</v>
          </cell>
          <cell r="I4723">
            <v>-37037020.170261003</v>
          </cell>
          <cell r="J4723">
            <v>-40072570.756665997</v>
          </cell>
          <cell r="K4723">
            <v>-146911943.86074999</v>
          </cell>
          <cell r="L4723">
            <v>-17351172.18</v>
          </cell>
          <cell r="M4723">
            <v>-100947930.97439501</v>
          </cell>
          <cell r="N4723">
            <v>-107242148.20283499</v>
          </cell>
          <cell r="O4723">
            <v>-111742032.35740501</v>
          </cell>
        </row>
        <row r="4724">
          <cell r="A4724" t="str">
            <v>Total GCFGOODWILL AMORTIZATION</v>
          </cell>
          <cell r="B4724">
            <v>51582311.329999998</v>
          </cell>
          <cell r="C4724">
            <v>48744079.960000001</v>
          </cell>
          <cell r="D4724">
            <v>51268494.460000001</v>
          </cell>
          <cell r="E4724">
            <v>50170838.280000001</v>
          </cell>
          <cell r="F4724">
            <v>201765724.03</v>
          </cell>
          <cell r="G4724">
            <v>0</v>
          </cell>
          <cell r="H4724">
            <v>0</v>
          </cell>
          <cell r="I4724">
            <v>0</v>
          </cell>
          <cell r="J4724">
            <v>0</v>
          </cell>
          <cell r="K4724">
            <v>0</v>
          </cell>
          <cell r="L4724">
            <v>89.04</v>
          </cell>
          <cell r="M4724">
            <v>239376141.57801801</v>
          </cell>
          <cell r="N4724">
            <v>253723581.22563699</v>
          </cell>
          <cell r="O4724">
            <v>260182225.267169</v>
          </cell>
        </row>
        <row r="4725">
          <cell r="A4725" t="str">
            <v>Total GCFDEPRECIATION EXPENSE</v>
          </cell>
          <cell r="B4725">
            <v>22849404.649999999</v>
          </cell>
          <cell r="C4725">
            <v>25753202.09</v>
          </cell>
          <cell r="D4725">
            <v>26118385.109999999</v>
          </cell>
          <cell r="E4725">
            <v>18535147.859999999</v>
          </cell>
          <cell r="F4725">
            <v>93256139.709999993</v>
          </cell>
          <cell r="G4725">
            <v>28285162.177053001</v>
          </cell>
          <cell r="H4725">
            <v>30238710.540149</v>
          </cell>
          <cell r="I4725">
            <v>32127468.458408002</v>
          </cell>
          <cell r="J4725">
            <v>32905558.299727</v>
          </cell>
          <cell r="K4725">
            <v>123556899.475337</v>
          </cell>
          <cell r="L4725">
            <v>27024710.16</v>
          </cell>
          <cell r="M4725">
            <v>141381894.202793</v>
          </cell>
          <cell r="N4725">
            <v>141409949.14297801</v>
          </cell>
          <cell r="O4725">
            <v>139451216.032141</v>
          </cell>
        </row>
        <row r="4726">
          <cell r="A4726" t="str">
            <v>Total GCFELTO AMORTIZATION</v>
          </cell>
          <cell r="B4726">
            <v>1300985.96</v>
          </cell>
          <cell r="C4726">
            <v>2142360.81</v>
          </cell>
          <cell r="D4726">
            <v>2112292.7000000002</v>
          </cell>
          <cell r="E4726">
            <v>2155361.81</v>
          </cell>
          <cell r="F4726">
            <v>7711001.2800000003</v>
          </cell>
          <cell r="G4726">
            <v>1846172.1891890001</v>
          </cell>
          <cell r="H4726">
            <v>1846172.1891890001</v>
          </cell>
          <cell r="I4726">
            <v>1846172.1891890001</v>
          </cell>
          <cell r="J4726">
            <v>1846172.1891890001</v>
          </cell>
          <cell r="K4726">
            <v>7384688.7567570005</v>
          </cell>
          <cell r="L4726">
            <v>2037725.72</v>
          </cell>
          <cell r="M4726">
            <v>0</v>
          </cell>
          <cell r="N4726">
            <v>0</v>
          </cell>
          <cell r="O4726">
            <v>0</v>
          </cell>
        </row>
        <row r="4727">
          <cell r="A4727" t="str">
            <v>Total GCFINSURANCE LOSSES AND BENEFITS</v>
          </cell>
          <cell r="B4727">
            <v>1541709.24</v>
          </cell>
          <cell r="C4727">
            <v>2408061</v>
          </cell>
          <cell r="D4727">
            <v>2129154.9700000002</v>
          </cell>
          <cell r="E4727">
            <v>1814506.09</v>
          </cell>
          <cell r="F4727">
            <v>7893431.2999999998</v>
          </cell>
          <cell r="G4727">
            <v>2004444</v>
          </cell>
          <cell r="H4727">
            <v>1581894</v>
          </cell>
          <cell r="I4727">
            <v>1656745</v>
          </cell>
          <cell r="J4727">
            <v>1307139</v>
          </cell>
          <cell r="K4727">
            <v>6550222</v>
          </cell>
          <cell r="L4727">
            <v>1945224.55</v>
          </cell>
          <cell r="M4727">
            <v>10840104.473611001</v>
          </cell>
          <cell r="N4727">
            <v>14474623.880139001</v>
          </cell>
          <cell r="O4727">
            <v>20818775.911694001</v>
          </cell>
        </row>
        <row r="4728">
          <cell r="A4728" t="str">
            <v>Total GCFWRITE OFFS</v>
          </cell>
          <cell r="B4728">
            <v>152467050.50999999</v>
          </cell>
          <cell r="C4728">
            <v>224088398.81999999</v>
          </cell>
          <cell r="D4728">
            <v>208659814.49000001</v>
          </cell>
          <cell r="E4728">
            <v>259523160.66</v>
          </cell>
          <cell r="F4728">
            <v>844738424.48000002</v>
          </cell>
          <cell r="G4728">
            <v>240422528.64989901</v>
          </cell>
          <cell r="H4728">
            <v>257113381.17274001</v>
          </cell>
          <cell r="I4728">
            <v>289289062.51984102</v>
          </cell>
          <cell r="J4728">
            <v>294833883.84877402</v>
          </cell>
          <cell r="K4728">
            <v>1081658856.1912501</v>
          </cell>
          <cell r="L4728">
            <v>238621300.21000001</v>
          </cell>
          <cell r="M4728">
            <v>1037447542.9805501</v>
          </cell>
          <cell r="N4728">
            <v>1259132903.85461</v>
          </cell>
          <cell r="O4728">
            <v>1429879429.6468301</v>
          </cell>
        </row>
        <row r="4729">
          <cell r="A4729" t="str">
            <v>Total GCFRESERVE CHANGE</v>
          </cell>
          <cell r="B4729">
            <v>11405017.35</v>
          </cell>
          <cell r="C4729">
            <v>104234.56</v>
          </cell>
          <cell r="D4729">
            <v>-825644.17</v>
          </cell>
          <cell r="E4729">
            <v>-520960.11</v>
          </cell>
          <cell r="F4729">
            <v>10162647.630000001</v>
          </cell>
          <cell r="G4729">
            <v>0</v>
          </cell>
          <cell r="H4729">
            <v>0</v>
          </cell>
          <cell r="I4729">
            <v>0</v>
          </cell>
          <cell r="J4729">
            <v>0</v>
          </cell>
          <cell r="K4729">
            <v>0</v>
          </cell>
          <cell r="L4729">
            <v>7165838.1799999997</v>
          </cell>
          <cell r="M4729">
            <v>0</v>
          </cell>
          <cell r="N4729">
            <v>0</v>
          </cell>
          <cell r="O4729">
            <v>0</v>
          </cell>
        </row>
        <row r="4730">
          <cell r="A4730" t="str">
            <v>Total GCFMINORITY INTEREST</v>
          </cell>
          <cell r="B4730">
            <v>729473.94</v>
          </cell>
          <cell r="C4730">
            <v>80932.37</v>
          </cell>
          <cell r="D4730">
            <v>1453560.19</v>
          </cell>
          <cell r="E4730">
            <v>370244.23</v>
          </cell>
          <cell r="F4730">
            <v>2634210.73</v>
          </cell>
          <cell r="G4730">
            <v>589697.13717300002</v>
          </cell>
          <cell r="H4730">
            <v>735394.95986499998</v>
          </cell>
          <cell r="I4730">
            <v>799185.44030100002</v>
          </cell>
          <cell r="J4730">
            <v>739322.88165899995</v>
          </cell>
          <cell r="K4730">
            <v>2863600.4189980002</v>
          </cell>
          <cell r="L4730">
            <v>919118.92</v>
          </cell>
          <cell r="M4730">
            <v>3236238.844182</v>
          </cell>
          <cell r="N4730">
            <v>4136786.5101669999</v>
          </cell>
          <cell r="O4730">
            <v>5239052.2654139996</v>
          </cell>
        </row>
        <row r="4731">
          <cell r="A4731" t="str">
            <v>Total GCFINCOME TAXES</v>
          </cell>
          <cell r="B4731">
            <v>40535431.640000001</v>
          </cell>
          <cell r="C4731">
            <v>42519249.18</v>
          </cell>
          <cell r="D4731">
            <v>60732448.689999998</v>
          </cell>
          <cell r="E4731">
            <v>31647818.219999999</v>
          </cell>
          <cell r="F4731">
            <v>175434947.72999999</v>
          </cell>
          <cell r="G4731">
            <v>71419097.707389995</v>
          </cell>
          <cell r="H4731">
            <v>84442177.097801998</v>
          </cell>
          <cell r="I4731">
            <v>96816232.170153007</v>
          </cell>
          <cell r="J4731">
            <v>100417416.551332</v>
          </cell>
          <cell r="K4731">
            <v>353094923.52667701</v>
          </cell>
          <cell r="L4731">
            <v>57531192.840000004</v>
          </cell>
          <cell r="M4731">
            <v>157416572.627307</v>
          </cell>
          <cell r="N4731">
            <v>300020834.78637898</v>
          </cell>
          <cell r="O4731">
            <v>407836944.47980601</v>
          </cell>
        </row>
        <row r="4732">
          <cell r="A4732" t="str">
            <v>Total GCFCUMULATIVE TRANSITION ADJUSTMENT</v>
          </cell>
          <cell r="B4732">
            <v>3516033.07</v>
          </cell>
          <cell r="C4732">
            <v>0</v>
          </cell>
          <cell r="D4732">
            <v>0.01</v>
          </cell>
          <cell r="E4732">
            <v>0</v>
          </cell>
          <cell r="F4732">
            <v>3516033.08</v>
          </cell>
          <cell r="G4732">
            <v>0</v>
          </cell>
          <cell r="H4732">
            <v>0</v>
          </cell>
          <cell r="I4732">
            <v>0</v>
          </cell>
          <cell r="J4732">
            <v>0</v>
          </cell>
          <cell r="K4732">
            <v>0</v>
          </cell>
          <cell r="L4732">
            <v>0</v>
          </cell>
          <cell r="M4732">
            <v>0</v>
          </cell>
          <cell r="N4732">
            <v>0</v>
          </cell>
          <cell r="O4732">
            <v>0</v>
          </cell>
        </row>
        <row r="4733">
          <cell r="A4733" t="str">
            <v>Total GCFASIA PACIFIC NI DIVIDEND</v>
          </cell>
          <cell r="B4733">
            <v>0</v>
          </cell>
          <cell r="C4733">
            <v>0</v>
          </cell>
          <cell r="D4733">
            <v>0</v>
          </cell>
          <cell r="E4733">
            <v>0</v>
          </cell>
          <cell r="F4733">
            <v>0</v>
          </cell>
          <cell r="G4733">
            <v>0</v>
          </cell>
          <cell r="H4733">
            <v>0</v>
          </cell>
          <cell r="I4733">
            <v>0</v>
          </cell>
          <cell r="J4733">
            <v>0</v>
          </cell>
          <cell r="K4733">
            <v>0</v>
          </cell>
          <cell r="L4733">
            <v>0</v>
          </cell>
          <cell r="M4733">
            <v>0</v>
          </cell>
          <cell r="N4733">
            <v>0</v>
          </cell>
          <cell r="O4733">
            <v>0</v>
          </cell>
        </row>
        <row r="4734">
          <cell r="A4734" t="str">
            <v>Total GCFNet Income</v>
          </cell>
          <cell r="B4734">
            <v>-257780259.86000001</v>
          </cell>
          <cell r="C4734">
            <v>-209167824.19</v>
          </cell>
          <cell r="D4734">
            <v>-236389632.74000001</v>
          </cell>
          <cell r="E4734">
            <v>-195475208.260001</v>
          </cell>
          <cell r="F4734">
            <v>-898812925.05000103</v>
          </cell>
          <cell r="G4734">
            <v>-267706846.679097</v>
          </cell>
          <cell r="H4734">
            <v>-301998669.95957398</v>
          </cell>
          <cell r="I4734">
            <v>-332625988.71720999</v>
          </cell>
          <cell r="J4734">
            <v>-347668494.53786701</v>
          </cell>
          <cell r="K4734">
            <v>-1249999999.8937399</v>
          </cell>
          <cell r="L4734">
            <v>-320195967.45999998</v>
          </cell>
          <cell r="M4734">
            <v>-1100007735.67817</v>
          </cell>
          <cell r="N4734">
            <v>-1310000451.9518199</v>
          </cell>
          <cell r="O4734">
            <v>-1550005330.58248</v>
          </cell>
        </row>
        <row r="4735">
          <cell r="A4735" t="str">
            <v>Total GCFSubPart F</v>
          </cell>
          <cell r="B4735">
            <v>50921300</v>
          </cell>
          <cell r="C4735">
            <v>53379000</v>
          </cell>
          <cell r="D4735">
            <v>50894978.796400003</v>
          </cell>
          <cell r="E4735">
            <v>56105032.103600003</v>
          </cell>
          <cell r="F4735">
            <v>211300310.90000001</v>
          </cell>
          <cell r="G4735">
            <v>53717922.420824997</v>
          </cell>
          <cell r="H4735">
            <v>55282581.917824998</v>
          </cell>
          <cell r="I4735">
            <v>59194703.418461002</v>
          </cell>
          <cell r="J4735">
            <v>61404468.864560001</v>
          </cell>
          <cell r="K4735">
            <v>229599676.62167099</v>
          </cell>
          <cell r="L4735">
            <v>53732930.899999999</v>
          </cell>
          <cell r="M4735">
            <v>239307776.990854</v>
          </cell>
          <cell r="N4735">
            <v>275458468.32634401</v>
          </cell>
          <cell r="O4735">
            <v>291015783.48434401</v>
          </cell>
        </row>
        <row r="4736">
          <cell r="A4736" t="str">
            <v>Total GCFAssets</v>
          </cell>
          <cell r="B4736">
            <v>36343490838.599899</v>
          </cell>
          <cell r="C4736">
            <v>39512173632.869904</v>
          </cell>
          <cell r="D4736">
            <v>42340197464.449898</v>
          </cell>
          <cell r="E4736">
            <v>43887156518.029999</v>
          </cell>
          <cell r="F4736">
            <v>43887156518.029999</v>
          </cell>
          <cell r="G4736">
            <v>43782586681.602798</v>
          </cell>
          <cell r="H4736">
            <v>45431870003.9851</v>
          </cell>
          <cell r="I4736">
            <v>46852116709.4011</v>
          </cell>
          <cell r="J4736">
            <v>48872351202.467201</v>
          </cell>
          <cell r="K4736">
            <v>48872351202.467201</v>
          </cell>
          <cell r="L4736">
            <v>44637868875.749901</v>
          </cell>
          <cell r="M4736">
            <v>49424910351.227203</v>
          </cell>
          <cell r="N4736">
            <v>55791381035.156197</v>
          </cell>
          <cell r="O4736">
            <v>61310977493.479797</v>
          </cell>
        </row>
        <row r="4737">
          <cell r="A4737" t="str">
            <v>Total GCFEnding Net Investment (ENI) incl Asia</v>
          </cell>
          <cell r="B4737">
            <v>35069180701.349899</v>
          </cell>
          <cell r="C4737">
            <v>38414093250.809898</v>
          </cell>
          <cell r="D4737">
            <v>41094900954.339897</v>
          </cell>
          <cell r="E4737">
            <v>42241172520.800003</v>
          </cell>
          <cell r="F4737">
            <v>42241172520.800003</v>
          </cell>
          <cell r="G4737">
            <v>42750261889.747803</v>
          </cell>
          <cell r="H4737">
            <v>44357169736.372803</v>
          </cell>
          <cell r="I4737">
            <v>45817918612.537598</v>
          </cell>
          <cell r="J4737">
            <v>47544627338.560898</v>
          </cell>
          <cell r="K4737">
            <v>47544627338.560898</v>
          </cell>
          <cell r="L4737">
            <v>43187152391.609901</v>
          </cell>
          <cell r="M4737">
            <v>47845025020.274597</v>
          </cell>
          <cell r="N4737">
            <v>54382294193.116096</v>
          </cell>
          <cell r="O4737">
            <v>59797774842.126404</v>
          </cell>
        </row>
        <row r="4738">
          <cell r="A4738" t="str">
            <v>Total GCFANR YTD</v>
          </cell>
          <cell r="B4738">
            <v>31151419976.469898</v>
          </cell>
          <cell r="C4738">
            <v>32007307434.643299</v>
          </cell>
          <cell r="D4738">
            <v>33066753208.349899</v>
          </cell>
          <cell r="E4738">
            <v>33988917482.949902</v>
          </cell>
          <cell r="F4738">
            <v>33988917482.949902</v>
          </cell>
          <cell r="G4738">
            <v>36826523880.280998</v>
          </cell>
          <cell r="H4738">
            <v>37690409261.037498</v>
          </cell>
          <cell r="I4738">
            <v>38468834813.9189</v>
          </cell>
          <cell r="J4738">
            <v>39290810822.683502</v>
          </cell>
          <cell r="K4738">
            <v>39290810822.683502</v>
          </cell>
          <cell r="L4738">
            <v>38147096209</v>
          </cell>
          <cell r="M4738">
            <v>16196077070.048201</v>
          </cell>
          <cell r="N4738">
            <v>18581419972.066399</v>
          </cell>
          <cell r="O4738">
            <v>21020099719.9972</v>
          </cell>
        </row>
        <row r="4739">
          <cell r="A4739" t="str">
            <v>Total GCFASA YTD</v>
          </cell>
          <cell r="B4739">
            <v>32318811254.714901</v>
          </cell>
          <cell r="C4739">
            <v>33204557155.563301</v>
          </cell>
          <cell r="D4739">
            <v>34288164162.137402</v>
          </cell>
          <cell r="E4739">
            <v>35245678215.912003</v>
          </cell>
          <cell r="F4739">
            <v>35245678215.912003</v>
          </cell>
          <cell r="G4739">
            <v>37487436215.111702</v>
          </cell>
          <cell r="H4739">
            <v>38571115085.7229</v>
          </cell>
          <cell r="I4739">
            <v>39468080635.066002</v>
          </cell>
          <cell r="J4739">
            <v>40361180641.707603</v>
          </cell>
          <cell r="K4739">
            <v>40361180641.707603</v>
          </cell>
          <cell r="L4739">
            <v>39332375404.955002</v>
          </cell>
          <cell r="M4739">
            <v>16604213458.864599</v>
          </cell>
          <cell r="N4739">
            <v>18979218203.150902</v>
          </cell>
          <cell r="O4739">
            <v>21644157118.650299</v>
          </cell>
        </row>
        <row r="4740">
          <cell r="A4740" t="str">
            <v>Total GCFANI YTD incl Asia - 5 pt</v>
          </cell>
          <cell r="B4740">
            <v>34996964647.220001</v>
          </cell>
          <cell r="C4740">
            <v>36136007515.083298</v>
          </cell>
          <cell r="D4740">
            <v>37375730874.8974</v>
          </cell>
          <cell r="E4740">
            <v>38348819204.077904</v>
          </cell>
          <cell r="F4740">
            <v>38348819204.077904</v>
          </cell>
          <cell r="G4740">
            <v>41454440918.968903</v>
          </cell>
          <cell r="H4740">
            <v>42422017191.436897</v>
          </cell>
          <cell r="I4740">
            <v>43270992546.711998</v>
          </cell>
          <cell r="J4740">
            <v>44125719505.081802</v>
          </cell>
          <cell r="K4740">
            <v>44125719505.081802</v>
          </cell>
          <cell r="L4740">
            <v>42714162456.205002</v>
          </cell>
          <cell r="M4740">
            <v>17943775367.941799</v>
          </cell>
          <cell r="N4740">
            <v>20445463842.678101</v>
          </cell>
          <cell r="O4740">
            <v>22836013807.0485</v>
          </cell>
        </row>
        <row r="4741">
          <cell r="A4741" t="str">
            <v>Total GCFOff Balance Sheet Assets</v>
          </cell>
          <cell r="B4741">
            <v>1305054209.2</v>
          </cell>
          <cell r="C4741">
            <v>1252618502.45</v>
          </cell>
          <cell r="D4741">
            <v>1287668732.98</v>
          </cell>
          <cell r="E4741">
            <v>1396036119.3</v>
          </cell>
          <cell r="F4741">
            <v>1396036119.3</v>
          </cell>
          <cell r="G4741">
            <v>1320184962.02141</v>
          </cell>
          <cell r="H4741">
            <v>1320292804.39482</v>
          </cell>
          <cell r="I4741">
            <v>1354865810.53212</v>
          </cell>
          <cell r="J4741">
            <v>1354865810.53212</v>
          </cell>
          <cell r="K4741">
            <v>1354865810.53212</v>
          </cell>
          <cell r="L4741">
            <v>968945703.35000002</v>
          </cell>
          <cell r="M4741">
            <v>968971083.27306902</v>
          </cell>
          <cell r="N4741">
            <v>980636133.75580394</v>
          </cell>
          <cell r="O4741">
            <v>2095646459.0694101</v>
          </cell>
        </row>
        <row r="4742">
          <cell r="A4742" t="str">
            <v>Total GCFJV Receivables</v>
          </cell>
          <cell r="B4742">
            <v>0</v>
          </cell>
          <cell r="C4742">
            <v>0</v>
          </cell>
          <cell r="D4742">
            <v>0</v>
          </cell>
          <cell r="E4742">
            <v>0</v>
          </cell>
          <cell r="F4742">
            <v>0</v>
          </cell>
          <cell r="G4742">
            <v>0</v>
          </cell>
          <cell r="H4742">
            <v>0</v>
          </cell>
          <cell r="I4742">
            <v>0</v>
          </cell>
          <cell r="J4742">
            <v>0</v>
          </cell>
          <cell r="K4742">
            <v>0</v>
          </cell>
          <cell r="L4742">
            <v>743185708.41999996</v>
          </cell>
          <cell r="M4742">
            <v>0</v>
          </cell>
          <cell r="N4742">
            <v>0</v>
          </cell>
          <cell r="O4742">
            <v>0</v>
          </cell>
        </row>
        <row r="4743">
          <cell r="A4743" t="str">
            <v>Total GCF30+ DELINQUENCY $</v>
          </cell>
          <cell r="B4743">
            <v>1116785721.48</v>
          </cell>
          <cell r="C4743">
            <v>1081700633.4100001</v>
          </cell>
          <cell r="D4743">
            <v>1463586862.1600001</v>
          </cell>
          <cell r="E4743">
            <v>1707987660.3099999</v>
          </cell>
          <cell r="F4743">
            <v>1707987660.3099999</v>
          </cell>
          <cell r="G4743">
            <v>2022856655.4244599</v>
          </cell>
          <cell r="H4743">
            <v>2123812215.62854</v>
          </cell>
          <cell r="I4743">
            <v>2229167537.1272898</v>
          </cell>
          <cell r="J4743">
            <v>2342240423.5138102</v>
          </cell>
          <cell r="K4743">
            <v>2342240423.5138102</v>
          </cell>
          <cell r="L4743">
            <v>1836436334.03</v>
          </cell>
          <cell r="M4743">
            <v>1600222878.2671399</v>
          </cell>
          <cell r="N4743">
            <v>1855323679.43767</v>
          </cell>
          <cell r="O4743">
            <v>2120847320.8330801</v>
          </cell>
        </row>
        <row r="4744">
          <cell r="A4744" t="str">
            <v>Total GCF90+ DELINQUENCY $</v>
          </cell>
          <cell r="B4744">
            <v>560239789.73000002</v>
          </cell>
          <cell r="C4744">
            <v>535820744.5</v>
          </cell>
          <cell r="D4744">
            <v>752134693.73000002</v>
          </cell>
          <cell r="E4744">
            <v>810604798.19000006</v>
          </cell>
          <cell r="F4744">
            <v>810604798.19000006</v>
          </cell>
          <cell r="G4744">
            <v>929572397.61307895</v>
          </cell>
          <cell r="H4744">
            <v>995181463.41656494</v>
          </cell>
          <cell r="I4744">
            <v>1036296858.01767</v>
          </cell>
          <cell r="J4744">
            <v>1083988277.8808899</v>
          </cell>
          <cell r="K4744">
            <v>1083988277.8808899</v>
          </cell>
          <cell r="L4744">
            <v>864345035.36000001</v>
          </cell>
          <cell r="M4744">
            <v>774392617.55690205</v>
          </cell>
          <cell r="N4744">
            <v>895494254.84203196</v>
          </cell>
          <cell r="O4744">
            <v>1024723843.1657799</v>
          </cell>
        </row>
        <row r="4745">
          <cell r="A4745" t="str">
            <v>Total GCFTemporary Staff</v>
          </cell>
          <cell r="B4745">
            <v>865</v>
          </cell>
          <cell r="C4745">
            <v>3963.7</v>
          </cell>
          <cell r="D4745">
            <v>4344.2</v>
          </cell>
          <cell r="E4745">
            <v>5949.75</v>
          </cell>
          <cell r="F4745">
            <v>5949.75</v>
          </cell>
          <cell r="G4745">
            <v>6220.149128</v>
          </cell>
          <cell r="H4745">
            <v>6197.8592550000003</v>
          </cell>
          <cell r="I4745">
            <v>5998.3621860000003</v>
          </cell>
          <cell r="J4745">
            <v>5941.8723200000004</v>
          </cell>
          <cell r="K4745">
            <v>5941.8723200000004</v>
          </cell>
          <cell r="L4745">
            <v>3499.55</v>
          </cell>
          <cell r="M4745">
            <v>3924.8444220000001</v>
          </cell>
          <cell r="N4745">
            <v>4374.4834970000002</v>
          </cell>
          <cell r="O4745">
            <v>5202.391071</v>
          </cell>
        </row>
        <row r="4746">
          <cell r="A4746" t="str">
            <v>Total GCFContractors</v>
          </cell>
          <cell r="B4746">
            <v>14</v>
          </cell>
          <cell r="C4746">
            <v>356</v>
          </cell>
          <cell r="D4746">
            <v>426</v>
          </cell>
          <cell r="E4746">
            <v>460</v>
          </cell>
          <cell r="F4746">
            <v>460</v>
          </cell>
          <cell r="G4746">
            <v>373.15</v>
          </cell>
          <cell r="H4746">
            <v>347.75</v>
          </cell>
          <cell r="I4746">
            <v>338.55</v>
          </cell>
          <cell r="J4746">
            <v>321.25</v>
          </cell>
          <cell r="K4746">
            <v>321.25</v>
          </cell>
          <cell r="L4746">
            <v>3252.35</v>
          </cell>
          <cell r="M4746">
            <v>251</v>
          </cell>
          <cell r="N4746">
            <v>257</v>
          </cell>
          <cell r="O4746">
            <v>268</v>
          </cell>
        </row>
        <row r="4747">
          <cell r="A4747" t="str">
            <v>Total GCFOutsourced to LCC</v>
          </cell>
          <cell r="B4747">
            <v>0</v>
          </cell>
          <cell r="C4747">
            <v>0</v>
          </cell>
          <cell r="D4747">
            <v>0</v>
          </cell>
          <cell r="E4747">
            <v>0</v>
          </cell>
          <cell r="F4747">
            <v>0</v>
          </cell>
          <cell r="G4747">
            <v>1088.6371569999999</v>
          </cell>
          <cell r="H4747">
            <v>1180.1371569999999</v>
          </cell>
          <cell r="I4747">
            <v>1249.737157</v>
          </cell>
          <cell r="J4747">
            <v>1286.737157</v>
          </cell>
          <cell r="K4747">
            <v>1286.737157</v>
          </cell>
          <cell r="L4747">
            <v>1306.5</v>
          </cell>
          <cell r="M4747">
            <v>1156.833333</v>
          </cell>
          <cell r="N4747">
            <v>1405.636943</v>
          </cell>
          <cell r="O4747">
            <v>1678.258679</v>
          </cell>
        </row>
        <row r="4748">
          <cell r="A4748" t="str">
            <v>Total GCFTotal Headcount</v>
          </cell>
          <cell r="B4748">
            <v>18314.8851</v>
          </cell>
          <cell r="C4748">
            <v>18568.19425</v>
          </cell>
          <cell r="D4748">
            <v>18516.31525</v>
          </cell>
          <cell r="E4748">
            <v>18183.349999999999</v>
          </cell>
          <cell r="F4748">
            <v>18183.349999999999</v>
          </cell>
          <cell r="G4748">
            <v>18557</v>
          </cell>
          <cell r="H4748">
            <v>18646.5</v>
          </cell>
          <cell r="I4748">
            <v>18587.887096999999</v>
          </cell>
          <cell r="J4748">
            <v>18499.5</v>
          </cell>
          <cell r="K4748">
            <v>18499.5</v>
          </cell>
          <cell r="L4748">
            <v>18127.8</v>
          </cell>
          <cell r="M4748">
            <v>18626.216101000002</v>
          </cell>
          <cell r="N4748">
            <v>18819.841119000001</v>
          </cell>
          <cell r="O4748">
            <v>19107.082416000001</v>
          </cell>
        </row>
        <row r="4749">
          <cell r="A4749" t="str">
            <v>Total GCFTotal Workforce</v>
          </cell>
          <cell r="B4749">
            <v>19193.8851</v>
          </cell>
          <cell r="C4749">
            <v>22887.894250000001</v>
          </cell>
          <cell r="D4749">
            <v>23286.51525</v>
          </cell>
          <cell r="E4749">
            <v>24593.1</v>
          </cell>
          <cell r="F4749">
            <v>24593.1</v>
          </cell>
          <cell r="G4749">
            <v>26238.936285</v>
          </cell>
          <cell r="H4749">
            <v>26372.246412</v>
          </cell>
          <cell r="I4749">
            <v>26174.53644</v>
          </cell>
          <cell r="J4749">
            <v>26049.359477000002</v>
          </cell>
          <cell r="K4749">
            <v>26049.359477000002</v>
          </cell>
          <cell r="L4749">
            <v>26186.2</v>
          </cell>
          <cell r="M4749">
            <v>23958.893856999999</v>
          </cell>
          <cell r="N4749">
            <v>24856.961557999999</v>
          </cell>
          <cell r="O4749">
            <v>26255.732166000002</v>
          </cell>
        </row>
        <row r="4750">
          <cell r="A4750" t="str">
            <v>Total GCFTotal Earned Revenue</v>
          </cell>
          <cell r="B4750">
            <v>-1318058445.1099999</v>
          </cell>
          <cell r="C4750">
            <v>-1370134754.3900001</v>
          </cell>
          <cell r="D4750">
            <v>-1377091467.1800001</v>
          </cell>
          <cell r="E4750">
            <v>-1495607919.52</v>
          </cell>
          <cell r="F4750">
            <v>-5560892586.1999998</v>
          </cell>
          <cell r="G4750">
            <v>-1457775419.6665101</v>
          </cell>
          <cell r="H4750">
            <v>-1550993011.69419</v>
          </cell>
          <cell r="I4750">
            <v>-1631019274.2581899</v>
          </cell>
          <cell r="J4750">
            <v>-1670488051.5236199</v>
          </cell>
          <cell r="K4750">
            <v>-6310275757.1425104</v>
          </cell>
          <cell r="L4750">
            <v>-1469582306.3900001</v>
          </cell>
          <cell r="M4750">
            <v>-6578949881.2518597</v>
          </cell>
          <cell r="N4750">
            <v>-7574701857.7719097</v>
          </cell>
          <cell r="O4750">
            <v>-8568371664.6657495</v>
          </cell>
        </row>
        <row r="4751">
          <cell r="A4751" t="str">
            <v>Total GCFOrdinary Gains - PreTax</v>
          </cell>
          <cell r="B4751">
            <v>0</v>
          </cell>
          <cell r="C4751">
            <v>0</v>
          </cell>
          <cell r="D4751">
            <v>0</v>
          </cell>
          <cell r="E4751">
            <v>0</v>
          </cell>
          <cell r="F4751">
            <v>0</v>
          </cell>
          <cell r="G4751">
            <v>0</v>
          </cell>
          <cell r="H4751">
            <v>0</v>
          </cell>
          <cell r="I4751">
            <v>0</v>
          </cell>
          <cell r="J4751">
            <v>-9622695.1871320009</v>
          </cell>
          <cell r="K4751">
            <v>-9622695.1871320009</v>
          </cell>
          <cell r="L4751">
            <v>0</v>
          </cell>
          <cell r="M4751">
            <v>-8115300</v>
          </cell>
          <cell r="N4751">
            <v>-4147820</v>
          </cell>
          <cell r="O4751">
            <v>0</v>
          </cell>
        </row>
        <row r="4752">
          <cell r="A4752" t="str">
            <v>Total GCFOrdinary Gains - AfterTax</v>
          </cell>
          <cell r="B4752">
            <v>0</v>
          </cell>
          <cell r="C4752">
            <v>0</v>
          </cell>
          <cell r="D4752">
            <v>0</v>
          </cell>
          <cell r="E4752">
            <v>0</v>
          </cell>
          <cell r="F4752">
            <v>0</v>
          </cell>
          <cell r="G4752">
            <v>0</v>
          </cell>
          <cell r="H4752">
            <v>0</v>
          </cell>
          <cell r="I4752">
            <v>0</v>
          </cell>
          <cell r="J4752">
            <v>-6254751.8716360005</v>
          </cell>
          <cell r="K4752">
            <v>-6254751.8716360005</v>
          </cell>
          <cell r="L4752">
            <v>0</v>
          </cell>
          <cell r="M4752">
            <v>-5274945</v>
          </cell>
          <cell r="N4752">
            <v>-2696083</v>
          </cell>
          <cell r="O4752">
            <v>0</v>
          </cell>
        </row>
        <row r="4753">
          <cell r="A4753" t="str">
            <v>Total GCFTotal Volume</v>
          </cell>
          <cell r="B4753">
            <v>5529167790.8199997</v>
          </cell>
          <cell r="C4753">
            <v>5449364678.4899998</v>
          </cell>
          <cell r="D4753">
            <v>5863947050.26999</v>
          </cell>
          <cell r="E4753">
            <v>6758229079.6899996</v>
          </cell>
          <cell r="F4753">
            <v>23600708599.27</v>
          </cell>
          <cell r="G4753">
            <v>6745494850.20994</v>
          </cell>
          <cell r="H4753">
            <v>7619905832.4997797</v>
          </cell>
          <cell r="I4753">
            <v>7663077545.5753498</v>
          </cell>
          <cell r="J4753">
            <v>8393930882.1640902</v>
          </cell>
          <cell r="K4753">
            <v>30422409110.4491</v>
          </cell>
          <cell r="L4753">
            <v>6530066327.4899998</v>
          </cell>
          <cell r="M4753">
            <v>30867112918.837399</v>
          </cell>
          <cell r="N4753">
            <v>35461939450.857101</v>
          </cell>
          <cell r="O4753">
            <v>40181084947.889999</v>
          </cell>
        </row>
        <row r="4754">
          <cell r="A4754" t="str">
            <v>Total GCFTOTAL # ACTIVE ACCOUNTS</v>
          </cell>
          <cell r="B4754">
            <v>21631316.75</v>
          </cell>
          <cell r="C4754">
            <v>22082394.140000001</v>
          </cell>
          <cell r="D4754">
            <v>22351826.43</v>
          </cell>
          <cell r="E4754">
            <v>23066778.280000001</v>
          </cell>
          <cell r="F4754">
            <v>23066778.280000001</v>
          </cell>
          <cell r="G4754">
            <v>24455058.674139999</v>
          </cell>
          <cell r="H4754">
            <v>25203579.390872002</v>
          </cell>
          <cell r="I4754">
            <v>26064408.537976999</v>
          </cell>
          <cell r="J4754">
            <v>27618570.007979002</v>
          </cell>
          <cell r="K4754">
            <v>27618570.007979002</v>
          </cell>
          <cell r="L4754">
            <v>0</v>
          </cell>
          <cell r="M4754">
            <v>30818820.440322001</v>
          </cell>
          <cell r="N4754">
            <v>39266933.675848998</v>
          </cell>
          <cell r="O4754">
            <v>49213485.188079998</v>
          </cell>
        </row>
        <row r="4755">
          <cell r="A4755" t="str">
            <v>ArgentinaNEA - Fixed Rate</v>
          </cell>
          <cell r="B4755">
            <v>0</v>
          </cell>
          <cell r="C4755">
            <v>0</v>
          </cell>
          <cell r="D4755">
            <v>0</v>
          </cell>
          <cell r="E4755">
            <v>0</v>
          </cell>
          <cell r="F4755">
            <v>0</v>
          </cell>
          <cell r="G4755">
            <v>0</v>
          </cell>
          <cell r="H4755">
            <v>0</v>
          </cell>
          <cell r="I4755">
            <v>0</v>
          </cell>
          <cell r="J4755">
            <v>0</v>
          </cell>
          <cell r="K4755">
            <v>0</v>
          </cell>
          <cell r="L4755">
            <v>0</v>
          </cell>
          <cell r="M4755">
            <v>0</v>
          </cell>
          <cell r="N4755">
            <v>0</v>
          </cell>
          <cell r="O4755">
            <v>0</v>
          </cell>
        </row>
        <row r="4756">
          <cell r="A4756" t="str">
            <v>ArgentinaNEA - Floating Rate</v>
          </cell>
          <cell r="B4756">
            <v>0</v>
          </cell>
          <cell r="C4756">
            <v>0</v>
          </cell>
          <cell r="D4756">
            <v>0</v>
          </cell>
          <cell r="E4756">
            <v>0</v>
          </cell>
          <cell r="F4756">
            <v>0</v>
          </cell>
          <cell r="G4756">
            <v>0</v>
          </cell>
          <cell r="H4756">
            <v>0</v>
          </cell>
          <cell r="I4756">
            <v>0</v>
          </cell>
          <cell r="J4756">
            <v>0</v>
          </cell>
          <cell r="K4756">
            <v>0</v>
          </cell>
          <cell r="L4756">
            <v>0</v>
          </cell>
          <cell r="M4756">
            <v>0</v>
          </cell>
          <cell r="N4756">
            <v>0</v>
          </cell>
          <cell r="O4756">
            <v>0</v>
          </cell>
        </row>
        <row r="4757">
          <cell r="A4757" t="str">
            <v>ArgentinaReserves - FX Gain / Loss</v>
          </cell>
          <cell r="B4757">
            <v>322.82</v>
          </cell>
          <cell r="C4757">
            <v>-84.31</v>
          </cell>
          <cell r="D4757">
            <v>-5943.96</v>
          </cell>
          <cell r="E4757">
            <v>2495.14</v>
          </cell>
          <cell r="F4757">
            <v>2495.14</v>
          </cell>
          <cell r="G4757">
            <v>0</v>
          </cell>
          <cell r="H4757">
            <v>0</v>
          </cell>
          <cell r="I4757">
            <v>0</v>
          </cell>
          <cell r="J4757">
            <v>0</v>
          </cell>
          <cell r="K4757">
            <v>0</v>
          </cell>
          <cell r="L4757">
            <v>4796880.87</v>
          </cell>
          <cell r="M4757">
            <v>0</v>
          </cell>
          <cell r="N4757">
            <v>0</v>
          </cell>
          <cell r="O4757">
            <v>0</v>
          </cell>
        </row>
        <row r="4758">
          <cell r="A4758" t="str">
            <v>ArgentinaReserves - Provisons</v>
          </cell>
          <cell r="B4758">
            <v>-1047518.13</v>
          </cell>
          <cell r="C4758">
            <v>-2138949.9700000002</v>
          </cell>
          <cell r="D4758">
            <v>-6521486.9000000004</v>
          </cell>
          <cell r="E4758">
            <v>-9981066.4600000009</v>
          </cell>
          <cell r="F4758">
            <v>-9981066.4600000009</v>
          </cell>
          <cell r="G4758">
            <v>0</v>
          </cell>
          <cell r="H4758">
            <v>0</v>
          </cell>
          <cell r="I4758">
            <v>0</v>
          </cell>
          <cell r="J4758">
            <v>0</v>
          </cell>
          <cell r="K4758">
            <v>0</v>
          </cell>
          <cell r="L4758">
            <v>-5074910.4800000004</v>
          </cell>
          <cell r="M4758">
            <v>0</v>
          </cell>
          <cell r="N4758">
            <v>0</v>
          </cell>
          <cell r="O4758">
            <v>0</v>
          </cell>
        </row>
        <row r="4759">
          <cell r="A4759" t="str">
            <v>ArgentinaReserves - Recoveries</v>
          </cell>
          <cell r="B4759">
            <v>0</v>
          </cell>
          <cell r="C4759">
            <v>-6957.18</v>
          </cell>
          <cell r="D4759">
            <v>-57922.13</v>
          </cell>
          <cell r="E4759">
            <v>-242026.43</v>
          </cell>
          <cell r="F4759">
            <v>-242026.43</v>
          </cell>
          <cell r="G4759">
            <v>0</v>
          </cell>
          <cell r="H4759">
            <v>0</v>
          </cell>
          <cell r="I4759">
            <v>0</v>
          </cell>
          <cell r="J4759">
            <v>0</v>
          </cell>
          <cell r="K4759">
            <v>0</v>
          </cell>
          <cell r="L4759">
            <v>-63585.11</v>
          </cell>
          <cell r="M4759">
            <v>0</v>
          </cell>
          <cell r="N4759">
            <v>0</v>
          </cell>
          <cell r="O4759">
            <v>0</v>
          </cell>
        </row>
        <row r="4760">
          <cell r="A4760" t="str">
            <v>ArgentinaReserves - BOP</v>
          </cell>
          <cell r="B4760">
            <v>-569136.24</v>
          </cell>
          <cell r="C4760">
            <v>-569136.24</v>
          </cell>
          <cell r="D4760">
            <v>-569136.24</v>
          </cell>
          <cell r="E4760">
            <v>-569136.24</v>
          </cell>
          <cell r="F4760">
            <v>-569136.24</v>
          </cell>
          <cell r="G4760">
            <v>-8551154.3724649996</v>
          </cell>
          <cell r="H4760">
            <v>-10692496.063496999</v>
          </cell>
          <cell r="I4760">
            <v>-11875040.287563</v>
          </cell>
          <cell r="J4760">
            <v>-13644798.369269</v>
          </cell>
          <cell r="K4760">
            <v>-13644798.369269</v>
          </cell>
          <cell r="L4760">
            <v>-6501194.8399999999</v>
          </cell>
          <cell r="M4760">
            <v>-20207943.339017998</v>
          </cell>
          <cell r="N4760">
            <v>-26275640.215932</v>
          </cell>
          <cell r="O4760">
            <v>-31538779.96864</v>
          </cell>
        </row>
        <row r="4761">
          <cell r="A4761" t="str">
            <v>ArgentinaReserves - Transfers &amp; Others</v>
          </cell>
          <cell r="B4761">
            <v>0</v>
          </cell>
          <cell r="C4761">
            <v>0</v>
          </cell>
          <cell r="D4761">
            <v>0</v>
          </cell>
          <cell r="E4761">
            <v>0</v>
          </cell>
          <cell r="F4761">
            <v>0</v>
          </cell>
          <cell r="G4761">
            <v>0</v>
          </cell>
          <cell r="H4761">
            <v>0</v>
          </cell>
          <cell r="I4761">
            <v>0</v>
          </cell>
          <cell r="J4761">
            <v>0</v>
          </cell>
          <cell r="K4761">
            <v>0</v>
          </cell>
          <cell r="L4761">
            <v>0</v>
          </cell>
          <cell r="M4761">
            <v>0</v>
          </cell>
          <cell r="N4761">
            <v>0</v>
          </cell>
          <cell r="O4761">
            <v>0</v>
          </cell>
        </row>
        <row r="4762">
          <cell r="A4762" t="str">
            <v>ArgentinaReserves - Write-Offs</v>
          </cell>
          <cell r="B4762">
            <v>369065.55</v>
          </cell>
          <cell r="C4762">
            <v>957256.42</v>
          </cell>
          <cell r="D4762">
            <v>2563379.2000000002</v>
          </cell>
          <cell r="E4762">
            <v>4291034.29</v>
          </cell>
          <cell r="F4762">
            <v>4291034.29</v>
          </cell>
          <cell r="G4762">
            <v>1164182.8797510001</v>
          </cell>
          <cell r="H4762">
            <v>3336995.52697</v>
          </cell>
          <cell r="I4762">
            <v>7259947.7622109996</v>
          </cell>
          <cell r="J4762">
            <v>9676375.5076930001</v>
          </cell>
          <cell r="K4762">
            <v>9676375.5076930001</v>
          </cell>
          <cell r="L4762">
            <v>1437488.23</v>
          </cell>
          <cell r="M4762">
            <v>12341405.032873999</v>
          </cell>
          <cell r="N4762">
            <v>16379186.420839</v>
          </cell>
          <cell r="O4762">
            <v>20226295.581376001</v>
          </cell>
        </row>
        <row r="4763">
          <cell r="A4763" t="str">
            <v>Argentina780 FR Provision</v>
          </cell>
          <cell r="B4763">
            <v>1047518.13</v>
          </cell>
          <cell r="C4763">
            <v>1091431.8500000001</v>
          </cell>
          <cell r="D4763">
            <v>4382536.87</v>
          </cell>
          <cell r="E4763">
            <v>3459579.56</v>
          </cell>
          <cell r="F4763">
            <v>9981066.4100000001</v>
          </cell>
          <cell r="G4763">
            <v>0</v>
          </cell>
          <cell r="H4763">
            <v>0</v>
          </cell>
          <cell r="I4763">
            <v>0</v>
          </cell>
          <cell r="J4763">
            <v>0</v>
          </cell>
          <cell r="K4763">
            <v>0</v>
          </cell>
          <cell r="L4763">
            <v>5074910.4400000004</v>
          </cell>
          <cell r="M4763">
            <v>0</v>
          </cell>
          <cell r="N4763">
            <v>0</v>
          </cell>
          <cell r="O4763">
            <v>0</v>
          </cell>
        </row>
        <row r="4764">
          <cell r="A4764" t="str">
            <v>Argentina780 FR Recovery</v>
          </cell>
          <cell r="B4764">
            <v>0</v>
          </cell>
          <cell r="C4764">
            <v>0</v>
          </cell>
          <cell r="D4764">
            <v>0</v>
          </cell>
          <cell r="E4764">
            <v>0</v>
          </cell>
          <cell r="F4764">
            <v>0</v>
          </cell>
          <cell r="G4764">
            <v>4985667.3570809998</v>
          </cell>
          <cell r="H4764">
            <v>2406286.0642070002</v>
          </cell>
          <cell r="I4764">
            <v>1764257.860207</v>
          </cell>
          <cell r="J4764">
            <v>1535365.5151259999</v>
          </cell>
          <cell r="K4764">
            <v>10691576.79662</v>
          </cell>
          <cell r="L4764">
            <v>0</v>
          </cell>
          <cell r="M4764">
            <v>15858611.084859001</v>
          </cell>
          <cell r="N4764">
            <v>18409101.909789</v>
          </cell>
          <cell r="O4764">
            <v>21642326.173547</v>
          </cell>
        </row>
        <row r="4765">
          <cell r="A4765" t="str">
            <v>Argentina781 LL Provision</v>
          </cell>
          <cell r="B4765">
            <v>0</v>
          </cell>
          <cell r="C4765">
            <v>0</v>
          </cell>
          <cell r="D4765">
            <v>0</v>
          </cell>
          <cell r="E4765">
            <v>0</v>
          </cell>
          <cell r="F4765">
            <v>0</v>
          </cell>
          <cell r="G4765">
            <v>0</v>
          </cell>
          <cell r="H4765">
            <v>0</v>
          </cell>
          <cell r="I4765">
            <v>0</v>
          </cell>
          <cell r="J4765">
            <v>0</v>
          </cell>
          <cell r="K4765">
            <v>0</v>
          </cell>
          <cell r="L4765">
            <v>0</v>
          </cell>
          <cell r="M4765">
            <v>0</v>
          </cell>
          <cell r="N4765">
            <v>0</v>
          </cell>
          <cell r="O4765">
            <v>0</v>
          </cell>
        </row>
        <row r="4766">
          <cell r="A4766" t="str">
            <v>Argentina781 LL Recovery</v>
          </cell>
          <cell r="B4766">
            <v>0</v>
          </cell>
          <cell r="C4766">
            <v>0</v>
          </cell>
          <cell r="D4766">
            <v>0</v>
          </cell>
          <cell r="E4766">
            <v>0</v>
          </cell>
          <cell r="F4766">
            <v>0</v>
          </cell>
          <cell r="G4766">
            <v>0</v>
          </cell>
          <cell r="H4766">
            <v>0</v>
          </cell>
          <cell r="I4766">
            <v>0</v>
          </cell>
          <cell r="J4766">
            <v>0</v>
          </cell>
          <cell r="K4766">
            <v>0</v>
          </cell>
          <cell r="L4766">
            <v>0</v>
          </cell>
          <cell r="M4766">
            <v>0</v>
          </cell>
          <cell r="N4766">
            <v>0</v>
          </cell>
          <cell r="O4766">
            <v>0</v>
          </cell>
        </row>
        <row r="4767">
          <cell r="A4767" t="str">
            <v>Argentina782 DF Provision</v>
          </cell>
          <cell r="B4767">
            <v>0</v>
          </cell>
          <cell r="C4767">
            <v>0</v>
          </cell>
          <cell r="D4767">
            <v>0</v>
          </cell>
          <cell r="E4767">
            <v>0</v>
          </cell>
          <cell r="F4767">
            <v>0</v>
          </cell>
          <cell r="G4767">
            <v>0</v>
          </cell>
          <cell r="H4767">
            <v>0</v>
          </cell>
          <cell r="I4767">
            <v>0</v>
          </cell>
          <cell r="J4767">
            <v>0</v>
          </cell>
          <cell r="K4767">
            <v>0</v>
          </cell>
          <cell r="L4767">
            <v>0</v>
          </cell>
          <cell r="M4767">
            <v>0</v>
          </cell>
          <cell r="N4767">
            <v>0</v>
          </cell>
          <cell r="O4767">
            <v>0</v>
          </cell>
        </row>
        <row r="4768">
          <cell r="A4768" t="str">
            <v>Argentina782 DF Recovery</v>
          </cell>
          <cell r="B4768">
            <v>0</v>
          </cell>
          <cell r="C4768">
            <v>0</v>
          </cell>
          <cell r="D4768">
            <v>0</v>
          </cell>
          <cell r="E4768">
            <v>0</v>
          </cell>
          <cell r="F4768">
            <v>0</v>
          </cell>
          <cell r="G4768">
            <v>0</v>
          </cell>
          <cell r="H4768">
            <v>0</v>
          </cell>
          <cell r="I4768">
            <v>0</v>
          </cell>
          <cell r="J4768">
            <v>0</v>
          </cell>
          <cell r="K4768">
            <v>0</v>
          </cell>
          <cell r="L4768">
            <v>0</v>
          </cell>
          <cell r="M4768">
            <v>0</v>
          </cell>
          <cell r="N4768">
            <v>0</v>
          </cell>
          <cell r="O4768">
            <v>0</v>
          </cell>
        </row>
        <row r="4769">
          <cell r="A4769" t="str">
            <v>Argentina783 Corp Level Provision</v>
          </cell>
          <cell r="B4769">
            <v>0</v>
          </cell>
          <cell r="C4769">
            <v>0</v>
          </cell>
          <cell r="D4769">
            <v>0</v>
          </cell>
          <cell r="E4769">
            <v>0</v>
          </cell>
          <cell r="F4769">
            <v>0</v>
          </cell>
          <cell r="G4769">
            <v>0</v>
          </cell>
          <cell r="H4769">
            <v>0</v>
          </cell>
          <cell r="I4769">
            <v>0</v>
          </cell>
          <cell r="J4769">
            <v>0</v>
          </cell>
          <cell r="K4769">
            <v>0</v>
          </cell>
          <cell r="L4769">
            <v>0</v>
          </cell>
          <cell r="M4769">
            <v>0</v>
          </cell>
          <cell r="N4769">
            <v>0</v>
          </cell>
          <cell r="O4769">
            <v>0</v>
          </cell>
        </row>
        <row r="4770">
          <cell r="A4770" t="str">
            <v>Argentina783 Corp Level Recovery</v>
          </cell>
          <cell r="B4770">
            <v>0</v>
          </cell>
          <cell r="C4770">
            <v>0</v>
          </cell>
          <cell r="D4770">
            <v>0</v>
          </cell>
          <cell r="E4770">
            <v>0</v>
          </cell>
          <cell r="F4770">
            <v>0</v>
          </cell>
          <cell r="G4770">
            <v>0</v>
          </cell>
          <cell r="H4770">
            <v>0</v>
          </cell>
          <cell r="I4770">
            <v>0</v>
          </cell>
          <cell r="J4770">
            <v>0</v>
          </cell>
          <cell r="K4770">
            <v>0</v>
          </cell>
          <cell r="L4770">
            <v>0</v>
          </cell>
          <cell r="M4770">
            <v>0</v>
          </cell>
          <cell r="N4770">
            <v>0</v>
          </cell>
          <cell r="O4770">
            <v>0</v>
          </cell>
        </row>
        <row r="4771">
          <cell r="A4771" t="str">
            <v>Argentina784 Business Share Provision</v>
          </cell>
          <cell r="B4771">
            <v>0</v>
          </cell>
          <cell r="C4771">
            <v>0</v>
          </cell>
          <cell r="D4771">
            <v>0</v>
          </cell>
          <cell r="E4771">
            <v>0</v>
          </cell>
          <cell r="F4771">
            <v>0</v>
          </cell>
          <cell r="G4771">
            <v>0</v>
          </cell>
          <cell r="H4771">
            <v>0</v>
          </cell>
          <cell r="I4771">
            <v>0</v>
          </cell>
          <cell r="J4771">
            <v>0</v>
          </cell>
          <cell r="K4771">
            <v>0</v>
          </cell>
          <cell r="L4771">
            <v>0</v>
          </cell>
          <cell r="M4771">
            <v>0</v>
          </cell>
          <cell r="N4771">
            <v>0</v>
          </cell>
          <cell r="O4771">
            <v>0</v>
          </cell>
        </row>
        <row r="4772">
          <cell r="A4772" t="str">
            <v>ArgentinaReserves - Business Sharing</v>
          </cell>
          <cell r="B4772">
            <v>0</v>
          </cell>
          <cell r="C4772">
            <v>0</v>
          </cell>
          <cell r="D4772">
            <v>0</v>
          </cell>
          <cell r="E4772">
            <v>0</v>
          </cell>
          <cell r="F4772">
            <v>0</v>
          </cell>
          <cell r="G4772">
            <v>0</v>
          </cell>
          <cell r="H4772">
            <v>0</v>
          </cell>
          <cell r="I4772">
            <v>0</v>
          </cell>
          <cell r="J4772">
            <v>0</v>
          </cell>
          <cell r="K4772">
            <v>0</v>
          </cell>
          <cell r="L4772">
            <v>0</v>
          </cell>
          <cell r="M4772">
            <v>0</v>
          </cell>
          <cell r="N4772">
            <v>0</v>
          </cell>
          <cell r="O4772">
            <v>0</v>
          </cell>
        </row>
        <row r="4773">
          <cell r="A4773" t="str">
            <v>AustraliaNEA - Fixed Rate</v>
          </cell>
          <cell r="B4773">
            <v>0</v>
          </cell>
          <cell r="C4773">
            <v>0</v>
          </cell>
          <cell r="D4773">
            <v>0</v>
          </cell>
          <cell r="E4773">
            <v>0</v>
          </cell>
          <cell r="F4773">
            <v>0</v>
          </cell>
          <cell r="G4773">
            <v>0</v>
          </cell>
          <cell r="H4773">
            <v>0</v>
          </cell>
          <cell r="I4773">
            <v>0</v>
          </cell>
          <cell r="J4773">
            <v>0</v>
          </cell>
          <cell r="K4773">
            <v>0</v>
          </cell>
          <cell r="L4773">
            <v>0</v>
          </cell>
          <cell r="M4773">
            <v>0</v>
          </cell>
          <cell r="N4773">
            <v>0</v>
          </cell>
          <cell r="O4773">
            <v>0</v>
          </cell>
        </row>
        <row r="4774">
          <cell r="A4774" t="str">
            <v>AustraliaNEA - Floating Rate</v>
          </cell>
          <cell r="B4774">
            <v>0</v>
          </cell>
          <cell r="C4774">
            <v>0</v>
          </cell>
          <cell r="D4774">
            <v>0</v>
          </cell>
          <cell r="E4774">
            <v>0</v>
          </cell>
          <cell r="F4774">
            <v>0</v>
          </cell>
          <cell r="G4774">
            <v>0</v>
          </cell>
          <cell r="H4774">
            <v>0</v>
          </cell>
          <cell r="I4774">
            <v>0</v>
          </cell>
          <cell r="J4774">
            <v>0</v>
          </cell>
          <cell r="K4774">
            <v>0</v>
          </cell>
          <cell r="L4774">
            <v>0</v>
          </cell>
          <cell r="M4774">
            <v>0</v>
          </cell>
          <cell r="N4774">
            <v>0</v>
          </cell>
          <cell r="O4774">
            <v>0</v>
          </cell>
        </row>
        <row r="4775">
          <cell r="A4775" t="str">
            <v>AustraliaReserves - FX Gain / Loss</v>
          </cell>
          <cell r="B4775">
            <v>15662378.189999999</v>
          </cell>
          <cell r="C4775">
            <v>12769005.609999999</v>
          </cell>
          <cell r="D4775">
            <v>13437944.18</v>
          </cell>
          <cell r="E4775">
            <v>12987493.75</v>
          </cell>
          <cell r="F4775">
            <v>12987493.75</v>
          </cell>
          <cell r="G4775">
            <v>0</v>
          </cell>
          <cell r="H4775">
            <v>0</v>
          </cell>
          <cell r="I4775">
            <v>0</v>
          </cell>
          <cell r="J4775">
            <v>0</v>
          </cell>
          <cell r="K4775">
            <v>0</v>
          </cell>
          <cell r="L4775">
            <v>12214744.18</v>
          </cell>
          <cell r="M4775">
            <v>0</v>
          </cell>
          <cell r="N4775">
            <v>0</v>
          </cell>
          <cell r="O4775">
            <v>0</v>
          </cell>
        </row>
        <row r="4776">
          <cell r="A4776" t="str">
            <v>AustraliaReserves - Provisons</v>
          </cell>
          <cell r="B4776">
            <v>-8674589.3100000005</v>
          </cell>
          <cell r="C4776">
            <v>-20756359.710000001</v>
          </cell>
          <cell r="D4776">
            <v>-34162129.979999997</v>
          </cell>
          <cell r="E4776">
            <v>-51082667.759999998</v>
          </cell>
          <cell r="F4776">
            <v>-51082667.759999998</v>
          </cell>
          <cell r="G4776">
            <v>0</v>
          </cell>
          <cell r="H4776">
            <v>0</v>
          </cell>
          <cell r="I4776">
            <v>0</v>
          </cell>
          <cell r="J4776">
            <v>0</v>
          </cell>
          <cell r="K4776">
            <v>0</v>
          </cell>
          <cell r="L4776">
            <v>-16529793.390000001</v>
          </cell>
          <cell r="M4776">
            <v>0</v>
          </cell>
          <cell r="N4776">
            <v>0</v>
          </cell>
          <cell r="O4776">
            <v>0</v>
          </cell>
        </row>
        <row r="4777">
          <cell r="A4777" t="str">
            <v>AustraliaReserves - Recoveries</v>
          </cell>
          <cell r="B4777">
            <v>-3372991.66</v>
          </cell>
          <cell r="C4777">
            <v>-6962110.0199999996</v>
          </cell>
          <cell r="D4777">
            <v>-10465597.630000001</v>
          </cell>
          <cell r="E4777">
            <v>-13912362.99</v>
          </cell>
          <cell r="F4777">
            <v>-13912362.99</v>
          </cell>
          <cell r="G4777">
            <v>0</v>
          </cell>
          <cell r="H4777">
            <v>0</v>
          </cell>
          <cell r="I4777">
            <v>0</v>
          </cell>
          <cell r="J4777">
            <v>0</v>
          </cell>
          <cell r="K4777">
            <v>0</v>
          </cell>
          <cell r="L4777">
            <v>-2704990.37</v>
          </cell>
          <cell r="M4777">
            <v>0</v>
          </cell>
          <cell r="N4777">
            <v>0</v>
          </cell>
          <cell r="O4777">
            <v>0</v>
          </cell>
        </row>
        <row r="4778">
          <cell r="A4778" t="str">
            <v>AustraliaReserves - BOP</v>
          </cell>
          <cell r="B4778">
            <v>-64765810.020000003</v>
          </cell>
          <cell r="C4778">
            <v>-64765810.020000003</v>
          </cell>
          <cell r="D4778">
            <v>-64765810.07</v>
          </cell>
          <cell r="E4778">
            <v>-64765810.07</v>
          </cell>
          <cell r="F4778">
            <v>-64765810.07</v>
          </cell>
          <cell r="G4778">
            <v>-76393579.298159003</v>
          </cell>
          <cell r="H4778">
            <v>-83990088.263365999</v>
          </cell>
          <cell r="I4778">
            <v>-104209683.845651</v>
          </cell>
          <cell r="J4778">
            <v>-129363517.675833</v>
          </cell>
          <cell r="K4778">
            <v>-129363517.675833</v>
          </cell>
          <cell r="L4778">
            <v>-64806022.5</v>
          </cell>
          <cell r="M4778">
            <v>-112944195.88410901</v>
          </cell>
          <cell r="N4778">
            <v>-129724250.477217</v>
          </cell>
          <cell r="O4778">
            <v>-146934907.80015099</v>
          </cell>
        </row>
        <row r="4779">
          <cell r="A4779" t="str">
            <v>AustraliaReserves - Transfers &amp; Others</v>
          </cell>
          <cell r="B4779">
            <v>-318477.59999999998</v>
          </cell>
          <cell r="C4779">
            <v>-320237.93</v>
          </cell>
          <cell r="D4779">
            <v>17828.72</v>
          </cell>
          <cell r="E4779">
            <v>74623.990000000005</v>
          </cell>
          <cell r="F4779">
            <v>74623.990000000005</v>
          </cell>
          <cell r="G4779">
            <v>0</v>
          </cell>
          <cell r="H4779">
            <v>0</v>
          </cell>
          <cell r="I4779">
            <v>0</v>
          </cell>
          <cell r="J4779">
            <v>0</v>
          </cell>
          <cell r="K4779">
            <v>0</v>
          </cell>
          <cell r="L4779">
            <v>13510.48</v>
          </cell>
          <cell r="M4779">
            <v>0</v>
          </cell>
          <cell r="N4779">
            <v>0</v>
          </cell>
          <cell r="O4779">
            <v>0</v>
          </cell>
        </row>
        <row r="4780">
          <cell r="A4780" t="str">
            <v>AustraliaReserves - Write-Offs</v>
          </cell>
          <cell r="B4780">
            <v>17092572.789999999</v>
          </cell>
          <cell r="C4780">
            <v>32166513.809999999</v>
          </cell>
          <cell r="D4780">
            <v>47911923.990000002</v>
          </cell>
          <cell r="E4780">
            <v>64880194.329999998</v>
          </cell>
          <cell r="F4780">
            <v>64880194.329999998</v>
          </cell>
          <cell r="G4780">
            <v>18575824.131549999</v>
          </cell>
          <cell r="H4780">
            <v>22123554.815418001</v>
          </cell>
          <cell r="I4780">
            <v>39216980.663745001</v>
          </cell>
          <cell r="J4780">
            <v>59293310.768830001</v>
          </cell>
          <cell r="K4780">
            <v>59293310.768830001</v>
          </cell>
          <cell r="L4780">
            <v>15404926.68</v>
          </cell>
          <cell r="M4780">
            <v>47576473.591710001</v>
          </cell>
          <cell r="N4780">
            <v>53515377.863553002</v>
          </cell>
          <cell r="O4780">
            <v>59649410.831198998</v>
          </cell>
        </row>
        <row r="4781">
          <cell r="A4781" t="str">
            <v>Australia780 FR Provision</v>
          </cell>
          <cell r="B4781">
            <v>11229839.34</v>
          </cell>
          <cell r="C4781">
            <v>14705913.18</v>
          </cell>
          <cell r="D4781">
            <v>18872076.73</v>
          </cell>
          <cell r="E4781">
            <v>20180370.239999998</v>
          </cell>
          <cell r="F4781">
            <v>64988199.490000002</v>
          </cell>
          <cell r="G4781">
            <v>0</v>
          </cell>
          <cell r="H4781">
            <v>0</v>
          </cell>
          <cell r="I4781">
            <v>0</v>
          </cell>
          <cell r="J4781">
            <v>0</v>
          </cell>
          <cell r="K4781">
            <v>0</v>
          </cell>
          <cell r="L4781">
            <v>19039611.289999999</v>
          </cell>
          <cell r="M4781">
            <v>11044530.345420999</v>
          </cell>
          <cell r="N4781">
            <v>10900273.354816001</v>
          </cell>
          <cell r="O4781">
            <v>12404772.771694999</v>
          </cell>
        </row>
        <row r="4782">
          <cell r="A4782" t="str">
            <v>Australia780 FR Recovery</v>
          </cell>
          <cell r="B4782">
            <v>-2669486.2799999998</v>
          </cell>
          <cell r="C4782">
            <v>-2737354.04</v>
          </cell>
          <cell r="D4782">
            <v>-5384413.3600000003</v>
          </cell>
          <cell r="E4782">
            <v>-3324768.97</v>
          </cell>
          <cell r="F4782">
            <v>-14116022.65</v>
          </cell>
          <cell r="G4782">
            <v>18575824.131549999</v>
          </cell>
          <cell r="H4782">
            <v>3547730.6838679998</v>
          </cell>
          <cell r="I4782">
            <v>17093425.848327</v>
          </cell>
          <cell r="J4782">
            <v>20076330.105085</v>
          </cell>
          <cell r="K4782">
            <v>59293310.768830001</v>
          </cell>
          <cell r="L4782">
            <v>-2605319.56</v>
          </cell>
          <cell r="M4782">
            <v>47576473.591710001</v>
          </cell>
          <cell r="N4782">
            <v>53515377.863553002</v>
          </cell>
          <cell r="O4782">
            <v>59649410.831198998</v>
          </cell>
        </row>
        <row r="4783">
          <cell r="A4783" t="str">
            <v>Australia781 LL Provision</v>
          </cell>
          <cell r="B4783">
            <v>0</v>
          </cell>
          <cell r="C4783">
            <v>0</v>
          </cell>
          <cell r="D4783">
            <v>0</v>
          </cell>
          <cell r="E4783">
            <v>0</v>
          </cell>
          <cell r="F4783">
            <v>0</v>
          </cell>
          <cell r="G4783">
            <v>0</v>
          </cell>
          <cell r="H4783">
            <v>0</v>
          </cell>
          <cell r="I4783">
            <v>0</v>
          </cell>
          <cell r="J4783">
            <v>0</v>
          </cell>
          <cell r="K4783">
            <v>0</v>
          </cell>
          <cell r="L4783">
            <v>0</v>
          </cell>
          <cell r="M4783">
            <v>0</v>
          </cell>
          <cell r="N4783">
            <v>0</v>
          </cell>
          <cell r="O4783">
            <v>0</v>
          </cell>
        </row>
        <row r="4784">
          <cell r="A4784" t="str">
            <v>Australia781 LL Recovery</v>
          </cell>
          <cell r="B4784">
            <v>0</v>
          </cell>
          <cell r="C4784">
            <v>0</v>
          </cell>
          <cell r="D4784">
            <v>0</v>
          </cell>
          <cell r="E4784">
            <v>0</v>
          </cell>
          <cell r="F4784">
            <v>0</v>
          </cell>
          <cell r="G4784">
            <v>0</v>
          </cell>
          <cell r="H4784">
            <v>0</v>
          </cell>
          <cell r="I4784">
            <v>0</v>
          </cell>
          <cell r="J4784">
            <v>0</v>
          </cell>
          <cell r="K4784">
            <v>0</v>
          </cell>
          <cell r="L4784">
            <v>0</v>
          </cell>
          <cell r="M4784">
            <v>0</v>
          </cell>
          <cell r="N4784">
            <v>0</v>
          </cell>
          <cell r="O4784">
            <v>0</v>
          </cell>
        </row>
        <row r="4785">
          <cell r="A4785" t="str">
            <v>Australia782 DF Provision</v>
          </cell>
          <cell r="B4785">
            <v>114370.75</v>
          </cell>
          <cell r="C4785">
            <v>115522.94</v>
          </cell>
          <cell r="D4785">
            <v>-56175.82</v>
          </cell>
          <cell r="E4785">
            <v>64829.65</v>
          </cell>
          <cell r="F4785">
            <v>238547.52</v>
          </cell>
          <cell r="G4785">
            <v>0</v>
          </cell>
          <cell r="H4785">
            <v>0</v>
          </cell>
          <cell r="I4785">
            <v>0</v>
          </cell>
          <cell r="J4785">
            <v>0</v>
          </cell>
          <cell r="K4785">
            <v>0</v>
          </cell>
          <cell r="L4785">
            <v>105871.18</v>
          </cell>
          <cell r="M4785">
            <v>0</v>
          </cell>
          <cell r="N4785">
            <v>0</v>
          </cell>
          <cell r="O4785">
            <v>0</v>
          </cell>
        </row>
        <row r="4786">
          <cell r="A4786" t="str">
            <v>Australia782 DF Recovery</v>
          </cell>
          <cell r="B4786">
            <v>-840.48</v>
          </cell>
          <cell r="C4786">
            <v>-3260.9</v>
          </cell>
          <cell r="D4786">
            <v>-18341.95</v>
          </cell>
          <cell r="E4786">
            <v>-5613.45</v>
          </cell>
          <cell r="F4786">
            <v>-28056.78</v>
          </cell>
          <cell r="G4786">
            <v>0</v>
          </cell>
          <cell r="H4786">
            <v>0</v>
          </cell>
          <cell r="I4786">
            <v>0</v>
          </cell>
          <cell r="J4786">
            <v>0</v>
          </cell>
          <cell r="K4786">
            <v>0</v>
          </cell>
          <cell r="L4786">
            <v>-10584.14</v>
          </cell>
          <cell r="M4786">
            <v>0</v>
          </cell>
          <cell r="N4786">
            <v>0</v>
          </cell>
          <cell r="O4786">
            <v>0</v>
          </cell>
        </row>
        <row r="4787">
          <cell r="A4787" t="str">
            <v>Australia783 Corp Level Provision</v>
          </cell>
          <cell r="B4787">
            <v>0</v>
          </cell>
          <cell r="C4787">
            <v>0</v>
          </cell>
          <cell r="D4787">
            <v>0</v>
          </cell>
          <cell r="E4787">
            <v>0</v>
          </cell>
          <cell r="F4787">
            <v>0</v>
          </cell>
          <cell r="G4787">
            <v>0</v>
          </cell>
          <cell r="H4787">
            <v>0</v>
          </cell>
          <cell r="I4787">
            <v>0</v>
          </cell>
          <cell r="J4787">
            <v>0</v>
          </cell>
          <cell r="K4787">
            <v>0</v>
          </cell>
          <cell r="L4787">
            <v>0</v>
          </cell>
          <cell r="M4787">
            <v>0</v>
          </cell>
          <cell r="N4787">
            <v>0</v>
          </cell>
          <cell r="O4787">
            <v>0</v>
          </cell>
        </row>
        <row r="4788">
          <cell r="A4788" t="str">
            <v>Australia783 Corp Level Recovery</v>
          </cell>
          <cell r="B4788">
            <v>0</v>
          </cell>
          <cell r="C4788">
            <v>0</v>
          </cell>
          <cell r="D4788">
            <v>0</v>
          </cell>
          <cell r="E4788">
            <v>0</v>
          </cell>
          <cell r="F4788">
            <v>0</v>
          </cell>
          <cell r="G4788">
            <v>0</v>
          </cell>
          <cell r="H4788">
            <v>0</v>
          </cell>
          <cell r="I4788">
            <v>0</v>
          </cell>
          <cell r="J4788">
            <v>0</v>
          </cell>
          <cell r="K4788">
            <v>0</v>
          </cell>
          <cell r="L4788">
            <v>0</v>
          </cell>
          <cell r="M4788">
            <v>0</v>
          </cell>
          <cell r="N4788">
            <v>0</v>
          </cell>
          <cell r="O4788">
            <v>0</v>
          </cell>
        </row>
        <row r="4789">
          <cell r="A4789" t="str">
            <v>Australia784 Business Share Provision</v>
          </cell>
          <cell r="B4789">
            <v>0</v>
          </cell>
          <cell r="C4789">
            <v>0</v>
          </cell>
          <cell r="D4789">
            <v>0</v>
          </cell>
          <cell r="E4789">
            <v>0</v>
          </cell>
          <cell r="F4789">
            <v>0</v>
          </cell>
          <cell r="G4789">
            <v>0</v>
          </cell>
          <cell r="H4789">
            <v>0</v>
          </cell>
          <cell r="I4789">
            <v>0</v>
          </cell>
          <cell r="J4789">
            <v>0</v>
          </cell>
          <cell r="K4789">
            <v>0</v>
          </cell>
          <cell r="L4789">
            <v>0</v>
          </cell>
          <cell r="M4789">
            <v>0</v>
          </cell>
          <cell r="N4789">
            <v>0</v>
          </cell>
          <cell r="O4789">
            <v>0</v>
          </cell>
        </row>
        <row r="4790">
          <cell r="A4790" t="str">
            <v>AustraliaReserves - Business Sharing</v>
          </cell>
          <cell r="B4790">
            <v>0</v>
          </cell>
          <cell r="C4790">
            <v>0</v>
          </cell>
          <cell r="D4790">
            <v>0</v>
          </cell>
          <cell r="E4790">
            <v>0</v>
          </cell>
          <cell r="F4790">
            <v>0</v>
          </cell>
          <cell r="G4790">
            <v>0</v>
          </cell>
          <cell r="H4790">
            <v>0</v>
          </cell>
          <cell r="I4790">
            <v>0</v>
          </cell>
          <cell r="J4790">
            <v>0</v>
          </cell>
          <cell r="K4790">
            <v>0</v>
          </cell>
          <cell r="L4790">
            <v>0</v>
          </cell>
          <cell r="M4790">
            <v>0</v>
          </cell>
          <cell r="N4790">
            <v>0</v>
          </cell>
          <cell r="O4790">
            <v>0</v>
          </cell>
        </row>
        <row r="4791">
          <cell r="A4791" t="str">
            <v>AustriaNEA - Fixed Rate</v>
          </cell>
          <cell r="B4791">
            <v>0</v>
          </cell>
          <cell r="C4791">
            <v>0</v>
          </cell>
          <cell r="D4791">
            <v>0</v>
          </cell>
          <cell r="E4791">
            <v>0</v>
          </cell>
          <cell r="F4791">
            <v>0</v>
          </cell>
          <cell r="G4791">
            <v>0</v>
          </cell>
          <cell r="H4791">
            <v>0</v>
          </cell>
          <cell r="I4791">
            <v>0</v>
          </cell>
          <cell r="J4791">
            <v>0</v>
          </cell>
          <cell r="K4791">
            <v>0</v>
          </cell>
          <cell r="L4791">
            <v>0</v>
          </cell>
          <cell r="M4791">
            <v>0</v>
          </cell>
          <cell r="N4791">
            <v>0</v>
          </cell>
          <cell r="O4791">
            <v>0</v>
          </cell>
        </row>
        <row r="4792">
          <cell r="A4792" t="str">
            <v>AustriaNEA - Floating Rate</v>
          </cell>
          <cell r="B4792">
            <v>0</v>
          </cell>
          <cell r="C4792">
            <v>0</v>
          </cell>
          <cell r="D4792">
            <v>0</v>
          </cell>
          <cell r="E4792">
            <v>0</v>
          </cell>
          <cell r="F4792">
            <v>0</v>
          </cell>
          <cell r="G4792">
            <v>0</v>
          </cell>
          <cell r="H4792">
            <v>0</v>
          </cell>
          <cell r="I4792">
            <v>0</v>
          </cell>
          <cell r="J4792">
            <v>0</v>
          </cell>
          <cell r="K4792">
            <v>0</v>
          </cell>
          <cell r="L4792">
            <v>0</v>
          </cell>
          <cell r="M4792">
            <v>0</v>
          </cell>
          <cell r="N4792">
            <v>0</v>
          </cell>
          <cell r="O4792">
            <v>0</v>
          </cell>
        </row>
        <row r="4793">
          <cell r="A4793" t="str">
            <v>AustriaReserves - FX Gain / Loss</v>
          </cell>
          <cell r="B4793">
            <v>21685777.440000001</v>
          </cell>
          <cell r="C4793">
            <v>23903324.800000001</v>
          </cell>
          <cell r="D4793">
            <v>20239339.73</v>
          </cell>
          <cell r="E4793">
            <v>21325433.199999999</v>
          </cell>
          <cell r="F4793">
            <v>21325433.199999999</v>
          </cell>
          <cell r="G4793">
            <v>0</v>
          </cell>
          <cell r="H4793">
            <v>0</v>
          </cell>
          <cell r="I4793">
            <v>0</v>
          </cell>
          <cell r="J4793">
            <v>0</v>
          </cell>
          <cell r="K4793">
            <v>0</v>
          </cell>
          <cell r="L4793">
            <v>22673085.23</v>
          </cell>
          <cell r="M4793">
            <v>0</v>
          </cell>
          <cell r="N4793">
            <v>0</v>
          </cell>
          <cell r="O4793">
            <v>0</v>
          </cell>
        </row>
        <row r="4794">
          <cell r="A4794" t="str">
            <v>AustriaReserves - Provisons</v>
          </cell>
          <cell r="B4794">
            <v>-5388996.1299999999</v>
          </cell>
          <cell r="C4794">
            <v>-6895074.5700000003</v>
          </cell>
          <cell r="D4794">
            <v>-13111599.24</v>
          </cell>
          <cell r="E4794">
            <v>-18846986.34</v>
          </cell>
          <cell r="F4794">
            <v>-18846986.34</v>
          </cell>
          <cell r="G4794">
            <v>0</v>
          </cell>
          <cell r="H4794">
            <v>0</v>
          </cell>
          <cell r="I4794">
            <v>0</v>
          </cell>
          <cell r="J4794">
            <v>0</v>
          </cell>
          <cell r="K4794">
            <v>0</v>
          </cell>
          <cell r="L4794">
            <v>-4753947.67</v>
          </cell>
          <cell r="M4794">
            <v>0</v>
          </cell>
          <cell r="N4794">
            <v>0</v>
          </cell>
          <cell r="O4794">
            <v>0</v>
          </cell>
        </row>
        <row r="4795">
          <cell r="A4795" t="str">
            <v>AustriaReserves - Recoveries</v>
          </cell>
          <cell r="B4795">
            <v>-5506630.6399999997</v>
          </cell>
          <cell r="C4795">
            <v>-11579842.619999999</v>
          </cell>
          <cell r="D4795">
            <v>-18749495.77</v>
          </cell>
          <cell r="E4795">
            <v>-26523765.93</v>
          </cell>
          <cell r="F4795">
            <v>-26523765.93</v>
          </cell>
          <cell r="G4795">
            <v>0</v>
          </cell>
          <cell r="H4795">
            <v>0</v>
          </cell>
          <cell r="I4795">
            <v>0</v>
          </cell>
          <cell r="J4795">
            <v>0</v>
          </cell>
          <cell r="K4795">
            <v>0</v>
          </cell>
          <cell r="L4795">
            <v>-3038907.36</v>
          </cell>
          <cell r="M4795">
            <v>0</v>
          </cell>
          <cell r="N4795">
            <v>0</v>
          </cell>
          <cell r="O4795">
            <v>0</v>
          </cell>
        </row>
        <row r="4796">
          <cell r="A4796" t="str">
            <v>AustriaReserves - BOP</v>
          </cell>
          <cell r="B4796">
            <v>-78681977.799999997</v>
          </cell>
          <cell r="C4796">
            <v>-78681977.790000007</v>
          </cell>
          <cell r="D4796">
            <v>-78681977.790000007</v>
          </cell>
          <cell r="E4796">
            <v>-78681977.790000007</v>
          </cell>
          <cell r="F4796">
            <v>-78681977.790000007</v>
          </cell>
          <cell r="G4796">
            <v>-61202081</v>
          </cell>
          <cell r="H4796">
            <v>-62146362</v>
          </cell>
          <cell r="I4796">
            <v>-62102095</v>
          </cell>
          <cell r="J4796">
            <v>-58429986</v>
          </cell>
          <cell r="K4796">
            <v>-58429986</v>
          </cell>
          <cell r="L4796">
            <v>-81076267.219999999</v>
          </cell>
          <cell r="M4796">
            <v>-58880915</v>
          </cell>
          <cell r="N4796">
            <v>-55867554</v>
          </cell>
          <cell r="O4796">
            <v>-56102324</v>
          </cell>
        </row>
        <row r="4797">
          <cell r="A4797" t="str">
            <v>AustriaReserves - Transfers &amp; Others</v>
          </cell>
          <cell r="B4797">
            <v>0</v>
          </cell>
          <cell r="C4797">
            <v>0</v>
          </cell>
          <cell r="D4797">
            <v>0</v>
          </cell>
          <cell r="E4797">
            <v>-0.13</v>
          </cell>
          <cell r="F4797">
            <v>-0.13</v>
          </cell>
          <cell r="G4797">
            <v>0</v>
          </cell>
          <cell r="H4797">
            <v>0</v>
          </cell>
          <cell r="I4797">
            <v>0</v>
          </cell>
          <cell r="J4797">
            <v>0</v>
          </cell>
          <cell r="K4797">
            <v>0</v>
          </cell>
          <cell r="L4797">
            <v>-0.17</v>
          </cell>
          <cell r="M4797">
            <v>0</v>
          </cell>
          <cell r="N4797">
            <v>0</v>
          </cell>
          <cell r="O4797">
            <v>0</v>
          </cell>
        </row>
        <row r="4798">
          <cell r="A4798" t="str">
            <v>AustriaReserves - Write-Offs</v>
          </cell>
          <cell r="B4798">
            <v>7266916.96</v>
          </cell>
          <cell r="C4798">
            <v>20726948.640000001</v>
          </cell>
          <cell r="D4798">
            <v>33394563.629999999</v>
          </cell>
          <cell r="E4798">
            <v>42976462.969999999</v>
          </cell>
          <cell r="F4798">
            <v>42976462.969999999</v>
          </cell>
          <cell r="G4798">
            <v>4472289</v>
          </cell>
          <cell r="H4798">
            <v>7050621</v>
          </cell>
          <cell r="I4798">
            <v>9578704</v>
          </cell>
          <cell r="J4798">
            <v>10501550</v>
          </cell>
          <cell r="K4798">
            <v>10501550</v>
          </cell>
          <cell r="L4798">
            <v>9296607.8300000001</v>
          </cell>
          <cell r="M4798">
            <v>18464628</v>
          </cell>
          <cell r="N4798">
            <v>18701518</v>
          </cell>
          <cell r="O4798">
            <v>20835592</v>
          </cell>
        </row>
        <row r="4799">
          <cell r="A4799" t="str">
            <v>Austria780 FR Provision</v>
          </cell>
          <cell r="B4799">
            <v>4184583.5</v>
          </cell>
          <cell r="C4799">
            <v>1286370.07</v>
          </cell>
          <cell r="D4799">
            <v>6912006.8799999999</v>
          </cell>
          <cell r="E4799">
            <v>4615802.4800000004</v>
          </cell>
          <cell r="F4799">
            <v>16998762.93</v>
          </cell>
          <cell r="G4799">
            <v>0</v>
          </cell>
          <cell r="H4799">
            <v>0</v>
          </cell>
          <cell r="I4799">
            <v>0</v>
          </cell>
          <cell r="J4799">
            <v>0</v>
          </cell>
          <cell r="K4799">
            <v>0</v>
          </cell>
          <cell r="L4799">
            <v>4026646.42</v>
          </cell>
          <cell r="M4799">
            <v>-8051272</v>
          </cell>
          <cell r="N4799">
            <v>-3250250</v>
          </cell>
          <cell r="O4799">
            <v>-1899304</v>
          </cell>
        </row>
        <row r="4800">
          <cell r="A4800" t="str">
            <v>Austria780 FR Recovery</v>
          </cell>
          <cell r="B4800">
            <v>0</v>
          </cell>
          <cell r="C4800">
            <v>0</v>
          </cell>
          <cell r="D4800">
            <v>0</v>
          </cell>
          <cell r="E4800">
            <v>0</v>
          </cell>
          <cell r="F4800">
            <v>0</v>
          </cell>
          <cell r="G4800">
            <v>3072259</v>
          </cell>
          <cell r="H4800">
            <v>3354190</v>
          </cell>
          <cell r="I4800">
            <v>2816094</v>
          </cell>
          <cell r="J4800">
            <v>539602</v>
          </cell>
          <cell r="K4800">
            <v>9782145</v>
          </cell>
          <cell r="L4800">
            <v>0</v>
          </cell>
          <cell r="M4800">
            <v>18464628</v>
          </cell>
          <cell r="N4800">
            <v>18701518</v>
          </cell>
          <cell r="O4800">
            <v>20935592</v>
          </cell>
        </row>
        <row r="4801">
          <cell r="A4801" t="str">
            <v>Austria781 LL Provision</v>
          </cell>
          <cell r="B4801">
            <v>0</v>
          </cell>
          <cell r="C4801">
            <v>0</v>
          </cell>
          <cell r="D4801">
            <v>0</v>
          </cell>
          <cell r="E4801">
            <v>0</v>
          </cell>
          <cell r="F4801">
            <v>0</v>
          </cell>
          <cell r="G4801">
            <v>0</v>
          </cell>
          <cell r="H4801">
            <v>0</v>
          </cell>
          <cell r="I4801">
            <v>0</v>
          </cell>
          <cell r="J4801">
            <v>0</v>
          </cell>
          <cell r="K4801">
            <v>0</v>
          </cell>
          <cell r="L4801">
            <v>0</v>
          </cell>
          <cell r="M4801">
            <v>0</v>
          </cell>
          <cell r="N4801">
            <v>0</v>
          </cell>
          <cell r="O4801">
            <v>0</v>
          </cell>
        </row>
        <row r="4802">
          <cell r="A4802" t="str">
            <v>Austria781 LL Recovery</v>
          </cell>
          <cell r="B4802">
            <v>0</v>
          </cell>
          <cell r="C4802">
            <v>0</v>
          </cell>
          <cell r="D4802">
            <v>0</v>
          </cell>
          <cell r="E4802">
            <v>0</v>
          </cell>
          <cell r="F4802">
            <v>0</v>
          </cell>
          <cell r="G4802">
            <v>0</v>
          </cell>
          <cell r="H4802">
            <v>0</v>
          </cell>
          <cell r="I4802">
            <v>0</v>
          </cell>
          <cell r="J4802">
            <v>0</v>
          </cell>
          <cell r="K4802">
            <v>0</v>
          </cell>
          <cell r="L4802">
            <v>0</v>
          </cell>
          <cell r="M4802">
            <v>0</v>
          </cell>
          <cell r="N4802">
            <v>0</v>
          </cell>
          <cell r="O4802">
            <v>0</v>
          </cell>
        </row>
        <row r="4803">
          <cell r="A4803" t="str">
            <v>Austria782 DF Provision</v>
          </cell>
          <cell r="B4803">
            <v>1204412.6499999999</v>
          </cell>
          <cell r="C4803">
            <v>219708.36</v>
          </cell>
          <cell r="D4803">
            <v>-695482.22</v>
          </cell>
          <cell r="E4803">
            <v>1119584.68</v>
          </cell>
          <cell r="F4803">
            <v>1848223.47</v>
          </cell>
          <cell r="G4803">
            <v>0</v>
          </cell>
          <cell r="H4803">
            <v>0</v>
          </cell>
          <cell r="I4803">
            <v>0</v>
          </cell>
          <cell r="J4803">
            <v>0</v>
          </cell>
          <cell r="K4803">
            <v>0</v>
          </cell>
          <cell r="L4803">
            <v>727301.26</v>
          </cell>
          <cell r="M4803">
            <v>0</v>
          </cell>
          <cell r="N4803">
            <v>0</v>
          </cell>
          <cell r="O4803">
            <v>0</v>
          </cell>
        </row>
        <row r="4804">
          <cell r="A4804" t="str">
            <v>Austria782 DF Recovery</v>
          </cell>
          <cell r="B4804">
            <v>0</v>
          </cell>
          <cell r="C4804">
            <v>0</v>
          </cell>
          <cell r="D4804">
            <v>0</v>
          </cell>
          <cell r="E4804">
            <v>0</v>
          </cell>
          <cell r="F4804">
            <v>0</v>
          </cell>
          <cell r="G4804">
            <v>0</v>
          </cell>
          <cell r="H4804">
            <v>0</v>
          </cell>
          <cell r="I4804">
            <v>0</v>
          </cell>
          <cell r="J4804">
            <v>0</v>
          </cell>
          <cell r="K4804">
            <v>0</v>
          </cell>
          <cell r="L4804">
            <v>0</v>
          </cell>
          <cell r="M4804">
            <v>0</v>
          </cell>
          <cell r="N4804">
            <v>0</v>
          </cell>
          <cell r="O4804">
            <v>0</v>
          </cell>
        </row>
        <row r="4805">
          <cell r="A4805" t="str">
            <v>Austria783 Corp Level Provision</v>
          </cell>
          <cell r="B4805">
            <v>0</v>
          </cell>
          <cell r="C4805">
            <v>0</v>
          </cell>
          <cell r="D4805">
            <v>0</v>
          </cell>
          <cell r="E4805">
            <v>0</v>
          </cell>
          <cell r="F4805">
            <v>0</v>
          </cell>
          <cell r="G4805">
            <v>0</v>
          </cell>
          <cell r="H4805">
            <v>0</v>
          </cell>
          <cell r="I4805">
            <v>0</v>
          </cell>
          <cell r="J4805">
            <v>0</v>
          </cell>
          <cell r="K4805">
            <v>0</v>
          </cell>
          <cell r="L4805">
            <v>0</v>
          </cell>
          <cell r="M4805">
            <v>0</v>
          </cell>
          <cell r="N4805">
            <v>0</v>
          </cell>
          <cell r="O4805">
            <v>0</v>
          </cell>
        </row>
        <row r="4806">
          <cell r="A4806" t="str">
            <v>Austria783 Corp Level Recovery</v>
          </cell>
          <cell r="B4806">
            <v>0</v>
          </cell>
          <cell r="C4806">
            <v>0</v>
          </cell>
          <cell r="D4806">
            <v>0</v>
          </cell>
          <cell r="E4806">
            <v>0</v>
          </cell>
          <cell r="F4806">
            <v>0</v>
          </cell>
          <cell r="G4806">
            <v>0</v>
          </cell>
          <cell r="H4806">
            <v>0</v>
          </cell>
          <cell r="I4806">
            <v>0</v>
          </cell>
          <cell r="J4806">
            <v>0</v>
          </cell>
          <cell r="K4806">
            <v>0</v>
          </cell>
          <cell r="L4806">
            <v>0</v>
          </cell>
          <cell r="M4806">
            <v>0</v>
          </cell>
          <cell r="N4806">
            <v>0</v>
          </cell>
          <cell r="O4806">
            <v>0</v>
          </cell>
        </row>
        <row r="4807">
          <cell r="A4807" t="str">
            <v>Austria784 Business Share Provision</v>
          </cell>
          <cell r="B4807">
            <v>0</v>
          </cell>
          <cell r="C4807">
            <v>0</v>
          </cell>
          <cell r="D4807">
            <v>0</v>
          </cell>
          <cell r="E4807">
            <v>0</v>
          </cell>
          <cell r="F4807">
            <v>0</v>
          </cell>
          <cell r="G4807">
            <v>0</v>
          </cell>
          <cell r="H4807">
            <v>0</v>
          </cell>
          <cell r="I4807">
            <v>0</v>
          </cell>
          <cell r="J4807">
            <v>0</v>
          </cell>
          <cell r="K4807">
            <v>0</v>
          </cell>
          <cell r="L4807">
            <v>0</v>
          </cell>
          <cell r="M4807">
            <v>0</v>
          </cell>
          <cell r="N4807">
            <v>0</v>
          </cell>
          <cell r="O4807">
            <v>0</v>
          </cell>
        </row>
        <row r="4808">
          <cell r="A4808" t="str">
            <v>AustriaReserves - Business Sharing</v>
          </cell>
          <cell r="B4808">
            <v>0</v>
          </cell>
          <cell r="C4808">
            <v>0</v>
          </cell>
          <cell r="D4808">
            <v>0</v>
          </cell>
          <cell r="E4808">
            <v>0</v>
          </cell>
          <cell r="F4808">
            <v>0</v>
          </cell>
          <cell r="G4808">
            <v>0</v>
          </cell>
          <cell r="H4808">
            <v>0</v>
          </cell>
          <cell r="I4808">
            <v>0</v>
          </cell>
          <cell r="J4808">
            <v>0</v>
          </cell>
          <cell r="K4808">
            <v>0</v>
          </cell>
          <cell r="L4808">
            <v>0</v>
          </cell>
          <cell r="M4808">
            <v>0</v>
          </cell>
          <cell r="N4808">
            <v>0</v>
          </cell>
          <cell r="O4808">
            <v>0</v>
          </cell>
        </row>
        <row r="4809">
          <cell r="A4809" t="str">
            <v>Auto IrelandNEA - Fixed Rate</v>
          </cell>
          <cell r="B4809">
            <v>0</v>
          </cell>
          <cell r="C4809">
            <v>0</v>
          </cell>
          <cell r="D4809">
            <v>0</v>
          </cell>
          <cell r="E4809">
            <v>0</v>
          </cell>
          <cell r="F4809">
            <v>0</v>
          </cell>
          <cell r="G4809">
            <v>0</v>
          </cell>
          <cell r="H4809">
            <v>0</v>
          </cell>
          <cell r="I4809">
            <v>0</v>
          </cell>
          <cell r="J4809">
            <v>0</v>
          </cell>
          <cell r="K4809">
            <v>0</v>
          </cell>
          <cell r="L4809">
            <v>0</v>
          </cell>
          <cell r="M4809">
            <v>0</v>
          </cell>
          <cell r="N4809">
            <v>0</v>
          </cell>
          <cell r="O4809">
            <v>0</v>
          </cell>
        </row>
        <row r="4810">
          <cell r="A4810" t="str">
            <v>Auto IrelandNEA - Floating Rate</v>
          </cell>
          <cell r="B4810">
            <v>0</v>
          </cell>
          <cell r="C4810">
            <v>0</v>
          </cell>
          <cell r="D4810">
            <v>0</v>
          </cell>
          <cell r="E4810">
            <v>0</v>
          </cell>
          <cell r="F4810">
            <v>0</v>
          </cell>
          <cell r="G4810">
            <v>0</v>
          </cell>
          <cell r="H4810">
            <v>0</v>
          </cell>
          <cell r="I4810">
            <v>0</v>
          </cell>
          <cell r="J4810">
            <v>0</v>
          </cell>
          <cell r="K4810">
            <v>0</v>
          </cell>
          <cell r="L4810">
            <v>0</v>
          </cell>
          <cell r="M4810">
            <v>0</v>
          </cell>
          <cell r="N4810">
            <v>0</v>
          </cell>
          <cell r="O4810">
            <v>0</v>
          </cell>
        </row>
        <row r="4811">
          <cell r="A4811" t="str">
            <v>Auto IrelandReserves - FX Gain / Loss</v>
          </cell>
          <cell r="B4811">
            <v>0</v>
          </cell>
          <cell r="C4811">
            <v>0</v>
          </cell>
          <cell r="D4811">
            <v>0</v>
          </cell>
          <cell r="E4811">
            <v>9947665.8399999999</v>
          </cell>
          <cell r="F4811">
            <v>9947665.8399999999</v>
          </cell>
          <cell r="G4811">
            <v>0</v>
          </cell>
          <cell r="H4811">
            <v>0</v>
          </cell>
          <cell r="I4811">
            <v>0</v>
          </cell>
          <cell r="J4811">
            <v>0</v>
          </cell>
          <cell r="K4811">
            <v>0</v>
          </cell>
          <cell r="L4811">
            <v>10484212.5</v>
          </cell>
          <cell r="M4811">
            <v>0</v>
          </cell>
          <cell r="N4811">
            <v>0</v>
          </cell>
          <cell r="O4811">
            <v>0</v>
          </cell>
        </row>
        <row r="4812">
          <cell r="A4812" t="str">
            <v>Auto IrelandReserves - Provisons</v>
          </cell>
          <cell r="B4812">
            <v>0</v>
          </cell>
          <cell r="C4812">
            <v>0</v>
          </cell>
          <cell r="D4812">
            <v>0</v>
          </cell>
          <cell r="E4812">
            <v>-10328322.57</v>
          </cell>
          <cell r="F4812">
            <v>-10328322.57</v>
          </cell>
          <cell r="G4812">
            <v>0</v>
          </cell>
          <cell r="H4812">
            <v>0</v>
          </cell>
          <cell r="I4812">
            <v>0</v>
          </cell>
          <cell r="J4812">
            <v>0</v>
          </cell>
          <cell r="K4812">
            <v>0</v>
          </cell>
          <cell r="L4812">
            <v>-2826154.76</v>
          </cell>
          <cell r="M4812">
            <v>0</v>
          </cell>
          <cell r="N4812">
            <v>0</v>
          </cell>
          <cell r="O4812">
            <v>0</v>
          </cell>
        </row>
        <row r="4813">
          <cell r="A4813" t="str">
            <v>Auto IrelandReserves - Recoveries</v>
          </cell>
          <cell r="B4813">
            <v>0</v>
          </cell>
          <cell r="C4813">
            <v>0</v>
          </cell>
          <cell r="D4813">
            <v>0</v>
          </cell>
          <cell r="E4813">
            <v>-3670849.82</v>
          </cell>
          <cell r="F4813">
            <v>-3670849.82</v>
          </cell>
          <cell r="G4813">
            <v>0</v>
          </cell>
          <cell r="H4813">
            <v>0</v>
          </cell>
          <cell r="I4813">
            <v>0</v>
          </cell>
          <cell r="J4813">
            <v>0</v>
          </cell>
          <cell r="K4813">
            <v>0</v>
          </cell>
          <cell r="L4813">
            <v>-1395184.53</v>
          </cell>
          <cell r="M4813">
            <v>0</v>
          </cell>
          <cell r="N4813">
            <v>0</v>
          </cell>
          <cell r="O4813">
            <v>0</v>
          </cell>
        </row>
        <row r="4814">
          <cell r="A4814" t="str">
            <v>Auto IrelandReserves - BOP</v>
          </cell>
          <cell r="B4814">
            <v>-24717348</v>
          </cell>
          <cell r="C4814">
            <v>-32295682</v>
          </cell>
          <cell r="D4814">
            <v>-37760638</v>
          </cell>
          <cell r="E4814">
            <v>-42895078.75</v>
          </cell>
          <cell r="F4814">
            <v>-42895078.75</v>
          </cell>
          <cell r="G4814">
            <v>-25712919.135552</v>
          </cell>
          <cell r="H4814">
            <v>-32933438.352379002</v>
          </cell>
          <cell r="I4814">
            <v>-38309959.219347</v>
          </cell>
          <cell r="J4814">
            <v>-43430467.315573998</v>
          </cell>
          <cell r="K4814">
            <v>-43430467.315573998</v>
          </cell>
          <cell r="L4814">
            <v>-35975969.850000001</v>
          </cell>
          <cell r="M4814">
            <v>-39856102.836719997</v>
          </cell>
          <cell r="N4814">
            <v>-44036866.591190003</v>
          </cell>
          <cell r="O4814">
            <v>-46725822.256292999</v>
          </cell>
        </row>
        <row r="4815">
          <cell r="A4815" t="str">
            <v>Auto IrelandReserves - Transfers &amp; Others</v>
          </cell>
          <cell r="B4815">
            <v>0</v>
          </cell>
          <cell r="C4815">
            <v>0</v>
          </cell>
          <cell r="D4815">
            <v>0</v>
          </cell>
          <cell r="E4815">
            <v>-1713707.07</v>
          </cell>
          <cell r="F4815">
            <v>-1713707.07</v>
          </cell>
          <cell r="G4815">
            <v>0</v>
          </cell>
          <cell r="H4815">
            <v>0</v>
          </cell>
          <cell r="I4815">
            <v>0</v>
          </cell>
          <cell r="J4815">
            <v>0</v>
          </cell>
          <cell r="K4815">
            <v>0</v>
          </cell>
          <cell r="L4815">
            <v>-15.29</v>
          </cell>
          <cell r="M4815">
            <v>0</v>
          </cell>
          <cell r="N4815">
            <v>0</v>
          </cell>
          <cell r="O4815">
            <v>0</v>
          </cell>
        </row>
        <row r="4816">
          <cell r="A4816" t="str">
            <v>Auto IrelandReserves - Write-Offs</v>
          </cell>
          <cell r="B4816">
            <v>0</v>
          </cell>
          <cell r="C4816">
            <v>10236818</v>
          </cell>
          <cell r="D4816">
            <v>14135807</v>
          </cell>
          <cell r="E4816">
            <v>22631988.359999999</v>
          </cell>
          <cell r="F4816">
            <v>22631988.359999999</v>
          </cell>
          <cell r="G4816">
            <v>4288557</v>
          </cell>
          <cell r="H4816">
            <v>8577113</v>
          </cell>
          <cell r="I4816">
            <v>13283031</v>
          </cell>
          <cell r="J4816">
            <v>17988948</v>
          </cell>
          <cell r="K4816">
            <v>17988948</v>
          </cell>
          <cell r="L4816">
            <v>3324992.11</v>
          </cell>
          <cell r="M4816">
            <v>13096509.011399999</v>
          </cell>
          <cell r="N4816">
            <v>15260589.011399999</v>
          </cell>
          <cell r="O4816">
            <v>16681450</v>
          </cell>
        </row>
        <row r="4817">
          <cell r="A4817" t="str">
            <v>Auto Ireland780 FR Provision</v>
          </cell>
          <cell r="B4817">
            <v>0</v>
          </cell>
          <cell r="C4817">
            <v>0</v>
          </cell>
          <cell r="D4817">
            <v>0</v>
          </cell>
          <cell r="E4817">
            <v>3528134.47</v>
          </cell>
          <cell r="F4817">
            <v>3528134.47</v>
          </cell>
          <cell r="G4817">
            <v>0</v>
          </cell>
          <cell r="H4817">
            <v>0</v>
          </cell>
          <cell r="I4817">
            <v>0</v>
          </cell>
          <cell r="J4817">
            <v>0</v>
          </cell>
          <cell r="K4817">
            <v>0</v>
          </cell>
          <cell r="L4817">
            <v>1929873.27</v>
          </cell>
          <cell r="M4817">
            <v>0</v>
          </cell>
          <cell r="N4817">
            <v>0</v>
          </cell>
          <cell r="O4817">
            <v>0</v>
          </cell>
        </row>
        <row r="4818">
          <cell r="A4818" t="str">
            <v>Auto Ireland780 FR Recovery</v>
          </cell>
          <cell r="B4818">
            <v>3117548.14</v>
          </cell>
          <cell r="C4818">
            <v>1028634.67</v>
          </cell>
          <cell r="D4818">
            <v>1232006.03</v>
          </cell>
          <cell r="E4818">
            <v>-5378188.8399999999</v>
          </cell>
          <cell r="F4818">
            <v>0</v>
          </cell>
          <cell r="G4818">
            <v>2736782.4070689999</v>
          </cell>
          <cell r="H4818">
            <v>2341435.3730060002</v>
          </cell>
          <cell r="I4818">
            <v>2839859.076351</v>
          </cell>
          <cell r="J4818">
            <v>2583847.3056089999</v>
          </cell>
          <cell r="K4818">
            <v>10501924.162033999</v>
          </cell>
          <cell r="L4818">
            <v>-1194049.8700000001</v>
          </cell>
          <cell r="M4818">
            <v>12404018.661625</v>
          </cell>
          <cell r="N4818">
            <v>14947457.171723999</v>
          </cell>
          <cell r="O4818">
            <v>17069877.050218999</v>
          </cell>
        </row>
        <row r="4819">
          <cell r="A4819" t="str">
            <v>Auto Ireland781 LL Provision</v>
          </cell>
          <cell r="B4819">
            <v>0</v>
          </cell>
          <cell r="C4819">
            <v>0</v>
          </cell>
          <cell r="D4819">
            <v>0</v>
          </cell>
          <cell r="E4819">
            <v>0</v>
          </cell>
          <cell r="F4819">
            <v>0</v>
          </cell>
          <cell r="G4819">
            <v>0</v>
          </cell>
          <cell r="H4819">
            <v>0</v>
          </cell>
          <cell r="I4819">
            <v>0</v>
          </cell>
          <cell r="J4819">
            <v>0</v>
          </cell>
          <cell r="K4819">
            <v>0</v>
          </cell>
          <cell r="L4819">
            <v>0</v>
          </cell>
          <cell r="M4819">
            <v>0</v>
          </cell>
          <cell r="N4819">
            <v>0</v>
          </cell>
          <cell r="O4819">
            <v>0</v>
          </cell>
        </row>
        <row r="4820">
          <cell r="A4820" t="str">
            <v>Auto Ireland781 LL Recovery</v>
          </cell>
          <cell r="B4820">
            <v>0</v>
          </cell>
          <cell r="C4820">
            <v>0</v>
          </cell>
          <cell r="D4820">
            <v>0</v>
          </cell>
          <cell r="E4820">
            <v>0</v>
          </cell>
          <cell r="F4820">
            <v>0</v>
          </cell>
          <cell r="G4820">
            <v>0</v>
          </cell>
          <cell r="H4820">
            <v>0</v>
          </cell>
          <cell r="I4820">
            <v>0</v>
          </cell>
          <cell r="J4820">
            <v>0</v>
          </cell>
          <cell r="K4820">
            <v>0</v>
          </cell>
          <cell r="L4820">
            <v>0</v>
          </cell>
          <cell r="M4820">
            <v>0</v>
          </cell>
          <cell r="N4820">
            <v>0</v>
          </cell>
          <cell r="O4820">
            <v>0</v>
          </cell>
        </row>
        <row r="4821">
          <cell r="A4821" t="str">
            <v>Auto Ireland782 DF Provision</v>
          </cell>
          <cell r="B4821">
            <v>0</v>
          </cell>
          <cell r="C4821">
            <v>0</v>
          </cell>
          <cell r="D4821">
            <v>0</v>
          </cell>
          <cell r="E4821">
            <v>6800567.6399999997</v>
          </cell>
          <cell r="F4821">
            <v>6800567.6399999997</v>
          </cell>
          <cell r="G4821">
            <v>0</v>
          </cell>
          <cell r="H4821">
            <v>0</v>
          </cell>
          <cell r="I4821">
            <v>0</v>
          </cell>
          <cell r="J4821">
            <v>0</v>
          </cell>
          <cell r="K4821">
            <v>0</v>
          </cell>
          <cell r="L4821">
            <v>2090580.88</v>
          </cell>
          <cell r="M4821">
            <v>0</v>
          </cell>
          <cell r="N4821">
            <v>0</v>
          </cell>
          <cell r="O4821">
            <v>0</v>
          </cell>
        </row>
        <row r="4822">
          <cell r="A4822" t="str">
            <v>Auto Ireland782 DF Recovery</v>
          </cell>
          <cell r="B4822">
            <v>0</v>
          </cell>
          <cell r="C4822">
            <v>0</v>
          </cell>
          <cell r="D4822">
            <v>0</v>
          </cell>
          <cell r="E4822">
            <v>0</v>
          </cell>
          <cell r="F4822">
            <v>0</v>
          </cell>
          <cell r="G4822">
            <v>0</v>
          </cell>
          <cell r="H4822">
            <v>0</v>
          </cell>
          <cell r="I4822">
            <v>0</v>
          </cell>
          <cell r="J4822">
            <v>0</v>
          </cell>
          <cell r="K4822">
            <v>0</v>
          </cell>
          <cell r="L4822">
            <v>0</v>
          </cell>
          <cell r="M4822">
            <v>0</v>
          </cell>
          <cell r="N4822">
            <v>0</v>
          </cell>
          <cell r="O4822">
            <v>0</v>
          </cell>
        </row>
        <row r="4823">
          <cell r="A4823" t="str">
            <v>Auto Ireland783 Corp Level Provision</v>
          </cell>
          <cell r="B4823">
            <v>0</v>
          </cell>
          <cell r="C4823">
            <v>0</v>
          </cell>
          <cell r="D4823">
            <v>0</v>
          </cell>
          <cell r="E4823">
            <v>0</v>
          </cell>
          <cell r="F4823">
            <v>0</v>
          </cell>
          <cell r="G4823">
            <v>0</v>
          </cell>
          <cell r="H4823">
            <v>0</v>
          </cell>
          <cell r="I4823">
            <v>0</v>
          </cell>
          <cell r="J4823">
            <v>0</v>
          </cell>
          <cell r="K4823">
            <v>0</v>
          </cell>
          <cell r="L4823">
            <v>0</v>
          </cell>
          <cell r="M4823">
            <v>0</v>
          </cell>
          <cell r="N4823">
            <v>0</v>
          </cell>
          <cell r="O4823">
            <v>0</v>
          </cell>
        </row>
        <row r="4824">
          <cell r="A4824" t="str">
            <v>Auto Ireland783 Corp Level Recovery</v>
          </cell>
          <cell r="B4824">
            <v>0</v>
          </cell>
          <cell r="C4824">
            <v>0</v>
          </cell>
          <cell r="D4824">
            <v>0</v>
          </cell>
          <cell r="E4824">
            <v>0</v>
          </cell>
          <cell r="F4824">
            <v>0</v>
          </cell>
          <cell r="G4824">
            <v>0</v>
          </cell>
          <cell r="H4824">
            <v>0</v>
          </cell>
          <cell r="I4824">
            <v>0</v>
          </cell>
          <cell r="J4824">
            <v>0</v>
          </cell>
          <cell r="K4824">
            <v>0</v>
          </cell>
          <cell r="L4824">
            <v>0</v>
          </cell>
          <cell r="M4824">
            <v>0</v>
          </cell>
          <cell r="N4824">
            <v>0</v>
          </cell>
          <cell r="O4824">
            <v>0</v>
          </cell>
        </row>
        <row r="4825">
          <cell r="A4825" t="str">
            <v>Auto Ireland784 Business Share Provision</v>
          </cell>
          <cell r="B4825">
            <v>0</v>
          </cell>
          <cell r="C4825">
            <v>0</v>
          </cell>
          <cell r="D4825">
            <v>0</v>
          </cell>
          <cell r="E4825">
            <v>-5057559</v>
          </cell>
          <cell r="F4825">
            <v>-5057559</v>
          </cell>
          <cell r="G4825">
            <v>0</v>
          </cell>
          <cell r="H4825">
            <v>0</v>
          </cell>
          <cell r="I4825">
            <v>0</v>
          </cell>
          <cell r="J4825">
            <v>0</v>
          </cell>
          <cell r="K4825">
            <v>0</v>
          </cell>
          <cell r="L4825">
            <v>-1083936</v>
          </cell>
          <cell r="M4825">
            <v>0</v>
          </cell>
          <cell r="N4825">
            <v>0</v>
          </cell>
          <cell r="O4825">
            <v>0</v>
          </cell>
        </row>
        <row r="4826">
          <cell r="A4826" t="str">
            <v>Auto IrelandReserves - Business Sharing</v>
          </cell>
          <cell r="B4826">
            <v>0</v>
          </cell>
          <cell r="C4826">
            <v>0</v>
          </cell>
          <cell r="D4826">
            <v>0</v>
          </cell>
          <cell r="E4826">
            <v>7078052.8899999997</v>
          </cell>
          <cell r="F4826">
            <v>7078052.8899999997</v>
          </cell>
          <cell r="G4826">
            <v>0</v>
          </cell>
          <cell r="H4826">
            <v>0</v>
          </cell>
          <cell r="I4826">
            <v>0</v>
          </cell>
          <cell r="J4826">
            <v>0</v>
          </cell>
          <cell r="K4826">
            <v>0</v>
          </cell>
          <cell r="L4826">
            <v>5458525.8899999997</v>
          </cell>
          <cell r="M4826">
            <v>0</v>
          </cell>
          <cell r="N4826">
            <v>0</v>
          </cell>
          <cell r="O4826">
            <v>0</v>
          </cell>
        </row>
        <row r="4827">
          <cell r="A4827" t="str">
            <v>Auto ItalyNEA - Fixed Rate</v>
          </cell>
          <cell r="B4827">
            <v>0</v>
          </cell>
          <cell r="C4827">
            <v>0</v>
          </cell>
          <cell r="D4827">
            <v>0</v>
          </cell>
          <cell r="E4827">
            <v>0</v>
          </cell>
          <cell r="F4827">
            <v>0</v>
          </cell>
          <cell r="G4827">
            <v>0</v>
          </cell>
          <cell r="H4827">
            <v>0</v>
          </cell>
          <cell r="I4827">
            <v>0</v>
          </cell>
          <cell r="J4827">
            <v>0</v>
          </cell>
          <cell r="K4827">
            <v>0</v>
          </cell>
          <cell r="L4827">
            <v>0</v>
          </cell>
          <cell r="M4827">
            <v>0</v>
          </cell>
          <cell r="N4827">
            <v>0</v>
          </cell>
          <cell r="O4827">
            <v>0</v>
          </cell>
        </row>
        <row r="4828">
          <cell r="A4828" t="str">
            <v>Auto ItalyNEA - Floating Rate</v>
          </cell>
          <cell r="B4828">
            <v>0</v>
          </cell>
          <cell r="C4828">
            <v>0</v>
          </cell>
          <cell r="D4828">
            <v>0</v>
          </cell>
          <cell r="E4828">
            <v>0</v>
          </cell>
          <cell r="F4828">
            <v>0</v>
          </cell>
          <cell r="G4828">
            <v>0</v>
          </cell>
          <cell r="H4828">
            <v>0</v>
          </cell>
          <cell r="I4828">
            <v>0</v>
          </cell>
          <cell r="J4828">
            <v>0</v>
          </cell>
          <cell r="K4828">
            <v>0</v>
          </cell>
          <cell r="L4828">
            <v>0</v>
          </cell>
          <cell r="M4828">
            <v>0</v>
          </cell>
          <cell r="N4828">
            <v>0</v>
          </cell>
          <cell r="O4828">
            <v>0</v>
          </cell>
        </row>
        <row r="4829">
          <cell r="A4829" t="str">
            <v>Auto ItalyReserves - FX Gain / Loss</v>
          </cell>
          <cell r="B4829">
            <v>5170984.38</v>
          </cell>
          <cell r="C4829">
            <v>5848740.5899999999</v>
          </cell>
          <cell r="D4829">
            <v>4685277.67</v>
          </cell>
          <cell r="E4829">
            <v>5014975.99</v>
          </cell>
          <cell r="F4829">
            <v>5014975.99</v>
          </cell>
          <cell r="G4829">
            <v>0</v>
          </cell>
          <cell r="H4829">
            <v>0</v>
          </cell>
          <cell r="I4829">
            <v>0</v>
          </cell>
          <cell r="J4829">
            <v>0</v>
          </cell>
          <cell r="K4829">
            <v>0</v>
          </cell>
          <cell r="L4829">
            <v>5476251.54</v>
          </cell>
          <cell r="M4829">
            <v>0</v>
          </cell>
          <cell r="N4829">
            <v>0</v>
          </cell>
          <cell r="O4829">
            <v>0</v>
          </cell>
        </row>
        <row r="4830">
          <cell r="A4830" t="str">
            <v>Auto ItalyReserves - Provisons</v>
          </cell>
          <cell r="B4830">
            <v>-5802045.7800000003</v>
          </cell>
          <cell r="C4830">
            <v>-9586502.3699999992</v>
          </cell>
          <cell r="D4830">
            <v>-12484503.26</v>
          </cell>
          <cell r="E4830">
            <v>-13894584.85</v>
          </cell>
          <cell r="F4830">
            <v>-13894584.85</v>
          </cell>
          <cell r="G4830">
            <v>0</v>
          </cell>
          <cell r="H4830">
            <v>0</v>
          </cell>
          <cell r="I4830">
            <v>0</v>
          </cell>
          <cell r="J4830">
            <v>0</v>
          </cell>
          <cell r="K4830">
            <v>0</v>
          </cell>
          <cell r="L4830">
            <v>-2737807.37</v>
          </cell>
          <cell r="M4830">
            <v>0</v>
          </cell>
          <cell r="N4830">
            <v>0</v>
          </cell>
          <cell r="O4830">
            <v>0</v>
          </cell>
        </row>
        <row r="4831">
          <cell r="A4831" t="str">
            <v>Auto ItalyReserves - Recoveries</v>
          </cell>
          <cell r="B4831">
            <v>0</v>
          </cell>
          <cell r="C4831">
            <v>0</v>
          </cell>
          <cell r="D4831">
            <v>0</v>
          </cell>
          <cell r="E4831">
            <v>-3176467.27</v>
          </cell>
          <cell r="F4831">
            <v>-3176467.27</v>
          </cell>
          <cell r="G4831">
            <v>0</v>
          </cell>
          <cell r="H4831">
            <v>0</v>
          </cell>
          <cell r="I4831">
            <v>0</v>
          </cell>
          <cell r="J4831">
            <v>0</v>
          </cell>
          <cell r="K4831">
            <v>0</v>
          </cell>
          <cell r="L4831">
            <v>-888345.49</v>
          </cell>
          <cell r="M4831">
            <v>0</v>
          </cell>
          <cell r="N4831">
            <v>0</v>
          </cell>
          <cell r="O4831">
            <v>0</v>
          </cell>
        </row>
        <row r="4832">
          <cell r="A4832" t="str">
            <v>Auto ItalyReserves - BOP</v>
          </cell>
          <cell r="B4832">
            <v>-22362255.890000001</v>
          </cell>
          <cell r="C4832">
            <v>-22362255.890000001</v>
          </cell>
          <cell r="D4832">
            <v>-22362255.890000001</v>
          </cell>
          <cell r="E4832">
            <v>-22362255.899999999</v>
          </cell>
          <cell r="F4832">
            <v>-22362255.899999999</v>
          </cell>
          <cell r="G4832">
            <v>-23330464.660487</v>
          </cell>
          <cell r="H4832">
            <v>-27063434.014842998</v>
          </cell>
          <cell r="I4832">
            <v>-30036358.429864999</v>
          </cell>
          <cell r="J4832">
            <v>-33823543.576913998</v>
          </cell>
          <cell r="K4832">
            <v>-33823543.576913998</v>
          </cell>
          <cell r="L4832">
            <v>-25648671.309999999</v>
          </cell>
          <cell r="M4832">
            <v>-27135000</v>
          </cell>
          <cell r="N4832">
            <v>-28168000</v>
          </cell>
          <cell r="O4832">
            <v>-28568000</v>
          </cell>
        </row>
        <row r="4833">
          <cell r="A4833" t="str">
            <v>Auto ItalyReserves - Transfers &amp; Others</v>
          </cell>
          <cell r="B4833">
            <v>185842.97</v>
          </cell>
          <cell r="C4833">
            <v>100963.01</v>
          </cell>
          <cell r="D4833">
            <v>316857.24</v>
          </cell>
          <cell r="E4833">
            <v>181718.52</v>
          </cell>
          <cell r="F4833">
            <v>181718.52</v>
          </cell>
          <cell r="G4833">
            <v>0</v>
          </cell>
          <cell r="H4833">
            <v>0</v>
          </cell>
          <cell r="I4833">
            <v>0</v>
          </cell>
          <cell r="J4833">
            <v>0</v>
          </cell>
          <cell r="K4833">
            <v>0</v>
          </cell>
          <cell r="L4833">
            <v>-1041.57</v>
          </cell>
          <cell r="M4833">
            <v>0</v>
          </cell>
          <cell r="N4833">
            <v>0</v>
          </cell>
          <cell r="O4833">
            <v>0</v>
          </cell>
        </row>
        <row r="4834">
          <cell r="A4834" t="str">
            <v>Auto ItalyReserves - Write-Offs</v>
          </cell>
          <cell r="B4834">
            <v>6156092.9900000002</v>
          </cell>
          <cell r="C4834">
            <v>9539688.9700000007</v>
          </cell>
          <cell r="D4834">
            <v>12039805.91</v>
          </cell>
          <cell r="E4834">
            <v>13602918.210000001</v>
          </cell>
          <cell r="F4834">
            <v>13602918.210000001</v>
          </cell>
          <cell r="G4834">
            <v>4047830.1060899999</v>
          </cell>
          <cell r="H4834">
            <v>7902591.087328</v>
          </cell>
          <cell r="I4834">
            <v>11173594.209643001</v>
          </cell>
          <cell r="J4834">
            <v>14416154.934575001</v>
          </cell>
          <cell r="K4834">
            <v>14416154.934575001</v>
          </cell>
          <cell r="L4834">
            <v>3784416.86</v>
          </cell>
          <cell r="M4834">
            <v>12886000</v>
          </cell>
          <cell r="N4834">
            <v>14711000</v>
          </cell>
          <cell r="O4834">
            <v>14083000</v>
          </cell>
        </row>
        <row r="4835">
          <cell r="A4835" t="str">
            <v>Auto Italy780 FR Provision</v>
          </cell>
          <cell r="B4835">
            <v>2320417.41</v>
          </cell>
          <cell r="C4835">
            <v>1446855.52</v>
          </cell>
          <cell r="D4835">
            <v>1135347.68</v>
          </cell>
          <cell r="E4835">
            <v>958578.87</v>
          </cell>
          <cell r="F4835">
            <v>5861199.4800000004</v>
          </cell>
          <cell r="G4835">
            <v>0</v>
          </cell>
          <cell r="H4835">
            <v>0</v>
          </cell>
          <cell r="I4835">
            <v>0</v>
          </cell>
          <cell r="J4835">
            <v>0</v>
          </cell>
          <cell r="K4835">
            <v>0</v>
          </cell>
          <cell r="L4835">
            <v>1063898.93</v>
          </cell>
          <cell r="M4835">
            <v>0</v>
          </cell>
          <cell r="N4835">
            <v>0</v>
          </cell>
          <cell r="O4835">
            <v>0</v>
          </cell>
        </row>
        <row r="4836">
          <cell r="A4836" t="str">
            <v>Auto Italy780 FR Recovery</v>
          </cell>
          <cell r="B4836">
            <v>0</v>
          </cell>
          <cell r="C4836">
            <v>0</v>
          </cell>
          <cell r="D4836">
            <v>0</v>
          </cell>
          <cell r="E4836">
            <v>0</v>
          </cell>
          <cell r="F4836">
            <v>0</v>
          </cell>
          <cell r="G4836">
            <v>3231224.960581</v>
          </cell>
          <cell r="H4836">
            <v>3436429.2126219999</v>
          </cell>
          <cell r="I4836">
            <v>2832249.6882580002</v>
          </cell>
          <cell r="J4836">
            <v>3277225.4545499999</v>
          </cell>
          <cell r="K4836">
            <v>12777129.316011</v>
          </cell>
          <cell r="L4836">
            <v>0</v>
          </cell>
          <cell r="M4836">
            <v>11999000</v>
          </cell>
          <cell r="N4836">
            <v>13817000</v>
          </cell>
          <cell r="O4836">
            <v>15103000</v>
          </cell>
        </row>
        <row r="4837">
          <cell r="A4837" t="str">
            <v>Auto Italy781 LL Provision</v>
          </cell>
          <cell r="B4837">
            <v>0</v>
          </cell>
          <cell r="C4837">
            <v>0</v>
          </cell>
          <cell r="D4837">
            <v>0</v>
          </cell>
          <cell r="E4837">
            <v>0</v>
          </cell>
          <cell r="F4837">
            <v>0</v>
          </cell>
          <cell r="G4837">
            <v>0</v>
          </cell>
          <cell r="H4837">
            <v>0</v>
          </cell>
          <cell r="I4837">
            <v>0</v>
          </cell>
          <cell r="J4837">
            <v>0</v>
          </cell>
          <cell r="K4837">
            <v>0</v>
          </cell>
          <cell r="L4837">
            <v>0</v>
          </cell>
          <cell r="M4837">
            <v>0</v>
          </cell>
          <cell r="N4837">
            <v>0</v>
          </cell>
          <cell r="O4837">
            <v>0</v>
          </cell>
        </row>
        <row r="4838">
          <cell r="A4838" t="str">
            <v>Auto Italy781 LL Recovery</v>
          </cell>
          <cell r="B4838">
            <v>0</v>
          </cell>
          <cell r="C4838">
            <v>0</v>
          </cell>
          <cell r="D4838">
            <v>0</v>
          </cell>
          <cell r="E4838">
            <v>0</v>
          </cell>
          <cell r="F4838">
            <v>0</v>
          </cell>
          <cell r="G4838">
            <v>0</v>
          </cell>
          <cell r="H4838">
            <v>0</v>
          </cell>
          <cell r="I4838">
            <v>0</v>
          </cell>
          <cell r="J4838">
            <v>0</v>
          </cell>
          <cell r="K4838">
            <v>0</v>
          </cell>
          <cell r="L4838">
            <v>0</v>
          </cell>
          <cell r="M4838">
            <v>0</v>
          </cell>
          <cell r="N4838">
            <v>0</v>
          </cell>
          <cell r="O4838">
            <v>0</v>
          </cell>
        </row>
        <row r="4839">
          <cell r="A4839" t="str">
            <v>Auto Italy782 DF Provision</v>
          </cell>
          <cell r="B4839">
            <v>3481628.44</v>
          </cell>
          <cell r="C4839">
            <v>2337601.1</v>
          </cell>
          <cell r="D4839">
            <v>1762653.2</v>
          </cell>
          <cell r="E4839">
            <v>451502.69</v>
          </cell>
          <cell r="F4839">
            <v>8033385.4299999997</v>
          </cell>
          <cell r="G4839">
            <v>0</v>
          </cell>
          <cell r="H4839">
            <v>0</v>
          </cell>
          <cell r="I4839">
            <v>0</v>
          </cell>
          <cell r="J4839">
            <v>0</v>
          </cell>
          <cell r="K4839">
            <v>0</v>
          </cell>
          <cell r="L4839">
            <v>1673908.43</v>
          </cell>
          <cell r="M4839">
            <v>0</v>
          </cell>
          <cell r="N4839">
            <v>0</v>
          </cell>
          <cell r="O4839">
            <v>0</v>
          </cell>
        </row>
        <row r="4840">
          <cell r="A4840" t="str">
            <v>Auto Italy782 DF Recovery</v>
          </cell>
          <cell r="B4840">
            <v>0</v>
          </cell>
          <cell r="C4840">
            <v>0</v>
          </cell>
          <cell r="D4840">
            <v>0</v>
          </cell>
          <cell r="E4840">
            <v>0</v>
          </cell>
          <cell r="F4840">
            <v>0</v>
          </cell>
          <cell r="G4840">
            <v>0</v>
          </cell>
          <cell r="H4840">
            <v>0</v>
          </cell>
          <cell r="I4840">
            <v>0</v>
          </cell>
          <cell r="J4840">
            <v>0</v>
          </cell>
          <cell r="K4840">
            <v>0</v>
          </cell>
          <cell r="L4840">
            <v>0</v>
          </cell>
          <cell r="M4840">
            <v>0</v>
          </cell>
          <cell r="N4840">
            <v>0</v>
          </cell>
          <cell r="O4840">
            <v>0</v>
          </cell>
        </row>
        <row r="4841">
          <cell r="A4841" t="str">
            <v>Auto Italy783 Corp Level Provision</v>
          </cell>
          <cell r="B4841">
            <v>0</v>
          </cell>
          <cell r="C4841">
            <v>0</v>
          </cell>
          <cell r="D4841">
            <v>0</v>
          </cell>
          <cell r="E4841">
            <v>0</v>
          </cell>
          <cell r="F4841">
            <v>0</v>
          </cell>
          <cell r="G4841">
            <v>0</v>
          </cell>
          <cell r="H4841">
            <v>0</v>
          </cell>
          <cell r="I4841">
            <v>0</v>
          </cell>
          <cell r="J4841">
            <v>0</v>
          </cell>
          <cell r="K4841">
            <v>0</v>
          </cell>
          <cell r="L4841">
            <v>0</v>
          </cell>
          <cell r="M4841">
            <v>0</v>
          </cell>
          <cell r="N4841">
            <v>0</v>
          </cell>
          <cell r="O4841">
            <v>0</v>
          </cell>
        </row>
        <row r="4842">
          <cell r="A4842" t="str">
            <v>Auto Italy783 Corp Level Recovery</v>
          </cell>
          <cell r="B4842">
            <v>0</v>
          </cell>
          <cell r="C4842">
            <v>0</v>
          </cell>
          <cell r="D4842">
            <v>0</v>
          </cell>
          <cell r="E4842">
            <v>0</v>
          </cell>
          <cell r="F4842">
            <v>0</v>
          </cell>
          <cell r="G4842">
            <v>0</v>
          </cell>
          <cell r="H4842">
            <v>0</v>
          </cell>
          <cell r="I4842">
            <v>0</v>
          </cell>
          <cell r="J4842">
            <v>0</v>
          </cell>
          <cell r="K4842">
            <v>0</v>
          </cell>
          <cell r="L4842">
            <v>0</v>
          </cell>
          <cell r="M4842">
            <v>0</v>
          </cell>
          <cell r="N4842">
            <v>0</v>
          </cell>
          <cell r="O4842">
            <v>0</v>
          </cell>
        </row>
        <row r="4843">
          <cell r="A4843" t="str">
            <v>Auto Italy784 Business Share Provision</v>
          </cell>
          <cell r="B4843">
            <v>-1312745.07</v>
          </cell>
          <cell r="C4843">
            <v>-151280.93</v>
          </cell>
          <cell r="D4843">
            <v>286031.71000000002</v>
          </cell>
          <cell r="E4843">
            <v>-147527.29</v>
          </cell>
          <cell r="F4843">
            <v>-1325521.58</v>
          </cell>
          <cell r="G4843">
            <v>0</v>
          </cell>
          <cell r="H4843">
            <v>0</v>
          </cell>
          <cell r="I4843">
            <v>0</v>
          </cell>
          <cell r="J4843">
            <v>0</v>
          </cell>
          <cell r="K4843">
            <v>0</v>
          </cell>
          <cell r="L4843">
            <v>-35989</v>
          </cell>
          <cell r="M4843">
            <v>0</v>
          </cell>
          <cell r="N4843">
            <v>0</v>
          </cell>
          <cell r="O4843">
            <v>0</v>
          </cell>
        </row>
        <row r="4844">
          <cell r="A4844" t="str">
            <v>Auto ItalyReserves - Business Sharing</v>
          </cell>
          <cell r="B4844">
            <v>590000</v>
          </cell>
          <cell r="C4844">
            <v>667884.96</v>
          </cell>
          <cell r="D4844">
            <v>649843.94999999995</v>
          </cell>
          <cell r="E4844">
            <v>762626.99</v>
          </cell>
          <cell r="F4844">
            <v>762626.99</v>
          </cell>
          <cell r="G4844">
            <v>0</v>
          </cell>
          <cell r="H4844">
            <v>0</v>
          </cell>
          <cell r="I4844">
            <v>0</v>
          </cell>
          <cell r="J4844">
            <v>0</v>
          </cell>
          <cell r="K4844">
            <v>0</v>
          </cell>
          <cell r="L4844">
            <v>798615.99</v>
          </cell>
          <cell r="M4844">
            <v>0</v>
          </cell>
          <cell r="N4844">
            <v>0</v>
          </cell>
          <cell r="O4844">
            <v>0</v>
          </cell>
        </row>
        <row r="4845">
          <cell r="A4845" t="str">
            <v>Auto PortugalNEA - Fixed Rate</v>
          </cell>
          <cell r="B4845">
            <v>0</v>
          </cell>
          <cell r="C4845">
            <v>0</v>
          </cell>
          <cell r="D4845">
            <v>0</v>
          </cell>
          <cell r="E4845">
            <v>0</v>
          </cell>
          <cell r="F4845">
            <v>0</v>
          </cell>
          <cell r="G4845">
            <v>0</v>
          </cell>
          <cell r="H4845">
            <v>0</v>
          </cell>
          <cell r="I4845">
            <v>0</v>
          </cell>
          <cell r="J4845">
            <v>0</v>
          </cell>
          <cell r="K4845">
            <v>0</v>
          </cell>
          <cell r="L4845">
            <v>0</v>
          </cell>
          <cell r="M4845">
            <v>0</v>
          </cell>
          <cell r="N4845">
            <v>0</v>
          </cell>
          <cell r="O4845">
            <v>0</v>
          </cell>
        </row>
        <row r="4846">
          <cell r="A4846" t="str">
            <v>Auto PortugalNEA - Floating Rate</v>
          </cell>
          <cell r="B4846">
            <v>0</v>
          </cell>
          <cell r="C4846">
            <v>0</v>
          </cell>
          <cell r="D4846">
            <v>0</v>
          </cell>
          <cell r="E4846">
            <v>0</v>
          </cell>
          <cell r="F4846">
            <v>0</v>
          </cell>
          <cell r="G4846">
            <v>0</v>
          </cell>
          <cell r="H4846">
            <v>0</v>
          </cell>
          <cell r="I4846">
            <v>0</v>
          </cell>
          <cell r="J4846">
            <v>0</v>
          </cell>
          <cell r="K4846">
            <v>0</v>
          </cell>
          <cell r="L4846">
            <v>0</v>
          </cell>
          <cell r="M4846">
            <v>0</v>
          </cell>
          <cell r="N4846">
            <v>0</v>
          </cell>
          <cell r="O4846">
            <v>0</v>
          </cell>
        </row>
        <row r="4847">
          <cell r="A4847" t="str">
            <v>Auto PortugalReserves - FX Gain / Loss</v>
          </cell>
          <cell r="B4847">
            <v>2400281.96</v>
          </cell>
          <cell r="C4847">
            <v>2559728.4700000002</v>
          </cell>
          <cell r="D4847">
            <v>2254614.2999999998</v>
          </cell>
          <cell r="E4847">
            <v>2315185.71</v>
          </cell>
          <cell r="F4847">
            <v>2315185.71</v>
          </cell>
          <cell r="G4847">
            <v>0</v>
          </cell>
          <cell r="H4847">
            <v>0</v>
          </cell>
          <cell r="I4847">
            <v>0</v>
          </cell>
          <cell r="J4847">
            <v>0</v>
          </cell>
          <cell r="K4847">
            <v>0</v>
          </cell>
          <cell r="L4847">
            <v>2583609.46</v>
          </cell>
          <cell r="M4847">
            <v>0</v>
          </cell>
          <cell r="N4847">
            <v>0</v>
          </cell>
          <cell r="O4847">
            <v>0</v>
          </cell>
        </row>
        <row r="4848">
          <cell r="A4848" t="str">
            <v>Auto PortugalReserves - Provisons</v>
          </cell>
          <cell r="B4848">
            <v>-724231.7</v>
          </cell>
          <cell r="C4848">
            <v>-1607081.23</v>
          </cell>
          <cell r="D4848">
            <v>-2832659.55</v>
          </cell>
          <cell r="E4848">
            <v>-11802475.970000001</v>
          </cell>
          <cell r="F4848">
            <v>-11802475.970000001</v>
          </cell>
          <cell r="G4848">
            <v>0</v>
          </cell>
          <cell r="H4848">
            <v>0</v>
          </cell>
          <cell r="I4848">
            <v>0</v>
          </cell>
          <cell r="J4848">
            <v>0</v>
          </cell>
          <cell r="K4848">
            <v>0</v>
          </cell>
          <cell r="L4848">
            <v>-1115482.58</v>
          </cell>
          <cell r="M4848">
            <v>0</v>
          </cell>
          <cell r="N4848">
            <v>0</v>
          </cell>
          <cell r="O4848">
            <v>0</v>
          </cell>
        </row>
        <row r="4849">
          <cell r="A4849" t="str">
            <v>Auto PortugalReserves - Recoveries</v>
          </cell>
          <cell r="B4849">
            <v>0</v>
          </cell>
          <cell r="C4849">
            <v>0</v>
          </cell>
          <cell r="D4849">
            <v>0</v>
          </cell>
          <cell r="E4849">
            <v>0</v>
          </cell>
          <cell r="F4849">
            <v>0</v>
          </cell>
          <cell r="G4849">
            <v>0</v>
          </cell>
          <cell r="H4849">
            <v>0</v>
          </cell>
          <cell r="I4849">
            <v>0</v>
          </cell>
          <cell r="J4849">
            <v>0</v>
          </cell>
          <cell r="K4849">
            <v>0</v>
          </cell>
          <cell r="L4849">
            <v>0</v>
          </cell>
          <cell r="M4849">
            <v>0</v>
          </cell>
          <cell r="N4849">
            <v>0</v>
          </cell>
          <cell r="O4849">
            <v>0</v>
          </cell>
        </row>
        <row r="4850">
          <cell r="A4850" t="str">
            <v>Auto PortugalReserves - BOP</v>
          </cell>
          <cell r="B4850">
            <v>-7462550.5899999999</v>
          </cell>
          <cell r="C4850">
            <v>-7462550.5899999999</v>
          </cell>
          <cell r="D4850">
            <v>-7462550.5899999999</v>
          </cell>
          <cell r="E4850">
            <v>-7462550.5899999999</v>
          </cell>
          <cell r="F4850">
            <v>-7462550.5899999999</v>
          </cell>
          <cell r="G4850">
            <v>-12658461.076324999</v>
          </cell>
          <cell r="H4850">
            <v>-13558389.946514999</v>
          </cell>
          <cell r="I4850">
            <v>-14526523.830105999</v>
          </cell>
          <cell r="J4850">
            <v>-16640872.445843</v>
          </cell>
          <cell r="K4850">
            <v>-16640872.445843</v>
          </cell>
          <cell r="L4850">
            <v>-14747448.49</v>
          </cell>
          <cell r="M4850">
            <v>-10836647.530425999</v>
          </cell>
          <cell r="N4850">
            <v>-14793692.692363</v>
          </cell>
          <cell r="O4850">
            <v>-18635565.380874999</v>
          </cell>
        </row>
        <row r="4851">
          <cell r="A4851" t="str">
            <v>Auto PortugalReserves - Transfers &amp; Others</v>
          </cell>
          <cell r="B4851">
            <v>0</v>
          </cell>
          <cell r="C4851">
            <v>0</v>
          </cell>
          <cell r="D4851">
            <v>0</v>
          </cell>
          <cell r="E4851">
            <v>-524853.06999999995</v>
          </cell>
          <cell r="F4851">
            <v>-524853.06999999995</v>
          </cell>
          <cell r="G4851">
            <v>0</v>
          </cell>
          <cell r="H4851">
            <v>0</v>
          </cell>
          <cell r="I4851">
            <v>0</v>
          </cell>
          <cell r="J4851">
            <v>0</v>
          </cell>
          <cell r="K4851">
            <v>0</v>
          </cell>
          <cell r="L4851">
            <v>64627.7</v>
          </cell>
          <cell r="M4851">
            <v>0</v>
          </cell>
          <cell r="N4851">
            <v>0</v>
          </cell>
          <cell r="O4851">
            <v>0</v>
          </cell>
        </row>
        <row r="4852">
          <cell r="A4852" t="str">
            <v>Auto PortugalReserves - Write-Offs</v>
          </cell>
          <cell r="B4852">
            <v>730965</v>
          </cell>
          <cell r="C4852">
            <v>1724018.26</v>
          </cell>
          <cell r="D4852">
            <v>3126889.25</v>
          </cell>
          <cell r="E4852">
            <v>5042431.1399999997</v>
          </cell>
          <cell r="F4852">
            <v>5042431.1399999997</v>
          </cell>
          <cell r="G4852">
            <v>2056324.3855699999</v>
          </cell>
          <cell r="H4852">
            <v>3279883.7394119999</v>
          </cell>
          <cell r="I4852">
            <v>4473385.3585719997</v>
          </cell>
          <cell r="J4852">
            <v>5705626.2662180001</v>
          </cell>
          <cell r="K4852">
            <v>5705626.2662180001</v>
          </cell>
          <cell r="L4852">
            <v>2135176.1</v>
          </cell>
          <cell r="M4852">
            <v>4446121.4822979998</v>
          </cell>
          <cell r="N4852">
            <v>6365615.9976530001</v>
          </cell>
          <cell r="O4852">
            <v>8009775.2155539999</v>
          </cell>
        </row>
        <row r="4853">
          <cell r="A4853" t="str">
            <v>Auto Portugal780 FR Provision</v>
          </cell>
          <cell r="B4853">
            <v>645067.81999999995</v>
          </cell>
          <cell r="C4853">
            <v>934444.15</v>
          </cell>
          <cell r="D4853">
            <v>893841.08</v>
          </cell>
          <cell r="E4853">
            <v>7414505.1100000003</v>
          </cell>
          <cell r="F4853">
            <v>9887858.1600000001</v>
          </cell>
          <cell r="G4853">
            <v>0</v>
          </cell>
          <cell r="H4853">
            <v>0</v>
          </cell>
          <cell r="I4853">
            <v>0</v>
          </cell>
          <cell r="J4853">
            <v>0</v>
          </cell>
          <cell r="K4853">
            <v>0</v>
          </cell>
          <cell r="L4853">
            <v>646339.72</v>
          </cell>
          <cell r="M4853">
            <v>123353.50441199999</v>
          </cell>
          <cell r="N4853">
            <v>369849.110438</v>
          </cell>
          <cell r="O4853">
            <v>284791.28468500002</v>
          </cell>
        </row>
        <row r="4854">
          <cell r="A4854" t="str">
            <v>Auto Portugal780 FR Recovery</v>
          </cell>
          <cell r="B4854">
            <v>0</v>
          </cell>
          <cell r="C4854">
            <v>0</v>
          </cell>
          <cell r="D4854">
            <v>0</v>
          </cell>
          <cell r="E4854">
            <v>0</v>
          </cell>
          <cell r="F4854">
            <v>0</v>
          </cell>
          <cell r="G4854">
            <v>882446.56649799994</v>
          </cell>
          <cell r="H4854">
            <v>744419.17220999999</v>
          </cell>
          <cell r="I4854">
            <v>806544.28755300003</v>
          </cell>
          <cell r="J4854">
            <v>729712.10210699996</v>
          </cell>
          <cell r="K4854">
            <v>3163122.1283689998</v>
          </cell>
          <cell r="L4854">
            <v>0</v>
          </cell>
          <cell r="M4854">
            <v>4687413.6013730001</v>
          </cell>
          <cell r="N4854">
            <v>6643021.8722470002</v>
          </cell>
          <cell r="O4854">
            <v>8301490.5642330004</v>
          </cell>
        </row>
        <row r="4855">
          <cell r="A4855" t="str">
            <v>Auto Portugal781 LL Provision</v>
          </cell>
          <cell r="B4855">
            <v>0</v>
          </cell>
          <cell r="C4855">
            <v>0</v>
          </cell>
          <cell r="D4855">
            <v>0</v>
          </cell>
          <cell r="E4855">
            <v>0</v>
          </cell>
          <cell r="F4855">
            <v>0</v>
          </cell>
          <cell r="G4855">
            <v>0</v>
          </cell>
          <cell r="H4855">
            <v>0</v>
          </cell>
          <cell r="I4855">
            <v>0</v>
          </cell>
          <cell r="J4855">
            <v>0</v>
          </cell>
          <cell r="K4855">
            <v>0</v>
          </cell>
          <cell r="L4855">
            <v>0</v>
          </cell>
          <cell r="M4855">
            <v>0</v>
          </cell>
          <cell r="N4855">
            <v>0</v>
          </cell>
          <cell r="O4855">
            <v>0</v>
          </cell>
        </row>
        <row r="4856">
          <cell r="A4856" t="str">
            <v>Auto Portugal781 LL Recovery</v>
          </cell>
          <cell r="B4856">
            <v>0</v>
          </cell>
          <cell r="C4856">
            <v>0</v>
          </cell>
          <cell r="D4856">
            <v>0</v>
          </cell>
          <cell r="E4856">
            <v>0</v>
          </cell>
          <cell r="F4856">
            <v>0</v>
          </cell>
          <cell r="G4856">
            <v>0</v>
          </cell>
          <cell r="H4856">
            <v>0</v>
          </cell>
          <cell r="I4856">
            <v>0</v>
          </cell>
          <cell r="J4856">
            <v>0</v>
          </cell>
          <cell r="K4856">
            <v>0</v>
          </cell>
          <cell r="L4856">
            <v>0</v>
          </cell>
          <cell r="M4856">
            <v>0</v>
          </cell>
          <cell r="N4856">
            <v>0</v>
          </cell>
          <cell r="O4856">
            <v>0</v>
          </cell>
        </row>
        <row r="4857">
          <cell r="A4857" t="str">
            <v>Auto Portugal782 DF Provision</v>
          </cell>
          <cell r="B4857">
            <v>79163.88</v>
          </cell>
          <cell r="C4857">
            <v>-51594.61</v>
          </cell>
          <cell r="D4857">
            <v>331737.23</v>
          </cell>
          <cell r="E4857">
            <v>1555311.32</v>
          </cell>
          <cell r="F4857">
            <v>1914617.82</v>
          </cell>
          <cell r="G4857">
            <v>0</v>
          </cell>
          <cell r="H4857">
            <v>0</v>
          </cell>
          <cell r="I4857">
            <v>0</v>
          </cell>
          <cell r="J4857">
            <v>0</v>
          </cell>
          <cell r="K4857">
            <v>0</v>
          </cell>
          <cell r="L4857">
            <v>469142.86</v>
          </cell>
          <cell r="M4857">
            <v>0</v>
          </cell>
          <cell r="N4857">
            <v>0</v>
          </cell>
          <cell r="O4857">
            <v>0</v>
          </cell>
        </row>
        <row r="4858">
          <cell r="A4858" t="str">
            <v>Auto Portugal782 DF Recovery</v>
          </cell>
          <cell r="B4858">
            <v>0</v>
          </cell>
          <cell r="C4858">
            <v>0</v>
          </cell>
          <cell r="D4858">
            <v>0</v>
          </cell>
          <cell r="E4858">
            <v>0</v>
          </cell>
          <cell r="F4858">
            <v>0</v>
          </cell>
          <cell r="G4858">
            <v>0</v>
          </cell>
          <cell r="H4858">
            <v>0</v>
          </cell>
          <cell r="I4858">
            <v>0</v>
          </cell>
          <cell r="J4858">
            <v>0</v>
          </cell>
          <cell r="K4858">
            <v>0</v>
          </cell>
          <cell r="L4858">
            <v>0</v>
          </cell>
          <cell r="M4858">
            <v>0</v>
          </cell>
          <cell r="N4858">
            <v>0</v>
          </cell>
          <cell r="O4858">
            <v>0</v>
          </cell>
        </row>
        <row r="4859">
          <cell r="A4859" t="str">
            <v>Auto Portugal783 Corp Level Provision</v>
          </cell>
          <cell r="B4859">
            <v>0</v>
          </cell>
          <cell r="C4859">
            <v>0</v>
          </cell>
          <cell r="D4859">
            <v>0</v>
          </cell>
          <cell r="E4859">
            <v>0</v>
          </cell>
          <cell r="F4859">
            <v>0</v>
          </cell>
          <cell r="G4859">
            <v>0</v>
          </cell>
          <cell r="H4859">
            <v>0</v>
          </cell>
          <cell r="I4859">
            <v>0</v>
          </cell>
          <cell r="J4859">
            <v>0</v>
          </cell>
          <cell r="K4859">
            <v>0</v>
          </cell>
          <cell r="L4859">
            <v>0</v>
          </cell>
          <cell r="M4859">
            <v>0</v>
          </cell>
          <cell r="N4859">
            <v>0</v>
          </cell>
          <cell r="O4859">
            <v>0</v>
          </cell>
        </row>
        <row r="4860">
          <cell r="A4860" t="str">
            <v>Auto Portugal783 Corp Level Recovery</v>
          </cell>
          <cell r="B4860">
            <v>0</v>
          </cell>
          <cell r="C4860">
            <v>0</v>
          </cell>
          <cell r="D4860">
            <v>0</v>
          </cell>
          <cell r="E4860">
            <v>0</v>
          </cell>
          <cell r="F4860">
            <v>0</v>
          </cell>
          <cell r="G4860">
            <v>0</v>
          </cell>
          <cell r="H4860">
            <v>0</v>
          </cell>
          <cell r="I4860">
            <v>0</v>
          </cell>
          <cell r="J4860">
            <v>0</v>
          </cell>
          <cell r="K4860">
            <v>0</v>
          </cell>
          <cell r="L4860">
            <v>0</v>
          </cell>
          <cell r="M4860">
            <v>0</v>
          </cell>
          <cell r="N4860">
            <v>0</v>
          </cell>
          <cell r="O4860">
            <v>0</v>
          </cell>
        </row>
        <row r="4861">
          <cell r="A4861" t="str">
            <v>Auto Portugal784 Business Share Provision</v>
          </cell>
          <cell r="B4861">
            <v>-52043</v>
          </cell>
          <cell r="C4861">
            <v>-83566</v>
          </cell>
          <cell r="D4861">
            <v>-119502</v>
          </cell>
          <cell r="E4861">
            <v>-91709</v>
          </cell>
          <cell r="F4861">
            <v>-346820</v>
          </cell>
          <cell r="G4861">
            <v>0</v>
          </cell>
          <cell r="H4861">
            <v>0</v>
          </cell>
          <cell r="I4861">
            <v>0</v>
          </cell>
          <cell r="J4861">
            <v>0</v>
          </cell>
          <cell r="K4861">
            <v>0</v>
          </cell>
          <cell r="L4861">
            <v>-78238</v>
          </cell>
          <cell r="M4861">
            <v>0</v>
          </cell>
          <cell r="N4861">
            <v>0</v>
          </cell>
          <cell r="O4861">
            <v>0</v>
          </cell>
        </row>
        <row r="4862">
          <cell r="A4862" t="str">
            <v>Auto PortugalReserves - Business Sharing</v>
          </cell>
          <cell r="B4862">
            <v>649031</v>
          </cell>
          <cell r="C4862">
            <v>368458</v>
          </cell>
          <cell r="D4862">
            <v>468165</v>
          </cell>
          <cell r="E4862">
            <v>528943</v>
          </cell>
          <cell r="F4862">
            <v>528943</v>
          </cell>
          <cell r="G4862">
            <v>0</v>
          </cell>
          <cell r="H4862">
            <v>0</v>
          </cell>
          <cell r="I4862">
            <v>0</v>
          </cell>
          <cell r="J4862">
            <v>0</v>
          </cell>
          <cell r="K4862">
            <v>0</v>
          </cell>
          <cell r="L4862">
            <v>417742</v>
          </cell>
          <cell r="M4862">
            <v>0</v>
          </cell>
          <cell r="N4862">
            <v>0</v>
          </cell>
          <cell r="O4862">
            <v>0</v>
          </cell>
        </row>
        <row r="4863">
          <cell r="A4863" t="str">
            <v>Auto SpainNEA - Fixed Rate</v>
          </cell>
          <cell r="B4863">
            <v>0</v>
          </cell>
          <cell r="C4863">
            <v>0</v>
          </cell>
          <cell r="D4863">
            <v>0</v>
          </cell>
          <cell r="E4863">
            <v>0</v>
          </cell>
          <cell r="F4863">
            <v>0</v>
          </cell>
          <cell r="G4863">
            <v>0</v>
          </cell>
          <cell r="H4863">
            <v>0</v>
          </cell>
          <cell r="I4863">
            <v>0</v>
          </cell>
          <cell r="J4863">
            <v>0</v>
          </cell>
          <cell r="K4863">
            <v>0</v>
          </cell>
          <cell r="L4863">
            <v>0</v>
          </cell>
          <cell r="M4863">
            <v>0</v>
          </cell>
          <cell r="N4863">
            <v>0</v>
          </cell>
          <cell r="O4863">
            <v>0</v>
          </cell>
        </row>
        <row r="4864">
          <cell r="A4864" t="str">
            <v>Auto SpainNEA - Floating Rate</v>
          </cell>
          <cell r="B4864">
            <v>0</v>
          </cell>
          <cell r="C4864">
            <v>0</v>
          </cell>
          <cell r="D4864">
            <v>0</v>
          </cell>
          <cell r="E4864">
            <v>0</v>
          </cell>
          <cell r="F4864">
            <v>0</v>
          </cell>
          <cell r="G4864">
            <v>0</v>
          </cell>
          <cell r="H4864">
            <v>0</v>
          </cell>
          <cell r="I4864">
            <v>0</v>
          </cell>
          <cell r="J4864">
            <v>0</v>
          </cell>
          <cell r="K4864">
            <v>0</v>
          </cell>
          <cell r="L4864">
            <v>0</v>
          </cell>
          <cell r="M4864">
            <v>0</v>
          </cell>
          <cell r="N4864">
            <v>0</v>
          </cell>
          <cell r="O4864">
            <v>0</v>
          </cell>
        </row>
        <row r="4865">
          <cell r="A4865" t="str">
            <v>Auto SpainReserves - FX Gain / Loss</v>
          </cell>
          <cell r="B4865">
            <v>209800.58</v>
          </cell>
          <cell r="C4865">
            <v>317183.53999999998</v>
          </cell>
          <cell r="D4865">
            <v>153913.26999999999</v>
          </cell>
          <cell r="E4865">
            <v>205934.13</v>
          </cell>
          <cell r="F4865">
            <v>205934.13</v>
          </cell>
          <cell r="G4865">
            <v>0</v>
          </cell>
          <cell r="H4865">
            <v>0</v>
          </cell>
          <cell r="I4865">
            <v>0</v>
          </cell>
          <cell r="J4865">
            <v>0</v>
          </cell>
          <cell r="K4865">
            <v>0</v>
          </cell>
          <cell r="L4865">
            <v>270842</v>
          </cell>
          <cell r="M4865">
            <v>0</v>
          </cell>
          <cell r="N4865">
            <v>0</v>
          </cell>
          <cell r="O4865">
            <v>0</v>
          </cell>
        </row>
        <row r="4866">
          <cell r="A4866" t="str">
            <v>Auto SpainReserves - Provisons</v>
          </cell>
          <cell r="B4866">
            <v>-531654.55000000005</v>
          </cell>
          <cell r="C4866">
            <v>-1271271.55</v>
          </cell>
          <cell r="D4866">
            <v>-1701663.53</v>
          </cell>
          <cell r="E4866">
            <v>-3143335.47</v>
          </cell>
          <cell r="F4866">
            <v>-3143335.47</v>
          </cell>
          <cell r="G4866">
            <v>0</v>
          </cell>
          <cell r="H4866">
            <v>0</v>
          </cell>
          <cell r="I4866">
            <v>0</v>
          </cell>
          <cell r="J4866">
            <v>0</v>
          </cell>
          <cell r="K4866">
            <v>0</v>
          </cell>
          <cell r="L4866">
            <v>-714867.75</v>
          </cell>
          <cell r="M4866">
            <v>0</v>
          </cell>
          <cell r="N4866">
            <v>0</v>
          </cell>
          <cell r="O4866">
            <v>0</v>
          </cell>
        </row>
        <row r="4867">
          <cell r="A4867" t="str">
            <v>Auto SpainReserves - Recoveries</v>
          </cell>
          <cell r="B4867">
            <v>-316159.8</v>
          </cell>
          <cell r="C4867">
            <v>-588490.9</v>
          </cell>
          <cell r="D4867">
            <v>-906972.73</v>
          </cell>
          <cell r="E4867">
            <v>-2101576</v>
          </cell>
          <cell r="F4867">
            <v>-2101576</v>
          </cell>
          <cell r="G4867">
            <v>0</v>
          </cell>
          <cell r="H4867">
            <v>0</v>
          </cell>
          <cell r="I4867">
            <v>0</v>
          </cell>
          <cell r="J4867">
            <v>0</v>
          </cell>
          <cell r="K4867">
            <v>0</v>
          </cell>
          <cell r="L4867">
            <v>-702790.22</v>
          </cell>
          <cell r="M4867">
            <v>0</v>
          </cell>
          <cell r="N4867">
            <v>0</v>
          </cell>
          <cell r="O4867">
            <v>0</v>
          </cell>
        </row>
        <row r="4868">
          <cell r="A4868" t="str">
            <v>Auto SpainReserves - BOP</v>
          </cell>
          <cell r="B4868">
            <v>-3219922.63</v>
          </cell>
          <cell r="C4868">
            <v>-3219922.63</v>
          </cell>
          <cell r="D4868">
            <v>-3219922.63</v>
          </cell>
          <cell r="E4868">
            <v>-3219922.63</v>
          </cell>
          <cell r="F4868">
            <v>-3219922.63</v>
          </cell>
          <cell r="G4868">
            <v>-6817414.3940509995</v>
          </cell>
          <cell r="H4868">
            <v>-8007977.7342600003</v>
          </cell>
          <cell r="I4868">
            <v>-9104552.8947080001</v>
          </cell>
          <cell r="J4868">
            <v>-10277423.558254</v>
          </cell>
          <cell r="K4868">
            <v>-10277423.558254</v>
          </cell>
          <cell r="L4868">
            <v>-4372135.7300000004</v>
          </cell>
          <cell r="M4868">
            <v>-10290445.315253001</v>
          </cell>
          <cell r="N4868">
            <v>-16437876.685117001</v>
          </cell>
          <cell r="O4868">
            <v>-24110863.630594</v>
          </cell>
        </row>
        <row r="4869">
          <cell r="A4869" t="str">
            <v>Auto SpainReserves - Transfers &amp; Others</v>
          </cell>
          <cell r="B4869">
            <v>0</v>
          </cell>
          <cell r="C4869">
            <v>0</v>
          </cell>
          <cell r="D4869">
            <v>0</v>
          </cell>
          <cell r="E4869">
            <v>0</v>
          </cell>
          <cell r="F4869">
            <v>0</v>
          </cell>
          <cell r="G4869">
            <v>0</v>
          </cell>
          <cell r="H4869">
            <v>0</v>
          </cell>
          <cell r="I4869">
            <v>0</v>
          </cell>
          <cell r="J4869">
            <v>0</v>
          </cell>
          <cell r="K4869">
            <v>0</v>
          </cell>
          <cell r="L4869">
            <v>0</v>
          </cell>
          <cell r="M4869">
            <v>0</v>
          </cell>
          <cell r="N4869">
            <v>0</v>
          </cell>
          <cell r="O4869">
            <v>0</v>
          </cell>
        </row>
        <row r="4870">
          <cell r="A4870" t="str">
            <v>Auto SpainReserves - Write-Offs</v>
          </cell>
          <cell r="B4870">
            <v>704579.78</v>
          </cell>
          <cell r="C4870">
            <v>1808816.65</v>
          </cell>
          <cell r="D4870">
            <v>2835373.05</v>
          </cell>
          <cell r="E4870">
            <v>4092698.37</v>
          </cell>
          <cell r="F4870">
            <v>4092698.37</v>
          </cell>
          <cell r="G4870">
            <v>2940531.09418</v>
          </cell>
          <cell r="H4870">
            <v>3661245.5438250001</v>
          </cell>
          <cell r="I4870">
            <v>4410330.4840219999</v>
          </cell>
          <cell r="J4870">
            <v>5174878.6884700004</v>
          </cell>
          <cell r="K4870">
            <v>5174878.6884700004</v>
          </cell>
          <cell r="L4870">
            <v>975124.37</v>
          </cell>
          <cell r="M4870">
            <v>6356763.8840439999</v>
          </cell>
          <cell r="N4870">
            <v>9951986.8375509996</v>
          </cell>
          <cell r="O4870">
            <v>14309735.038930999</v>
          </cell>
        </row>
        <row r="4871">
          <cell r="A4871" t="str">
            <v>Auto Spain780 FR Provision</v>
          </cell>
          <cell r="B4871">
            <v>290997.24</v>
          </cell>
          <cell r="C4871">
            <v>419406.08000000002</v>
          </cell>
          <cell r="D4871">
            <v>599151.21</v>
          </cell>
          <cell r="E4871">
            <v>1273072.75</v>
          </cell>
          <cell r="F4871">
            <v>2582627.2799999998</v>
          </cell>
          <cell r="G4871">
            <v>0</v>
          </cell>
          <cell r="H4871">
            <v>0</v>
          </cell>
          <cell r="I4871">
            <v>0</v>
          </cell>
          <cell r="J4871">
            <v>0</v>
          </cell>
          <cell r="K4871">
            <v>0</v>
          </cell>
          <cell r="L4871">
            <v>695562.55</v>
          </cell>
          <cell r="M4871">
            <v>0</v>
          </cell>
          <cell r="N4871">
            <v>0</v>
          </cell>
          <cell r="O4871">
            <v>0</v>
          </cell>
        </row>
        <row r="4872">
          <cell r="A4872" t="str">
            <v>Auto Spain780 FR Recovery</v>
          </cell>
          <cell r="B4872">
            <v>160693.82</v>
          </cell>
          <cell r="C4872">
            <v>86277.31</v>
          </cell>
          <cell r="D4872">
            <v>-246971.13</v>
          </cell>
          <cell r="E4872">
            <v>-2540.58</v>
          </cell>
          <cell r="F4872">
            <v>-2540.58</v>
          </cell>
          <cell r="G4872">
            <v>657501.89180900005</v>
          </cell>
          <cell r="H4872">
            <v>798216.66230900004</v>
          </cell>
          <cell r="I4872">
            <v>709399.69547200005</v>
          </cell>
          <cell r="J4872">
            <v>671485.97056499997</v>
          </cell>
          <cell r="K4872">
            <v>2836604.2201550002</v>
          </cell>
          <cell r="L4872">
            <v>0</v>
          </cell>
          <cell r="M4872">
            <v>4760451.0997519996</v>
          </cell>
          <cell r="N4872">
            <v>6147431.369864</v>
          </cell>
          <cell r="O4872">
            <v>7672986.9454770004</v>
          </cell>
        </row>
        <row r="4873">
          <cell r="A4873" t="str">
            <v>Auto Spain781 LL Provision</v>
          </cell>
          <cell r="B4873">
            <v>0</v>
          </cell>
          <cell r="C4873">
            <v>0</v>
          </cell>
          <cell r="D4873">
            <v>0</v>
          </cell>
          <cell r="E4873">
            <v>0</v>
          </cell>
          <cell r="F4873">
            <v>0</v>
          </cell>
          <cell r="G4873">
            <v>0</v>
          </cell>
          <cell r="H4873">
            <v>0</v>
          </cell>
          <cell r="I4873">
            <v>0</v>
          </cell>
          <cell r="J4873">
            <v>0</v>
          </cell>
          <cell r="K4873">
            <v>0</v>
          </cell>
          <cell r="L4873">
            <v>0</v>
          </cell>
          <cell r="M4873">
            <v>0</v>
          </cell>
          <cell r="N4873">
            <v>0</v>
          </cell>
          <cell r="O4873">
            <v>0</v>
          </cell>
        </row>
        <row r="4874">
          <cell r="A4874" t="str">
            <v>Auto Spain781 LL Recovery</v>
          </cell>
          <cell r="B4874">
            <v>0</v>
          </cell>
          <cell r="C4874">
            <v>0</v>
          </cell>
          <cell r="D4874">
            <v>0</v>
          </cell>
          <cell r="E4874">
            <v>0</v>
          </cell>
          <cell r="F4874">
            <v>0</v>
          </cell>
          <cell r="G4874">
            <v>0</v>
          </cell>
          <cell r="H4874">
            <v>0</v>
          </cell>
          <cell r="I4874">
            <v>0</v>
          </cell>
          <cell r="J4874">
            <v>0</v>
          </cell>
          <cell r="K4874">
            <v>0</v>
          </cell>
          <cell r="L4874">
            <v>0</v>
          </cell>
          <cell r="M4874">
            <v>0</v>
          </cell>
          <cell r="N4874">
            <v>0</v>
          </cell>
          <cell r="O4874">
            <v>0</v>
          </cell>
        </row>
        <row r="4875">
          <cell r="A4875" t="str">
            <v>Auto Spain782 DF Provision</v>
          </cell>
          <cell r="B4875">
            <v>79963.48</v>
          </cell>
          <cell r="C4875">
            <v>233933.62</v>
          </cell>
          <cell r="D4875">
            <v>78211.83</v>
          </cell>
          <cell r="E4875">
            <v>171139.52</v>
          </cell>
          <cell r="F4875">
            <v>563248.44999999995</v>
          </cell>
          <cell r="G4875">
            <v>0</v>
          </cell>
          <cell r="H4875">
            <v>0</v>
          </cell>
          <cell r="I4875">
            <v>0</v>
          </cell>
          <cell r="J4875">
            <v>0</v>
          </cell>
          <cell r="K4875">
            <v>0</v>
          </cell>
          <cell r="L4875">
            <v>19538.8</v>
          </cell>
          <cell r="M4875">
            <v>0</v>
          </cell>
          <cell r="N4875">
            <v>0</v>
          </cell>
          <cell r="O4875">
            <v>0</v>
          </cell>
        </row>
        <row r="4876">
          <cell r="A4876" t="str">
            <v>Auto Spain782 DF Recovery</v>
          </cell>
          <cell r="B4876">
            <v>0</v>
          </cell>
          <cell r="C4876">
            <v>0</v>
          </cell>
          <cell r="D4876">
            <v>0</v>
          </cell>
          <cell r="E4876">
            <v>0</v>
          </cell>
          <cell r="F4876">
            <v>0</v>
          </cell>
          <cell r="G4876">
            <v>0</v>
          </cell>
          <cell r="H4876">
            <v>0</v>
          </cell>
          <cell r="I4876">
            <v>0</v>
          </cell>
          <cell r="J4876">
            <v>0</v>
          </cell>
          <cell r="K4876">
            <v>0</v>
          </cell>
          <cell r="L4876">
            <v>0</v>
          </cell>
          <cell r="M4876">
            <v>0</v>
          </cell>
          <cell r="N4876">
            <v>0</v>
          </cell>
          <cell r="O4876">
            <v>0</v>
          </cell>
        </row>
        <row r="4877">
          <cell r="A4877" t="str">
            <v>Auto Spain783 Corp Level Provision</v>
          </cell>
          <cell r="B4877">
            <v>0</v>
          </cell>
          <cell r="C4877">
            <v>0</v>
          </cell>
          <cell r="D4877">
            <v>0</v>
          </cell>
          <cell r="E4877">
            <v>0</v>
          </cell>
          <cell r="F4877">
            <v>0</v>
          </cell>
          <cell r="G4877">
            <v>0</v>
          </cell>
          <cell r="H4877">
            <v>0</v>
          </cell>
          <cell r="I4877">
            <v>0</v>
          </cell>
          <cell r="J4877">
            <v>0</v>
          </cell>
          <cell r="K4877">
            <v>0</v>
          </cell>
          <cell r="L4877">
            <v>0</v>
          </cell>
          <cell r="M4877">
            <v>0</v>
          </cell>
          <cell r="N4877">
            <v>0</v>
          </cell>
          <cell r="O4877">
            <v>0</v>
          </cell>
        </row>
        <row r="4878">
          <cell r="A4878" t="str">
            <v>Auto Spain783 Corp Level Recovery</v>
          </cell>
          <cell r="B4878">
            <v>0</v>
          </cell>
          <cell r="C4878">
            <v>0</v>
          </cell>
          <cell r="D4878">
            <v>0</v>
          </cell>
          <cell r="E4878">
            <v>0</v>
          </cell>
          <cell r="F4878">
            <v>0</v>
          </cell>
          <cell r="G4878">
            <v>0</v>
          </cell>
          <cell r="H4878">
            <v>0</v>
          </cell>
          <cell r="I4878">
            <v>0</v>
          </cell>
          <cell r="J4878">
            <v>0</v>
          </cell>
          <cell r="K4878">
            <v>0</v>
          </cell>
          <cell r="L4878">
            <v>0</v>
          </cell>
          <cell r="M4878">
            <v>0</v>
          </cell>
          <cell r="N4878">
            <v>0</v>
          </cell>
          <cell r="O4878">
            <v>0</v>
          </cell>
        </row>
        <row r="4879">
          <cell r="A4879" t="str">
            <v>Auto Spain784 Business Share Provision</v>
          </cell>
          <cell r="B4879">
            <v>-34033</v>
          </cell>
          <cell r="C4879">
            <v>-159387.63</v>
          </cell>
          <cell r="D4879">
            <v>-15576.68</v>
          </cell>
          <cell r="E4879">
            <v>-78526.83</v>
          </cell>
          <cell r="F4879">
            <v>-287524.14</v>
          </cell>
          <cell r="G4879">
            <v>0</v>
          </cell>
          <cell r="H4879">
            <v>0</v>
          </cell>
          <cell r="I4879">
            <v>0</v>
          </cell>
          <cell r="J4879">
            <v>0</v>
          </cell>
          <cell r="K4879">
            <v>0</v>
          </cell>
          <cell r="L4879">
            <v>66246.78</v>
          </cell>
          <cell r="M4879">
            <v>0</v>
          </cell>
          <cell r="N4879">
            <v>0</v>
          </cell>
          <cell r="O4879">
            <v>0</v>
          </cell>
        </row>
        <row r="4880">
          <cell r="A4880" t="str">
            <v>Auto SpainReserves - Business Sharing</v>
          </cell>
          <cell r="B4880">
            <v>272938</v>
          </cell>
          <cell r="C4880">
            <v>272938</v>
          </cell>
          <cell r="D4880">
            <v>447520.49</v>
          </cell>
          <cell r="E4880">
            <v>526047.31999999995</v>
          </cell>
          <cell r="F4880">
            <v>526047.31999999995</v>
          </cell>
          <cell r="G4880">
            <v>0</v>
          </cell>
          <cell r="H4880">
            <v>0</v>
          </cell>
          <cell r="I4880">
            <v>0</v>
          </cell>
          <cell r="J4880">
            <v>0</v>
          </cell>
          <cell r="K4880">
            <v>0</v>
          </cell>
          <cell r="L4880">
            <v>459800.54</v>
          </cell>
          <cell r="M4880">
            <v>0</v>
          </cell>
          <cell r="N4880">
            <v>0</v>
          </cell>
          <cell r="O4880">
            <v>0</v>
          </cell>
        </row>
        <row r="4881">
          <cell r="A4881" t="str">
            <v>Auto UKNEA - Fixed Rate</v>
          </cell>
          <cell r="B4881">
            <v>0</v>
          </cell>
          <cell r="C4881">
            <v>0</v>
          </cell>
          <cell r="D4881">
            <v>0</v>
          </cell>
          <cell r="E4881">
            <v>0</v>
          </cell>
          <cell r="F4881">
            <v>0</v>
          </cell>
          <cell r="G4881">
            <v>0</v>
          </cell>
          <cell r="H4881">
            <v>0</v>
          </cell>
          <cell r="I4881">
            <v>0</v>
          </cell>
          <cell r="J4881">
            <v>0</v>
          </cell>
          <cell r="K4881">
            <v>0</v>
          </cell>
          <cell r="L4881">
            <v>0</v>
          </cell>
          <cell r="M4881">
            <v>0</v>
          </cell>
          <cell r="N4881">
            <v>0</v>
          </cell>
          <cell r="O4881">
            <v>0</v>
          </cell>
        </row>
        <row r="4882">
          <cell r="A4882" t="str">
            <v>Auto UKNEA - Floating Rate</v>
          </cell>
          <cell r="B4882">
            <v>0</v>
          </cell>
          <cell r="C4882">
            <v>0</v>
          </cell>
          <cell r="D4882">
            <v>0</v>
          </cell>
          <cell r="E4882">
            <v>0</v>
          </cell>
          <cell r="F4882">
            <v>0</v>
          </cell>
          <cell r="G4882">
            <v>0</v>
          </cell>
          <cell r="H4882">
            <v>0</v>
          </cell>
          <cell r="I4882">
            <v>0</v>
          </cell>
          <cell r="J4882">
            <v>0</v>
          </cell>
          <cell r="K4882">
            <v>0</v>
          </cell>
          <cell r="L4882">
            <v>0</v>
          </cell>
          <cell r="M4882">
            <v>0</v>
          </cell>
          <cell r="N4882">
            <v>0</v>
          </cell>
          <cell r="O4882">
            <v>0</v>
          </cell>
        </row>
        <row r="4883">
          <cell r="A4883" t="str">
            <v>Auto UKReserves - FX Gain / Loss</v>
          </cell>
          <cell r="B4883">
            <v>6876747.3799999999</v>
          </cell>
          <cell r="C4883">
            <v>8045082.9699999997</v>
          </cell>
          <cell r="D4883">
            <v>5329199.47</v>
          </cell>
          <cell r="E4883">
            <v>6009912.54</v>
          </cell>
          <cell r="F4883">
            <v>6009912.54</v>
          </cell>
          <cell r="G4883">
            <v>0</v>
          </cell>
          <cell r="H4883">
            <v>0</v>
          </cell>
          <cell r="I4883">
            <v>0</v>
          </cell>
          <cell r="J4883">
            <v>0</v>
          </cell>
          <cell r="K4883">
            <v>0</v>
          </cell>
          <cell r="L4883">
            <v>7365724.9199999999</v>
          </cell>
          <cell r="M4883">
            <v>0</v>
          </cell>
          <cell r="N4883">
            <v>0</v>
          </cell>
          <cell r="O4883">
            <v>0</v>
          </cell>
        </row>
        <row r="4884">
          <cell r="A4884" t="str">
            <v>Auto UKReserves - Provisons</v>
          </cell>
          <cell r="B4884">
            <v>-8858315.75</v>
          </cell>
          <cell r="C4884">
            <v>-24524508.829999998</v>
          </cell>
          <cell r="D4884">
            <v>-37035923.649999999</v>
          </cell>
          <cell r="E4884">
            <v>-44678522.420000002</v>
          </cell>
          <cell r="F4884">
            <v>-44678522.420000002</v>
          </cell>
          <cell r="G4884">
            <v>0</v>
          </cell>
          <cell r="H4884">
            <v>0</v>
          </cell>
          <cell r="I4884">
            <v>0</v>
          </cell>
          <cell r="J4884">
            <v>0</v>
          </cell>
          <cell r="K4884">
            <v>0</v>
          </cell>
          <cell r="L4884">
            <v>-7624610.0800000001</v>
          </cell>
          <cell r="M4884">
            <v>0</v>
          </cell>
          <cell r="N4884">
            <v>0</v>
          </cell>
          <cell r="O4884">
            <v>0</v>
          </cell>
        </row>
        <row r="4885">
          <cell r="A4885" t="str">
            <v>Auto UKReserves - Recoveries</v>
          </cell>
          <cell r="B4885">
            <v>-2352288.44</v>
          </cell>
          <cell r="C4885">
            <v>-4793110.6900000004</v>
          </cell>
          <cell r="D4885">
            <v>-8470168.4800000004</v>
          </cell>
          <cell r="E4885">
            <v>-17265845.109999999</v>
          </cell>
          <cell r="F4885">
            <v>-17265845.109999999</v>
          </cell>
          <cell r="G4885">
            <v>0</v>
          </cell>
          <cell r="H4885">
            <v>0</v>
          </cell>
          <cell r="I4885">
            <v>0</v>
          </cell>
          <cell r="J4885">
            <v>0</v>
          </cell>
          <cell r="K4885">
            <v>0</v>
          </cell>
          <cell r="L4885">
            <v>-1694401.04</v>
          </cell>
          <cell r="M4885">
            <v>0</v>
          </cell>
          <cell r="N4885">
            <v>0</v>
          </cell>
          <cell r="O4885">
            <v>0</v>
          </cell>
        </row>
        <row r="4886">
          <cell r="A4886" t="str">
            <v>Auto UKReserves - BOP</v>
          </cell>
          <cell r="B4886">
            <v>-53955065.799999997</v>
          </cell>
          <cell r="C4886">
            <v>-53955065.799999997</v>
          </cell>
          <cell r="D4886">
            <v>-53955065.799999997</v>
          </cell>
          <cell r="E4886">
            <v>-53955065.799999997</v>
          </cell>
          <cell r="F4886">
            <v>-53955065.799999997</v>
          </cell>
          <cell r="G4886">
            <v>-76862885.392453</v>
          </cell>
          <cell r="H4886">
            <v>-89706611.219710007</v>
          </cell>
          <cell r="I4886">
            <v>-102615707.434972</v>
          </cell>
          <cell r="J4886">
            <v>-113518694.086014</v>
          </cell>
          <cell r="K4886">
            <v>-113518694.086014</v>
          </cell>
          <cell r="L4886">
            <v>-57406095.740000002</v>
          </cell>
          <cell r="M4886">
            <v>-98247551.988105997</v>
          </cell>
          <cell r="N4886">
            <v>-108579986.034192</v>
          </cell>
          <cell r="O4886">
            <v>-114237499.574545</v>
          </cell>
        </row>
        <row r="4887">
          <cell r="A4887" t="str">
            <v>Auto UKReserves - Transfers &amp; Others</v>
          </cell>
          <cell r="B4887">
            <v>0</v>
          </cell>
          <cell r="C4887">
            <v>-2881863.76</v>
          </cell>
          <cell r="D4887">
            <v>-2650933.84</v>
          </cell>
          <cell r="E4887">
            <v>6301925.9900000002</v>
          </cell>
          <cell r="F4887">
            <v>6301925.9900000002</v>
          </cell>
          <cell r="G4887">
            <v>0</v>
          </cell>
          <cell r="H4887">
            <v>0</v>
          </cell>
          <cell r="I4887">
            <v>0</v>
          </cell>
          <cell r="J4887">
            <v>0</v>
          </cell>
          <cell r="K4887">
            <v>0</v>
          </cell>
          <cell r="L4887">
            <v>4910822.3899999997</v>
          </cell>
          <cell r="M4887">
            <v>0</v>
          </cell>
          <cell r="N4887">
            <v>0</v>
          </cell>
          <cell r="O4887">
            <v>0</v>
          </cell>
        </row>
        <row r="4888">
          <cell r="A4888" t="str">
            <v>Auto UKReserves - Write-Offs</v>
          </cell>
          <cell r="B4888">
            <v>13081436.91</v>
          </cell>
          <cell r="C4888">
            <v>25344183.079999998</v>
          </cell>
          <cell r="D4888">
            <v>37237467.689999998</v>
          </cell>
          <cell r="E4888">
            <v>52191411.600000001</v>
          </cell>
          <cell r="F4888">
            <v>52191411.600000001</v>
          </cell>
          <cell r="G4888">
            <v>11349708.512399999</v>
          </cell>
          <cell r="H4888">
            <v>21811134.055199999</v>
          </cell>
          <cell r="I4888">
            <v>31951654.013999999</v>
          </cell>
          <cell r="J4888">
            <v>41635833.0348</v>
          </cell>
          <cell r="K4888">
            <v>41635833.0348</v>
          </cell>
          <cell r="L4888">
            <v>10349242.619999999</v>
          </cell>
          <cell r="M4888">
            <v>43221728.869000003</v>
          </cell>
          <cell r="N4888">
            <v>51933499.248000003</v>
          </cell>
          <cell r="O4888">
            <v>54481504.259999998</v>
          </cell>
        </row>
        <row r="4889">
          <cell r="A4889" t="str">
            <v>Auto UK780 FR Provision</v>
          </cell>
          <cell r="B4889">
            <v>22501588.440000001</v>
          </cell>
          <cell r="C4889">
            <v>28796421.789999999</v>
          </cell>
          <cell r="D4889">
            <v>25748905.260000002</v>
          </cell>
          <cell r="E4889">
            <v>22425629.98</v>
          </cell>
          <cell r="F4889">
            <v>99472545.469999999</v>
          </cell>
          <cell r="G4889">
            <v>0</v>
          </cell>
          <cell r="H4889">
            <v>0</v>
          </cell>
          <cell r="I4889">
            <v>0</v>
          </cell>
          <cell r="J4889">
            <v>0</v>
          </cell>
          <cell r="K4889">
            <v>0</v>
          </cell>
          <cell r="L4889">
            <v>21210377.379999999</v>
          </cell>
          <cell r="M4889">
            <v>0</v>
          </cell>
          <cell r="N4889">
            <v>0</v>
          </cell>
          <cell r="O4889">
            <v>0</v>
          </cell>
        </row>
        <row r="4890">
          <cell r="A4890" t="str">
            <v>Auto UK780 FR Recovery</v>
          </cell>
          <cell r="B4890">
            <v>-13643272.800000001</v>
          </cell>
          <cell r="C4890">
            <v>-13130229.470000001</v>
          </cell>
          <cell r="D4890">
            <v>-13237490.699999999</v>
          </cell>
          <cell r="E4890">
            <v>-14783031.289999999</v>
          </cell>
          <cell r="F4890">
            <v>-54794024.259999998</v>
          </cell>
          <cell r="G4890">
            <v>9678575.3904490005</v>
          </cell>
          <cell r="H4890">
            <v>9981118.3522079997</v>
          </cell>
          <cell r="I4890">
            <v>10004141.165646</v>
          </cell>
          <cell r="J4890">
            <v>8079082.5600199997</v>
          </cell>
          <cell r="K4890">
            <v>37742917.468323</v>
          </cell>
          <cell r="L4890">
            <v>-13585767.390000001</v>
          </cell>
          <cell r="M4890">
            <v>43254404.778948002</v>
          </cell>
          <cell r="N4890">
            <v>45846780.777236</v>
          </cell>
          <cell r="O4890">
            <v>48409896.792531997</v>
          </cell>
        </row>
        <row r="4891">
          <cell r="A4891" t="str">
            <v>Auto UK781 LL Provision</v>
          </cell>
          <cell r="B4891">
            <v>0</v>
          </cell>
          <cell r="C4891">
            <v>0</v>
          </cell>
          <cell r="D4891">
            <v>0</v>
          </cell>
          <cell r="E4891">
            <v>0</v>
          </cell>
          <cell r="F4891">
            <v>0</v>
          </cell>
          <cell r="G4891">
            <v>0</v>
          </cell>
          <cell r="H4891">
            <v>0</v>
          </cell>
          <cell r="I4891">
            <v>0</v>
          </cell>
          <cell r="J4891">
            <v>0</v>
          </cell>
          <cell r="K4891">
            <v>0</v>
          </cell>
          <cell r="L4891">
            <v>0</v>
          </cell>
          <cell r="M4891">
            <v>0</v>
          </cell>
          <cell r="N4891">
            <v>0</v>
          </cell>
          <cell r="O4891">
            <v>0</v>
          </cell>
        </row>
        <row r="4892">
          <cell r="A4892" t="str">
            <v>Auto UK781 LL Recovery</v>
          </cell>
          <cell r="B4892">
            <v>0</v>
          </cell>
          <cell r="C4892">
            <v>0</v>
          </cell>
          <cell r="D4892">
            <v>0</v>
          </cell>
          <cell r="E4892">
            <v>0</v>
          </cell>
          <cell r="F4892">
            <v>0</v>
          </cell>
          <cell r="G4892">
            <v>0</v>
          </cell>
          <cell r="H4892">
            <v>0</v>
          </cell>
          <cell r="I4892">
            <v>0</v>
          </cell>
          <cell r="J4892">
            <v>0</v>
          </cell>
          <cell r="K4892">
            <v>0</v>
          </cell>
          <cell r="L4892">
            <v>0</v>
          </cell>
          <cell r="M4892">
            <v>0</v>
          </cell>
          <cell r="N4892">
            <v>0</v>
          </cell>
          <cell r="O4892">
            <v>0</v>
          </cell>
        </row>
        <row r="4893">
          <cell r="A4893" t="str">
            <v>Auto UK782 DF Provision</v>
          </cell>
          <cell r="B4893">
            <v>0</v>
          </cell>
          <cell r="C4893">
            <v>0</v>
          </cell>
          <cell r="D4893">
            <v>0</v>
          </cell>
          <cell r="E4893">
            <v>0</v>
          </cell>
          <cell r="F4893">
            <v>0</v>
          </cell>
          <cell r="G4893">
            <v>0</v>
          </cell>
          <cell r="H4893">
            <v>0</v>
          </cell>
          <cell r="I4893">
            <v>0</v>
          </cell>
          <cell r="J4893">
            <v>0</v>
          </cell>
          <cell r="K4893">
            <v>0</v>
          </cell>
          <cell r="L4893">
            <v>0</v>
          </cell>
          <cell r="M4893">
            <v>0</v>
          </cell>
          <cell r="N4893">
            <v>0</v>
          </cell>
          <cell r="O4893">
            <v>0</v>
          </cell>
        </row>
        <row r="4894">
          <cell r="A4894" t="str">
            <v>Auto UK782 DF Recovery</v>
          </cell>
          <cell r="B4894">
            <v>0</v>
          </cell>
          <cell r="C4894">
            <v>0</v>
          </cell>
          <cell r="D4894">
            <v>0</v>
          </cell>
          <cell r="E4894">
            <v>0</v>
          </cell>
          <cell r="F4894">
            <v>0</v>
          </cell>
          <cell r="G4894">
            <v>0</v>
          </cell>
          <cell r="H4894">
            <v>0</v>
          </cell>
          <cell r="I4894">
            <v>0</v>
          </cell>
          <cell r="J4894">
            <v>0</v>
          </cell>
          <cell r="K4894">
            <v>0</v>
          </cell>
          <cell r="L4894">
            <v>0</v>
          </cell>
          <cell r="M4894">
            <v>0</v>
          </cell>
          <cell r="N4894">
            <v>0</v>
          </cell>
          <cell r="O4894">
            <v>0</v>
          </cell>
        </row>
        <row r="4895">
          <cell r="A4895" t="str">
            <v>Auto UK783 Corp Level Provision</v>
          </cell>
          <cell r="B4895">
            <v>0</v>
          </cell>
          <cell r="C4895">
            <v>0</v>
          </cell>
          <cell r="D4895">
            <v>0</v>
          </cell>
          <cell r="E4895">
            <v>0</v>
          </cell>
          <cell r="F4895">
            <v>0</v>
          </cell>
          <cell r="G4895">
            <v>0</v>
          </cell>
          <cell r="H4895">
            <v>0</v>
          </cell>
          <cell r="I4895">
            <v>0</v>
          </cell>
          <cell r="J4895">
            <v>0</v>
          </cell>
          <cell r="K4895">
            <v>0</v>
          </cell>
          <cell r="L4895">
            <v>0</v>
          </cell>
          <cell r="M4895">
            <v>0</v>
          </cell>
          <cell r="N4895">
            <v>0</v>
          </cell>
          <cell r="O4895">
            <v>0</v>
          </cell>
        </row>
        <row r="4896">
          <cell r="A4896" t="str">
            <v>Auto UK783 Corp Level Recovery</v>
          </cell>
          <cell r="B4896">
            <v>0</v>
          </cell>
          <cell r="C4896">
            <v>0</v>
          </cell>
          <cell r="D4896">
            <v>0</v>
          </cell>
          <cell r="E4896">
            <v>0</v>
          </cell>
          <cell r="F4896">
            <v>0</v>
          </cell>
          <cell r="G4896">
            <v>0</v>
          </cell>
          <cell r="H4896">
            <v>0</v>
          </cell>
          <cell r="I4896">
            <v>0</v>
          </cell>
          <cell r="J4896">
            <v>0</v>
          </cell>
          <cell r="K4896">
            <v>0</v>
          </cell>
          <cell r="L4896">
            <v>0</v>
          </cell>
          <cell r="M4896">
            <v>0</v>
          </cell>
          <cell r="N4896">
            <v>0</v>
          </cell>
          <cell r="O4896">
            <v>0</v>
          </cell>
        </row>
        <row r="4897">
          <cell r="A4897" t="str">
            <v>Auto UK784 Business Share Provision</v>
          </cell>
          <cell r="B4897">
            <v>0</v>
          </cell>
          <cell r="C4897">
            <v>0</v>
          </cell>
          <cell r="D4897">
            <v>777356</v>
          </cell>
          <cell r="E4897">
            <v>489055</v>
          </cell>
          <cell r="F4897">
            <v>1266411</v>
          </cell>
          <cell r="G4897">
            <v>0</v>
          </cell>
          <cell r="H4897">
            <v>0</v>
          </cell>
          <cell r="I4897">
            <v>0</v>
          </cell>
          <cell r="J4897">
            <v>0</v>
          </cell>
          <cell r="K4897">
            <v>0</v>
          </cell>
          <cell r="L4897">
            <v>120561</v>
          </cell>
          <cell r="M4897">
            <v>0</v>
          </cell>
          <cell r="N4897">
            <v>0</v>
          </cell>
          <cell r="O4897">
            <v>0</v>
          </cell>
        </row>
        <row r="4898">
          <cell r="A4898" t="str">
            <v>Auto UKReserves - Business Sharing</v>
          </cell>
          <cell r="B4898">
            <v>0</v>
          </cell>
          <cell r="C4898">
            <v>0</v>
          </cell>
          <cell r="D4898">
            <v>226075</v>
          </cell>
          <cell r="E4898">
            <v>-214743</v>
          </cell>
          <cell r="F4898">
            <v>-214743</v>
          </cell>
          <cell r="G4898">
            <v>0</v>
          </cell>
          <cell r="H4898">
            <v>0</v>
          </cell>
          <cell r="I4898">
            <v>0</v>
          </cell>
          <cell r="J4898">
            <v>0</v>
          </cell>
          <cell r="K4898">
            <v>0</v>
          </cell>
          <cell r="L4898">
            <v>-238242</v>
          </cell>
          <cell r="M4898">
            <v>0</v>
          </cell>
          <cell r="N4898">
            <v>0</v>
          </cell>
          <cell r="O4898">
            <v>0</v>
          </cell>
        </row>
        <row r="4899">
          <cell r="A4899" t="str">
            <v>BrazilNEA - Fixed Rate</v>
          </cell>
          <cell r="B4899">
            <v>0</v>
          </cell>
          <cell r="C4899">
            <v>0</v>
          </cell>
          <cell r="D4899">
            <v>0</v>
          </cell>
          <cell r="E4899">
            <v>0</v>
          </cell>
          <cell r="F4899">
            <v>0</v>
          </cell>
          <cell r="G4899">
            <v>0</v>
          </cell>
          <cell r="H4899">
            <v>0</v>
          </cell>
          <cell r="I4899">
            <v>0</v>
          </cell>
          <cell r="J4899">
            <v>0</v>
          </cell>
          <cell r="K4899">
            <v>0</v>
          </cell>
          <cell r="L4899">
            <v>0</v>
          </cell>
          <cell r="M4899">
            <v>0</v>
          </cell>
          <cell r="N4899">
            <v>0</v>
          </cell>
          <cell r="O4899">
            <v>0</v>
          </cell>
        </row>
        <row r="4900">
          <cell r="A4900" t="str">
            <v>BrazilNEA - Floating Rate</v>
          </cell>
          <cell r="B4900">
            <v>0</v>
          </cell>
          <cell r="C4900">
            <v>0</v>
          </cell>
          <cell r="D4900">
            <v>0</v>
          </cell>
          <cell r="E4900">
            <v>0</v>
          </cell>
          <cell r="F4900">
            <v>0</v>
          </cell>
          <cell r="G4900">
            <v>0</v>
          </cell>
          <cell r="H4900">
            <v>0</v>
          </cell>
          <cell r="I4900">
            <v>0</v>
          </cell>
          <cell r="J4900">
            <v>0</v>
          </cell>
          <cell r="K4900">
            <v>0</v>
          </cell>
          <cell r="L4900">
            <v>0</v>
          </cell>
          <cell r="M4900">
            <v>0</v>
          </cell>
          <cell r="N4900">
            <v>0</v>
          </cell>
          <cell r="O4900">
            <v>0</v>
          </cell>
        </row>
        <row r="4901">
          <cell r="A4901" t="str">
            <v>BrazilReserves - FX Gain / Loss</v>
          </cell>
          <cell r="B4901">
            <v>5554812.5999999996</v>
          </cell>
          <cell r="C4901">
            <v>6009953.8700000001</v>
          </cell>
          <cell r="D4901">
            <v>6520456</v>
          </cell>
          <cell r="E4901">
            <v>5679774.8600000003</v>
          </cell>
          <cell r="F4901">
            <v>5679774.8600000003</v>
          </cell>
          <cell r="G4901">
            <v>0</v>
          </cell>
          <cell r="H4901">
            <v>0</v>
          </cell>
          <cell r="I4901">
            <v>0</v>
          </cell>
          <cell r="J4901">
            <v>0</v>
          </cell>
          <cell r="K4901">
            <v>0</v>
          </cell>
          <cell r="L4901">
            <v>5551366.1500000004</v>
          </cell>
          <cell r="M4901">
            <v>0</v>
          </cell>
          <cell r="N4901">
            <v>0</v>
          </cell>
          <cell r="O4901">
            <v>0</v>
          </cell>
        </row>
        <row r="4902">
          <cell r="A4902" t="str">
            <v>BrazilReserves - Provisons</v>
          </cell>
          <cell r="B4902">
            <v>-1328369.24</v>
          </cell>
          <cell r="C4902">
            <v>-3405375.82</v>
          </cell>
          <cell r="D4902">
            <v>-6752675.5300000003</v>
          </cell>
          <cell r="E4902">
            <v>-11756165.5</v>
          </cell>
          <cell r="F4902">
            <v>-11756165.5</v>
          </cell>
          <cell r="G4902">
            <v>0</v>
          </cell>
          <cell r="H4902">
            <v>0</v>
          </cell>
          <cell r="I4902">
            <v>0</v>
          </cell>
          <cell r="J4902">
            <v>0</v>
          </cell>
          <cell r="K4902">
            <v>0</v>
          </cell>
          <cell r="L4902">
            <v>-10711260.67</v>
          </cell>
          <cell r="M4902">
            <v>0</v>
          </cell>
          <cell r="N4902">
            <v>0</v>
          </cell>
          <cell r="O4902">
            <v>0</v>
          </cell>
        </row>
        <row r="4903">
          <cell r="A4903" t="str">
            <v>BrazilReserves - Recoveries</v>
          </cell>
          <cell r="B4903">
            <v>-319226.78999999998</v>
          </cell>
          <cell r="C4903">
            <v>-547883.31999999995</v>
          </cell>
          <cell r="D4903">
            <v>-761819.14</v>
          </cell>
          <cell r="E4903">
            <v>-2098714.06</v>
          </cell>
          <cell r="F4903">
            <v>-2098714.06</v>
          </cell>
          <cell r="G4903">
            <v>0</v>
          </cell>
          <cell r="H4903">
            <v>0</v>
          </cell>
          <cell r="I4903">
            <v>0</v>
          </cell>
          <cell r="J4903">
            <v>0</v>
          </cell>
          <cell r="K4903">
            <v>0</v>
          </cell>
          <cell r="L4903">
            <v>-569926.91</v>
          </cell>
          <cell r="M4903">
            <v>0</v>
          </cell>
          <cell r="N4903">
            <v>0</v>
          </cell>
          <cell r="O4903">
            <v>0</v>
          </cell>
        </row>
        <row r="4904">
          <cell r="A4904" t="str">
            <v>BrazilReserves - BOP</v>
          </cell>
          <cell r="B4904">
            <v>-6167683.2599999998</v>
          </cell>
          <cell r="C4904">
            <v>-6167683.2599999998</v>
          </cell>
          <cell r="D4904">
            <v>-6167683.2599999998</v>
          </cell>
          <cell r="E4904">
            <v>-6167683.2599999998</v>
          </cell>
          <cell r="F4904">
            <v>-6167683.2599999998</v>
          </cell>
          <cell r="G4904">
            <v>-19529269.704289</v>
          </cell>
          <cell r="H4904">
            <v>-30171006.091428</v>
          </cell>
          <cell r="I4904">
            <v>-41190323.885860004</v>
          </cell>
          <cell r="J4904">
            <v>-51643731.085281</v>
          </cell>
          <cell r="K4904">
            <v>-51643731.085281</v>
          </cell>
          <cell r="L4904">
            <v>-13046898.539999999</v>
          </cell>
          <cell r="M4904">
            <v>-38228150.775013998</v>
          </cell>
          <cell r="N4904">
            <v>-74225869.729822993</v>
          </cell>
          <cell r="O4904">
            <v>-110301612.337966</v>
          </cell>
        </row>
        <row r="4905">
          <cell r="A4905" t="str">
            <v>BrazilReserves - Transfers &amp; Others</v>
          </cell>
          <cell r="B4905">
            <v>0</v>
          </cell>
          <cell r="C4905">
            <v>0</v>
          </cell>
          <cell r="D4905">
            <v>0</v>
          </cell>
          <cell r="E4905">
            <v>0</v>
          </cell>
          <cell r="F4905">
            <v>0</v>
          </cell>
          <cell r="G4905">
            <v>0</v>
          </cell>
          <cell r="H4905">
            <v>0</v>
          </cell>
          <cell r="I4905">
            <v>0</v>
          </cell>
          <cell r="J4905">
            <v>0</v>
          </cell>
          <cell r="K4905">
            <v>0</v>
          </cell>
          <cell r="L4905">
            <v>849636.02</v>
          </cell>
          <cell r="M4905">
            <v>0</v>
          </cell>
          <cell r="N4905">
            <v>0</v>
          </cell>
          <cell r="O4905">
            <v>0</v>
          </cell>
        </row>
        <row r="4906">
          <cell r="A4906" t="str">
            <v>BrazilReserves - Write-Offs</v>
          </cell>
          <cell r="B4906">
            <v>477951.53</v>
          </cell>
          <cell r="C4906">
            <v>1068774.72</v>
          </cell>
          <cell r="D4906">
            <v>2650842.27</v>
          </cell>
          <cell r="E4906">
            <v>6975664.2800000003</v>
          </cell>
          <cell r="F4906">
            <v>6975664.2800000003</v>
          </cell>
          <cell r="G4906">
            <v>7583439.4775970001</v>
          </cell>
          <cell r="H4906">
            <v>14353073.496859999</v>
          </cell>
          <cell r="I4906">
            <v>21559771.001681998</v>
          </cell>
          <cell r="J4906">
            <v>33487264.283594999</v>
          </cell>
          <cell r="K4906">
            <v>33487264.283594999</v>
          </cell>
          <cell r="L4906">
            <v>7068838.0700000003</v>
          </cell>
          <cell r="M4906">
            <v>18234259.055351</v>
          </cell>
          <cell r="N4906">
            <v>40735030.485189997</v>
          </cell>
          <cell r="O4906">
            <v>65051015.539240003</v>
          </cell>
        </row>
        <row r="4907">
          <cell r="A4907" t="str">
            <v>Brazil780 FR Provision</v>
          </cell>
          <cell r="B4907">
            <v>1328369.22</v>
          </cell>
          <cell r="C4907">
            <v>2077006.57</v>
          </cell>
          <cell r="D4907">
            <v>3347299.71</v>
          </cell>
          <cell r="E4907">
            <v>5003490</v>
          </cell>
          <cell r="F4907">
            <v>11756165.5</v>
          </cell>
          <cell r="G4907">
            <v>1943087.210771</v>
          </cell>
          <cell r="H4907">
            <v>1473652.6592560001</v>
          </cell>
          <cell r="I4907">
            <v>4794305.2825119998</v>
          </cell>
          <cell r="J4907">
            <v>295759.17781700002</v>
          </cell>
          <cell r="K4907">
            <v>8506804.330356</v>
          </cell>
          <cell r="L4907">
            <v>10711260.65</v>
          </cell>
          <cell r="M4907">
            <v>0</v>
          </cell>
          <cell r="N4907">
            <v>0</v>
          </cell>
          <cell r="O4907">
            <v>0</v>
          </cell>
        </row>
        <row r="4908">
          <cell r="A4908" t="str">
            <v>Brazil780 FR Recovery</v>
          </cell>
          <cell r="B4908">
            <v>-7.0000000000000007E-2</v>
          </cell>
          <cell r="C4908">
            <v>0.05</v>
          </cell>
          <cell r="D4908">
            <v>0</v>
          </cell>
          <cell r="E4908">
            <v>0</v>
          </cell>
          <cell r="F4908">
            <v>-0.02</v>
          </cell>
          <cell r="G4908">
            <v>7583439.4775970001</v>
          </cell>
          <cell r="H4908">
            <v>6769634.0192630002</v>
          </cell>
          <cell r="I4908">
            <v>7206697.5048219999</v>
          </cell>
          <cell r="J4908">
            <v>11927493.281912999</v>
          </cell>
          <cell r="K4908">
            <v>33487264.283594999</v>
          </cell>
          <cell r="L4908">
            <v>129.52000000000001</v>
          </cell>
          <cell r="M4908">
            <v>31876574.989732999</v>
          </cell>
          <cell r="N4908">
            <v>54231978.010159999</v>
          </cell>
          <cell r="O4908">
            <v>76810773.093334004</v>
          </cell>
        </row>
        <row r="4909">
          <cell r="A4909" t="str">
            <v>Brazil781 LL Provision</v>
          </cell>
          <cell r="B4909">
            <v>0</v>
          </cell>
          <cell r="C4909">
            <v>0</v>
          </cell>
          <cell r="D4909">
            <v>0</v>
          </cell>
          <cell r="E4909">
            <v>0</v>
          </cell>
          <cell r="F4909">
            <v>0</v>
          </cell>
          <cell r="G4909">
            <v>0</v>
          </cell>
          <cell r="H4909">
            <v>0</v>
          </cell>
          <cell r="I4909">
            <v>0</v>
          </cell>
          <cell r="J4909">
            <v>0</v>
          </cell>
          <cell r="K4909">
            <v>0</v>
          </cell>
          <cell r="L4909">
            <v>0</v>
          </cell>
          <cell r="M4909">
            <v>0</v>
          </cell>
          <cell r="N4909">
            <v>0</v>
          </cell>
          <cell r="O4909">
            <v>0</v>
          </cell>
        </row>
        <row r="4910">
          <cell r="A4910" t="str">
            <v>Brazil781 LL Recovery</v>
          </cell>
          <cell r="B4910">
            <v>0</v>
          </cell>
          <cell r="C4910">
            <v>0</v>
          </cell>
          <cell r="D4910">
            <v>0</v>
          </cell>
          <cell r="E4910">
            <v>0</v>
          </cell>
          <cell r="F4910">
            <v>0</v>
          </cell>
          <cell r="G4910">
            <v>0</v>
          </cell>
          <cell r="H4910">
            <v>0</v>
          </cell>
          <cell r="I4910">
            <v>0</v>
          </cell>
          <cell r="J4910">
            <v>0</v>
          </cell>
          <cell r="K4910">
            <v>0</v>
          </cell>
          <cell r="L4910">
            <v>0</v>
          </cell>
          <cell r="M4910">
            <v>0</v>
          </cell>
          <cell r="N4910">
            <v>0</v>
          </cell>
          <cell r="O4910">
            <v>0</v>
          </cell>
        </row>
        <row r="4911">
          <cell r="A4911" t="str">
            <v>Brazil782 DF Provision</v>
          </cell>
          <cell r="B4911">
            <v>0</v>
          </cell>
          <cell r="C4911">
            <v>0</v>
          </cell>
          <cell r="D4911">
            <v>0</v>
          </cell>
          <cell r="E4911">
            <v>0</v>
          </cell>
          <cell r="F4911">
            <v>0</v>
          </cell>
          <cell r="G4911">
            <v>0</v>
          </cell>
          <cell r="H4911">
            <v>0</v>
          </cell>
          <cell r="I4911">
            <v>0</v>
          </cell>
          <cell r="J4911">
            <v>0</v>
          </cell>
          <cell r="K4911">
            <v>0</v>
          </cell>
          <cell r="L4911">
            <v>0</v>
          </cell>
          <cell r="M4911">
            <v>0</v>
          </cell>
          <cell r="N4911">
            <v>0</v>
          </cell>
          <cell r="O4911">
            <v>0</v>
          </cell>
        </row>
        <row r="4912">
          <cell r="A4912" t="str">
            <v>Brazil782 DF Recovery</v>
          </cell>
          <cell r="B4912">
            <v>0</v>
          </cell>
          <cell r="C4912">
            <v>0</v>
          </cell>
          <cell r="D4912">
            <v>0</v>
          </cell>
          <cell r="E4912">
            <v>0</v>
          </cell>
          <cell r="F4912">
            <v>0</v>
          </cell>
          <cell r="G4912">
            <v>0</v>
          </cell>
          <cell r="H4912">
            <v>0</v>
          </cell>
          <cell r="I4912">
            <v>0</v>
          </cell>
          <cell r="J4912">
            <v>0</v>
          </cell>
          <cell r="K4912">
            <v>0</v>
          </cell>
          <cell r="L4912">
            <v>0</v>
          </cell>
          <cell r="M4912">
            <v>0</v>
          </cell>
          <cell r="N4912">
            <v>0</v>
          </cell>
          <cell r="O4912">
            <v>0</v>
          </cell>
        </row>
        <row r="4913">
          <cell r="A4913" t="str">
            <v>Brazil783 Corp Level Provision</v>
          </cell>
          <cell r="B4913">
            <v>0</v>
          </cell>
          <cell r="C4913">
            <v>0</v>
          </cell>
          <cell r="D4913">
            <v>0</v>
          </cell>
          <cell r="E4913">
            <v>0</v>
          </cell>
          <cell r="F4913">
            <v>0</v>
          </cell>
          <cell r="G4913">
            <v>0</v>
          </cell>
          <cell r="H4913">
            <v>0</v>
          </cell>
          <cell r="I4913">
            <v>0</v>
          </cell>
          <cell r="J4913">
            <v>0</v>
          </cell>
          <cell r="K4913">
            <v>0</v>
          </cell>
          <cell r="L4913">
            <v>0</v>
          </cell>
          <cell r="M4913">
            <v>0</v>
          </cell>
          <cell r="N4913">
            <v>0</v>
          </cell>
          <cell r="O4913">
            <v>0</v>
          </cell>
        </row>
        <row r="4914">
          <cell r="A4914" t="str">
            <v>Brazil783 Corp Level Recovery</v>
          </cell>
          <cell r="B4914">
            <v>0</v>
          </cell>
          <cell r="C4914">
            <v>0</v>
          </cell>
          <cell r="D4914">
            <v>0</v>
          </cell>
          <cell r="E4914">
            <v>0</v>
          </cell>
          <cell r="F4914">
            <v>0</v>
          </cell>
          <cell r="G4914">
            <v>0</v>
          </cell>
          <cell r="H4914">
            <v>0</v>
          </cell>
          <cell r="I4914">
            <v>0</v>
          </cell>
          <cell r="J4914">
            <v>0</v>
          </cell>
          <cell r="K4914">
            <v>0</v>
          </cell>
          <cell r="L4914">
            <v>0</v>
          </cell>
          <cell r="M4914">
            <v>0</v>
          </cell>
          <cell r="N4914">
            <v>0</v>
          </cell>
          <cell r="O4914">
            <v>0</v>
          </cell>
        </row>
        <row r="4915">
          <cell r="A4915" t="str">
            <v>Brazil784 Business Share Provision</v>
          </cell>
          <cell r="B4915">
            <v>0</v>
          </cell>
          <cell r="C4915">
            <v>0</v>
          </cell>
          <cell r="D4915">
            <v>0</v>
          </cell>
          <cell r="E4915">
            <v>0</v>
          </cell>
          <cell r="F4915">
            <v>0</v>
          </cell>
          <cell r="G4915">
            <v>0</v>
          </cell>
          <cell r="H4915">
            <v>0</v>
          </cell>
          <cell r="I4915">
            <v>0</v>
          </cell>
          <cell r="J4915">
            <v>0</v>
          </cell>
          <cell r="K4915">
            <v>0</v>
          </cell>
          <cell r="L4915">
            <v>0</v>
          </cell>
          <cell r="M4915">
            <v>0</v>
          </cell>
          <cell r="N4915">
            <v>0</v>
          </cell>
          <cell r="O4915">
            <v>0</v>
          </cell>
        </row>
        <row r="4916">
          <cell r="A4916" t="str">
            <v>BrazilReserves - Business Sharing</v>
          </cell>
          <cell r="B4916">
            <v>0</v>
          </cell>
          <cell r="C4916">
            <v>0</v>
          </cell>
          <cell r="D4916">
            <v>0</v>
          </cell>
          <cell r="E4916">
            <v>0</v>
          </cell>
          <cell r="F4916">
            <v>0</v>
          </cell>
          <cell r="G4916">
            <v>0</v>
          </cell>
          <cell r="H4916">
            <v>0</v>
          </cell>
          <cell r="I4916">
            <v>0</v>
          </cell>
          <cell r="J4916">
            <v>0</v>
          </cell>
          <cell r="K4916">
            <v>0</v>
          </cell>
          <cell r="L4916">
            <v>0</v>
          </cell>
          <cell r="M4916">
            <v>0</v>
          </cell>
          <cell r="N4916">
            <v>0</v>
          </cell>
          <cell r="O4916">
            <v>0</v>
          </cell>
        </row>
        <row r="4917">
          <cell r="A4917" t="str">
            <v>Budapest BankNEA - Fixed Rate</v>
          </cell>
          <cell r="B4917">
            <v>0</v>
          </cell>
          <cell r="C4917">
            <v>0</v>
          </cell>
          <cell r="D4917">
            <v>0</v>
          </cell>
          <cell r="E4917">
            <v>0</v>
          </cell>
          <cell r="F4917">
            <v>0</v>
          </cell>
          <cell r="G4917">
            <v>0</v>
          </cell>
          <cell r="H4917">
            <v>0</v>
          </cell>
          <cell r="I4917">
            <v>0</v>
          </cell>
          <cell r="J4917">
            <v>0</v>
          </cell>
          <cell r="K4917">
            <v>0</v>
          </cell>
          <cell r="L4917">
            <v>0</v>
          </cell>
          <cell r="M4917">
            <v>0</v>
          </cell>
          <cell r="N4917">
            <v>0</v>
          </cell>
          <cell r="O4917">
            <v>0</v>
          </cell>
        </row>
        <row r="4918">
          <cell r="A4918" t="str">
            <v>Budapest BankNEA - Floating Rate</v>
          </cell>
          <cell r="B4918">
            <v>0</v>
          </cell>
          <cell r="C4918">
            <v>0</v>
          </cell>
          <cell r="D4918">
            <v>0</v>
          </cell>
          <cell r="E4918">
            <v>0</v>
          </cell>
          <cell r="F4918">
            <v>0</v>
          </cell>
          <cell r="G4918">
            <v>0</v>
          </cell>
          <cell r="H4918">
            <v>0</v>
          </cell>
          <cell r="I4918">
            <v>0</v>
          </cell>
          <cell r="J4918">
            <v>0</v>
          </cell>
          <cell r="K4918">
            <v>0</v>
          </cell>
          <cell r="L4918">
            <v>0</v>
          </cell>
          <cell r="M4918">
            <v>0</v>
          </cell>
          <cell r="N4918">
            <v>0</v>
          </cell>
          <cell r="O4918">
            <v>0</v>
          </cell>
        </row>
        <row r="4919">
          <cell r="A4919" t="str">
            <v>Budapest BankReserves - FX Gain / Loss</v>
          </cell>
          <cell r="B4919">
            <v>4120860.51</v>
          </cell>
          <cell r="C4919">
            <v>2811602.8</v>
          </cell>
          <cell r="D4919">
            <v>5932713.8300000001</v>
          </cell>
          <cell r="E4919">
            <v>1943347.06</v>
          </cell>
          <cell r="F4919">
            <v>1943347.06</v>
          </cell>
          <cell r="G4919">
            <v>0</v>
          </cell>
          <cell r="H4919">
            <v>0</v>
          </cell>
          <cell r="I4919">
            <v>0</v>
          </cell>
          <cell r="J4919">
            <v>0</v>
          </cell>
          <cell r="K4919">
            <v>0</v>
          </cell>
          <cell r="L4919">
            <v>2081542.1</v>
          </cell>
          <cell r="M4919">
            <v>0</v>
          </cell>
          <cell r="N4919">
            <v>0</v>
          </cell>
          <cell r="O4919">
            <v>0</v>
          </cell>
        </row>
        <row r="4920">
          <cell r="A4920" t="str">
            <v>Budapest BankReserves - Provisons</v>
          </cell>
          <cell r="B4920">
            <v>-462219.91</v>
          </cell>
          <cell r="C4920">
            <v>-2321247.46</v>
          </cell>
          <cell r="D4920">
            <v>-4300721.54</v>
          </cell>
          <cell r="E4920">
            <v>-5646646.5999999996</v>
          </cell>
          <cell r="F4920">
            <v>-5646646.5999999996</v>
          </cell>
          <cell r="G4920">
            <v>0</v>
          </cell>
          <cell r="H4920">
            <v>0</v>
          </cell>
          <cell r="I4920">
            <v>0</v>
          </cell>
          <cell r="J4920">
            <v>0</v>
          </cell>
          <cell r="K4920">
            <v>0</v>
          </cell>
          <cell r="L4920">
            <v>-2524736.9900000002</v>
          </cell>
          <cell r="M4920">
            <v>0</v>
          </cell>
          <cell r="N4920">
            <v>0</v>
          </cell>
          <cell r="O4920">
            <v>0</v>
          </cell>
        </row>
        <row r="4921">
          <cell r="A4921" t="str">
            <v>Budapest BankReserves - Recoveries</v>
          </cell>
          <cell r="B4921">
            <v>0</v>
          </cell>
          <cell r="C4921">
            <v>-35791.75</v>
          </cell>
          <cell r="D4921">
            <v>-141101.85999999999</v>
          </cell>
          <cell r="E4921">
            <v>-162475.1</v>
          </cell>
          <cell r="F4921">
            <v>-162475.1</v>
          </cell>
          <cell r="G4921">
            <v>0</v>
          </cell>
          <cell r="H4921">
            <v>0</v>
          </cell>
          <cell r="I4921">
            <v>0</v>
          </cell>
          <cell r="J4921">
            <v>0</v>
          </cell>
          <cell r="K4921">
            <v>0</v>
          </cell>
          <cell r="L4921">
            <v>-61798.92</v>
          </cell>
          <cell r="M4921">
            <v>0</v>
          </cell>
          <cell r="N4921">
            <v>0</v>
          </cell>
          <cell r="O4921">
            <v>0</v>
          </cell>
        </row>
        <row r="4922">
          <cell r="A4922" t="str">
            <v>Budapest BankReserves - BOP</v>
          </cell>
          <cell r="B4922">
            <v>0</v>
          </cell>
          <cell r="C4922">
            <v>0</v>
          </cell>
          <cell r="D4922">
            <v>0</v>
          </cell>
          <cell r="E4922">
            <v>0</v>
          </cell>
          <cell r="F4922">
            <v>0</v>
          </cell>
          <cell r="G4922">
            <v>-27816178.985282999</v>
          </cell>
          <cell r="H4922">
            <v>-30784170.460405</v>
          </cell>
          <cell r="I4922">
            <v>-34049771.210216001</v>
          </cell>
          <cell r="J4922">
            <v>-37438839.016971</v>
          </cell>
          <cell r="K4922">
            <v>-37438839.016971</v>
          </cell>
          <cell r="L4922">
            <v>-25462720.52</v>
          </cell>
          <cell r="M4922">
            <v>-38461012.553170003</v>
          </cell>
          <cell r="N4922">
            <v>-44601597.371997997</v>
          </cell>
          <cell r="O4922">
            <v>-55472220.369701996</v>
          </cell>
        </row>
        <row r="4923">
          <cell r="A4923" t="str">
            <v>Budapest BankReserves - Transfers &amp; Others</v>
          </cell>
          <cell r="B4923">
            <v>-29584680.469999999</v>
          </cell>
          <cell r="C4923">
            <v>-28616459.390000001</v>
          </cell>
          <cell r="D4923">
            <v>-34086168.420000002</v>
          </cell>
          <cell r="E4923">
            <v>-30293254.09</v>
          </cell>
          <cell r="F4923">
            <v>-30293254.09</v>
          </cell>
          <cell r="G4923">
            <v>0</v>
          </cell>
          <cell r="H4923">
            <v>0</v>
          </cell>
          <cell r="I4923">
            <v>0</v>
          </cell>
          <cell r="J4923">
            <v>0</v>
          </cell>
          <cell r="K4923">
            <v>0</v>
          </cell>
          <cell r="L4923">
            <v>18271.78</v>
          </cell>
          <cell r="M4923">
            <v>0</v>
          </cell>
          <cell r="N4923">
            <v>0</v>
          </cell>
          <cell r="O4923">
            <v>0</v>
          </cell>
        </row>
        <row r="4924">
          <cell r="A4924" t="str">
            <v>Budapest BankReserves - Write-Offs</v>
          </cell>
          <cell r="B4924">
            <v>1412324.48</v>
          </cell>
          <cell r="C4924">
            <v>4277529.33</v>
          </cell>
          <cell r="D4924">
            <v>8244435.8899999997</v>
          </cell>
          <cell r="E4924">
            <v>10639655.27</v>
          </cell>
          <cell r="F4924">
            <v>10639655.27</v>
          </cell>
          <cell r="G4924">
            <v>2581631.1040170002</v>
          </cell>
          <cell r="H4924">
            <v>5209415.6092189997</v>
          </cell>
          <cell r="I4924">
            <v>7994801.2508749999</v>
          </cell>
          <cell r="J4924">
            <v>10921969.780007999</v>
          </cell>
          <cell r="K4924">
            <v>10921969.780007999</v>
          </cell>
          <cell r="L4924">
            <v>3997369.72</v>
          </cell>
          <cell r="M4924">
            <v>10497542.980373999</v>
          </cell>
          <cell r="N4924">
            <v>12694232.644335</v>
          </cell>
          <cell r="O4924">
            <v>16059463.501290999</v>
          </cell>
        </row>
        <row r="4925">
          <cell r="A4925" t="str">
            <v>Budapest Bank780 FR Provision</v>
          </cell>
          <cell r="B4925">
            <v>781667.46</v>
          </cell>
          <cell r="C4925">
            <v>1539580</v>
          </cell>
          <cell r="D4925">
            <v>2042253.44</v>
          </cell>
          <cell r="E4925">
            <v>1283145.72</v>
          </cell>
          <cell r="F4925">
            <v>5646646.6200000001</v>
          </cell>
          <cell r="G4925">
            <v>0</v>
          </cell>
          <cell r="H4925">
            <v>0</v>
          </cell>
          <cell r="I4925">
            <v>0</v>
          </cell>
          <cell r="J4925">
            <v>0</v>
          </cell>
          <cell r="K4925">
            <v>0</v>
          </cell>
          <cell r="L4925">
            <v>2524750.4900000002</v>
          </cell>
          <cell r="M4925">
            <v>2263391.8248350001</v>
          </cell>
          <cell r="N4925">
            <v>3943895.1548669999</v>
          </cell>
          <cell r="O4925">
            <v>7505392.1407479998</v>
          </cell>
        </row>
        <row r="4926">
          <cell r="A4926" t="str">
            <v>Budapest Bank780 FR Recovery</v>
          </cell>
          <cell r="B4926">
            <v>-319447.55</v>
          </cell>
          <cell r="C4926">
            <v>319334.95</v>
          </cell>
          <cell r="D4926">
            <v>-62666.76</v>
          </cell>
          <cell r="E4926">
            <v>62779.360000000001</v>
          </cell>
          <cell r="F4926">
            <v>0</v>
          </cell>
          <cell r="G4926">
            <v>4082090.2767039998</v>
          </cell>
          <cell r="H4926">
            <v>3049804.3538000002</v>
          </cell>
          <cell r="I4926">
            <v>3308855.209212</v>
          </cell>
          <cell r="J4926">
            <v>3558564.2995589999</v>
          </cell>
          <cell r="K4926">
            <v>13999314.139274999</v>
          </cell>
          <cell r="L4926">
            <v>-13.51</v>
          </cell>
          <cell r="M4926">
            <v>10497542.980373999</v>
          </cell>
          <cell r="N4926">
            <v>12694232.644335</v>
          </cell>
          <cell r="O4926">
            <v>16059463.501290999</v>
          </cell>
        </row>
        <row r="4927">
          <cell r="A4927" t="str">
            <v>Budapest Bank781 LL Provision</v>
          </cell>
          <cell r="B4927">
            <v>0</v>
          </cell>
          <cell r="C4927">
            <v>0</v>
          </cell>
          <cell r="D4927">
            <v>0</v>
          </cell>
          <cell r="E4927">
            <v>0</v>
          </cell>
          <cell r="F4927">
            <v>0</v>
          </cell>
          <cell r="G4927">
            <v>0</v>
          </cell>
          <cell r="H4927">
            <v>0</v>
          </cell>
          <cell r="I4927">
            <v>0</v>
          </cell>
          <cell r="J4927">
            <v>0</v>
          </cell>
          <cell r="K4927">
            <v>0</v>
          </cell>
          <cell r="L4927">
            <v>0</v>
          </cell>
          <cell r="M4927">
            <v>0</v>
          </cell>
          <cell r="N4927">
            <v>0</v>
          </cell>
          <cell r="O4927">
            <v>0</v>
          </cell>
        </row>
        <row r="4928">
          <cell r="A4928" t="str">
            <v>Budapest Bank781 LL Recovery</v>
          </cell>
          <cell r="B4928">
            <v>0</v>
          </cell>
          <cell r="C4928">
            <v>0</v>
          </cell>
          <cell r="D4928">
            <v>0</v>
          </cell>
          <cell r="E4928">
            <v>0</v>
          </cell>
          <cell r="F4928">
            <v>0</v>
          </cell>
          <cell r="G4928">
            <v>0</v>
          </cell>
          <cell r="H4928">
            <v>0</v>
          </cell>
          <cell r="I4928">
            <v>0</v>
          </cell>
          <cell r="J4928">
            <v>0</v>
          </cell>
          <cell r="K4928">
            <v>0</v>
          </cell>
          <cell r="L4928">
            <v>0</v>
          </cell>
          <cell r="M4928">
            <v>0</v>
          </cell>
          <cell r="N4928">
            <v>0</v>
          </cell>
          <cell r="O4928">
            <v>0</v>
          </cell>
        </row>
        <row r="4929">
          <cell r="A4929" t="str">
            <v>Budapest Bank782 DF Provision</v>
          </cell>
          <cell r="B4929">
            <v>0</v>
          </cell>
          <cell r="C4929">
            <v>0</v>
          </cell>
          <cell r="D4929">
            <v>0</v>
          </cell>
          <cell r="E4929">
            <v>0</v>
          </cell>
          <cell r="F4929">
            <v>0</v>
          </cell>
          <cell r="G4929">
            <v>0</v>
          </cell>
          <cell r="H4929">
            <v>0</v>
          </cell>
          <cell r="I4929">
            <v>0</v>
          </cell>
          <cell r="J4929">
            <v>0</v>
          </cell>
          <cell r="K4929">
            <v>0</v>
          </cell>
          <cell r="L4929">
            <v>0</v>
          </cell>
          <cell r="M4929">
            <v>0</v>
          </cell>
          <cell r="N4929">
            <v>0</v>
          </cell>
          <cell r="O4929">
            <v>0</v>
          </cell>
        </row>
        <row r="4930">
          <cell r="A4930" t="str">
            <v>Budapest Bank782 DF Recovery</v>
          </cell>
          <cell r="B4930">
            <v>0</v>
          </cell>
          <cell r="C4930">
            <v>0</v>
          </cell>
          <cell r="D4930">
            <v>0</v>
          </cell>
          <cell r="E4930">
            <v>0</v>
          </cell>
          <cell r="F4930">
            <v>0</v>
          </cell>
          <cell r="G4930">
            <v>0</v>
          </cell>
          <cell r="H4930">
            <v>0</v>
          </cell>
          <cell r="I4930">
            <v>0</v>
          </cell>
          <cell r="J4930">
            <v>0</v>
          </cell>
          <cell r="K4930">
            <v>0</v>
          </cell>
          <cell r="L4930">
            <v>0</v>
          </cell>
          <cell r="M4930">
            <v>0</v>
          </cell>
          <cell r="N4930">
            <v>0</v>
          </cell>
          <cell r="O4930">
            <v>0</v>
          </cell>
        </row>
        <row r="4931">
          <cell r="A4931" t="str">
            <v>Budapest Bank783 Corp Level Provision</v>
          </cell>
          <cell r="B4931">
            <v>0</v>
          </cell>
          <cell r="C4931">
            <v>0</v>
          </cell>
          <cell r="D4931">
            <v>0</v>
          </cell>
          <cell r="E4931">
            <v>0</v>
          </cell>
          <cell r="F4931">
            <v>0</v>
          </cell>
          <cell r="G4931">
            <v>0</v>
          </cell>
          <cell r="H4931">
            <v>0</v>
          </cell>
          <cell r="I4931">
            <v>0</v>
          </cell>
          <cell r="J4931">
            <v>0</v>
          </cell>
          <cell r="K4931">
            <v>0</v>
          </cell>
          <cell r="L4931">
            <v>0</v>
          </cell>
          <cell r="M4931">
            <v>0</v>
          </cell>
          <cell r="N4931">
            <v>0</v>
          </cell>
          <cell r="O4931">
            <v>0</v>
          </cell>
        </row>
        <row r="4932">
          <cell r="A4932" t="str">
            <v>Budapest Bank783 Corp Level Recovery</v>
          </cell>
          <cell r="B4932">
            <v>0</v>
          </cell>
          <cell r="C4932">
            <v>0</v>
          </cell>
          <cell r="D4932">
            <v>0</v>
          </cell>
          <cell r="E4932">
            <v>0</v>
          </cell>
          <cell r="F4932">
            <v>0</v>
          </cell>
          <cell r="G4932">
            <v>0</v>
          </cell>
          <cell r="H4932">
            <v>0</v>
          </cell>
          <cell r="I4932">
            <v>0</v>
          </cell>
          <cell r="J4932">
            <v>0</v>
          </cell>
          <cell r="K4932">
            <v>0</v>
          </cell>
          <cell r="L4932">
            <v>0</v>
          </cell>
          <cell r="M4932">
            <v>0</v>
          </cell>
          <cell r="N4932">
            <v>0</v>
          </cell>
          <cell r="O4932">
            <v>0</v>
          </cell>
        </row>
        <row r="4933">
          <cell r="A4933" t="str">
            <v>Budapest Bank784 Business Share Provision</v>
          </cell>
          <cell r="B4933">
            <v>0</v>
          </cell>
          <cell r="C4933">
            <v>0</v>
          </cell>
          <cell r="D4933">
            <v>0</v>
          </cell>
          <cell r="E4933">
            <v>0</v>
          </cell>
          <cell r="F4933">
            <v>0</v>
          </cell>
          <cell r="G4933">
            <v>0</v>
          </cell>
          <cell r="H4933">
            <v>0</v>
          </cell>
          <cell r="I4933">
            <v>0</v>
          </cell>
          <cell r="J4933">
            <v>0</v>
          </cell>
          <cell r="K4933">
            <v>0</v>
          </cell>
          <cell r="L4933">
            <v>0</v>
          </cell>
          <cell r="M4933">
            <v>0</v>
          </cell>
          <cell r="N4933">
            <v>0</v>
          </cell>
          <cell r="O4933">
            <v>0</v>
          </cell>
        </row>
        <row r="4934">
          <cell r="A4934" t="str">
            <v>Budapest BankReserves - Business Sharing</v>
          </cell>
          <cell r="B4934">
            <v>0</v>
          </cell>
          <cell r="C4934">
            <v>0</v>
          </cell>
          <cell r="D4934">
            <v>0</v>
          </cell>
          <cell r="E4934">
            <v>0</v>
          </cell>
          <cell r="F4934">
            <v>0</v>
          </cell>
          <cell r="G4934">
            <v>0</v>
          </cell>
          <cell r="H4934">
            <v>0</v>
          </cell>
          <cell r="I4934">
            <v>0</v>
          </cell>
          <cell r="J4934">
            <v>0</v>
          </cell>
          <cell r="K4934">
            <v>0</v>
          </cell>
          <cell r="L4934">
            <v>0</v>
          </cell>
          <cell r="M4934">
            <v>0</v>
          </cell>
          <cell r="N4934">
            <v>0</v>
          </cell>
          <cell r="O4934">
            <v>0</v>
          </cell>
        </row>
        <row r="4935">
          <cell r="A4935" t="str">
            <v>Business Shares UKNEA - Fixed Rate</v>
          </cell>
          <cell r="B4935">
            <v>0</v>
          </cell>
          <cell r="C4935">
            <v>0</v>
          </cell>
          <cell r="D4935">
            <v>0</v>
          </cell>
          <cell r="E4935">
            <v>0</v>
          </cell>
          <cell r="F4935">
            <v>0</v>
          </cell>
          <cell r="G4935">
            <v>0</v>
          </cell>
          <cell r="H4935">
            <v>0</v>
          </cell>
          <cell r="I4935">
            <v>0</v>
          </cell>
          <cell r="J4935">
            <v>0</v>
          </cell>
          <cell r="K4935">
            <v>0</v>
          </cell>
          <cell r="L4935">
            <v>0</v>
          </cell>
          <cell r="M4935">
            <v>0</v>
          </cell>
          <cell r="N4935">
            <v>0</v>
          </cell>
          <cell r="O4935">
            <v>0</v>
          </cell>
        </row>
        <row r="4936">
          <cell r="A4936" t="str">
            <v>Business Shares UKNEA - Floating Rate</v>
          </cell>
          <cell r="B4936">
            <v>0</v>
          </cell>
          <cell r="C4936">
            <v>0</v>
          </cell>
          <cell r="D4936">
            <v>0</v>
          </cell>
          <cell r="E4936">
            <v>0</v>
          </cell>
          <cell r="F4936">
            <v>0</v>
          </cell>
          <cell r="G4936">
            <v>0</v>
          </cell>
          <cell r="H4936">
            <v>0</v>
          </cell>
          <cell r="I4936">
            <v>0</v>
          </cell>
          <cell r="J4936">
            <v>0</v>
          </cell>
          <cell r="K4936">
            <v>0</v>
          </cell>
          <cell r="L4936">
            <v>0</v>
          </cell>
          <cell r="M4936">
            <v>0</v>
          </cell>
          <cell r="N4936">
            <v>0</v>
          </cell>
          <cell r="O4936">
            <v>0</v>
          </cell>
        </row>
        <row r="4937">
          <cell r="A4937" t="str">
            <v>Business Shares UKReserves - FX Gain / Loss</v>
          </cell>
          <cell r="B4937">
            <v>0</v>
          </cell>
          <cell r="C4937">
            <v>0</v>
          </cell>
          <cell r="D4937">
            <v>0</v>
          </cell>
          <cell r="E4937">
            <v>0</v>
          </cell>
          <cell r="F4937">
            <v>0</v>
          </cell>
          <cell r="G4937">
            <v>0</v>
          </cell>
          <cell r="H4937">
            <v>0</v>
          </cell>
          <cell r="I4937">
            <v>0</v>
          </cell>
          <cell r="J4937">
            <v>0</v>
          </cell>
          <cell r="K4937">
            <v>0</v>
          </cell>
          <cell r="L4937">
            <v>0</v>
          </cell>
          <cell r="M4937">
            <v>0</v>
          </cell>
          <cell r="N4937">
            <v>0</v>
          </cell>
          <cell r="O4937">
            <v>0</v>
          </cell>
        </row>
        <row r="4938">
          <cell r="A4938" t="str">
            <v>Business Shares UKReserves - Provisons</v>
          </cell>
          <cell r="B4938">
            <v>0</v>
          </cell>
          <cell r="C4938">
            <v>0</v>
          </cell>
          <cell r="D4938">
            <v>0</v>
          </cell>
          <cell r="E4938">
            <v>0</v>
          </cell>
          <cell r="F4938">
            <v>0</v>
          </cell>
          <cell r="G4938">
            <v>0</v>
          </cell>
          <cell r="H4938">
            <v>0</v>
          </cell>
          <cell r="I4938">
            <v>0</v>
          </cell>
          <cell r="J4938">
            <v>0</v>
          </cell>
          <cell r="K4938">
            <v>0</v>
          </cell>
          <cell r="L4938">
            <v>0</v>
          </cell>
          <cell r="M4938">
            <v>0</v>
          </cell>
          <cell r="N4938">
            <v>0</v>
          </cell>
          <cell r="O4938">
            <v>0</v>
          </cell>
        </row>
        <row r="4939">
          <cell r="A4939" t="str">
            <v>Business Shares UKReserves - Recoveries</v>
          </cell>
          <cell r="B4939">
            <v>0</v>
          </cell>
          <cell r="C4939">
            <v>0</v>
          </cell>
          <cell r="D4939">
            <v>0</v>
          </cell>
          <cell r="E4939">
            <v>0</v>
          </cell>
          <cell r="F4939">
            <v>0</v>
          </cell>
          <cell r="G4939">
            <v>0</v>
          </cell>
          <cell r="H4939">
            <v>0</v>
          </cell>
          <cell r="I4939">
            <v>0</v>
          </cell>
          <cell r="J4939">
            <v>0</v>
          </cell>
          <cell r="K4939">
            <v>0</v>
          </cell>
          <cell r="L4939">
            <v>0</v>
          </cell>
          <cell r="M4939">
            <v>0</v>
          </cell>
          <cell r="N4939">
            <v>0</v>
          </cell>
          <cell r="O4939">
            <v>0</v>
          </cell>
        </row>
        <row r="4940">
          <cell r="A4940" t="str">
            <v>Business Shares UKReserves - BOP</v>
          </cell>
          <cell r="B4940">
            <v>0</v>
          </cell>
          <cell r="C4940">
            <v>0</v>
          </cell>
          <cell r="D4940">
            <v>0</v>
          </cell>
          <cell r="E4940">
            <v>0</v>
          </cell>
          <cell r="F4940">
            <v>0</v>
          </cell>
          <cell r="G4940">
            <v>0</v>
          </cell>
          <cell r="H4940">
            <v>0</v>
          </cell>
          <cell r="I4940">
            <v>0</v>
          </cell>
          <cell r="J4940">
            <v>0</v>
          </cell>
          <cell r="K4940">
            <v>0</v>
          </cell>
          <cell r="L4940">
            <v>0</v>
          </cell>
          <cell r="M4940">
            <v>0</v>
          </cell>
          <cell r="N4940">
            <v>0</v>
          </cell>
          <cell r="O4940">
            <v>0</v>
          </cell>
        </row>
        <row r="4941">
          <cell r="A4941" t="str">
            <v>Business Shares UKReserves - Transfers &amp; Others</v>
          </cell>
          <cell r="B4941">
            <v>0</v>
          </cell>
          <cell r="C4941">
            <v>0</v>
          </cell>
          <cell r="D4941">
            <v>0</v>
          </cell>
          <cell r="E4941">
            <v>0</v>
          </cell>
          <cell r="F4941">
            <v>0</v>
          </cell>
          <cell r="G4941">
            <v>0</v>
          </cell>
          <cell r="H4941">
            <v>0</v>
          </cell>
          <cell r="I4941">
            <v>0</v>
          </cell>
          <cell r="J4941">
            <v>0</v>
          </cell>
          <cell r="K4941">
            <v>0</v>
          </cell>
          <cell r="L4941">
            <v>0</v>
          </cell>
          <cell r="M4941">
            <v>0</v>
          </cell>
          <cell r="N4941">
            <v>0</v>
          </cell>
          <cell r="O4941">
            <v>0</v>
          </cell>
        </row>
        <row r="4942">
          <cell r="A4942" t="str">
            <v>Business Shares UKReserves - Write-Offs</v>
          </cell>
          <cell r="B4942">
            <v>0</v>
          </cell>
          <cell r="C4942">
            <v>0</v>
          </cell>
          <cell r="D4942">
            <v>0</v>
          </cell>
          <cell r="E4942">
            <v>0</v>
          </cell>
          <cell r="F4942">
            <v>0</v>
          </cell>
          <cell r="G4942">
            <v>0</v>
          </cell>
          <cell r="H4942">
            <v>0</v>
          </cell>
          <cell r="I4942">
            <v>0</v>
          </cell>
          <cell r="J4942">
            <v>0</v>
          </cell>
          <cell r="K4942">
            <v>0</v>
          </cell>
          <cell r="L4942">
            <v>0</v>
          </cell>
          <cell r="M4942">
            <v>0</v>
          </cell>
          <cell r="N4942">
            <v>0</v>
          </cell>
          <cell r="O4942">
            <v>0</v>
          </cell>
        </row>
        <row r="4943">
          <cell r="A4943" t="str">
            <v>Business Shares UK780 FR Provision</v>
          </cell>
          <cell r="B4943">
            <v>0</v>
          </cell>
          <cell r="C4943">
            <v>0</v>
          </cell>
          <cell r="D4943">
            <v>0</v>
          </cell>
          <cell r="E4943">
            <v>0</v>
          </cell>
          <cell r="F4943">
            <v>0</v>
          </cell>
          <cell r="G4943">
            <v>0</v>
          </cell>
          <cell r="H4943">
            <v>0</v>
          </cell>
          <cell r="I4943">
            <v>0</v>
          </cell>
          <cell r="J4943">
            <v>0</v>
          </cell>
          <cell r="K4943">
            <v>0</v>
          </cell>
          <cell r="L4943">
            <v>0</v>
          </cell>
          <cell r="M4943">
            <v>0</v>
          </cell>
          <cell r="N4943">
            <v>0</v>
          </cell>
          <cell r="O4943">
            <v>0</v>
          </cell>
        </row>
        <row r="4944">
          <cell r="A4944" t="str">
            <v>Business Shares UK780 FR Recovery</v>
          </cell>
          <cell r="B4944">
            <v>0</v>
          </cell>
          <cell r="C4944">
            <v>0</v>
          </cell>
          <cell r="D4944">
            <v>0</v>
          </cell>
          <cell r="E4944">
            <v>0</v>
          </cell>
          <cell r="F4944">
            <v>0</v>
          </cell>
          <cell r="G4944">
            <v>0</v>
          </cell>
          <cell r="H4944">
            <v>0</v>
          </cell>
          <cell r="I4944">
            <v>0</v>
          </cell>
          <cell r="J4944">
            <v>0</v>
          </cell>
          <cell r="K4944">
            <v>0</v>
          </cell>
          <cell r="L4944">
            <v>0</v>
          </cell>
          <cell r="M4944">
            <v>0</v>
          </cell>
          <cell r="N4944">
            <v>0</v>
          </cell>
          <cell r="O4944">
            <v>0</v>
          </cell>
        </row>
        <row r="4945">
          <cell r="A4945" t="str">
            <v>Business Shares UK781 LL Provision</v>
          </cell>
          <cell r="B4945">
            <v>0</v>
          </cell>
          <cell r="C4945">
            <v>0</v>
          </cell>
          <cell r="D4945">
            <v>0</v>
          </cell>
          <cell r="E4945">
            <v>0</v>
          </cell>
          <cell r="F4945">
            <v>0</v>
          </cell>
          <cell r="G4945">
            <v>0</v>
          </cell>
          <cell r="H4945">
            <v>0</v>
          </cell>
          <cell r="I4945">
            <v>0</v>
          </cell>
          <cell r="J4945">
            <v>0</v>
          </cell>
          <cell r="K4945">
            <v>0</v>
          </cell>
          <cell r="L4945">
            <v>0</v>
          </cell>
          <cell r="M4945">
            <v>0</v>
          </cell>
          <cell r="N4945">
            <v>0</v>
          </cell>
          <cell r="O4945">
            <v>0</v>
          </cell>
        </row>
        <row r="4946">
          <cell r="A4946" t="str">
            <v>Business Shares UK781 LL Recovery</v>
          </cell>
          <cell r="B4946">
            <v>0</v>
          </cell>
          <cell r="C4946">
            <v>0</v>
          </cell>
          <cell r="D4946">
            <v>0</v>
          </cell>
          <cell r="E4946">
            <v>0</v>
          </cell>
          <cell r="F4946">
            <v>0</v>
          </cell>
          <cell r="G4946">
            <v>0</v>
          </cell>
          <cell r="H4946">
            <v>0</v>
          </cell>
          <cell r="I4946">
            <v>0</v>
          </cell>
          <cell r="J4946">
            <v>0</v>
          </cell>
          <cell r="K4946">
            <v>0</v>
          </cell>
          <cell r="L4946">
            <v>0</v>
          </cell>
          <cell r="M4946">
            <v>0</v>
          </cell>
          <cell r="N4946">
            <v>0</v>
          </cell>
          <cell r="O4946">
            <v>0</v>
          </cell>
        </row>
        <row r="4947">
          <cell r="A4947" t="str">
            <v>Business Shares UK782 DF Provision</v>
          </cell>
          <cell r="B4947">
            <v>0</v>
          </cell>
          <cell r="C4947">
            <v>0</v>
          </cell>
          <cell r="D4947">
            <v>0</v>
          </cell>
          <cell r="E4947">
            <v>0</v>
          </cell>
          <cell r="F4947">
            <v>0</v>
          </cell>
          <cell r="G4947">
            <v>0</v>
          </cell>
          <cell r="H4947">
            <v>0</v>
          </cell>
          <cell r="I4947">
            <v>0</v>
          </cell>
          <cell r="J4947">
            <v>0</v>
          </cell>
          <cell r="K4947">
            <v>0</v>
          </cell>
          <cell r="L4947">
            <v>0</v>
          </cell>
          <cell r="M4947">
            <v>0</v>
          </cell>
          <cell r="N4947">
            <v>0</v>
          </cell>
          <cell r="O4947">
            <v>0</v>
          </cell>
        </row>
        <row r="4948">
          <cell r="A4948" t="str">
            <v>Business Shares UK782 DF Recovery</v>
          </cell>
          <cell r="B4948">
            <v>0</v>
          </cell>
          <cell r="C4948">
            <v>0</v>
          </cell>
          <cell r="D4948">
            <v>0</v>
          </cell>
          <cell r="E4948">
            <v>0</v>
          </cell>
          <cell r="F4948">
            <v>0</v>
          </cell>
          <cell r="G4948">
            <v>0</v>
          </cell>
          <cell r="H4948">
            <v>0</v>
          </cell>
          <cell r="I4948">
            <v>0</v>
          </cell>
          <cell r="J4948">
            <v>0</v>
          </cell>
          <cell r="K4948">
            <v>0</v>
          </cell>
          <cell r="L4948">
            <v>0</v>
          </cell>
          <cell r="M4948">
            <v>0</v>
          </cell>
          <cell r="N4948">
            <v>0</v>
          </cell>
          <cell r="O4948">
            <v>0</v>
          </cell>
        </row>
        <row r="4949">
          <cell r="A4949" t="str">
            <v>Business Shares UK783 Corp Level Provision</v>
          </cell>
          <cell r="B4949">
            <v>0</v>
          </cell>
          <cell r="C4949">
            <v>0</v>
          </cell>
          <cell r="D4949">
            <v>0</v>
          </cell>
          <cell r="E4949">
            <v>0</v>
          </cell>
          <cell r="F4949">
            <v>0</v>
          </cell>
          <cell r="G4949">
            <v>0</v>
          </cell>
          <cell r="H4949">
            <v>0</v>
          </cell>
          <cell r="I4949">
            <v>0</v>
          </cell>
          <cell r="J4949">
            <v>0</v>
          </cell>
          <cell r="K4949">
            <v>0</v>
          </cell>
          <cell r="L4949">
            <v>0</v>
          </cell>
          <cell r="M4949">
            <v>0</v>
          </cell>
          <cell r="N4949">
            <v>0</v>
          </cell>
          <cell r="O4949">
            <v>0</v>
          </cell>
        </row>
        <row r="4950">
          <cell r="A4950" t="str">
            <v>Business Shares UK783 Corp Level Recovery</v>
          </cell>
          <cell r="B4950">
            <v>0</v>
          </cell>
          <cell r="C4950">
            <v>0</v>
          </cell>
          <cell r="D4950">
            <v>0</v>
          </cell>
          <cell r="E4950">
            <v>0</v>
          </cell>
          <cell r="F4950">
            <v>0</v>
          </cell>
          <cell r="G4950">
            <v>0</v>
          </cell>
          <cell r="H4950">
            <v>0</v>
          </cell>
          <cell r="I4950">
            <v>0</v>
          </cell>
          <cell r="J4950">
            <v>0</v>
          </cell>
          <cell r="K4950">
            <v>0</v>
          </cell>
          <cell r="L4950">
            <v>0</v>
          </cell>
          <cell r="M4950">
            <v>0</v>
          </cell>
          <cell r="N4950">
            <v>0</v>
          </cell>
          <cell r="O4950">
            <v>0</v>
          </cell>
        </row>
        <row r="4951">
          <cell r="A4951" t="str">
            <v>Business Shares UK784 Business Share Provision</v>
          </cell>
          <cell r="B4951">
            <v>0</v>
          </cell>
          <cell r="C4951">
            <v>0</v>
          </cell>
          <cell r="D4951">
            <v>0</v>
          </cell>
          <cell r="E4951">
            <v>0</v>
          </cell>
          <cell r="F4951">
            <v>0</v>
          </cell>
          <cell r="G4951">
            <v>0</v>
          </cell>
          <cell r="H4951">
            <v>0</v>
          </cell>
          <cell r="I4951">
            <v>0</v>
          </cell>
          <cell r="J4951">
            <v>0</v>
          </cell>
          <cell r="K4951">
            <v>0</v>
          </cell>
          <cell r="L4951">
            <v>0</v>
          </cell>
          <cell r="M4951">
            <v>0</v>
          </cell>
          <cell r="N4951">
            <v>0</v>
          </cell>
          <cell r="O4951">
            <v>0</v>
          </cell>
        </row>
        <row r="4952">
          <cell r="A4952" t="str">
            <v>Business Shares UKReserves - Business Sharing</v>
          </cell>
          <cell r="B4952">
            <v>0</v>
          </cell>
          <cell r="C4952">
            <v>0</v>
          </cell>
          <cell r="D4952">
            <v>0</v>
          </cell>
          <cell r="E4952">
            <v>0</v>
          </cell>
          <cell r="F4952">
            <v>0</v>
          </cell>
          <cell r="G4952">
            <v>0</v>
          </cell>
          <cell r="H4952">
            <v>0</v>
          </cell>
          <cell r="I4952">
            <v>0</v>
          </cell>
          <cell r="J4952">
            <v>0</v>
          </cell>
          <cell r="K4952">
            <v>0</v>
          </cell>
          <cell r="L4952">
            <v>0</v>
          </cell>
          <cell r="M4952">
            <v>0</v>
          </cell>
          <cell r="N4952">
            <v>0</v>
          </cell>
          <cell r="O4952">
            <v>0</v>
          </cell>
        </row>
        <row r="4953">
          <cell r="A4953" t="str">
            <v>ChinaNEA - Fixed Rate</v>
          </cell>
          <cell r="B4953">
            <v>0</v>
          </cell>
          <cell r="C4953">
            <v>0</v>
          </cell>
          <cell r="D4953">
            <v>0</v>
          </cell>
          <cell r="E4953">
            <v>0</v>
          </cell>
          <cell r="F4953">
            <v>0</v>
          </cell>
          <cell r="G4953">
            <v>0</v>
          </cell>
          <cell r="H4953">
            <v>0</v>
          </cell>
          <cell r="I4953">
            <v>0</v>
          </cell>
          <cell r="J4953">
            <v>0</v>
          </cell>
          <cell r="K4953">
            <v>0</v>
          </cell>
          <cell r="L4953">
            <v>0</v>
          </cell>
          <cell r="M4953">
            <v>0</v>
          </cell>
          <cell r="N4953">
            <v>0</v>
          </cell>
          <cell r="O4953">
            <v>0</v>
          </cell>
        </row>
        <row r="4954">
          <cell r="A4954" t="str">
            <v>ChinaNEA - Floating Rate</v>
          </cell>
          <cell r="B4954">
            <v>0</v>
          </cell>
          <cell r="C4954">
            <v>0</v>
          </cell>
          <cell r="D4954">
            <v>0</v>
          </cell>
          <cell r="E4954">
            <v>0</v>
          </cell>
          <cell r="F4954">
            <v>0</v>
          </cell>
          <cell r="G4954">
            <v>0</v>
          </cell>
          <cell r="H4954">
            <v>0</v>
          </cell>
          <cell r="I4954">
            <v>0</v>
          </cell>
          <cell r="J4954">
            <v>0</v>
          </cell>
          <cell r="K4954">
            <v>0</v>
          </cell>
          <cell r="L4954">
            <v>0</v>
          </cell>
          <cell r="M4954">
            <v>0</v>
          </cell>
          <cell r="N4954">
            <v>0</v>
          </cell>
          <cell r="O4954">
            <v>0</v>
          </cell>
        </row>
        <row r="4955">
          <cell r="A4955" t="str">
            <v>ChinaReserves - FX Gain / Loss</v>
          </cell>
          <cell r="B4955">
            <v>-28.89</v>
          </cell>
          <cell r="C4955">
            <v>-28.89</v>
          </cell>
          <cell r="D4955">
            <v>-28.89</v>
          </cell>
          <cell r="E4955">
            <v>0</v>
          </cell>
          <cell r="F4955">
            <v>0</v>
          </cell>
          <cell r="G4955">
            <v>0</v>
          </cell>
          <cell r="H4955">
            <v>0</v>
          </cell>
          <cell r="I4955">
            <v>0</v>
          </cell>
          <cell r="J4955">
            <v>0</v>
          </cell>
          <cell r="K4955">
            <v>0</v>
          </cell>
          <cell r="L4955">
            <v>0</v>
          </cell>
          <cell r="M4955">
            <v>0</v>
          </cell>
          <cell r="N4955">
            <v>0</v>
          </cell>
          <cell r="O4955">
            <v>0</v>
          </cell>
        </row>
        <row r="4956">
          <cell r="A4956" t="str">
            <v>ChinaReserves - Provisons</v>
          </cell>
          <cell r="B4956">
            <v>0</v>
          </cell>
          <cell r="C4956">
            <v>0</v>
          </cell>
          <cell r="D4956">
            <v>0</v>
          </cell>
          <cell r="E4956">
            <v>0</v>
          </cell>
          <cell r="F4956">
            <v>0</v>
          </cell>
          <cell r="G4956">
            <v>0</v>
          </cell>
          <cell r="H4956">
            <v>0</v>
          </cell>
          <cell r="I4956">
            <v>0</v>
          </cell>
          <cell r="J4956">
            <v>0</v>
          </cell>
          <cell r="K4956">
            <v>0</v>
          </cell>
          <cell r="L4956">
            <v>0</v>
          </cell>
          <cell r="M4956">
            <v>0</v>
          </cell>
          <cell r="N4956">
            <v>0</v>
          </cell>
          <cell r="O4956">
            <v>0</v>
          </cell>
        </row>
        <row r="4957">
          <cell r="A4957" t="str">
            <v>ChinaReserves - Recoveries</v>
          </cell>
          <cell r="B4957">
            <v>0</v>
          </cell>
          <cell r="C4957">
            <v>0</v>
          </cell>
          <cell r="D4957">
            <v>0</v>
          </cell>
          <cell r="E4957">
            <v>0</v>
          </cell>
          <cell r="F4957">
            <v>0</v>
          </cell>
          <cell r="G4957">
            <v>0</v>
          </cell>
          <cell r="H4957">
            <v>0</v>
          </cell>
          <cell r="I4957">
            <v>0</v>
          </cell>
          <cell r="J4957">
            <v>0</v>
          </cell>
          <cell r="K4957">
            <v>0</v>
          </cell>
          <cell r="L4957">
            <v>0</v>
          </cell>
          <cell r="M4957">
            <v>0</v>
          </cell>
          <cell r="N4957">
            <v>0</v>
          </cell>
          <cell r="O4957">
            <v>0</v>
          </cell>
        </row>
        <row r="4958">
          <cell r="A4958" t="str">
            <v>ChinaReserves - BOP</v>
          </cell>
          <cell r="B4958">
            <v>0</v>
          </cell>
          <cell r="C4958">
            <v>0</v>
          </cell>
          <cell r="D4958">
            <v>0</v>
          </cell>
          <cell r="E4958">
            <v>0</v>
          </cell>
          <cell r="F4958">
            <v>0</v>
          </cell>
          <cell r="G4958">
            <v>-28.89</v>
          </cell>
          <cell r="H4958">
            <v>-28.89</v>
          </cell>
          <cell r="I4958">
            <v>-28.89</v>
          </cell>
          <cell r="J4958">
            <v>-28.89</v>
          </cell>
          <cell r="K4958">
            <v>-28.89</v>
          </cell>
          <cell r="L4958">
            <v>0</v>
          </cell>
          <cell r="M4958">
            <v>0</v>
          </cell>
          <cell r="N4958">
            <v>0</v>
          </cell>
          <cell r="O4958">
            <v>0</v>
          </cell>
        </row>
        <row r="4959">
          <cell r="A4959" t="str">
            <v>ChinaReserves - Transfers &amp; Others</v>
          </cell>
          <cell r="B4959">
            <v>0</v>
          </cell>
          <cell r="C4959">
            <v>0</v>
          </cell>
          <cell r="D4959">
            <v>0</v>
          </cell>
          <cell r="E4959">
            <v>0</v>
          </cell>
          <cell r="F4959">
            <v>0</v>
          </cell>
          <cell r="G4959">
            <v>0</v>
          </cell>
          <cell r="H4959">
            <v>0</v>
          </cell>
          <cell r="I4959">
            <v>0</v>
          </cell>
          <cell r="J4959">
            <v>0</v>
          </cell>
          <cell r="K4959">
            <v>0</v>
          </cell>
          <cell r="L4959">
            <v>0</v>
          </cell>
          <cell r="M4959">
            <v>0</v>
          </cell>
          <cell r="N4959">
            <v>0</v>
          </cell>
          <cell r="O4959">
            <v>0</v>
          </cell>
        </row>
        <row r="4960">
          <cell r="A4960" t="str">
            <v>ChinaReserves - Write-Offs</v>
          </cell>
          <cell r="B4960">
            <v>0</v>
          </cell>
          <cell r="C4960">
            <v>0</v>
          </cell>
          <cell r="D4960">
            <v>0</v>
          </cell>
          <cell r="E4960">
            <v>0</v>
          </cell>
          <cell r="F4960">
            <v>0</v>
          </cell>
          <cell r="G4960">
            <v>0</v>
          </cell>
          <cell r="H4960">
            <v>0</v>
          </cell>
          <cell r="I4960">
            <v>0</v>
          </cell>
          <cell r="J4960">
            <v>0</v>
          </cell>
          <cell r="K4960">
            <v>0</v>
          </cell>
          <cell r="L4960">
            <v>0</v>
          </cell>
          <cell r="M4960">
            <v>0</v>
          </cell>
          <cell r="N4960">
            <v>0</v>
          </cell>
          <cell r="O4960">
            <v>0</v>
          </cell>
        </row>
        <row r="4961">
          <cell r="A4961" t="str">
            <v>China780 FR Provision</v>
          </cell>
          <cell r="B4961">
            <v>0</v>
          </cell>
          <cell r="C4961">
            <v>0</v>
          </cell>
          <cell r="D4961">
            <v>0</v>
          </cell>
          <cell r="E4961">
            <v>0</v>
          </cell>
          <cell r="F4961">
            <v>0</v>
          </cell>
          <cell r="G4961">
            <v>0</v>
          </cell>
          <cell r="H4961">
            <v>0</v>
          </cell>
          <cell r="I4961">
            <v>0</v>
          </cell>
          <cell r="J4961">
            <v>0</v>
          </cell>
          <cell r="K4961">
            <v>0</v>
          </cell>
          <cell r="L4961">
            <v>0</v>
          </cell>
          <cell r="M4961">
            <v>0</v>
          </cell>
          <cell r="N4961">
            <v>0</v>
          </cell>
          <cell r="O4961">
            <v>0</v>
          </cell>
        </row>
        <row r="4962">
          <cell r="A4962" t="str">
            <v>China780 FR Recovery</v>
          </cell>
          <cell r="B4962">
            <v>0</v>
          </cell>
          <cell r="C4962">
            <v>0</v>
          </cell>
          <cell r="D4962">
            <v>0</v>
          </cell>
          <cell r="E4962">
            <v>0</v>
          </cell>
          <cell r="F4962">
            <v>0</v>
          </cell>
          <cell r="G4962">
            <v>0</v>
          </cell>
          <cell r="H4962">
            <v>0</v>
          </cell>
          <cell r="I4962">
            <v>0</v>
          </cell>
          <cell r="J4962">
            <v>0</v>
          </cell>
          <cell r="K4962">
            <v>0</v>
          </cell>
          <cell r="L4962">
            <v>0</v>
          </cell>
          <cell r="M4962">
            <v>0</v>
          </cell>
          <cell r="N4962">
            <v>0</v>
          </cell>
          <cell r="O4962">
            <v>0</v>
          </cell>
        </row>
        <row r="4963">
          <cell r="A4963" t="str">
            <v>China781 LL Provision</v>
          </cell>
          <cell r="B4963">
            <v>0</v>
          </cell>
          <cell r="C4963">
            <v>0</v>
          </cell>
          <cell r="D4963">
            <v>0</v>
          </cell>
          <cell r="E4963">
            <v>0</v>
          </cell>
          <cell r="F4963">
            <v>0</v>
          </cell>
          <cell r="G4963">
            <v>0</v>
          </cell>
          <cell r="H4963">
            <v>0</v>
          </cell>
          <cell r="I4963">
            <v>0</v>
          </cell>
          <cell r="J4963">
            <v>0</v>
          </cell>
          <cell r="K4963">
            <v>0</v>
          </cell>
          <cell r="L4963">
            <v>0</v>
          </cell>
          <cell r="M4963">
            <v>0</v>
          </cell>
          <cell r="N4963">
            <v>0</v>
          </cell>
          <cell r="O4963">
            <v>0</v>
          </cell>
        </row>
        <row r="4964">
          <cell r="A4964" t="str">
            <v>China781 LL Recovery</v>
          </cell>
          <cell r="B4964">
            <v>0</v>
          </cell>
          <cell r="C4964">
            <v>0</v>
          </cell>
          <cell r="D4964">
            <v>0</v>
          </cell>
          <cell r="E4964">
            <v>0</v>
          </cell>
          <cell r="F4964">
            <v>0</v>
          </cell>
          <cell r="G4964">
            <v>0</v>
          </cell>
          <cell r="H4964">
            <v>0</v>
          </cell>
          <cell r="I4964">
            <v>0</v>
          </cell>
          <cell r="J4964">
            <v>0</v>
          </cell>
          <cell r="K4964">
            <v>0</v>
          </cell>
          <cell r="L4964">
            <v>0</v>
          </cell>
          <cell r="M4964">
            <v>0</v>
          </cell>
          <cell r="N4964">
            <v>0</v>
          </cell>
          <cell r="O4964">
            <v>0</v>
          </cell>
        </row>
        <row r="4965">
          <cell r="A4965" t="str">
            <v>China782 DF Provision</v>
          </cell>
          <cell r="B4965">
            <v>0</v>
          </cell>
          <cell r="C4965">
            <v>0</v>
          </cell>
          <cell r="D4965">
            <v>0</v>
          </cell>
          <cell r="E4965">
            <v>0</v>
          </cell>
          <cell r="F4965">
            <v>0</v>
          </cell>
          <cell r="G4965">
            <v>0</v>
          </cell>
          <cell r="H4965">
            <v>0</v>
          </cell>
          <cell r="I4965">
            <v>0</v>
          </cell>
          <cell r="J4965">
            <v>0</v>
          </cell>
          <cell r="K4965">
            <v>0</v>
          </cell>
          <cell r="L4965">
            <v>0</v>
          </cell>
          <cell r="M4965">
            <v>0</v>
          </cell>
          <cell r="N4965">
            <v>0</v>
          </cell>
          <cell r="O4965">
            <v>0</v>
          </cell>
        </row>
        <row r="4966">
          <cell r="A4966" t="str">
            <v>China782 DF Recovery</v>
          </cell>
          <cell r="B4966">
            <v>0</v>
          </cell>
          <cell r="C4966">
            <v>0</v>
          </cell>
          <cell r="D4966">
            <v>0</v>
          </cell>
          <cell r="E4966">
            <v>0</v>
          </cell>
          <cell r="F4966">
            <v>0</v>
          </cell>
          <cell r="G4966">
            <v>0</v>
          </cell>
          <cell r="H4966">
            <v>0</v>
          </cell>
          <cell r="I4966">
            <v>0</v>
          </cell>
          <cell r="J4966">
            <v>0</v>
          </cell>
          <cell r="K4966">
            <v>0</v>
          </cell>
          <cell r="L4966">
            <v>0</v>
          </cell>
          <cell r="M4966">
            <v>0</v>
          </cell>
          <cell r="N4966">
            <v>0</v>
          </cell>
          <cell r="O4966">
            <v>0</v>
          </cell>
        </row>
        <row r="4967">
          <cell r="A4967" t="str">
            <v>China783 Corp Level Provision</v>
          </cell>
          <cell r="B4967">
            <v>0</v>
          </cell>
          <cell r="C4967">
            <v>0</v>
          </cell>
          <cell r="D4967">
            <v>0</v>
          </cell>
          <cell r="E4967">
            <v>0</v>
          </cell>
          <cell r="F4967">
            <v>0</v>
          </cell>
          <cell r="G4967">
            <v>0</v>
          </cell>
          <cell r="H4967">
            <v>0</v>
          </cell>
          <cell r="I4967">
            <v>0</v>
          </cell>
          <cell r="J4967">
            <v>0</v>
          </cell>
          <cell r="K4967">
            <v>0</v>
          </cell>
          <cell r="L4967">
            <v>0</v>
          </cell>
          <cell r="M4967">
            <v>0</v>
          </cell>
          <cell r="N4967">
            <v>0</v>
          </cell>
          <cell r="O4967">
            <v>0</v>
          </cell>
        </row>
        <row r="4968">
          <cell r="A4968" t="str">
            <v>China783 Corp Level Recovery</v>
          </cell>
          <cell r="B4968">
            <v>0</v>
          </cell>
          <cell r="C4968">
            <v>0</v>
          </cell>
          <cell r="D4968">
            <v>0</v>
          </cell>
          <cell r="E4968">
            <v>0</v>
          </cell>
          <cell r="F4968">
            <v>0</v>
          </cell>
          <cell r="G4968">
            <v>0</v>
          </cell>
          <cell r="H4968">
            <v>0</v>
          </cell>
          <cell r="I4968">
            <v>0</v>
          </cell>
          <cell r="J4968">
            <v>0</v>
          </cell>
          <cell r="K4968">
            <v>0</v>
          </cell>
          <cell r="L4968">
            <v>0</v>
          </cell>
          <cell r="M4968">
            <v>0</v>
          </cell>
          <cell r="N4968">
            <v>0</v>
          </cell>
          <cell r="O4968">
            <v>0</v>
          </cell>
        </row>
        <row r="4969">
          <cell r="A4969" t="str">
            <v>China784 Business Share Provision</v>
          </cell>
          <cell r="B4969">
            <v>0</v>
          </cell>
          <cell r="C4969">
            <v>0</v>
          </cell>
          <cell r="D4969">
            <v>0</v>
          </cell>
          <cell r="E4969">
            <v>0</v>
          </cell>
          <cell r="F4969">
            <v>0</v>
          </cell>
          <cell r="G4969">
            <v>0</v>
          </cell>
          <cell r="H4969">
            <v>0</v>
          </cell>
          <cell r="I4969">
            <v>0</v>
          </cell>
          <cell r="J4969">
            <v>0</v>
          </cell>
          <cell r="K4969">
            <v>0</v>
          </cell>
          <cell r="L4969">
            <v>0</v>
          </cell>
          <cell r="M4969">
            <v>0</v>
          </cell>
          <cell r="N4969">
            <v>0</v>
          </cell>
          <cell r="O4969">
            <v>0</v>
          </cell>
        </row>
        <row r="4970">
          <cell r="A4970" t="str">
            <v>ChinaReserves - Business Sharing</v>
          </cell>
          <cell r="B4970">
            <v>0</v>
          </cell>
          <cell r="C4970">
            <v>0</v>
          </cell>
          <cell r="D4970">
            <v>0</v>
          </cell>
          <cell r="E4970">
            <v>0</v>
          </cell>
          <cell r="F4970">
            <v>0</v>
          </cell>
          <cell r="G4970">
            <v>0</v>
          </cell>
          <cell r="H4970">
            <v>0</v>
          </cell>
          <cell r="I4970">
            <v>0</v>
          </cell>
          <cell r="J4970">
            <v>0</v>
          </cell>
          <cell r="K4970">
            <v>0</v>
          </cell>
          <cell r="L4970">
            <v>0</v>
          </cell>
          <cell r="M4970">
            <v>0</v>
          </cell>
          <cell r="N4970">
            <v>0</v>
          </cell>
          <cell r="O4970">
            <v>0</v>
          </cell>
        </row>
        <row r="4971">
          <cell r="A4971" t="str">
            <v>Czech RepublicNEA - Fixed Rate</v>
          </cell>
          <cell r="B4971">
            <v>0</v>
          </cell>
          <cell r="C4971">
            <v>0</v>
          </cell>
          <cell r="D4971">
            <v>0</v>
          </cell>
          <cell r="E4971">
            <v>0</v>
          </cell>
          <cell r="F4971">
            <v>0</v>
          </cell>
          <cell r="G4971">
            <v>0</v>
          </cell>
          <cell r="H4971">
            <v>0</v>
          </cell>
          <cell r="I4971">
            <v>0</v>
          </cell>
          <cell r="J4971">
            <v>0</v>
          </cell>
          <cell r="K4971">
            <v>0</v>
          </cell>
          <cell r="L4971">
            <v>0</v>
          </cell>
          <cell r="M4971">
            <v>0</v>
          </cell>
          <cell r="N4971">
            <v>0</v>
          </cell>
          <cell r="O4971">
            <v>0</v>
          </cell>
        </row>
        <row r="4972">
          <cell r="A4972" t="str">
            <v>Czech RepublicNEA - Floating Rate</v>
          </cell>
          <cell r="B4972">
            <v>0</v>
          </cell>
          <cell r="C4972">
            <v>0</v>
          </cell>
          <cell r="D4972">
            <v>0</v>
          </cell>
          <cell r="E4972">
            <v>0</v>
          </cell>
          <cell r="F4972">
            <v>0</v>
          </cell>
          <cell r="G4972">
            <v>0</v>
          </cell>
          <cell r="H4972">
            <v>0</v>
          </cell>
          <cell r="I4972">
            <v>0</v>
          </cell>
          <cell r="J4972">
            <v>0</v>
          </cell>
          <cell r="K4972">
            <v>0</v>
          </cell>
          <cell r="L4972">
            <v>0</v>
          </cell>
          <cell r="M4972">
            <v>0</v>
          </cell>
          <cell r="N4972">
            <v>0</v>
          </cell>
          <cell r="O4972">
            <v>0</v>
          </cell>
        </row>
        <row r="4973">
          <cell r="A4973" t="str">
            <v>Czech RepublicReserves - FX Gain / Loss</v>
          </cell>
          <cell r="B4973">
            <v>-1571436.85</v>
          </cell>
          <cell r="C4973">
            <v>-213004.6</v>
          </cell>
          <cell r="D4973">
            <v>-3698733.37</v>
          </cell>
          <cell r="E4973">
            <v>-5253108.1399999997</v>
          </cell>
          <cell r="F4973">
            <v>-5253108.1399999997</v>
          </cell>
          <cell r="G4973">
            <v>0</v>
          </cell>
          <cell r="H4973">
            <v>0</v>
          </cell>
          <cell r="I4973">
            <v>0</v>
          </cell>
          <cell r="J4973">
            <v>0</v>
          </cell>
          <cell r="K4973">
            <v>0</v>
          </cell>
          <cell r="L4973">
            <v>-6168492.8799999999</v>
          </cell>
          <cell r="M4973">
            <v>0</v>
          </cell>
          <cell r="N4973">
            <v>0</v>
          </cell>
          <cell r="O4973">
            <v>0</v>
          </cell>
        </row>
        <row r="4974">
          <cell r="A4974" t="str">
            <v>Czech RepublicReserves - Provisons</v>
          </cell>
          <cell r="B4974">
            <v>3460126.91</v>
          </cell>
          <cell r="C4974">
            <v>3189418.44</v>
          </cell>
          <cell r="D4974">
            <v>4992604.3</v>
          </cell>
          <cell r="E4974">
            <v>11049410.74</v>
          </cell>
          <cell r="F4974">
            <v>11049410.74</v>
          </cell>
          <cell r="G4974">
            <v>0</v>
          </cell>
          <cell r="H4974">
            <v>0</v>
          </cell>
          <cell r="I4974">
            <v>0</v>
          </cell>
          <cell r="J4974">
            <v>0</v>
          </cell>
          <cell r="K4974">
            <v>0</v>
          </cell>
          <cell r="L4974">
            <v>-2935603.35</v>
          </cell>
          <cell r="M4974">
            <v>0</v>
          </cell>
          <cell r="N4974">
            <v>0</v>
          </cell>
          <cell r="O4974">
            <v>0</v>
          </cell>
        </row>
        <row r="4975">
          <cell r="A4975" t="str">
            <v>Czech RepublicReserves - Recoveries</v>
          </cell>
          <cell r="B4975">
            <v>-9420046.7799999993</v>
          </cell>
          <cell r="C4975">
            <v>-19777063.420000002</v>
          </cell>
          <cell r="D4975">
            <v>-31876234.780000001</v>
          </cell>
          <cell r="E4975">
            <v>-47723652.990000002</v>
          </cell>
          <cell r="F4975">
            <v>-47723652.990000002</v>
          </cell>
          <cell r="G4975">
            <v>0</v>
          </cell>
          <cell r="H4975">
            <v>0</v>
          </cell>
          <cell r="I4975">
            <v>0</v>
          </cell>
          <cell r="J4975">
            <v>0</v>
          </cell>
          <cell r="K4975">
            <v>0</v>
          </cell>
          <cell r="L4975">
            <v>-9702889.4299999997</v>
          </cell>
          <cell r="M4975">
            <v>0</v>
          </cell>
          <cell r="N4975">
            <v>0</v>
          </cell>
          <cell r="O4975">
            <v>0</v>
          </cell>
        </row>
        <row r="4976">
          <cell r="A4976" t="str">
            <v>Czech RepublicReserves - BOP</v>
          </cell>
          <cell r="B4976">
            <v>-50672952.869999997</v>
          </cell>
          <cell r="C4976">
            <v>-50672952.869999997</v>
          </cell>
          <cell r="D4976">
            <v>-50672952.869999997</v>
          </cell>
          <cell r="E4976">
            <v>-50672952.869999997</v>
          </cell>
          <cell r="F4976">
            <v>-50672952.869999997</v>
          </cell>
          <cell r="G4976">
            <v>-66872457.575638004</v>
          </cell>
          <cell r="H4976">
            <v>-72964236.916053995</v>
          </cell>
          <cell r="I4976">
            <v>-80394411.321044996</v>
          </cell>
          <cell r="J4976">
            <v>-91421414.986503005</v>
          </cell>
          <cell r="K4976">
            <v>-91421414.986503005</v>
          </cell>
          <cell r="L4976">
            <v>-57357356.43</v>
          </cell>
          <cell r="M4976">
            <v>-105767003</v>
          </cell>
          <cell r="N4976">
            <v>-146392910</v>
          </cell>
          <cell r="O4976">
            <v>-190459501</v>
          </cell>
        </row>
        <row r="4977">
          <cell r="A4977" t="str">
            <v>Czech RepublicReserves - Transfers &amp; Others</v>
          </cell>
          <cell r="B4977">
            <v>-1149242.8999999999</v>
          </cell>
          <cell r="C4977">
            <v>-1149242.8999999999</v>
          </cell>
          <cell r="D4977">
            <v>-1149242.8999999999</v>
          </cell>
          <cell r="E4977">
            <v>-1149242.8999999999</v>
          </cell>
          <cell r="F4977">
            <v>-1149242.8999999999</v>
          </cell>
          <cell r="G4977">
            <v>0</v>
          </cell>
          <cell r="H4977">
            <v>0</v>
          </cell>
          <cell r="I4977">
            <v>0</v>
          </cell>
          <cell r="J4977">
            <v>0</v>
          </cell>
          <cell r="K4977">
            <v>0</v>
          </cell>
          <cell r="L4977">
            <v>215310.96</v>
          </cell>
          <cell r="M4977">
            <v>0</v>
          </cell>
          <cell r="N4977">
            <v>0</v>
          </cell>
          <cell r="O4977">
            <v>0</v>
          </cell>
        </row>
        <row r="4978">
          <cell r="A4978" t="str">
            <v>Czech RepublicReserves - Write-Offs</v>
          </cell>
          <cell r="B4978">
            <v>6697324.0099999998</v>
          </cell>
          <cell r="C4978">
            <v>15687709.25</v>
          </cell>
          <cell r="D4978">
            <v>23166313.629999999</v>
          </cell>
          <cell r="E4978">
            <v>31139081.59</v>
          </cell>
          <cell r="F4978">
            <v>31139081.59</v>
          </cell>
          <cell r="G4978">
            <v>960704.57563800004</v>
          </cell>
          <cell r="H4978">
            <v>2051956.9160539999</v>
          </cell>
          <cell r="I4978">
            <v>4448834.3210450001</v>
          </cell>
          <cell r="J4978">
            <v>6665121.9865030004</v>
          </cell>
          <cell r="K4978">
            <v>6665121.9865030004</v>
          </cell>
          <cell r="L4978">
            <v>9025515.1500000004</v>
          </cell>
          <cell r="M4978">
            <v>12155768</v>
          </cell>
          <cell r="N4978">
            <v>26276527</v>
          </cell>
          <cell r="O4978">
            <v>40244793</v>
          </cell>
        </row>
        <row r="4979">
          <cell r="A4979" t="str">
            <v>Czech Republic780 FR Provision</v>
          </cell>
          <cell r="B4979">
            <v>-4774918.22</v>
          </cell>
          <cell r="C4979">
            <v>-784781.95</v>
          </cell>
          <cell r="D4979">
            <v>-2780785.22</v>
          </cell>
          <cell r="E4979">
            <v>-4079224.82</v>
          </cell>
          <cell r="F4979">
            <v>-12419710.210000001</v>
          </cell>
          <cell r="G4979">
            <v>7426565</v>
          </cell>
          <cell r="H4979">
            <v>9537408</v>
          </cell>
          <cell r="I4979">
            <v>10589772</v>
          </cell>
          <cell r="J4979">
            <v>15059227</v>
          </cell>
          <cell r="K4979">
            <v>42612972</v>
          </cell>
          <cell r="L4979">
            <v>2078054.06</v>
          </cell>
          <cell r="M4979">
            <v>25245112</v>
          </cell>
          <cell r="N4979">
            <v>26505148</v>
          </cell>
          <cell r="O4979">
            <v>30098325</v>
          </cell>
        </row>
        <row r="4980">
          <cell r="A4980" t="str">
            <v>Czech Republic780 FR Recovery</v>
          </cell>
          <cell r="B4980">
            <v>0</v>
          </cell>
          <cell r="C4980">
            <v>0</v>
          </cell>
          <cell r="D4980">
            <v>0</v>
          </cell>
          <cell r="E4980">
            <v>0</v>
          </cell>
          <cell r="F4980">
            <v>0</v>
          </cell>
          <cell r="G4980">
            <v>-3164573</v>
          </cell>
          <cell r="H4980">
            <v>-3445628</v>
          </cell>
          <cell r="I4980">
            <v>-3159598</v>
          </cell>
          <cell r="J4980">
            <v>-4032223</v>
          </cell>
          <cell r="K4980">
            <v>-13802022</v>
          </cell>
          <cell r="L4980">
            <v>0</v>
          </cell>
          <cell r="M4980">
            <v>12155768</v>
          </cell>
          <cell r="N4980">
            <v>26276527</v>
          </cell>
          <cell r="O4980">
            <v>40244793</v>
          </cell>
        </row>
        <row r="4981">
          <cell r="A4981" t="str">
            <v>Czech Republic781 LL Provision</v>
          </cell>
          <cell r="B4981">
            <v>0</v>
          </cell>
          <cell r="C4981">
            <v>0</v>
          </cell>
          <cell r="D4981">
            <v>0</v>
          </cell>
          <cell r="E4981">
            <v>0</v>
          </cell>
          <cell r="F4981">
            <v>0</v>
          </cell>
          <cell r="G4981">
            <v>0</v>
          </cell>
          <cell r="H4981">
            <v>0</v>
          </cell>
          <cell r="I4981">
            <v>0</v>
          </cell>
          <cell r="J4981">
            <v>0</v>
          </cell>
          <cell r="K4981">
            <v>0</v>
          </cell>
          <cell r="L4981">
            <v>0</v>
          </cell>
          <cell r="M4981">
            <v>0</v>
          </cell>
          <cell r="N4981">
            <v>0</v>
          </cell>
          <cell r="O4981">
            <v>0</v>
          </cell>
        </row>
        <row r="4982">
          <cell r="A4982" t="str">
            <v>Czech Republic781 LL Recovery</v>
          </cell>
          <cell r="B4982">
            <v>0</v>
          </cell>
          <cell r="C4982">
            <v>0</v>
          </cell>
          <cell r="D4982">
            <v>0</v>
          </cell>
          <cell r="E4982">
            <v>0</v>
          </cell>
          <cell r="F4982">
            <v>0</v>
          </cell>
          <cell r="G4982">
            <v>0</v>
          </cell>
          <cell r="H4982">
            <v>0</v>
          </cell>
          <cell r="I4982">
            <v>0</v>
          </cell>
          <cell r="J4982">
            <v>0</v>
          </cell>
          <cell r="K4982">
            <v>0</v>
          </cell>
          <cell r="L4982">
            <v>0</v>
          </cell>
          <cell r="M4982">
            <v>0</v>
          </cell>
          <cell r="N4982">
            <v>0</v>
          </cell>
          <cell r="O4982">
            <v>0</v>
          </cell>
        </row>
        <row r="4983">
          <cell r="A4983" t="str">
            <v>Czech Republic782 DF Provision</v>
          </cell>
          <cell r="B4983">
            <v>1314791.33</v>
          </cell>
          <cell r="C4983">
            <v>1055490.3999999999</v>
          </cell>
          <cell r="D4983">
            <v>977599.35</v>
          </cell>
          <cell r="E4983">
            <v>-1977581.61</v>
          </cell>
          <cell r="F4983">
            <v>1370299.47</v>
          </cell>
          <cell r="G4983">
            <v>0</v>
          </cell>
          <cell r="H4983">
            <v>0</v>
          </cell>
          <cell r="I4983">
            <v>0</v>
          </cell>
          <cell r="J4983">
            <v>0</v>
          </cell>
          <cell r="K4983">
            <v>0</v>
          </cell>
          <cell r="L4983">
            <v>857549.29</v>
          </cell>
          <cell r="M4983">
            <v>0</v>
          </cell>
          <cell r="N4983">
            <v>0</v>
          </cell>
          <cell r="O4983">
            <v>0</v>
          </cell>
        </row>
        <row r="4984">
          <cell r="A4984" t="str">
            <v>Czech Republic782 DF Recovery</v>
          </cell>
          <cell r="B4984">
            <v>0</v>
          </cell>
          <cell r="C4984">
            <v>0</v>
          </cell>
          <cell r="D4984">
            <v>0</v>
          </cell>
          <cell r="E4984">
            <v>0</v>
          </cell>
          <cell r="F4984">
            <v>0</v>
          </cell>
          <cell r="G4984">
            <v>0</v>
          </cell>
          <cell r="H4984">
            <v>0</v>
          </cell>
          <cell r="I4984">
            <v>0</v>
          </cell>
          <cell r="J4984">
            <v>0</v>
          </cell>
          <cell r="K4984">
            <v>0</v>
          </cell>
          <cell r="L4984">
            <v>0</v>
          </cell>
          <cell r="M4984">
            <v>0</v>
          </cell>
          <cell r="N4984">
            <v>0</v>
          </cell>
          <cell r="O4984">
            <v>0</v>
          </cell>
        </row>
        <row r="4985">
          <cell r="A4985" t="str">
            <v>Czech Republic783 Corp Level Provision</v>
          </cell>
          <cell r="B4985">
            <v>0</v>
          </cell>
          <cell r="C4985">
            <v>0</v>
          </cell>
          <cell r="D4985">
            <v>0</v>
          </cell>
          <cell r="E4985">
            <v>0</v>
          </cell>
          <cell r="F4985">
            <v>0</v>
          </cell>
          <cell r="G4985">
            <v>0</v>
          </cell>
          <cell r="H4985">
            <v>0</v>
          </cell>
          <cell r="I4985">
            <v>0</v>
          </cell>
          <cell r="J4985">
            <v>0</v>
          </cell>
          <cell r="K4985">
            <v>0</v>
          </cell>
          <cell r="L4985">
            <v>0</v>
          </cell>
          <cell r="M4985">
            <v>0</v>
          </cell>
          <cell r="N4985">
            <v>0</v>
          </cell>
          <cell r="O4985">
            <v>0</v>
          </cell>
        </row>
        <row r="4986">
          <cell r="A4986" t="str">
            <v>Czech Republic783 Corp Level Recovery</v>
          </cell>
          <cell r="B4986">
            <v>0</v>
          </cell>
          <cell r="C4986">
            <v>0</v>
          </cell>
          <cell r="D4986">
            <v>0</v>
          </cell>
          <cell r="E4986">
            <v>0</v>
          </cell>
          <cell r="F4986">
            <v>0</v>
          </cell>
          <cell r="G4986">
            <v>0</v>
          </cell>
          <cell r="H4986">
            <v>0</v>
          </cell>
          <cell r="I4986">
            <v>0</v>
          </cell>
          <cell r="J4986">
            <v>0</v>
          </cell>
          <cell r="K4986">
            <v>0</v>
          </cell>
          <cell r="L4986">
            <v>0</v>
          </cell>
          <cell r="M4986">
            <v>0</v>
          </cell>
          <cell r="N4986">
            <v>0</v>
          </cell>
          <cell r="O4986">
            <v>0</v>
          </cell>
        </row>
        <row r="4987">
          <cell r="A4987" t="str">
            <v>Czech Republic784 Business Share Provision</v>
          </cell>
          <cell r="B4987">
            <v>0</v>
          </cell>
          <cell r="C4987">
            <v>0</v>
          </cell>
          <cell r="D4987">
            <v>0</v>
          </cell>
          <cell r="E4987">
            <v>0</v>
          </cell>
          <cell r="F4987">
            <v>0</v>
          </cell>
          <cell r="G4987">
            <v>0</v>
          </cell>
          <cell r="H4987">
            <v>0</v>
          </cell>
          <cell r="I4987">
            <v>0</v>
          </cell>
          <cell r="J4987">
            <v>0</v>
          </cell>
          <cell r="K4987">
            <v>0</v>
          </cell>
          <cell r="L4987">
            <v>0</v>
          </cell>
          <cell r="M4987">
            <v>0</v>
          </cell>
          <cell r="N4987">
            <v>0</v>
          </cell>
          <cell r="O4987">
            <v>0</v>
          </cell>
        </row>
        <row r="4988">
          <cell r="A4988" t="str">
            <v>Czech RepublicReserves - Business Sharing</v>
          </cell>
          <cell r="B4988">
            <v>0</v>
          </cell>
          <cell r="C4988">
            <v>0</v>
          </cell>
          <cell r="D4988">
            <v>0</v>
          </cell>
          <cell r="E4988">
            <v>0</v>
          </cell>
          <cell r="F4988">
            <v>0</v>
          </cell>
          <cell r="G4988">
            <v>0</v>
          </cell>
          <cell r="H4988">
            <v>0</v>
          </cell>
          <cell r="I4988">
            <v>0</v>
          </cell>
          <cell r="J4988">
            <v>0</v>
          </cell>
          <cell r="K4988">
            <v>0</v>
          </cell>
          <cell r="L4988">
            <v>0</v>
          </cell>
          <cell r="M4988">
            <v>0</v>
          </cell>
          <cell r="N4988">
            <v>0</v>
          </cell>
          <cell r="O4988">
            <v>0</v>
          </cell>
        </row>
        <row r="4989">
          <cell r="A4989" t="str">
            <v>DenmarkNEA - Fixed Rate</v>
          </cell>
          <cell r="B4989">
            <v>0</v>
          </cell>
          <cell r="C4989">
            <v>0</v>
          </cell>
          <cell r="D4989">
            <v>0</v>
          </cell>
          <cell r="E4989">
            <v>0</v>
          </cell>
          <cell r="F4989">
            <v>0</v>
          </cell>
          <cell r="G4989">
            <v>0</v>
          </cell>
          <cell r="H4989">
            <v>0</v>
          </cell>
          <cell r="I4989">
            <v>0</v>
          </cell>
          <cell r="J4989">
            <v>0</v>
          </cell>
          <cell r="K4989">
            <v>0</v>
          </cell>
          <cell r="L4989">
            <v>0</v>
          </cell>
          <cell r="M4989">
            <v>0</v>
          </cell>
          <cell r="N4989">
            <v>0</v>
          </cell>
          <cell r="O4989">
            <v>0</v>
          </cell>
        </row>
        <row r="4990">
          <cell r="A4990" t="str">
            <v>DenmarkNEA - Floating Rate</v>
          </cell>
          <cell r="B4990">
            <v>0</v>
          </cell>
          <cell r="C4990">
            <v>0</v>
          </cell>
          <cell r="D4990">
            <v>0</v>
          </cell>
          <cell r="E4990">
            <v>0</v>
          </cell>
          <cell r="F4990">
            <v>0</v>
          </cell>
          <cell r="G4990">
            <v>0</v>
          </cell>
          <cell r="H4990">
            <v>0</v>
          </cell>
          <cell r="I4990">
            <v>0</v>
          </cell>
          <cell r="J4990">
            <v>0</v>
          </cell>
          <cell r="K4990">
            <v>0</v>
          </cell>
          <cell r="L4990">
            <v>0</v>
          </cell>
          <cell r="M4990">
            <v>0</v>
          </cell>
          <cell r="N4990">
            <v>0</v>
          </cell>
          <cell r="O4990">
            <v>0</v>
          </cell>
        </row>
        <row r="4991">
          <cell r="A4991" t="str">
            <v>DenmarkReserves - FX Gain / Loss</v>
          </cell>
          <cell r="B4991">
            <v>5689408.7599999998</v>
          </cell>
          <cell r="C4991">
            <v>6569094.5599999996</v>
          </cell>
          <cell r="D4991">
            <v>2166767.7200000002</v>
          </cell>
          <cell r="E4991">
            <v>3498883.88</v>
          </cell>
          <cell r="F4991">
            <v>3498883.88</v>
          </cell>
          <cell r="G4991">
            <v>0</v>
          </cell>
          <cell r="H4991">
            <v>0</v>
          </cell>
          <cell r="I4991">
            <v>0</v>
          </cell>
          <cell r="J4991">
            <v>0</v>
          </cell>
          <cell r="K4991">
            <v>0</v>
          </cell>
          <cell r="L4991">
            <v>4427063.17</v>
          </cell>
          <cell r="M4991">
            <v>0</v>
          </cell>
          <cell r="N4991">
            <v>0</v>
          </cell>
          <cell r="O4991">
            <v>0</v>
          </cell>
        </row>
        <row r="4992">
          <cell r="A4992" t="str">
            <v>DenmarkReserves - Provisons</v>
          </cell>
          <cell r="B4992">
            <v>-3805060.96</v>
          </cell>
          <cell r="C4992">
            <v>-9274362.8399999999</v>
          </cell>
          <cell r="D4992">
            <v>-15499560.449999999</v>
          </cell>
          <cell r="E4992">
            <v>-23516471.27</v>
          </cell>
          <cell r="F4992">
            <v>-23516471.27</v>
          </cell>
          <cell r="G4992">
            <v>0</v>
          </cell>
          <cell r="H4992">
            <v>0</v>
          </cell>
          <cell r="I4992">
            <v>0</v>
          </cell>
          <cell r="J4992">
            <v>0</v>
          </cell>
          <cell r="K4992">
            <v>0</v>
          </cell>
          <cell r="L4992">
            <v>-4021436.5</v>
          </cell>
          <cell r="M4992">
            <v>0</v>
          </cell>
          <cell r="N4992">
            <v>0</v>
          </cell>
          <cell r="O4992">
            <v>0</v>
          </cell>
        </row>
        <row r="4993">
          <cell r="A4993" t="str">
            <v>DenmarkReserves - Recoveries</v>
          </cell>
          <cell r="B4993">
            <v>-33038.43</v>
          </cell>
          <cell r="C4993">
            <v>-1257226.48</v>
          </cell>
          <cell r="D4993">
            <v>-37629908.840000004</v>
          </cell>
          <cell r="E4993">
            <v>582789.51</v>
          </cell>
          <cell r="F4993">
            <v>582789.51</v>
          </cell>
          <cell r="G4993">
            <v>0</v>
          </cell>
          <cell r="H4993">
            <v>0</v>
          </cell>
          <cell r="I4993">
            <v>0</v>
          </cell>
          <cell r="J4993">
            <v>0</v>
          </cell>
          <cell r="K4993">
            <v>0</v>
          </cell>
          <cell r="L4993">
            <v>-2116961.9300000002</v>
          </cell>
          <cell r="M4993">
            <v>0</v>
          </cell>
          <cell r="N4993">
            <v>0</v>
          </cell>
          <cell r="O4993">
            <v>0</v>
          </cell>
        </row>
        <row r="4994">
          <cell r="A4994" t="str">
            <v>DenmarkReserves - BOP</v>
          </cell>
          <cell r="B4994">
            <v>-22461814.640000001</v>
          </cell>
          <cell r="C4994">
            <v>-22461814.640000001</v>
          </cell>
          <cell r="D4994">
            <v>-22461814.640000001</v>
          </cell>
          <cell r="E4994">
            <v>-22461814.640000001</v>
          </cell>
          <cell r="F4994">
            <v>-22461814.640000001</v>
          </cell>
          <cell r="G4994">
            <v>-52019483.729999997</v>
          </cell>
          <cell r="H4994">
            <v>-57419264.68</v>
          </cell>
          <cell r="I4994">
            <v>-62844921.68</v>
          </cell>
          <cell r="J4994">
            <v>-62826412.310000002</v>
          </cell>
          <cell r="K4994">
            <v>-62826412.310000002</v>
          </cell>
          <cell r="L4994">
            <v>-51527315.399999999</v>
          </cell>
          <cell r="M4994">
            <v>-34465662.659999996</v>
          </cell>
          <cell r="N4994">
            <v>-40430925.027690001</v>
          </cell>
          <cell r="O4994">
            <v>-48773513.436224997</v>
          </cell>
        </row>
        <row r="4995">
          <cell r="A4995" t="str">
            <v>DenmarkReserves - Transfers &amp; Others</v>
          </cell>
          <cell r="B4995">
            <v>0</v>
          </cell>
          <cell r="C4995">
            <v>0</v>
          </cell>
          <cell r="D4995">
            <v>0</v>
          </cell>
          <cell r="E4995">
            <v>-19519945.050000001</v>
          </cell>
          <cell r="F4995">
            <v>-19519945.050000001</v>
          </cell>
          <cell r="G4995">
            <v>0</v>
          </cell>
          <cell r="H4995">
            <v>0</v>
          </cell>
          <cell r="I4995">
            <v>0</v>
          </cell>
          <cell r="J4995">
            <v>0</v>
          </cell>
          <cell r="K4995">
            <v>0</v>
          </cell>
          <cell r="L4995">
            <v>-465643.25</v>
          </cell>
          <cell r="M4995">
            <v>0</v>
          </cell>
          <cell r="N4995">
            <v>0</v>
          </cell>
          <cell r="O4995">
            <v>0</v>
          </cell>
        </row>
        <row r="4996">
          <cell r="A4996" t="str">
            <v>DenmarkReserves - Write-Offs</v>
          </cell>
          <cell r="B4996">
            <v>2802169.31</v>
          </cell>
          <cell r="C4996">
            <v>6513719.1900000004</v>
          </cell>
          <cell r="D4996">
            <v>9519113.5999999996</v>
          </cell>
          <cell r="E4996">
            <v>13388126.050000001</v>
          </cell>
          <cell r="F4996">
            <v>13388126.050000001</v>
          </cell>
          <cell r="G4996">
            <v>3767318.13</v>
          </cell>
          <cell r="H4996">
            <v>9100963.4800000004</v>
          </cell>
          <cell r="I4996">
            <v>14320466.48</v>
          </cell>
          <cell r="J4996">
            <v>13712521.91</v>
          </cell>
          <cell r="K4996">
            <v>13712521.91</v>
          </cell>
          <cell r="L4996">
            <v>3347726.88</v>
          </cell>
          <cell r="M4996">
            <v>7324539.5999999996</v>
          </cell>
          <cell r="N4996">
            <v>8119339.857752</v>
          </cell>
          <cell r="O4996">
            <v>9268841.2711730003</v>
          </cell>
        </row>
        <row r="4997">
          <cell r="A4997" t="str">
            <v>Denmark780 FR Provision</v>
          </cell>
          <cell r="B4997">
            <v>3805060.98</v>
          </cell>
          <cell r="C4997">
            <v>5469301.8499999996</v>
          </cell>
          <cell r="D4997">
            <v>6225187.3300000001</v>
          </cell>
          <cell r="E4997">
            <v>8016910.75</v>
          </cell>
          <cell r="F4997">
            <v>23516460.91</v>
          </cell>
          <cell r="G4997">
            <v>0</v>
          </cell>
          <cell r="H4997">
            <v>0</v>
          </cell>
          <cell r="I4997">
            <v>0</v>
          </cell>
          <cell r="J4997">
            <v>0</v>
          </cell>
          <cell r="K4997">
            <v>0</v>
          </cell>
          <cell r="L4997">
            <v>4014047.82</v>
          </cell>
          <cell r="M4997">
            <v>0</v>
          </cell>
          <cell r="N4997">
            <v>0</v>
          </cell>
          <cell r="O4997">
            <v>0</v>
          </cell>
        </row>
        <row r="4998">
          <cell r="A4998" t="str">
            <v>Denmark780 FR Recovery</v>
          </cell>
          <cell r="B4998">
            <v>0</v>
          </cell>
          <cell r="C4998">
            <v>0</v>
          </cell>
          <cell r="D4998">
            <v>0</v>
          </cell>
          <cell r="E4998">
            <v>0</v>
          </cell>
          <cell r="F4998">
            <v>0</v>
          </cell>
          <cell r="G4998">
            <v>4501407.5999999996</v>
          </cell>
          <cell r="H4998">
            <v>5399784</v>
          </cell>
          <cell r="I4998">
            <v>5425658.4000000004</v>
          </cell>
          <cell r="J4998">
            <v>-18502.8</v>
          </cell>
          <cell r="K4998">
            <v>15308347.199999999</v>
          </cell>
          <cell r="L4998">
            <v>0</v>
          </cell>
          <cell r="M4998">
            <v>11799612</v>
          </cell>
          <cell r="N4998">
            <v>13289798.24769</v>
          </cell>
          <cell r="O4998">
            <v>16461928.263214</v>
          </cell>
        </row>
        <row r="4999">
          <cell r="A4999" t="str">
            <v>Denmark781 LL Provision</v>
          </cell>
          <cell r="B4999">
            <v>0</v>
          </cell>
          <cell r="C4999">
            <v>0</v>
          </cell>
          <cell r="D4999">
            <v>0</v>
          </cell>
          <cell r="E4999">
            <v>0</v>
          </cell>
          <cell r="F4999">
            <v>0</v>
          </cell>
          <cell r="G4999">
            <v>0</v>
          </cell>
          <cell r="H4999">
            <v>0</v>
          </cell>
          <cell r="I4999">
            <v>0</v>
          </cell>
          <cell r="J4999">
            <v>0</v>
          </cell>
          <cell r="K4999">
            <v>0</v>
          </cell>
          <cell r="L4999">
            <v>0</v>
          </cell>
          <cell r="M4999">
            <v>0</v>
          </cell>
          <cell r="N4999">
            <v>0</v>
          </cell>
          <cell r="O4999">
            <v>0</v>
          </cell>
        </row>
        <row r="5000">
          <cell r="A5000" t="str">
            <v>Denmark781 LL Recovery</v>
          </cell>
          <cell r="B5000">
            <v>0</v>
          </cell>
          <cell r="C5000">
            <v>0</v>
          </cell>
          <cell r="D5000">
            <v>0</v>
          </cell>
          <cell r="E5000">
            <v>0</v>
          </cell>
          <cell r="F5000">
            <v>0</v>
          </cell>
          <cell r="G5000">
            <v>0</v>
          </cell>
          <cell r="H5000">
            <v>0</v>
          </cell>
          <cell r="I5000">
            <v>0</v>
          </cell>
          <cell r="J5000">
            <v>0</v>
          </cell>
          <cell r="K5000">
            <v>0</v>
          </cell>
          <cell r="L5000">
            <v>0</v>
          </cell>
          <cell r="M5000">
            <v>0</v>
          </cell>
          <cell r="N5000">
            <v>0</v>
          </cell>
          <cell r="O5000">
            <v>0</v>
          </cell>
        </row>
        <row r="5001">
          <cell r="A5001" t="str">
            <v>Denmark782 DF Provision</v>
          </cell>
          <cell r="B5001">
            <v>0</v>
          </cell>
          <cell r="C5001">
            <v>0</v>
          </cell>
          <cell r="D5001">
            <v>0</v>
          </cell>
          <cell r="E5001">
            <v>0</v>
          </cell>
          <cell r="F5001">
            <v>0</v>
          </cell>
          <cell r="G5001">
            <v>0</v>
          </cell>
          <cell r="H5001">
            <v>0</v>
          </cell>
          <cell r="I5001">
            <v>0</v>
          </cell>
          <cell r="J5001">
            <v>0</v>
          </cell>
          <cell r="K5001">
            <v>0</v>
          </cell>
          <cell r="L5001">
            <v>0</v>
          </cell>
          <cell r="M5001">
            <v>0</v>
          </cell>
          <cell r="N5001">
            <v>0</v>
          </cell>
          <cell r="O5001">
            <v>0</v>
          </cell>
        </row>
        <row r="5002">
          <cell r="A5002" t="str">
            <v>Denmark782 DF Recovery</v>
          </cell>
          <cell r="B5002">
            <v>0</v>
          </cell>
          <cell r="C5002">
            <v>0</v>
          </cell>
          <cell r="D5002">
            <v>0</v>
          </cell>
          <cell r="E5002">
            <v>0</v>
          </cell>
          <cell r="F5002">
            <v>0</v>
          </cell>
          <cell r="G5002">
            <v>0</v>
          </cell>
          <cell r="H5002">
            <v>0</v>
          </cell>
          <cell r="I5002">
            <v>0</v>
          </cell>
          <cell r="J5002">
            <v>0</v>
          </cell>
          <cell r="K5002">
            <v>0</v>
          </cell>
          <cell r="L5002">
            <v>0</v>
          </cell>
          <cell r="M5002">
            <v>0</v>
          </cell>
          <cell r="N5002">
            <v>0</v>
          </cell>
          <cell r="O5002">
            <v>0</v>
          </cell>
        </row>
        <row r="5003">
          <cell r="A5003" t="str">
            <v>Denmark783 Corp Level Provision</v>
          </cell>
          <cell r="B5003">
            <v>0</v>
          </cell>
          <cell r="C5003">
            <v>0</v>
          </cell>
          <cell r="D5003">
            <v>0</v>
          </cell>
          <cell r="E5003">
            <v>0</v>
          </cell>
          <cell r="F5003">
            <v>0</v>
          </cell>
          <cell r="G5003">
            <v>0</v>
          </cell>
          <cell r="H5003">
            <v>0</v>
          </cell>
          <cell r="I5003">
            <v>0</v>
          </cell>
          <cell r="J5003">
            <v>0</v>
          </cell>
          <cell r="K5003">
            <v>0</v>
          </cell>
          <cell r="L5003">
            <v>0</v>
          </cell>
          <cell r="M5003">
            <v>0</v>
          </cell>
          <cell r="N5003">
            <v>0</v>
          </cell>
          <cell r="O5003">
            <v>0</v>
          </cell>
        </row>
        <row r="5004">
          <cell r="A5004" t="str">
            <v>Denmark783 Corp Level Recovery</v>
          </cell>
          <cell r="B5004">
            <v>0</v>
          </cell>
          <cell r="C5004">
            <v>0</v>
          </cell>
          <cell r="D5004">
            <v>0</v>
          </cell>
          <cell r="E5004">
            <v>0</v>
          </cell>
          <cell r="F5004">
            <v>0</v>
          </cell>
          <cell r="G5004">
            <v>0</v>
          </cell>
          <cell r="H5004">
            <v>0</v>
          </cell>
          <cell r="I5004">
            <v>0</v>
          </cell>
          <cell r="J5004">
            <v>0</v>
          </cell>
          <cell r="K5004">
            <v>0</v>
          </cell>
          <cell r="L5004">
            <v>0</v>
          </cell>
          <cell r="M5004">
            <v>0</v>
          </cell>
          <cell r="N5004">
            <v>0</v>
          </cell>
          <cell r="O5004">
            <v>0</v>
          </cell>
        </row>
        <row r="5005">
          <cell r="A5005" t="str">
            <v>Denmark784 Business Share Provision</v>
          </cell>
          <cell r="B5005">
            <v>0</v>
          </cell>
          <cell r="C5005">
            <v>0</v>
          </cell>
          <cell r="D5005">
            <v>0</v>
          </cell>
          <cell r="E5005">
            <v>0</v>
          </cell>
          <cell r="F5005">
            <v>0</v>
          </cell>
          <cell r="G5005">
            <v>0</v>
          </cell>
          <cell r="H5005">
            <v>0</v>
          </cell>
          <cell r="I5005">
            <v>0</v>
          </cell>
          <cell r="J5005">
            <v>0</v>
          </cell>
          <cell r="K5005">
            <v>0</v>
          </cell>
          <cell r="L5005">
            <v>0</v>
          </cell>
          <cell r="M5005">
            <v>0</v>
          </cell>
          <cell r="N5005">
            <v>0</v>
          </cell>
          <cell r="O5005">
            <v>0</v>
          </cell>
        </row>
        <row r="5006">
          <cell r="A5006" t="str">
            <v>DenmarkReserves - Business Sharing</v>
          </cell>
          <cell r="B5006">
            <v>0</v>
          </cell>
          <cell r="C5006">
            <v>0</v>
          </cell>
          <cell r="D5006">
            <v>0</v>
          </cell>
          <cell r="E5006">
            <v>0</v>
          </cell>
          <cell r="F5006">
            <v>0</v>
          </cell>
          <cell r="G5006">
            <v>0</v>
          </cell>
          <cell r="H5006">
            <v>0</v>
          </cell>
          <cell r="I5006">
            <v>0</v>
          </cell>
          <cell r="J5006">
            <v>0</v>
          </cell>
          <cell r="K5006">
            <v>0</v>
          </cell>
          <cell r="L5006">
            <v>0</v>
          </cell>
          <cell r="M5006">
            <v>0</v>
          </cell>
          <cell r="N5006">
            <v>0</v>
          </cell>
          <cell r="O5006">
            <v>0</v>
          </cell>
        </row>
        <row r="5007">
          <cell r="A5007" t="str">
            <v>DOMsNEA - Fixed Rate</v>
          </cell>
          <cell r="B5007">
            <v>0</v>
          </cell>
          <cell r="C5007">
            <v>0</v>
          </cell>
          <cell r="D5007">
            <v>0</v>
          </cell>
          <cell r="E5007">
            <v>0</v>
          </cell>
          <cell r="F5007">
            <v>0</v>
          </cell>
          <cell r="G5007">
            <v>0</v>
          </cell>
          <cell r="H5007">
            <v>0</v>
          </cell>
          <cell r="I5007">
            <v>0</v>
          </cell>
          <cell r="J5007">
            <v>0</v>
          </cell>
          <cell r="K5007">
            <v>0</v>
          </cell>
          <cell r="L5007">
            <v>0</v>
          </cell>
          <cell r="M5007">
            <v>0</v>
          </cell>
          <cell r="N5007">
            <v>0</v>
          </cell>
          <cell r="O5007">
            <v>0</v>
          </cell>
        </row>
        <row r="5008">
          <cell r="A5008" t="str">
            <v>DOMsNEA - Floating Rate</v>
          </cell>
          <cell r="B5008">
            <v>0</v>
          </cell>
          <cell r="C5008">
            <v>0</v>
          </cell>
          <cell r="D5008">
            <v>0</v>
          </cell>
          <cell r="E5008">
            <v>0</v>
          </cell>
          <cell r="F5008">
            <v>0</v>
          </cell>
          <cell r="G5008">
            <v>0</v>
          </cell>
          <cell r="H5008">
            <v>0</v>
          </cell>
          <cell r="I5008">
            <v>0</v>
          </cell>
          <cell r="J5008">
            <v>0</v>
          </cell>
          <cell r="K5008">
            <v>0</v>
          </cell>
          <cell r="L5008">
            <v>0</v>
          </cell>
          <cell r="M5008">
            <v>0</v>
          </cell>
          <cell r="N5008">
            <v>0</v>
          </cell>
          <cell r="O5008">
            <v>0</v>
          </cell>
        </row>
        <row r="5009">
          <cell r="A5009" t="str">
            <v>DOMsReserves - FX Gain / Loss</v>
          </cell>
          <cell r="B5009">
            <v>-1273136.2</v>
          </cell>
          <cell r="C5009">
            <v>-153331.93</v>
          </cell>
          <cell r="D5009">
            <v>-2064071.34</v>
          </cell>
          <cell r="E5009">
            <v>-1495673.42</v>
          </cell>
          <cell r="F5009">
            <v>-1495673.42</v>
          </cell>
          <cell r="G5009">
            <v>0</v>
          </cell>
          <cell r="H5009">
            <v>0</v>
          </cell>
          <cell r="I5009">
            <v>0</v>
          </cell>
          <cell r="J5009">
            <v>0</v>
          </cell>
          <cell r="K5009">
            <v>0</v>
          </cell>
          <cell r="L5009">
            <v>-801321.18</v>
          </cell>
          <cell r="M5009">
            <v>0</v>
          </cell>
          <cell r="N5009">
            <v>0</v>
          </cell>
          <cell r="O5009">
            <v>0</v>
          </cell>
        </row>
        <row r="5010">
          <cell r="A5010" t="str">
            <v>DOMsReserves - Provisons</v>
          </cell>
          <cell r="B5010">
            <v>-2531431.3199999998</v>
          </cell>
          <cell r="C5010">
            <v>-6084857.96</v>
          </cell>
          <cell r="D5010">
            <v>-8418540.0600000005</v>
          </cell>
          <cell r="E5010">
            <v>-12388378.57</v>
          </cell>
          <cell r="F5010">
            <v>-12388378.57</v>
          </cell>
          <cell r="G5010">
            <v>0</v>
          </cell>
          <cell r="H5010">
            <v>0</v>
          </cell>
          <cell r="I5010">
            <v>0</v>
          </cell>
          <cell r="J5010">
            <v>0</v>
          </cell>
          <cell r="K5010">
            <v>0</v>
          </cell>
          <cell r="L5010">
            <v>-2586932.8199999998</v>
          </cell>
          <cell r="M5010">
            <v>0</v>
          </cell>
          <cell r="N5010">
            <v>0</v>
          </cell>
          <cell r="O5010">
            <v>0</v>
          </cell>
        </row>
        <row r="5011">
          <cell r="A5011" t="str">
            <v>DOMsReserves - Recoveries</v>
          </cell>
          <cell r="B5011">
            <v>1077778.71</v>
          </cell>
          <cell r="C5011">
            <v>2561559.85</v>
          </cell>
          <cell r="D5011">
            <v>1077802.01</v>
          </cell>
          <cell r="E5011">
            <v>-8997492.6400000006</v>
          </cell>
          <cell r="F5011">
            <v>-8997492.6400000006</v>
          </cell>
          <cell r="G5011">
            <v>0</v>
          </cell>
          <cell r="H5011">
            <v>0</v>
          </cell>
          <cell r="I5011">
            <v>0</v>
          </cell>
          <cell r="J5011">
            <v>0</v>
          </cell>
          <cell r="K5011">
            <v>0</v>
          </cell>
          <cell r="L5011">
            <v>-2226784.4</v>
          </cell>
          <cell r="M5011">
            <v>0</v>
          </cell>
          <cell r="N5011">
            <v>0</v>
          </cell>
          <cell r="O5011">
            <v>0</v>
          </cell>
        </row>
        <row r="5012">
          <cell r="A5012" t="str">
            <v>DOMsReserves - BOP</v>
          </cell>
          <cell r="B5012">
            <v>-27037283.960000001</v>
          </cell>
          <cell r="C5012">
            <v>-27037283.960000001</v>
          </cell>
          <cell r="D5012">
            <v>-27037283.960000001</v>
          </cell>
          <cell r="E5012">
            <v>-27037283.960000001</v>
          </cell>
          <cell r="F5012">
            <v>-27037283.960000001</v>
          </cell>
          <cell r="G5012">
            <v>-32986143</v>
          </cell>
          <cell r="H5012">
            <v>-36091776</v>
          </cell>
          <cell r="I5012">
            <v>-38929681</v>
          </cell>
          <cell r="J5012">
            <v>-42450609</v>
          </cell>
          <cell r="K5012">
            <v>-42450609</v>
          </cell>
          <cell r="L5012">
            <v>-29353804.879999999</v>
          </cell>
          <cell r="M5012">
            <v>-40795143.288456999</v>
          </cell>
          <cell r="N5012">
            <v>-42912086.082396001</v>
          </cell>
          <cell r="O5012">
            <v>-45483264.271810003</v>
          </cell>
        </row>
        <row r="5013">
          <cell r="A5013" t="str">
            <v>DOMsReserves - Transfers &amp; Others</v>
          </cell>
          <cell r="B5013">
            <v>0</v>
          </cell>
          <cell r="C5013">
            <v>0</v>
          </cell>
          <cell r="D5013">
            <v>0</v>
          </cell>
          <cell r="E5013">
            <v>1701019.47</v>
          </cell>
          <cell r="F5013">
            <v>1701019.47</v>
          </cell>
          <cell r="G5013">
            <v>0</v>
          </cell>
          <cell r="H5013">
            <v>0</v>
          </cell>
          <cell r="I5013">
            <v>0</v>
          </cell>
          <cell r="J5013">
            <v>0</v>
          </cell>
          <cell r="K5013">
            <v>0</v>
          </cell>
          <cell r="L5013">
            <v>-27278.32</v>
          </cell>
          <cell r="M5013">
            <v>0</v>
          </cell>
          <cell r="N5013">
            <v>0</v>
          </cell>
          <cell r="O5013">
            <v>0</v>
          </cell>
        </row>
        <row r="5014">
          <cell r="A5014" t="str">
            <v>DOMsReserves - Write-Offs</v>
          </cell>
          <cell r="B5014">
            <v>1590875.3</v>
          </cell>
          <cell r="C5014">
            <v>4199173.62</v>
          </cell>
          <cell r="D5014">
            <v>6751108.0800000001</v>
          </cell>
          <cell r="E5014">
            <v>17615192.82</v>
          </cell>
          <cell r="F5014">
            <v>17615192.82</v>
          </cell>
          <cell r="G5014">
            <v>3032102</v>
          </cell>
          <cell r="H5014">
            <v>5601335</v>
          </cell>
          <cell r="I5014">
            <v>7901206</v>
          </cell>
          <cell r="J5014">
            <v>10256817</v>
          </cell>
          <cell r="K5014">
            <v>10256817</v>
          </cell>
          <cell r="L5014">
            <v>5056311.63</v>
          </cell>
          <cell r="M5014">
            <v>10100454</v>
          </cell>
          <cell r="N5014">
            <v>10550153</v>
          </cell>
          <cell r="O5014">
            <v>10970686</v>
          </cell>
        </row>
        <row r="5015">
          <cell r="A5015" t="str">
            <v>DOMs780 FR Provision</v>
          </cell>
          <cell r="B5015">
            <v>5428257.9100000001</v>
          </cell>
          <cell r="C5015">
            <v>5743926.2699999996</v>
          </cell>
          <cell r="D5015">
            <v>5132369.26</v>
          </cell>
          <cell r="E5015">
            <v>6518991.96</v>
          </cell>
          <cell r="F5015">
            <v>22823545.399999999</v>
          </cell>
          <cell r="G5015">
            <v>0</v>
          </cell>
          <cell r="H5015">
            <v>0</v>
          </cell>
          <cell r="I5015">
            <v>0</v>
          </cell>
          <cell r="J5015">
            <v>0</v>
          </cell>
          <cell r="K5015">
            <v>0</v>
          </cell>
          <cell r="L5015">
            <v>5620959.46</v>
          </cell>
          <cell r="M5015">
            <v>0</v>
          </cell>
          <cell r="N5015">
            <v>0</v>
          </cell>
          <cell r="O5015">
            <v>0</v>
          </cell>
        </row>
        <row r="5016">
          <cell r="A5016" t="str">
            <v>DOMs780 FR Recovery</v>
          </cell>
          <cell r="B5016">
            <v>-2050619.14</v>
          </cell>
          <cell r="C5016">
            <v>-2190499.67</v>
          </cell>
          <cell r="D5016">
            <v>-2798687.14</v>
          </cell>
          <cell r="E5016">
            <v>-2549153.42</v>
          </cell>
          <cell r="F5016">
            <v>-9588959.3699999992</v>
          </cell>
          <cell r="G5016">
            <v>2429585</v>
          </cell>
          <cell r="H5016">
            <v>3152920</v>
          </cell>
          <cell r="I5016">
            <v>2852669</v>
          </cell>
          <cell r="J5016">
            <v>3535647</v>
          </cell>
          <cell r="K5016">
            <v>11970821</v>
          </cell>
          <cell r="L5016">
            <v>-2308081.5499999998</v>
          </cell>
          <cell r="M5016">
            <v>11696472.285079001</v>
          </cell>
          <cell r="N5016">
            <v>12217396.384093</v>
          </cell>
          <cell r="O5016">
            <v>13121331.358874001</v>
          </cell>
        </row>
        <row r="5017">
          <cell r="A5017" t="str">
            <v>DOMs781 LL Provision</v>
          </cell>
          <cell r="B5017">
            <v>0</v>
          </cell>
          <cell r="C5017">
            <v>0</v>
          </cell>
          <cell r="D5017">
            <v>0</v>
          </cell>
          <cell r="E5017">
            <v>0</v>
          </cell>
          <cell r="F5017">
            <v>0</v>
          </cell>
          <cell r="G5017">
            <v>0</v>
          </cell>
          <cell r="H5017">
            <v>0</v>
          </cell>
          <cell r="I5017">
            <v>0</v>
          </cell>
          <cell r="J5017">
            <v>0</v>
          </cell>
          <cell r="K5017">
            <v>0</v>
          </cell>
          <cell r="L5017">
            <v>0</v>
          </cell>
          <cell r="M5017">
            <v>0</v>
          </cell>
          <cell r="N5017">
            <v>0</v>
          </cell>
          <cell r="O5017">
            <v>0</v>
          </cell>
        </row>
        <row r="5018">
          <cell r="A5018" t="str">
            <v>DOMs781 LL Recovery</v>
          </cell>
          <cell r="B5018">
            <v>0</v>
          </cell>
          <cell r="C5018">
            <v>0</v>
          </cell>
          <cell r="D5018">
            <v>0</v>
          </cell>
          <cell r="E5018">
            <v>0</v>
          </cell>
          <cell r="F5018">
            <v>0</v>
          </cell>
          <cell r="G5018">
            <v>0</v>
          </cell>
          <cell r="H5018">
            <v>0</v>
          </cell>
          <cell r="I5018">
            <v>0</v>
          </cell>
          <cell r="J5018">
            <v>0</v>
          </cell>
          <cell r="K5018">
            <v>0</v>
          </cell>
          <cell r="L5018">
            <v>0</v>
          </cell>
          <cell r="M5018">
            <v>0</v>
          </cell>
          <cell r="N5018">
            <v>0</v>
          </cell>
          <cell r="O5018">
            <v>0</v>
          </cell>
        </row>
        <row r="5019">
          <cell r="A5019" t="str">
            <v>DOMs782 DF Provision</v>
          </cell>
          <cell r="B5019">
            <v>-313479.42</v>
          </cell>
          <cell r="C5019">
            <v>0</v>
          </cell>
          <cell r="D5019">
            <v>0</v>
          </cell>
          <cell r="E5019">
            <v>0</v>
          </cell>
          <cell r="F5019">
            <v>-313479.42</v>
          </cell>
          <cell r="G5019">
            <v>0</v>
          </cell>
          <cell r="H5019">
            <v>0</v>
          </cell>
          <cell r="I5019">
            <v>0</v>
          </cell>
          <cell r="J5019">
            <v>0</v>
          </cell>
          <cell r="K5019">
            <v>0</v>
          </cell>
          <cell r="L5019">
            <v>-633220.79</v>
          </cell>
          <cell r="M5019">
            <v>0</v>
          </cell>
          <cell r="N5019">
            <v>0</v>
          </cell>
          <cell r="O5019">
            <v>0</v>
          </cell>
        </row>
        <row r="5020">
          <cell r="A5020" t="str">
            <v>DOMs782 DF Recovery</v>
          </cell>
          <cell r="B5020">
            <v>-532728.01</v>
          </cell>
          <cell r="C5020">
            <v>0</v>
          </cell>
          <cell r="D5020">
            <v>0</v>
          </cell>
          <cell r="E5020">
            <v>0</v>
          </cell>
          <cell r="F5020">
            <v>-532728.01</v>
          </cell>
          <cell r="G5020">
            <v>0</v>
          </cell>
          <cell r="H5020">
            <v>0</v>
          </cell>
          <cell r="I5020">
            <v>0</v>
          </cell>
          <cell r="J5020">
            <v>0</v>
          </cell>
          <cell r="K5020">
            <v>0</v>
          </cell>
          <cell r="L5020">
            <v>-92724.22</v>
          </cell>
          <cell r="M5020">
            <v>0</v>
          </cell>
          <cell r="N5020">
            <v>0</v>
          </cell>
          <cell r="O5020">
            <v>0</v>
          </cell>
        </row>
        <row r="5021">
          <cell r="A5021" t="str">
            <v>DOMs783 Corp Level Provision</v>
          </cell>
          <cell r="B5021">
            <v>0</v>
          </cell>
          <cell r="C5021">
            <v>0</v>
          </cell>
          <cell r="D5021">
            <v>0</v>
          </cell>
          <cell r="E5021">
            <v>0</v>
          </cell>
          <cell r="F5021">
            <v>0</v>
          </cell>
          <cell r="G5021">
            <v>0</v>
          </cell>
          <cell r="H5021">
            <v>0</v>
          </cell>
          <cell r="I5021">
            <v>0</v>
          </cell>
          <cell r="J5021">
            <v>0</v>
          </cell>
          <cell r="K5021">
            <v>0</v>
          </cell>
          <cell r="L5021">
            <v>0</v>
          </cell>
          <cell r="M5021">
            <v>0</v>
          </cell>
          <cell r="N5021">
            <v>0</v>
          </cell>
          <cell r="O5021">
            <v>0</v>
          </cell>
        </row>
        <row r="5022">
          <cell r="A5022" t="str">
            <v>DOMs783 Corp Level Recovery</v>
          </cell>
          <cell r="B5022">
            <v>0</v>
          </cell>
          <cell r="C5022">
            <v>0</v>
          </cell>
          <cell r="D5022">
            <v>0</v>
          </cell>
          <cell r="E5022">
            <v>0</v>
          </cell>
          <cell r="F5022">
            <v>0</v>
          </cell>
          <cell r="G5022">
            <v>0</v>
          </cell>
          <cell r="H5022">
            <v>0</v>
          </cell>
          <cell r="I5022">
            <v>0</v>
          </cell>
          <cell r="J5022">
            <v>0</v>
          </cell>
          <cell r="K5022">
            <v>0</v>
          </cell>
          <cell r="L5022">
            <v>0</v>
          </cell>
          <cell r="M5022">
            <v>0</v>
          </cell>
          <cell r="N5022">
            <v>0</v>
          </cell>
          <cell r="O5022">
            <v>0</v>
          </cell>
        </row>
        <row r="5023">
          <cell r="A5023" t="str">
            <v>DOMs784 Business Share Provision</v>
          </cell>
          <cell r="B5023">
            <v>0</v>
          </cell>
          <cell r="C5023">
            <v>0</v>
          </cell>
          <cell r="D5023">
            <v>0</v>
          </cell>
          <cell r="E5023">
            <v>0</v>
          </cell>
          <cell r="F5023">
            <v>0</v>
          </cell>
          <cell r="G5023">
            <v>0</v>
          </cell>
          <cell r="H5023">
            <v>0</v>
          </cell>
          <cell r="I5023">
            <v>0</v>
          </cell>
          <cell r="J5023">
            <v>0</v>
          </cell>
          <cell r="K5023">
            <v>0</v>
          </cell>
          <cell r="L5023">
            <v>0</v>
          </cell>
          <cell r="M5023">
            <v>0</v>
          </cell>
          <cell r="N5023">
            <v>0</v>
          </cell>
          <cell r="O5023">
            <v>0</v>
          </cell>
        </row>
        <row r="5024">
          <cell r="A5024" t="str">
            <v>DOMsReserves - Business Sharing</v>
          </cell>
          <cell r="B5024">
            <v>0</v>
          </cell>
          <cell r="C5024">
            <v>0</v>
          </cell>
          <cell r="D5024">
            <v>0</v>
          </cell>
          <cell r="E5024">
            <v>0</v>
          </cell>
          <cell r="F5024">
            <v>0</v>
          </cell>
          <cell r="G5024">
            <v>0</v>
          </cell>
          <cell r="H5024">
            <v>0</v>
          </cell>
          <cell r="I5024">
            <v>0</v>
          </cell>
          <cell r="J5024">
            <v>0</v>
          </cell>
          <cell r="K5024">
            <v>0</v>
          </cell>
          <cell r="L5024">
            <v>0</v>
          </cell>
          <cell r="M5024">
            <v>0</v>
          </cell>
          <cell r="N5024">
            <v>0</v>
          </cell>
          <cell r="O5024">
            <v>0</v>
          </cell>
        </row>
        <row r="5025">
          <cell r="A5025" t="str">
            <v>France GECBNEA - Fixed Rate</v>
          </cell>
          <cell r="B5025">
            <v>0</v>
          </cell>
          <cell r="C5025">
            <v>0</v>
          </cell>
          <cell r="D5025">
            <v>0</v>
          </cell>
          <cell r="E5025">
            <v>0</v>
          </cell>
          <cell r="F5025">
            <v>0</v>
          </cell>
          <cell r="G5025">
            <v>0</v>
          </cell>
          <cell r="H5025">
            <v>0</v>
          </cell>
          <cell r="I5025">
            <v>0</v>
          </cell>
          <cell r="J5025">
            <v>0</v>
          </cell>
          <cell r="K5025">
            <v>0</v>
          </cell>
          <cell r="L5025">
            <v>0</v>
          </cell>
          <cell r="M5025">
            <v>0</v>
          </cell>
          <cell r="N5025">
            <v>0</v>
          </cell>
          <cell r="O5025">
            <v>0</v>
          </cell>
        </row>
        <row r="5026">
          <cell r="A5026" t="str">
            <v>France GECBNEA - Floating Rate</v>
          </cell>
          <cell r="B5026">
            <v>0</v>
          </cell>
          <cell r="C5026">
            <v>0</v>
          </cell>
          <cell r="D5026">
            <v>0</v>
          </cell>
          <cell r="E5026">
            <v>0</v>
          </cell>
          <cell r="F5026">
            <v>0</v>
          </cell>
          <cell r="G5026">
            <v>0</v>
          </cell>
          <cell r="H5026">
            <v>0</v>
          </cell>
          <cell r="I5026">
            <v>0</v>
          </cell>
          <cell r="J5026">
            <v>0</v>
          </cell>
          <cell r="K5026">
            <v>0</v>
          </cell>
          <cell r="L5026">
            <v>0</v>
          </cell>
          <cell r="M5026">
            <v>0</v>
          </cell>
          <cell r="N5026">
            <v>0</v>
          </cell>
          <cell r="O5026">
            <v>0</v>
          </cell>
        </row>
        <row r="5027">
          <cell r="A5027" t="str">
            <v>France GECBReserves - FX Gain / Loss</v>
          </cell>
          <cell r="B5027">
            <v>29283992.879999999</v>
          </cell>
          <cell r="C5027">
            <v>32169040.239999998</v>
          </cell>
          <cell r="D5027">
            <v>26963035.809999999</v>
          </cell>
          <cell r="E5027">
            <v>28493608.940000001</v>
          </cell>
          <cell r="F5027">
            <v>28493608.940000001</v>
          </cell>
          <cell r="G5027">
            <v>0</v>
          </cell>
          <cell r="H5027">
            <v>0</v>
          </cell>
          <cell r="I5027">
            <v>0</v>
          </cell>
          <cell r="J5027">
            <v>0</v>
          </cell>
          <cell r="K5027">
            <v>0</v>
          </cell>
          <cell r="L5027">
            <v>30320689.129999999</v>
          </cell>
          <cell r="M5027">
            <v>0</v>
          </cell>
          <cell r="N5027">
            <v>0</v>
          </cell>
          <cell r="O5027">
            <v>0</v>
          </cell>
        </row>
        <row r="5028">
          <cell r="A5028" t="str">
            <v>France GECBReserves - Provisons</v>
          </cell>
          <cell r="B5028">
            <v>-10279700.01</v>
          </cell>
          <cell r="C5028">
            <v>-12413492.810000001</v>
          </cell>
          <cell r="D5028">
            <v>-19908669.34</v>
          </cell>
          <cell r="E5028">
            <v>-26378631.800000001</v>
          </cell>
          <cell r="F5028">
            <v>-26378631.800000001</v>
          </cell>
          <cell r="G5028">
            <v>0</v>
          </cell>
          <cell r="H5028">
            <v>0</v>
          </cell>
          <cell r="I5028">
            <v>0</v>
          </cell>
          <cell r="J5028">
            <v>0</v>
          </cell>
          <cell r="K5028">
            <v>0</v>
          </cell>
          <cell r="L5028">
            <v>-5022073.8099999996</v>
          </cell>
          <cell r="M5028">
            <v>0</v>
          </cell>
          <cell r="N5028">
            <v>0</v>
          </cell>
          <cell r="O5028">
            <v>0</v>
          </cell>
        </row>
        <row r="5029">
          <cell r="A5029" t="str">
            <v>France GECBReserves - Recoveries</v>
          </cell>
          <cell r="B5029">
            <v>6847319.7999999998</v>
          </cell>
          <cell r="C5029">
            <v>9269090.8200000003</v>
          </cell>
          <cell r="D5029">
            <v>6938061.29</v>
          </cell>
          <cell r="E5029">
            <v>6716727.2800000003</v>
          </cell>
          <cell r="F5029">
            <v>6716727.2800000003</v>
          </cell>
          <cell r="G5029">
            <v>0</v>
          </cell>
          <cell r="H5029">
            <v>0</v>
          </cell>
          <cell r="I5029">
            <v>0</v>
          </cell>
          <cell r="J5029">
            <v>0</v>
          </cell>
          <cell r="K5029">
            <v>0</v>
          </cell>
          <cell r="L5029">
            <v>-7620007.0300000003</v>
          </cell>
          <cell r="M5029">
            <v>0</v>
          </cell>
          <cell r="N5029">
            <v>0</v>
          </cell>
          <cell r="O5029">
            <v>0</v>
          </cell>
        </row>
        <row r="5030">
          <cell r="A5030" t="str">
            <v>France GECBReserves - BOP</v>
          </cell>
          <cell r="B5030">
            <v>-107912682.41</v>
          </cell>
          <cell r="C5030">
            <v>-107912682.41</v>
          </cell>
          <cell r="D5030">
            <v>-107912682.41</v>
          </cell>
          <cell r="E5030">
            <v>-107912682.41</v>
          </cell>
          <cell r="F5030">
            <v>-107912682.41</v>
          </cell>
          <cell r="G5030">
            <v>-88821309.201554999</v>
          </cell>
          <cell r="H5030">
            <v>-92422766.768289</v>
          </cell>
          <cell r="I5030">
            <v>-101617722.45373499</v>
          </cell>
          <cell r="J5030">
            <v>-108309772.875687</v>
          </cell>
          <cell r="K5030">
            <v>-108309772.875687</v>
          </cell>
          <cell r="L5030">
            <v>-109734739.28</v>
          </cell>
          <cell r="M5030">
            <v>-101054159.28593899</v>
          </cell>
          <cell r="N5030">
            <v>-118302671.01477499</v>
          </cell>
          <cell r="O5030">
            <v>-118687170.28472801</v>
          </cell>
        </row>
        <row r="5031">
          <cell r="A5031" t="str">
            <v>France GECBReserves - Transfers &amp; Others</v>
          </cell>
          <cell r="B5031">
            <v>0</v>
          </cell>
          <cell r="C5031">
            <v>0</v>
          </cell>
          <cell r="D5031">
            <v>0</v>
          </cell>
          <cell r="E5031">
            <v>0</v>
          </cell>
          <cell r="F5031">
            <v>0</v>
          </cell>
          <cell r="G5031">
            <v>0</v>
          </cell>
          <cell r="H5031">
            <v>0</v>
          </cell>
          <cell r="I5031">
            <v>0</v>
          </cell>
          <cell r="J5031">
            <v>0</v>
          </cell>
          <cell r="K5031">
            <v>0</v>
          </cell>
          <cell r="L5031">
            <v>0</v>
          </cell>
          <cell r="M5031">
            <v>0</v>
          </cell>
          <cell r="N5031">
            <v>0</v>
          </cell>
          <cell r="O5031">
            <v>0</v>
          </cell>
        </row>
        <row r="5032">
          <cell r="A5032" t="str">
            <v>France GECBReserves - Write-Offs</v>
          </cell>
          <cell r="B5032">
            <v>1305790.56</v>
          </cell>
          <cell r="C5032">
            <v>6348592.4299999997</v>
          </cell>
          <cell r="D5032">
            <v>12781180.85</v>
          </cell>
          <cell r="E5032">
            <v>17592985.649999999</v>
          </cell>
          <cell r="F5032">
            <v>17592985.649999999</v>
          </cell>
          <cell r="G5032">
            <v>13295410.744752999</v>
          </cell>
          <cell r="H5032">
            <v>17237512.100513998</v>
          </cell>
          <cell r="I5032">
            <v>25845172.609919</v>
          </cell>
          <cell r="J5032">
            <v>33608559.711301997</v>
          </cell>
          <cell r="K5032">
            <v>33608559.711301997</v>
          </cell>
          <cell r="L5032">
            <v>13753811.029999999</v>
          </cell>
          <cell r="M5032">
            <v>22698767</v>
          </cell>
          <cell r="N5032">
            <v>28783177</v>
          </cell>
          <cell r="O5032">
            <v>34027657</v>
          </cell>
        </row>
        <row r="5033">
          <cell r="A5033" t="str">
            <v>France GECB780 FR Provision</v>
          </cell>
          <cell r="B5033">
            <v>13849462.800000001</v>
          </cell>
          <cell r="C5033">
            <v>8559668.9600000009</v>
          </cell>
          <cell r="D5033">
            <v>10376776.470000001</v>
          </cell>
          <cell r="E5033">
            <v>10042381.060000001</v>
          </cell>
          <cell r="F5033">
            <v>42828289.289999999</v>
          </cell>
          <cell r="G5033">
            <v>0</v>
          </cell>
          <cell r="H5033">
            <v>0</v>
          </cell>
          <cell r="I5033">
            <v>0</v>
          </cell>
          <cell r="J5033">
            <v>0</v>
          </cell>
          <cell r="K5033">
            <v>0</v>
          </cell>
          <cell r="L5033">
            <v>14779850.550000001</v>
          </cell>
          <cell r="M5033">
            <v>5550293.6635039998</v>
          </cell>
          <cell r="N5033">
            <v>11693804.704515999</v>
          </cell>
          <cell r="O5033">
            <v>-4633886.8854630003</v>
          </cell>
        </row>
        <row r="5034">
          <cell r="A5034" t="str">
            <v>France GECB780 FR Recovery</v>
          </cell>
          <cell r="B5034">
            <v>-3144637.27</v>
          </cell>
          <cell r="C5034">
            <v>-5116486.46</v>
          </cell>
          <cell r="D5034">
            <v>-2831846.89</v>
          </cell>
          <cell r="E5034">
            <v>-3205085.05</v>
          </cell>
          <cell r="F5034">
            <v>-14298055.67</v>
          </cell>
          <cell r="G5034">
            <v>7580178.8615549998</v>
          </cell>
          <cell r="H5034">
            <v>3601457.5667340001</v>
          </cell>
          <cell r="I5034">
            <v>9194955.6854459997</v>
          </cell>
          <cell r="J5034">
            <v>6692050.4219519999</v>
          </cell>
          <cell r="K5034">
            <v>27068642.535687</v>
          </cell>
          <cell r="L5034">
            <v>-9401868.8200000003</v>
          </cell>
          <cell r="M5034">
            <v>23062769.908578001</v>
          </cell>
          <cell r="N5034">
            <v>28253474.17024</v>
          </cell>
          <cell r="O5034">
            <v>33801563.031736001</v>
          </cell>
        </row>
        <row r="5035">
          <cell r="A5035" t="str">
            <v>France GECB781 LL Provision</v>
          </cell>
          <cell r="B5035">
            <v>0</v>
          </cell>
          <cell r="C5035">
            <v>0</v>
          </cell>
          <cell r="D5035">
            <v>0</v>
          </cell>
          <cell r="E5035">
            <v>0</v>
          </cell>
          <cell r="F5035">
            <v>0</v>
          </cell>
          <cell r="G5035">
            <v>0</v>
          </cell>
          <cell r="H5035">
            <v>0</v>
          </cell>
          <cell r="I5035">
            <v>0</v>
          </cell>
          <cell r="J5035">
            <v>0</v>
          </cell>
          <cell r="K5035">
            <v>0</v>
          </cell>
          <cell r="L5035">
            <v>0</v>
          </cell>
          <cell r="M5035">
            <v>0</v>
          </cell>
          <cell r="N5035">
            <v>0</v>
          </cell>
          <cell r="O5035">
            <v>0</v>
          </cell>
        </row>
        <row r="5036">
          <cell r="A5036" t="str">
            <v>France GECB781 LL Recovery</v>
          </cell>
          <cell r="B5036">
            <v>0</v>
          </cell>
          <cell r="C5036">
            <v>0</v>
          </cell>
          <cell r="D5036">
            <v>0</v>
          </cell>
          <cell r="E5036">
            <v>0</v>
          </cell>
          <cell r="F5036">
            <v>0</v>
          </cell>
          <cell r="G5036">
            <v>0</v>
          </cell>
          <cell r="H5036">
            <v>0</v>
          </cell>
          <cell r="I5036">
            <v>0</v>
          </cell>
          <cell r="J5036">
            <v>0</v>
          </cell>
          <cell r="K5036">
            <v>0</v>
          </cell>
          <cell r="L5036">
            <v>0</v>
          </cell>
          <cell r="M5036">
            <v>0</v>
          </cell>
          <cell r="N5036">
            <v>0</v>
          </cell>
          <cell r="O5036">
            <v>0</v>
          </cell>
        </row>
        <row r="5037">
          <cell r="A5037" t="str">
            <v>France GECB782 DF Provision</v>
          </cell>
          <cell r="B5037">
            <v>114999.93</v>
          </cell>
          <cell r="C5037">
            <v>-171991.33</v>
          </cell>
          <cell r="D5037">
            <v>317695.84999999998</v>
          </cell>
          <cell r="E5037">
            <v>317664.13</v>
          </cell>
          <cell r="F5037">
            <v>578368.57999999996</v>
          </cell>
          <cell r="G5037">
            <v>0</v>
          </cell>
          <cell r="H5037">
            <v>0</v>
          </cell>
          <cell r="I5037">
            <v>0</v>
          </cell>
          <cell r="J5037">
            <v>0</v>
          </cell>
          <cell r="K5037">
            <v>0</v>
          </cell>
          <cell r="L5037">
            <v>250123.21</v>
          </cell>
          <cell r="M5037">
            <v>0</v>
          </cell>
          <cell r="N5037">
            <v>0</v>
          </cell>
          <cell r="O5037">
            <v>0</v>
          </cell>
        </row>
        <row r="5038">
          <cell r="A5038" t="str">
            <v>France GECB782 DF Recovery</v>
          </cell>
          <cell r="B5038">
            <v>-540125.44999999995</v>
          </cell>
          <cell r="C5038">
            <v>-1137398.3799999999</v>
          </cell>
          <cell r="D5038">
            <v>-367448.92</v>
          </cell>
          <cell r="E5038">
            <v>-684997.7</v>
          </cell>
          <cell r="F5038">
            <v>-2729970.45</v>
          </cell>
          <cell r="G5038">
            <v>0</v>
          </cell>
          <cell r="H5038">
            <v>0</v>
          </cell>
          <cell r="I5038">
            <v>0</v>
          </cell>
          <cell r="J5038">
            <v>0</v>
          </cell>
          <cell r="K5038">
            <v>0</v>
          </cell>
          <cell r="L5038">
            <v>-606031.22</v>
          </cell>
          <cell r="M5038">
            <v>0</v>
          </cell>
          <cell r="N5038">
            <v>0</v>
          </cell>
          <cell r="O5038">
            <v>0</v>
          </cell>
        </row>
        <row r="5039">
          <cell r="A5039" t="str">
            <v>France GECB783 Corp Level Provision</v>
          </cell>
          <cell r="B5039">
            <v>0</v>
          </cell>
          <cell r="C5039">
            <v>0</v>
          </cell>
          <cell r="D5039">
            <v>0</v>
          </cell>
          <cell r="E5039">
            <v>0</v>
          </cell>
          <cell r="F5039">
            <v>0</v>
          </cell>
          <cell r="G5039">
            <v>0</v>
          </cell>
          <cell r="H5039">
            <v>0</v>
          </cell>
          <cell r="I5039">
            <v>0</v>
          </cell>
          <cell r="J5039">
            <v>0</v>
          </cell>
          <cell r="K5039">
            <v>0</v>
          </cell>
          <cell r="L5039">
            <v>0</v>
          </cell>
          <cell r="M5039">
            <v>0</v>
          </cell>
          <cell r="N5039">
            <v>0</v>
          </cell>
          <cell r="O5039">
            <v>0</v>
          </cell>
        </row>
        <row r="5040">
          <cell r="A5040" t="str">
            <v>France GECB783 Corp Level Recovery</v>
          </cell>
          <cell r="B5040">
            <v>0</v>
          </cell>
          <cell r="C5040">
            <v>0</v>
          </cell>
          <cell r="D5040">
            <v>0</v>
          </cell>
          <cell r="E5040">
            <v>0</v>
          </cell>
          <cell r="F5040">
            <v>0</v>
          </cell>
          <cell r="G5040">
            <v>0</v>
          </cell>
          <cell r="H5040">
            <v>0</v>
          </cell>
          <cell r="I5040">
            <v>0</v>
          </cell>
          <cell r="J5040">
            <v>0</v>
          </cell>
          <cell r="K5040">
            <v>0</v>
          </cell>
          <cell r="L5040">
            <v>0</v>
          </cell>
          <cell r="M5040">
            <v>0</v>
          </cell>
          <cell r="N5040">
            <v>0</v>
          </cell>
          <cell r="O5040">
            <v>0</v>
          </cell>
        </row>
        <row r="5041">
          <cell r="A5041" t="str">
            <v>France GECB784 Business Share Provision</v>
          </cell>
          <cell r="B5041">
            <v>0</v>
          </cell>
          <cell r="C5041">
            <v>0</v>
          </cell>
          <cell r="D5041">
            <v>0</v>
          </cell>
          <cell r="E5041">
            <v>0</v>
          </cell>
          <cell r="F5041">
            <v>0</v>
          </cell>
          <cell r="G5041">
            <v>0</v>
          </cell>
          <cell r="H5041">
            <v>0</v>
          </cell>
          <cell r="I5041">
            <v>0</v>
          </cell>
          <cell r="J5041">
            <v>0</v>
          </cell>
          <cell r="K5041">
            <v>0</v>
          </cell>
          <cell r="L5041">
            <v>0</v>
          </cell>
          <cell r="M5041">
            <v>0</v>
          </cell>
          <cell r="N5041">
            <v>0</v>
          </cell>
          <cell r="O5041">
            <v>0</v>
          </cell>
        </row>
        <row r="5042">
          <cell r="A5042" t="str">
            <v>France GECBReserves - Business Sharing</v>
          </cell>
          <cell r="B5042">
            <v>0</v>
          </cell>
          <cell r="C5042">
            <v>0</v>
          </cell>
          <cell r="D5042">
            <v>0</v>
          </cell>
          <cell r="E5042">
            <v>0</v>
          </cell>
          <cell r="F5042">
            <v>0</v>
          </cell>
          <cell r="G5042">
            <v>0</v>
          </cell>
          <cell r="H5042">
            <v>0</v>
          </cell>
          <cell r="I5042">
            <v>0</v>
          </cell>
          <cell r="J5042">
            <v>0</v>
          </cell>
          <cell r="K5042">
            <v>0</v>
          </cell>
          <cell r="L5042">
            <v>0</v>
          </cell>
          <cell r="M5042">
            <v>0</v>
          </cell>
          <cell r="N5042">
            <v>0</v>
          </cell>
          <cell r="O5042">
            <v>0</v>
          </cell>
        </row>
        <row r="5043">
          <cell r="A5043" t="str">
            <v>GCF UKNEA - Fixed Rate</v>
          </cell>
          <cell r="B5043">
            <v>0</v>
          </cell>
          <cell r="C5043">
            <v>0</v>
          </cell>
          <cell r="D5043">
            <v>0</v>
          </cell>
          <cell r="E5043">
            <v>0</v>
          </cell>
          <cell r="F5043">
            <v>0</v>
          </cell>
          <cell r="G5043">
            <v>0</v>
          </cell>
          <cell r="H5043">
            <v>0</v>
          </cell>
          <cell r="I5043">
            <v>0</v>
          </cell>
          <cell r="J5043">
            <v>0</v>
          </cell>
          <cell r="K5043">
            <v>0</v>
          </cell>
          <cell r="L5043">
            <v>0</v>
          </cell>
          <cell r="M5043">
            <v>0</v>
          </cell>
          <cell r="N5043">
            <v>0</v>
          </cell>
          <cell r="O5043">
            <v>0</v>
          </cell>
        </row>
        <row r="5044">
          <cell r="A5044" t="str">
            <v>GCF UKNEA - Floating Rate</v>
          </cell>
          <cell r="B5044">
            <v>0</v>
          </cell>
          <cell r="C5044">
            <v>0</v>
          </cell>
          <cell r="D5044">
            <v>0</v>
          </cell>
          <cell r="E5044">
            <v>0</v>
          </cell>
          <cell r="F5044">
            <v>0</v>
          </cell>
          <cell r="G5044">
            <v>0</v>
          </cell>
          <cell r="H5044">
            <v>0</v>
          </cell>
          <cell r="I5044">
            <v>0</v>
          </cell>
          <cell r="J5044">
            <v>0</v>
          </cell>
          <cell r="K5044">
            <v>0</v>
          </cell>
          <cell r="L5044">
            <v>0</v>
          </cell>
          <cell r="M5044">
            <v>0</v>
          </cell>
          <cell r="N5044">
            <v>0</v>
          </cell>
          <cell r="O5044">
            <v>0</v>
          </cell>
        </row>
        <row r="5045">
          <cell r="A5045" t="str">
            <v>GCF UKReserves - FX Gain / Loss</v>
          </cell>
          <cell r="B5045">
            <v>24177693.210000001</v>
          </cell>
          <cell r="C5045">
            <v>27018130.920000002</v>
          </cell>
          <cell r="D5045">
            <v>21123627.52</v>
          </cell>
          <cell r="E5045">
            <v>22514386.969999999</v>
          </cell>
          <cell r="F5045">
            <v>22514386.969999999</v>
          </cell>
          <cell r="G5045">
            <v>0</v>
          </cell>
          <cell r="H5045">
            <v>0</v>
          </cell>
          <cell r="I5045">
            <v>0</v>
          </cell>
          <cell r="J5045">
            <v>0</v>
          </cell>
          <cell r="K5045">
            <v>0</v>
          </cell>
          <cell r="L5045">
            <v>25046679.550000001</v>
          </cell>
          <cell r="M5045">
            <v>0</v>
          </cell>
          <cell r="N5045">
            <v>0</v>
          </cell>
          <cell r="O5045">
            <v>0</v>
          </cell>
        </row>
        <row r="5046">
          <cell r="A5046" t="str">
            <v>GCF UKReserves - Provisons</v>
          </cell>
          <cell r="B5046">
            <v>-33210067.420000002</v>
          </cell>
          <cell r="C5046">
            <v>-57681858.119999997</v>
          </cell>
          <cell r="D5046">
            <v>-78466965.700000003</v>
          </cell>
          <cell r="E5046">
            <v>-106866426.36</v>
          </cell>
          <cell r="F5046">
            <v>-106866426.36</v>
          </cell>
          <cell r="G5046">
            <v>0</v>
          </cell>
          <cell r="H5046">
            <v>0</v>
          </cell>
          <cell r="I5046">
            <v>0</v>
          </cell>
          <cell r="J5046">
            <v>0</v>
          </cell>
          <cell r="K5046">
            <v>0</v>
          </cell>
          <cell r="L5046">
            <v>-28921887.23</v>
          </cell>
          <cell r="M5046">
            <v>0</v>
          </cell>
          <cell r="N5046">
            <v>0</v>
          </cell>
          <cell r="O5046">
            <v>0</v>
          </cell>
        </row>
        <row r="5047">
          <cell r="A5047" t="str">
            <v>GCF UKReserves - Recoveries</v>
          </cell>
          <cell r="B5047">
            <v>0</v>
          </cell>
          <cell r="C5047">
            <v>0</v>
          </cell>
          <cell r="D5047">
            <v>0</v>
          </cell>
          <cell r="E5047">
            <v>0</v>
          </cell>
          <cell r="F5047">
            <v>0</v>
          </cell>
          <cell r="G5047">
            <v>0</v>
          </cell>
          <cell r="H5047">
            <v>0</v>
          </cell>
          <cell r="I5047">
            <v>0</v>
          </cell>
          <cell r="J5047">
            <v>0</v>
          </cell>
          <cell r="K5047">
            <v>0</v>
          </cell>
          <cell r="L5047">
            <v>0</v>
          </cell>
          <cell r="M5047">
            <v>0</v>
          </cell>
          <cell r="N5047">
            <v>0</v>
          </cell>
          <cell r="O5047">
            <v>0</v>
          </cell>
        </row>
        <row r="5048">
          <cell r="A5048" t="str">
            <v>GCF UKReserves - BOP</v>
          </cell>
          <cell r="B5048">
            <v>-156466396.84999999</v>
          </cell>
          <cell r="C5048">
            <v>-156466396.84999999</v>
          </cell>
          <cell r="D5048">
            <v>-156466396.84999999</v>
          </cell>
          <cell r="E5048">
            <v>-156466396.84999999</v>
          </cell>
          <cell r="F5048">
            <v>-156466396.84999999</v>
          </cell>
          <cell r="G5048">
            <v>-148106017.23771301</v>
          </cell>
          <cell r="H5048">
            <v>-174009318.501939</v>
          </cell>
          <cell r="I5048">
            <v>-201367201.60995099</v>
          </cell>
          <cell r="J5048">
            <v>-231142030.68492499</v>
          </cell>
          <cell r="K5048">
            <v>-231142030.68492499</v>
          </cell>
          <cell r="L5048">
            <v>-147042669.34999999</v>
          </cell>
          <cell r="M5048">
            <v>-240535801.98699999</v>
          </cell>
          <cell r="N5048">
            <v>-241210184.58899999</v>
          </cell>
          <cell r="O5048">
            <v>-252058642.66800001</v>
          </cell>
        </row>
        <row r="5049">
          <cell r="A5049" t="str">
            <v>GCF UKReserves - Transfers &amp; Others</v>
          </cell>
          <cell r="B5049">
            <v>0</v>
          </cell>
          <cell r="C5049">
            <v>0</v>
          </cell>
          <cell r="D5049">
            <v>0</v>
          </cell>
          <cell r="E5049">
            <v>0</v>
          </cell>
          <cell r="F5049">
            <v>0</v>
          </cell>
          <cell r="G5049">
            <v>0</v>
          </cell>
          <cell r="H5049">
            <v>0</v>
          </cell>
          <cell r="I5049">
            <v>0</v>
          </cell>
          <cell r="J5049">
            <v>0</v>
          </cell>
          <cell r="K5049">
            <v>0</v>
          </cell>
          <cell r="L5049">
            <v>-18500000</v>
          </cell>
          <cell r="M5049">
            <v>0</v>
          </cell>
          <cell r="N5049">
            <v>0</v>
          </cell>
          <cell r="O5049">
            <v>0</v>
          </cell>
        </row>
        <row r="5050">
          <cell r="A5050" t="str">
            <v>GCF UKReserves - Write-Offs</v>
          </cell>
          <cell r="B5050">
            <v>31559660.280000001</v>
          </cell>
          <cell r="C5050">
            <v>60037854.5</v>
          </cell>
          <cell r="D5050">
            <v>89017968.989999995</v>
          </cell>
          <cell r="E5050">
            <v>116290153.86</v>
          </cell>
          <cell r="F5050">
            <v>116290153.86</v>
          </cell>
          <cell r="G5050">
            <v>30258961.687660001</v>
          </cell>
          <cell r="H5050">
            <v>57735087.577197999</v>
          </cell>
          <cell r="I5050">
            <v>85346685.956550002</v>
          </cell>
          <cell r="J5050">
            <v>111456687.373656</v>
          </cell>
          <cell r="K5050">
            <v>111456687.373656</v>
          </cell>
          <cell r="L5050">
            <v>24401631.48</v>
          </cell>
          <cell r="M5050">
            <v>130495876</v>
          </cell>
          <cell r="N5050">
            <v>123186144.59999999</v>
          </cell>
          <cell r="O5050">
            <v>127478772.09999999</v>
          </cell>
        </row>
        <row r="5051">
          <cell r="A5051" t="str">
            <v>GCF UK780 FR Provision</v>
          </cell>
          <cell r="B5051">
            <v>33210067.829999998</v>
          </cell>
          <cell r="C5051">
            <v>24471737.809999999</v>
          </cell>
          <cell r="D5051">
            <v>20785158.84</v>
          </cell>
          <cell r="E5051">
            <v>28399907.199999999</v>
          </cell>
          <cell r="F5051">
            <v>106866871.68000001</v>
          </cell>
          <cell r="G5051">
            <v>0</v>
          </cell>
          <cell r="H5051">
            <v>0</v>
          </cell>
          <cell r="I5051">
            <v>0</v>
          </cell>
          <cell r="J5051">
            <v>0</v>
          </cell>
          <cell r="K5051">
            <v>0</v>
          </cell>
          <cell r="L5051">
            <v>28921887.329999998</v>
          </cell>
          <cell r="M5051">
            <v>-9979933.2819999997</v>
          </cell>
          <cell r="N5051">
            <v>7984114.0020000003</v>
          </cell>
          <cell r="O5051">
            <v>6555830.5789999999</v>
          </cell>
        </row>
        <row r="5052">
          <cell r="A5052" t="str">
            <v>GCF UK780 FR Recovery</v>
          </cell>
          <cell r="B5052">
            <v>0</v>
          </cell>
          <cell r="C5052">
            <v>0</v>
          </cell>
          <cell r="D5052">
            <v>0</v>
          </cell>
          <cell r="E5052">
            <v>0</v>
          </cell>
          <cell r="F5052">
            <v>0</v>
          </cell>
          <cell r="G5052">
            <v>24642780.523332</v>
          </cell>
          <cell r="H5052">
            <v>25735357.447609</v>
          </cell>
          <cell r="I5052">
            <v>27714240.038361002</v>
          </cell>
          <cell r="J5052">
            <v>29983666.790975001</v>
          </cell>
          <cell r="K5052">
            <v>108076044.80027699</v>
          </cell>
          <cell r="L5052">
            <v>0</v>
          </cell>
          <cell r="M5052">
            <v>130495876</v>
          </cell>
          <cell r="N5052">
            <v>123186144.59999999</v>
          </cell>
          <cell r="O5052">
            <v>127478772.09999999</v>
          </cell>
        </row>
        <row r="5053">
          <cell r="A5053" t="str">
            <v>GCF UK781 LL Provision</v>
          </cell>
          <cell r="B5053">
            <v>0</v>
          </cell>
          <cell r="C5053">
            <v>0</v>
          </cell>
          <cell r="D5053">
            <v>0</v>
          </cell>
          <cell r="E5053">
            <v>0</v>
          </cell>
          <cell r="F5053">
            <v>0</v>
          </cell>
          <cell r="G5053">
            <v>0</v>
          </cell>
          <cell r="H5053">
            <v>0</v>
          </cell>
          <cell r="I5053">
            <v>0</v>
          </cell>
          <cell r="J5053">
            <v>0</v>
          </cell>
          <cell r="K5053">
            <v>0</v>
          </cell>
          <cell r="L5053">
            <v>0</v>
          </cell>
          <cell r="M5053">
            <v>0</v>
          </cell>
          <cell r="N5053">
            <v>0</v>
          </cell>
          <cell r="O5053">
            <v>0</v>
          </cell>
        </row>
        <row r="5054">
          <cell r="A5054" t="str">
            <v>GCF UK781 LL Recovery</v>
          </cell>
          <cell r="B5054">
            <v>0</v>
          </cell>
          <cell r="C5054">
            <v>0</v>
          </cell>
          <cell r="D5054">
            <v>0</v>
          </cell>
          <cell r="E5054">
            <v>0</v>
          </cell>
          <cell r="F5054">
            <v>0</v>
          </cell>
          <cell r="G5054">
            <v>0</v>
          </cell>
          <cell r="H5054">
            <v>0</v>
          </cell>
          <cell r="I5054">
            <v>0</v>
          </cell>
          <cell r="J5054">
            <v>0</v>
          </cell>
          <cell r="K5054">
            <v>0</v>
          </cell>
          <cell r="L5054">
            <v>0</v>
          </cell>
          <cell r="M5054">
            <v>0</v>
          </cell>
          <cell r="N5054">
            <v>0</v>
          </cell>
          <cell r="O5054">
            <v>0</v>
          </cell>
        </row>
        <row r="5055">
          <cell r="A5055" t="str">
            <v>GCF UK782 DF Provision</v>
          </cell>
          <cell r="B5055">
            <v>0</v>
          </cell>
          <cell r="C5055">
            <v>0</v>
          </cell>
          <cell r="D5055">
            <v>0</v>
          </cell>
          <cell r="E5055">
            <v>0</v>
          </cell>
          <cell r="F5055">
            <v>0</v>
          </cell>
          <cell r="G5055">
            <v>0</v>
          </cell>
          <cell r="H5055">
            <v>0</v>
          </cell>
          <cell r="I5055">
            <v>0</v>
          </cell>
          <cell r="J5055">
            <v>0</v>
          </cell>
          <cell r="K5055">
            <v>0</v>
          </cell>
          <cell r="L5055">
            <v>0</v>
          </cell>
          <cell r="M5055">
            <v>0</v>
          </cell>
          <cell r="N5055">
            <v>0</v>
          </cell>
          <cell r="O5055">
            <v>0</v>
          </cell>
        </row>
        <row r="5056">
          <cell r="A5056" t="str">
            <v>GCF UK782 DF Recovery</v>
          </cell>
          <cell r="B5056">
            <v>0</v>
          </cell>
          <cell r="C5056">
            <v>0</v>
          </cell>
          <cell r="D5056">
            <v>0</v>
          </cell>
          <cell r="E5056">
            <v>0</v>
          </cell>
          <cell r="F5056">
            <v>0</v>
          </cell>
          <cell r="G5056">
            <v>0</v>
          </cell>
          <cell r="H5056">
            <v>0</v>
          </cell>
          <cell r="I5056">
            <v>0</v>
          </cell>
          <cell r="J5056">
            <v>0</v>
          </cell>
          <cell r="K5056">
            <v>0</v>
          </cell>
          <cell r="L5056">
            <v>0</v>
          </cell>
          <cell r="M5056">
            <v>0</v>
          </cell>
          <cell r="N5056">
            <v>0</v>
          </cell>
          <cell r="O5056">
            <v>0</v>
          </cell>
        </row>
        <row r="5057">
          <cell r="A5057" t="str">
            <v>GCF UK783 Corp Level Provision</v>
          </cell>
          <cell r="B5057">
            <v>0</v>
          </cell>
          <cell r="C5057">
            <v>0</v>
          </cell>
          <cell r="D5057">
            <v>0</v>
          </cell>
          <cell r="E5057">
            <v>0</v>
          </cell>
          <cell r="F5057">
            <v>0</v>
          </cell>
          <cell r="G5057">
            <v>0</v>
          </cell>
          <cell r="H5057">
            <v>0</v>
          </cell>
          <cell r="I5057">
            <v>0</v>
          </cell>
          <cell r="J5057">
            <v>0</v>
          </cell>
          <cell r="K5057">
            <v>0</v>
          </cell>
          <cell r="L5057">
            <v>0</v>
          </cell>
          <cell r="M5057">
            <v>0</v>
          </cell>
          <cell r="N5057">
            <v>0</v>
          </cell>
          <cell r="O5057">
            <v>0</v>
          </cell>
        </row>
        <row r="5058">
          <cell r="A5058" t="str">
            <v>GCF UK783 Corp Level Recovery</v>
          </cell>
          <cell r="B5058">
            <v>0</v>
          </cell>
          <cell r="C5058">
            <v>0</v>
          </cell>
          <cell r="D5058">
            <v>0</v>
          </cell>
          <cell r="E5058">
            <v>0</v>
          </cell>
          <cell r="F5058">
            <v>0</v>
          </cell>
          <cell r="G5058">
            <v>0</v>
          </cell>
          <cell r="H5058">
            <v>0</v>
          </cell>
          <cell r="I5058">
            <v>0</v>
          </cell>
          <cell r="J5058">
            <v>0</v>
          </cell>
          <cell r="K5058">
            <v>0</v>
          </cell>
          <cell r="L5058">
            <v>0</v>
          </cell>
          <cell r="M5058">
            <v>0</v>
          </cell>
          <cell r="N5058">
            <v>0</v>
          </cell>
          <cell r="O5058">
            <v>0</v>
          </cell>
        </row>
        <row r="5059">
          <cell r="A5059" t="str">
            <v>GCF UK784 Business Share Provision</v>
          </cell>
          <cell r="B5059">
            <v>0</v>
          </cell>
          <cell r="C5059">
            <v>0</v>
          </cell>
          <cell r="D5059">
            <v>0</v>
          </cell>
          <cell r="E5059">
            <v>0</v>
          </cell>
          <cell r="F5059">
            <v>0</v>
          </cell>
          <cell r="G5059">
            <v>0</v>
          </cell>
          <cell r="H5059">
            <v>0</v>
          </cell>
          <cell r="I5059">
            <v>0</v>
          </cell>
          <cell r="J5059">
            <v>0</v>
          </cell>
          <cell r="K5059">
            <v>0</v>
          </cell>
          <cell r="L5059">
            <v>0</v>
          </cell>
          <cell r="M5059">
            <v>0</v>
          </cell>
          <cell r="N5059">
            <v>0</v>
          </cell>
          <cell r="O5059">
            <v>0</v>
          </cell>
        </row>
        <row r="5060">
          <cell r="A5060" t="str">
            <v>GCF UKReserves - Business Sharing</v>
          </cell>
          <cell r="B5060">
            <v>0</v>
          </cell>
          <cell r="C5060">
            <v>0</v>
          </cell>
          <cell r="D5060">
            <v>0</v>
          </cell>
          <cell r="E5060">
            <v>0</v>
          </cell>
          <cell r="F5060">
            <v>0</v>
          </cell>
          <cell r="G5060">
            <v>0</v>
          </cell>
          <cell r="H5060">
            <v>0</v>
          </cell>
          <cell r="I5060">
            <v>0</v>
          </cell>
          <cell r="J5060">
            <v>0</v>
          </cell>
          <cell r="K5060">
            <v>0</v>
          </cell>
          <cell r="L5060">
            <v>0</v>
          </cell>
          <cell r="M5060">
            <v>0</v>
          </cell>
          <cell r="N5060">
            <v>0</v>
          </cell>
          <cell r="O5060">
            <v>0</v>
          </cell>
        </row>
        <row r="5061">
          <cell r="A5061" t="str">
            <v>GECISNEA - Fixed Rate</v>
          </cell>
          <cell r="B5061">
            <v>0</v>
          </cell>
          <cell r="C5061">
            <v>0</v>
          </cell>
          <cell r="D5061">
            <v>0</v>
          </cell>
          <cell r="E5061">
            <v>0</v>
          </cell>
          <cell r="F5061">
            <v>0</v>
          </cell>
          <cell r="G5061">
            <v>0</v>
          </cell>
          <cell r="H5061">
            <v>0</v>
          </cell>
          <cell r="I5061">
            <v>0</v>
          </cell>
          <cell r="J5061">
            <v>0</v>
          </cell>
          <cell r="K5061">
            <v>0</v>
          </cell>
          <cell r="L5061">
            <v>0</v>
          </cell>
          <cell r="M5061">
            <v>0</v>
          </cell>
          <cell r="N5061">
            <v>0</v>
          </cell>
          <cell r="O5061">
            <v>0</v>
          </cell>
        </row>
        <row r="5062">
          <cell r="A5062" t="str">
            <v>GECISNEA - Floating Rate</v>
          </cell>
          <cell r="B5062">
            <v>0</v>
          </cell>
          <cell r="C5062">
            <v>0</v>
          </cell>
          <cell r="D5062">
            <v>0</v>
          </cell>
          <cell r="E5062">
            <v>0</v>
          </cell>
          <cell r="F5062">
            <v>0</v>
          </cell>
          <cell r="G5062">
            <v>0</v>
          </cell>
          <cell r="H5062">
            <v>0</v>
          </cell>
          <cell r="I5062">
            <v>0</v>
          </cell>
          <cell r="J5062">
            <v>0</v>
          </cell>
          <cell r="K5062">
            <v>0</v>
          </cell>
          <cell r="L5062">
            <v>0</v>
          </cell>
          <cell r="M5062">
            <v>0</v>
          </cell>
          <cell r="N5062">
            <v>0</v>
          </cell>
          <cell r="O5062">
            <v>0</v>
          </cell>
        </row>
        <row r="5063">
          <cell r="A5063" t="str">
            <v>GECISReserves - FX Gain / Loss</v>
          </cell>
          <cell r="B5063">
            <v>0</v>
          </cell>
          <cell r="C5063">
            <v>0</v>
          </cell>
          <cell r="D5063">
            <v>0</v>
          </cell>
          <cell r="E5063">
            <v>0</v>
          </cell>
          <cell r="F5063">
            <v>0</v>
          </cell>
          <cell r="G5063">
            <v>0</v>
          </cell>
          <cell r="H5063">
            <v>0</v>
          </cell>
          <cell r="I5063">
            <v>0</v>
          </cell>
          <cell r="J5063">
            <v>0</v>
          </cell>
          <cell r="K5063">
            <v>0</v>
          </cell>
          <cell r="L5063">
            <v>0</v>
          </cell>
          <cell r="M5063">
            <v>0</v>
          </cell>
          <cell r="N5063">
            <v>0</v>
          </cell>
          <cell r="O5063">
            <v>0</v>
          </cell>
        </row>
        <row r="5064">
          <cell r="A5064" t="str">
            <v>GECISReserves - Provisons</v>
          </cell>
          <cell r="B5064">
            <v>0</v>
          </cell>
          <cell r="C5064">
            <v>0</v>
          </cell>
          <cell r="D5064">
            <v>0</v>
          </cell>
          <cell r="E5064">
            <v>0</v>
          </cell>
          <cell r="F5064">
            <v>0</v>
          </cell>
          <cell r="G5064">
            <v>0</v>
          </cell>
          <cell r="H5064">
            <v>0</v>
          </cell>
          <cell r="I5064">
            <v>0</v>
          </cell>
          <cell r="J5064">
            <v>0</v>
          </cell>
          <cell r="K5064">
            <v>0</v>
          </cell>
          <cell r="L5064">
            <v>0</v>
          </cell>
          <cell r="M5064">
            <v>0</v>
          </cell>
          <cell r="N5064">
            <v>0</v>
          </cell>
          <cell r="O5064">
            <v>0</v>
          </cell>
        </row>
        <row r="5065">
          <cell r="A5065" t="str">
            <v>GECISReserves - Recoveries</v>
          </cell>
          <cell r="B5065">
            <v>0</v>
          </cell>
          <cell r="C5065">
            <v>0</v>
          </cell>
          <cell r="D5065">
            <v>0</v>
          </cell>
          <cell r="E5065">
            <v>0</v>
          </cell>
          <cell r="F5065">
            <v>0</v>
          </cell>
          <cell r="G5065">
            <v>0</v>
          </cell>
          <cell r="H5065">
            <v>0</v>
          </cell>
          <cell r="I5065">
            <v>0</v>
          </cell>
          <cell r="J5065">
            <v>0</v>
          </cell>
          <cell r="K5065">
            <v>0</v>
          </cell>
          <cell r="L5065">
            <v>0</v>
          </cell>
          <cell r="M5065">
            <v>0</v>
          </cell>
          <cell r="N5065">
            <v>0</v>
          </cell>
          <cell r="O5065">
            <v>0</v>
          </cell>
        </row>
        <row r="5066">
          <cell r="A5066" t="str">
            <v>GECISReserves - BOP</v>
          </cell>
          <cell r="B5066">
            <v>0</v>
          </cell>
          <cell r="C5066">
            <v>0</v>
          </cell>
          <cell r="D5066">
            <v>0</v>
          </cell>
          <cell r="E5066">
            <v>0</v>
          </cell>
          <cell r="F5066">
            <v>0</v>
          </cell>
          <cell r="G5066">
            <v>0</v>
          </cell>
          <cell r="H5066">
            <v>0</v>
          </cell>
          <cell r="I5066">
            <v>0</v>
          </cell>
          <cell r="J5066">
            <v>0</v>
          </cell>
          <cell r="K5066">
            <v>0</v>
          </cell>
          <cell r="L5066">
            <v>0</v>
          </cell>
          <cell r="M5066">
            <v>0</v>
          </cell>
          <cell r="N5066">
            <v>0</v>
          </cell>
          <cell r="O5066">
            <v>0</v>
          </cell>
        </row>
        <row r="5067">
          <cell r="A5067" t="str">
            <v>GECISReserves - Transfers &amp; Others</v>
          </cell>
          <cell r="B5067">
            <v>0</v>
          </cell>
          <cell r="C5067">
            <v>0</v>
          </cell>
          <cell r="D5067">
            <v>0</v>
          </cell>
          <cell r="E5067">
            <v>0</v>
          </cell>
          <cell r="F5067">
            <v>0</v>
          </cell>
          <cell r="G5067">
            <v>0</v>
          </cell>
          <cell r="H5067">
            <v>0</v>
          </cell>
          <cell r="I5067">
            <v>0</v>
          </cell>
          <cell r="J5067">
            <v>0</v>
          </cell>
          <cell r="K5067">
            <v>0</v>
          </cell>
          <cell r="L5067">
            <v>0</v>
          </cell>
          <cell r="M5067">
            <v>0</v>
          </cell>
          <cell r="N5067">
            <v>0</v>
          </cell>
          <cell r="O5067">
            <v>0</v>
          </cell>
        </row>
        <row r="5068">
          <cell r="A5068" t="str">
            <v>GECISReserves - Write-Offs</v>
          </cell>
          <cell r="B5068">
            <v>0</v>
          </cell>
          <cell r="C5068">
            <v>0</v>
          </cell>
          <cell r="D5068">
            <v>0</v>
          </cell>
          <cell r="E5068">
            <v>0</v>
          </cell>
          <cell r="F5068">
            <v>0</v>
          </cell>
          <cell r="G5068">
            <v>0</v>
          </cell>
          <cell r="H5068">
            <v>0</v>
          </cell>
          <cell r="I5068">
            <v>0</v>
          </cell>
          <cell r="J5068">
            <v>0</v>
          </cell>
          <cell r="K5068">
            <v>0</v>
          </cell>
          <cell r="L5068">
            <v>0</v>
          </cell>
          <cell r="M5068">
            <v>0</v>
          </cell>
          <cell r="N5068">
            <v>0</v>
          </cell>
          <cell r="O5068">
            <v>0</v>
          </cell>
        </row>
        <row r="5069">
          <cell r="A5069" t="str">
            <v>GECIS780 FR Provision</v>
          </cell>
          <cell r="B5069">
            <v>0</v>
          </cell>
          <cell r="C5069">
            <v>0</v>
          </cell>
          <cell r="D5069">
            <v>0</v>
          </cell>
          <cell r="E5069">
            <v>0</v>
          </cell>
          <cell r="F5069">
            <v>0</v>
          </cell>
          <cell r="G5069">
            <v>0</v>
          </cell>
          <cell r="H5069">
            <v>0</v>
          </cell>
          <cell r="I5069">
            <v>0</v>
          </cell>
          <cell r="J5069">
            <v>0</v>
          </cell>
          <cell r="K5069">
            <v>0</v>
          </cell>
          <cell r="L5069">
            <v>0</v>
          </cell>
          <cell r="M5069">
            <v>0</v>
          </cell>
          <cell r="N5069">
            <v>0</v>
          </cell>
          <cell r="O5069">
            <v>0</v>
          </cell>
        </row>
        <row r="5070">
          <cell r="A5070" t="str">
            <v>GECIS780 FR Recovery</v>
          </cell>
          <cell r="B5070">
            <v>0</v>
          </cell>
          <cell r="C5070">
            <v>0</v>
          </cell>
          <cell r="D5070">
            <v>0</v>
          </cell>
          <cell r="E5070">
            <v>0</v>
          </cell>
          <cell r="F5070">
            <v>0</v>
          </cell>
          <cell r="G5070">
            <v>0</v>
          </cell>
          <cell r="H5070">
            <v>0</v>
          </cell>
          <cell r="I5070">
            <v>0</v>
          </cell>
          <cell r="J5070">
            <v>0</v>
          </cell>
          <cell r="K5070">
            <v>0</v>
          </cell>
          <cell r="L5070">
            <v>0</v>
          </cell>
          <cell r="M5070">
            <v>0</v>
          </cell>
          <cell r="N5070">
            <v>0</v>
          </cell>
          <cell r="O5070">
            <v>0</v>
          </cell>
        </row>
        <row r="5071">
          <cell r="A5071" t="str">
            <v>GECIS781 LL Provision</v>
          </cell>
          <cell r="B5071">
            <v>0</v>
          </cell>
          <cell r="C5071">
            <v>0</v>
          </cell>
          <cell r="D5071">
            <v>0</v>
          </cell>
          <cell r="E5071">
            <v>0</v>
          </cell>
          <cell r="F5071">
            <v>0</v>
          </cell>
          <cell r="G5071">
            <v>0</v>
          </cell>
          <cell r="H5071">
            <v>0</v>
          </cell>
          <cell r="I5071">
            <v>0</v>
          </cell>
          <cell r="J5071">
            <v>0</v>
          </cell>
          <cell r="K5071">
            <v>0</v>
          </cell>
          <cell r="L5071">
            <v>0</v>
          </cell>
          <cell r="M5071">
            <v>0</v>
          </cell>
          <cell r="N5071">
            <v>0</v>
          </cell>
          <cell r="O5071">
            <v>0</v>
          </cell>
        </row>
        <row r="5072">
          <cell r="A5072" t="str">
            <v>GECIS781 LL Recovery</v>
          </cell>
          <cell r="B5072">
            <v>0</v>
          </cell>
          <cell r="C5072">
            <v>0</v>
          </cell>
          <cell r="D5072">
            <v>0</v>
          </cell>
          <cell r="E5072">
            <v>0</v>
          </cell>
          <cell r="F5072">
            <v>0</v>
          </cell>
          <cell r="G5072">
            <v>0</v>
          </cell>
          <cell r="H5072">
            <v>0</v>
          </cell>
          <cell r="I5072">
            <v>0</v>
          </cell>
          <cell r="J5072">
            <v>0</v>
          </cell>
          <cell r="K5072">
            <v>0</v>
          </cell>
          <cell r="L5072">
            <v>0</v>
          </cell>
          <cell r="M5072">
            <v>0</v>
          </cell>
          <cell r="N5072">
            <v>0</v>
          </cell>
          <cell r="O5072">
            <v>0</v>
          </cell>
        </row>
        <row r="5073">
          <cell r="A5073" t="str">
            <v>GECIS782 DF Provision</v>
          </cell>
          <cell r="B5073">
            <v>0</v>
          </cell>
          <cell r="C5073">
            <v>0</v>
          </cell>
          <cell r="D5073">
            <v>0</v>
          </cell>
          <cell r="E5073">
            <v>0</v>
          </cell>
          <cell r="F5073">
            <v>0</v>
          </cell>
          <cell r="G5073">
            <v>0</v>
          </cell>
          <cell r="H5073">
            <v>0</v>
          </cell>
          <cell r="I5073">
            <v>0</v>
          </cell>
          <cell r="J5073">
            <v>0</v>
          </cell>
          <cell r="K5073">
            <v>0</v>
          </cell>
          <cell r="L5073">
            <v>0</v>
          </cell>
          <cell r="M5073">
            <v>0</v>
          </cell>
          <cell r="N5073">
            <v>0</v>
          </cell>
          <cell r="O5073">
            <v>0</v>
          </cell>
        </row>
        <row r="5074">
          <cell r="A5074" t="str">
            <v>GECIS782 DF Recovery</v>
          </cell>
          <cell r="B5074">
            <v>0</v>
          </cell>
          <cell r="C5074">
            <v>0</v>
          </cell>
          <cell r="D5074">
            <v>0</v>
          </cell>
          <cell r="E5074">
            <v>0</v>
          </cell>
          <cell r="F5074">
            <v>0</v>
          </cell>
          <cell r="G5074">
            <v>0</v>
          </cell>
          <cell r="H5074">
            <v>0</v>
          </cell>
          <cell r="I5074">
            <v>0</v>
          </cell>
          <cell r="J5074">
            <v>0</v>
          </cell>
          <cell r="K5074">
            <v>0</v>
          </cell>
          <cell r="L5074">
            <v>0</v>
          </cell>
          <cell r="M5074">
            <v>0</v>
          </cell>
          <cell r="N5074">
            <v>0</v>
          </cell>
          <cell r="O5074">
            <v>0</v>
          </cell>
        </row>
        <row r="5075">
          <cell r="A5075" t="str">
            <v>GECIS783 Corp Level Provision</v>
          </cell>
          <cell r="B5075">
            <v>0</v>
          </cell>
          <cell r="C5075">
            <v>0</v>
          </cell>
          <cell r="D5075">
            <v>0</v>
          </cell>
          <cell r="E5075">
            <v>0</v>
          </cell>
          <cell r="F5075">
            <v>0</v>
          </cell>
          <cell r="G5075">
            <v>0</v>
          </cell>
          <cell r="H5075">
            <v>0</v>
          </cell>
          <cell r="I5075">
            <v>0</v>
          </cell>
          <cell r="J5075">
            <v>0</v>
          </cell>
          <cell r="K5075">
            <v>0</v>
          </cell>
          <cell r="L5075">
            <v>0</v>
          </cell>
          <cell r="M5075">
            <v>0</v>
          </cell>
          <cell r="N5075">
            <v>0</v>
          </cell>
          <cell r="O5075">
            <v>0</v>
          </cell>
        </row>
        <row r="5076">
          <cell r="A5076" t="str">
            <v>GECIS783 Corp Level Recovery</v>
          </cell>
          <cell r="B5076">
            <v>0</v>
          </cell>
          <cell r="C5076">
            <v>0</v>
          </cell>
          <cell r="D5076">
            <v>0</v>
          </cell>
          <cell r="E5076">
            <v>0</v>
          </cell>
          <cell r="F5076">
            <v>0</v>
          </cell>
          <cell r="G5076">
            <v>0</v>
          </cell>
          <cell r="H5076">
            <v>0</v>
          </cell>
          <cell r="I5076">
            <v>0</v>
          </cell>
          <cell r="J5076">
            <v>0</v>
          </cell>
          <cell r="K5076">
            <v>0</v>
          </cell>
          <cell r="L5076">
            <v>0</v>
          </cell>
          <cell r="M5076">
            <v>0</v>
          </cell>
          <cell r="N5076">
            <v>0</v>
          </cell>
          <cell r="O5076">
            <v>0</v>
          </cell>
        </row>
        <row r="5077">
          <cell r="A5077" t="str">
            <v>GECIS784 Business Share Provision</v>
          </cell>
          <cell r="B5077">
            <v>0</v>
          </cell>
          <cell r="C5077">
            <v>0</v>
          </cell>
          <cell r="D5077">
            <v>0</v>
          </cell>
          <cell r="E5077">
            <v>0</v>
          </cell>
          <cell r="F5077">
            <v>0</v>
          </cell>
          <cell r="G5077">
            <v>0</v>
          </cell>
          <cell r="H5077">
            <v>0</v>
          </cell>
          <cell r="I5077">
            <v>0</v>
          </cell>
          <cell r="J5077">
            <v>0</v>
          </cell>
          <cell r="K5077">
            <v>0</v>
          </cell>
          <cell r="L5077">
            <v>0</v>
          </cell>
          <cell r="M5077">
            <v>0</v>
          </cell>
          <cell r="N5077">
            <v>0</v>
          </cell>
          <cell r="O5077">
            <v>0</v>
          </cell>
        </row>
        <row r="5078">
          <cell r="A5078" t="str">
            <v>GECISReserves - Business Sharing</v>
          </cell>
          <cell r="B5078">
            <v>0</v>
          </cell>
          <cell r="C5078">
            <v>0</v>
          </cell>
          <cell r="D5078">
            <v>0</v>
          </cell>
          <cell r="E5078">
            <v>0</v>
          </cell>
          <cell r="F5078">
            <v>0</v>
          </cell>
          <cell r="G5078">
            <v>0</v>
          </cell>
          <cell r="H5078">
            <v>0</v>
          </cell>
          <cell r="I5078">
            <v>0</v>
          </cell>
          <cell r="J5078">
            <v>0</v>
          </cell>
          <cell r="K5078">
            <v>0</v>
          </cell>
          <cell r="L5078">
            <v>0</v>
          </cell>
          <cell r="M5078">
            <v>0</v>
          </cell>
          <cell r="N5078">
            <v>0</v>
          </cell>
          <cell r="O5078">
            <v>0</v>
          </cell>
        </row>
        <row r="5079">
          <cell r="A5079" t="str">
            <v>GemplusNEA - Fixed Rate</v>
          </cell>
          <cell r="B5079">
            <v>0</v>
          </cell>
          <cell r="C5079">
            <v>0</v>
          </cell>
          <cell r="D5079">
            <v>0</v>
          </cell>
          <cell r="E5079">
            <v>0</v>
          </cell>
          <cell r="F5079">
            <v>0</v>
          </cell>
          <cell r="G5079">
            <v>0</v>
          </cell>
          <cell r="H5079">
            <v>0</v>
          </cell>
          <cell r="I5079">
            <v>0</v>
          </cell>
          <cell r="J5079">
            <v>0</v>
          </cell>
          <cell r="K5079">
            <v>0</v>
          </cell>
          <cell r="L5079">
            <v>0</v>
          </cell>
          <cell r="M5079">
            <v>0</v>
          </cell>
          <cell r="N5079">
            <v>0</v>
          </cell>
          <cell r="O5079">
            <v>0</v>
          </cell>
        </row>
        <row r="5080">
          <cell r="A5080" t="str">
            <v>GemplusNEA - Floating Rate</v>
          </cell>
          <cell r="B5080">
            <v>0</v>
          </cell>
          <cell r="C5080">
            <v>0</v>
          </cell>
          <cell r="D5080">
            <v>0</v>
          </cell>
          <cell r="E5080">
            <v>0</v>
          </cell>
          <cell r="F5080">
            <v>0</v>
          </cell>
          <cell r="G5080">
            <v>0</v>
          </cell>
          <cell r="H5080">
            <v>0</v>
          </cell>
          <cell r="I5080">
            <v>0</v>
          </cell>
          <cell r="J5080">
            <v>0</v>
          </cell>
          <cell r="K5080">
            <v>0</v>
          </cell>
          <cell r="L5080">
            <v>0</v>
          </cell>
          <cell r="M5080">
            <v>0</v>
          </cell>
          <cell r="N5080">
            <v>0</v>
          </cell>
          <cell r="O5080">
            <v>0</v>
          </cell>
        </row>
        <row r="5081">
          <cell r="A5081" t="str">
            <v>GemplusReserves - FX Gain / Loss</v>
          </cell>
          <cell r="B5081">
            <v>0</v>
          </cell>
          <cell r="C5081">
            <v>0</v>
          </cell>
          <cell r="D5081">
            <v>0</v>
          </cell>
          <cell r="E5081">
            <v>0</v>
          </cell>
          <cell r="F5081">
            <v>0</v>
          </cell>
          <cell r="G5081">
            <v>0</v>
          </cell>
          <cell r="H5081">
            <v>0</v>
          </cell>
          <cell r="I5081">
            <v>0</v>
          </cell>
          <cell r="J5081">
            <v>0</v>
          </cell>
          <cell r="K5081">
            <v>0</v>
          </cell>
          <cell r="L5081">
            <v>0</v>
          </cell>
          <cell r="M5081">
            <v>0</v>
          </cell>
          <cell r="N5081">
            <v>0</v>
          </cell>
          <cell r="O5081">
            <v>0</v>
          </cell>
        </row>
        <row r="5082">
          <cell r="A5082" t="str">
            <v>GemplusReserves - Provisons</v>
          </cell>
          <cell r="B5082">
            <v>0</v>
          </cell>
          <cell r="C5082">
            <v>0</v>
          </cell>
          <cell r="D5082">
            <v>0</v>
          </cell>
          <cell r="E5082">
            <v>0</v>
          </cell>
          <cell r="F5082">
            <v>0</v>
          </cell>
          <cell r="G5082">
            <v>0</v>
          </cell>
          <cell r="H5082">
            <v>0</v>
          </cell>
          <cell r="I5082">
            <v>0</v>
          </cell>
          <cell r="J5082">
            <v>0</v>
          </cell>
          <cell r="K5082">
            <v>0</v>
          </cell>
          <cell r="L5082">
            <v>0</v>
          </cell>
          <cell r="M5082">
            <v>0</v>
          </cell>
          <cell r="N5082">
            <v>0</v>
          </cell>
          <cell r="O5082">
            <v>0</v>
          </cell>
        </row>
        <row r="5083">
          <cell r="A5083" t="str">
            <v>GemplusReserves - Recoveries</v>
          </cell>
          <cell r="B5083">
            <v>0</v>
          </cell>
          <cell r="C5083">
            <v>0</v>
          </cell>
          <cell r="D5083">
            <v>0</v>
          </cell>
          <cell r="E5083">
            <v>0</v>
          </cell>
          <cell r="F5083">
            <v>0</v>
          </cell>
          <cell r="G5083">
            <v>0</v>
          </cell>
          <cell r="H5083">
            <v>0</v>
          </cell>
          <cell r="I5083">
            <v>0</v>
          </cell>
          <cell r="J5083">
            <v>0</v>
          </cell>
          <cell r="K5083">
            <v>0</v>
          </cell>
          <cell r="L5083">
            <v>0</v>
          </cell>
          <cell r="M5083">
            <v>0</v>
          </cell>
          <cell r="N5083">
            <v>0</v>
          </cell>
          <cell r="O5083">
            <v>0</v>
          </cell>
        </row>
        <row r="5084">
          <cell r="A5084" t="str">
            <v>GemplusReserves - BOP</v>
          </cell>
          <cell r="B5084">
            <v>0</v>
          </cell>
          <cell r="C5084">
            <v>0</v>
          </cell>
          <cell r="D5084">
            <v>0</v>
          </cell>
          <cell r="E5084">
            <v>0</v>
          </cell>
          <cell r="F5084">
            <v>0</v>
          </cell>
          <cell r="G5084">
            <v>0</v>
          </cell>
          <cell r="H5084">
            <v>0</v>
          </cell>
          <cell r="I5084">
            <v>0</v>
          </cell>
          <cell r="J5084">
            <v>0</v>
          </cell>
          <cell r="K5084">
            <v>0</v>
          </cell>
          <cell r="L5084">
            <v>0</v>
          </cell>
          <cell r="M5084">
            <v>0</v>
          </cell>
          <cell r="N5084">
            <v>0</v>
          </cell>
          <cell r="O5084">
            <v>0</v>
          </cell>
        </row>
        <row r="5085">
          <cell r="A5085" t="str">
            <v>GemplusReserves - Transfers &amp; Others</v>
          </cell>
          <cell r="B5085">
            <v>0</v>
          </cell>
          <cell r="C5085">
            <v>0</v>
          </cell>
          <cell r="D5085">
            <v>0</v>
          </cell>
          <cell r="E5085">
            <v>0</v>
          </cell>
          <cell r="F5085">
            <v>0</v>
          </cell>
          <cell r="G5085">
            <v>0</v>
          </cell>
          <cell r="H5085">
            <v>0</v>
          </cell>
          <cell r="I5085">
            <v>0</v>
          </cell>
          <cell r="J5085">
            <v>0</v>
          </cell>
          <cell r="K5085">
            <v>0</v>
          </cell>
          <cell r="L5085">
            <v>0</v>
          </cell>
          <cell r="M5085">
            <v>0</v>
          </cell>
          <cell r="N5085">
            <v>0</v>
          </cell>
          <cell r="O5085">
            <v>0</v>
          </cell>
        </row>
        <row r="5086">
          <cell r="A5086" t="str">
            <v>GemplusReserves - Write-Offs</v>
          </cell>
          <cell r="B5086">
            <v>0</v>
          </cell>
          <cell r="C5086">
            <v>0</v>
          </cell>
          <cell r="D5086">
            <v>0</v>
          </cell>
          <cell r="E5086">
            <v>0</v>
          </cell>
          <cell r="F5086">
            <v>0</v>
          </cell>
          <cell r="G5086">
            <v>0</v>
          </cell>
          <cell r="H5086">
            <v>0</v>
          </cell>
          <cell r="I5086">
            <v>0</v>
          </cell>
          <cell r="J5086">
            <v>0</v>
          </cell>
          <cell r="K5086">
            <v>0</v>
          </cell>
          <cell r="L5086">
            <v>0</v>
          </cell>
          <cell r="M5086">
            <v>0</v>
          </cell>
          <cell r="N5086">
            <v>0</v>
          </cell>
          <cell r="O5086">
            <v>0</v>
          </cell>
        </row>
        <row r="5087">
          <cell r="A5087" t="str">
            <v>Gemplus780 FR Provision</v>
          </cell>
          <cell r="B5087">
            <v>0</v>
          </cell>
          <cell r="C5087">
            <v>0</v>
          </cell>
          <cell r="D5087">
            <v>0</v>
          </cell>
          <cell r="E5087">
            <v>0</v>
          </cell>
          <cell r="F5087">
            <v>0</v>
          </cell>
          <cell r="G5087">
            <v>0</v>
          </cell>
          <cell r="H5087">
            <v>0</v>
          </cell>
          <cell r="I5087">
            <v>0</v>
          </cell>
          <cell r="J5087">
            <v>0</v>
          </cell>
          <cell r="K5087">
            <v>0</v>
          </cell>
          <cell r="L5087">
            <v>0</v>
          </cell>
          <cell r="M5087">
            <v>0</v>
          </cell>
          <cell r="N5087">
            <v>0</v>
          </cell>
          <cell r="O5087">
            <v>0</v>
          </cell>
        </row>
        <row r="5088">
          <cell r="A5088" t="str">
            <v>Gemplus780 FR Recovery</v>
          </cell>
          <cell r="B5088">
            <v>0</v>
          </cell>
          <cell r="C5088">
            <v>0</v>
          </cell>
          <cell r="D5088">
            <v>0</v>
          </cell>
          <cell r="E5088">
            <v>0</v>
          </cell>
          <cell r="F5088">
            <v>0</v>
          </cell>
          <cell r="G5088">
            <v>0</v>
          </cell>
          <cell r="H5088">
            <v>0</v>
          </cell>
          <cell r="I5088">
            <v>0</v>
          </cell>
          <cell r="J5088">
            <v>0</v>
          </cell>
          <cell r="K5088">
            <v>0</v>
          </cell>
          <cell r="L5088">
            <v>0</v>
          </cell>
          <cell r="M5088">
            <v>0</v>
          </cell>
          <cell r="N5088">
            <v>0</v>
          </cell>
          <cell r="O5088">
            <v>0</v>
          </cell>
        </row>
        <row r="5089">
          <cell r="A5089" t="str">
            <v>Gemplus781 LL Provision</v>
          </cell>
          <cell r="B5089">
            <v>0</v>
          </cell>
          <cell r="C5089">
            <v>0</v>
          </cell>
          <cell r="D5089">
            <v>0</v>
          </cell>
          <cell r="E5089">
            <v>0</v>
          </cell>
          <cell r="F5089">
            <v>0</v>
          </cell>
          <cell r="G5089">
            <v>0</v>
          </cell>
          <cell r="H5089">
            <v>0</v>
          </cell>
          <cell r="I5089">
            <v>0</v>
          </cell>
          <cell r="J5089">
            <v>0</v>
          </cell>
          <cell r="K5089">
            <v>0</v>
          </cell>
          <cell r="L5089">
            <v>0</v>
          </cell>
          <cell r="M5089">
            <v>0</v>
          </cell>
          <cell r="N5089">
            <v>0</v>
          </cell>
          <cell r="O5089">
            <v>0</v>
          </cell>
        </row>
        <row r="5090">
          <cell r="A5090" t="str">
            <v>Gemplus781 LL Recovery</v>
          </cell>
          <cell r="B5090">
            <v>0</v>
          </cell>
          <cell r="C5090">
            <v>0</v>
          </cell>
          <cell r="D5090">
            <v>0</v>
          </cell>
          <cell r="E5090">
            <v>0</v>
          </cell>
          <cell r="F5090">
            <v>0</v>
          </cell>
          <cell r="G5090">
            <v>0</v>
          </cell>
          <cell r="H5090">
            <v>0</v>
          </cell>
          <cell r="I5090">
            <v>0</v>
          </cell>
          <cell r="J5090">
            <v>0</v>
          </cell>
          <cell r="K5090">
            <v>0</v>
          </cell>
          <cell r="L5090">
            <v>0</v>
          </cell>
          <cell r="M5090">
            <v>0</v>
          </cell>
          <cell r="N5090">
            <v>0</v>
          </cell>
          <cell r="O5090">
            <v>0</v>
          </cell>
        </row>
        <row r="5091">
          <cell r="A5091" t="str">
            <v>Gemplus782 DF Provision</v>
          </cell>
          <cell r="B5091">
            <v>0</v>
          </cell>
          <cell r="C5091">
            <v>0</v>
          </cell>
          <cell r="D5091">
            <v>0</v>
          </cell>
          <cell r="E5091">
            <v>0</v>
          </cell>
          <cell r="F5091">
            <v>0</v>
          </cell>
          <cell r="G5091">
            <v>0</v>
          </cell>
          <cell r="H5091">
            <v>0</v>
          </cell>
          <cell r="I5091">
            <v>0</v>
          </cell>
          <cell r="J5091">
            <v>0</v>
          </cell>
          <cell r="K5091">
            <v>0</v>
          </cell>
          <cell r="L5091">
            <v>0</v>
          </cell>
          <cell r="M5091">
            <v>0</v>
          </cell>
          <cell r="N5091">
            <v>0</v>
          </cell>
          <cell r="O5091">
            <v>0</v>
          </cell>
        </row>
        <row r="5092">
          <cell r="A5092" t="str">
            <v>Gemplus782 DF Recovery</v>
          </cell>
          <cell r="B5092">
            <v>0</v>
          </cell>
          <cell r="C5092">
            <v>0</v>
          </cell>
          <cell r="D5092">
            <v>0</v>
          </cell>
          <cell r="E5092">
            <v>0</v>
          </cell>
          <cell r="F5092">
            <v>0</v>
          </cell>
          <cell r="G5092">
            <v>0</v>
          </cell>
          <cell r="H5092">
            <v>0</v>
          </cell>
          <cell r="I5092">
            <v>0</v>
          </cell>
          <cell r="J5092">
            <v>0</v>
          </cell>
          <cell r="K5092">
            <v>0</v>
          </cell>
          <cell r="L5092">
            <v>0</v>
          </cell>
          <cell r="M5092">
            <v>0</v>
          </cell>
          <cell r="N5092">
            <v>0</v>
          </cell>
          <cell r="O5092">
            <v>0</v>
          </cell>
        </row>
        <row r="5093">
          <cell r="A5093" t="str">
            <v>Gemplus783 Corp Level Provision</v>
          </cell>
          <cell r="B5093">
            <v>0</v>
          </cell>
          <cell r="C5093">
            <v>0</v>
          </cell>
          <cell r="D5093">
            <v>0</v>
          </cell>
          <cell r="E5093">
            <v>0</v>
          </cell>
          <cell r="F5093">
            <v>0</v>
          </cell>
          <cell r="G5093">
            <v>0</v>
          </cell>
          <cell r="H5093">
            <v>0</v>
          </cell>
          <cell r="I5093">
            <v>0</v>
          </cell>
          <cell r="J5093">
            <v>0</v>
          </cell>
          <cell r="K5093">
            <v>0</v>
          </cell>
          <cell r="L5093">
            <v>0</v>
          </cell>
          <cell r="M5093">
            <v>0</v>
          </cell>
          <cell r="N5093">
            <v>0</v>
          </cell>
          <cell r="O5093">
            <v>0</v>
          </cell>
        </row>
        <row r="5094">
          <cell r="A5094" t="str">
            <v>Gemplus783 Corp Level Recovery</v>
          </cell>
          <cell r="B5094">
            <v>0</v>
          </cell>
          <cell r="C5094">
            <v>0</v>
          </cell>
          <cell r="D5094">
            <v>0</v>
          </cell>
          <cell r="E5094">
            <v>0</v>
          </cell>
          <cell r="F5094">
            <v>0</v>
          </cell>
          <cell r="G5094">
            <v>0</v>
          </cell>
          <cell r="H5094">
            <v>0</v>
          </cell>
          <cell r="I5094">
            <v>0</v>
          </cell>
          <cell r="J5094">
            <v>0</v>
          </cell>
          <cell r="K5094">
            <v>0</v>
          </cell>
          <cell r="L5094">
            <v>0</v>
          </cell>
          <cell r="M5094">
            <v>0</v>
          </cell>
          <cell r="N5094">
            <v>0</v>
          </cell>
          <cell r="O5094">
            <v>0</v>
          </cell>
        </row>
        <row r="5095">
          <cell r="A5095" t="str">
            <v>Gemplus784 Business Share Provision</v>
          </cell>
          <cell r="B5095">
            <v>0</v>
          </cell>
          <cell r="C5095">
            <v>0</v>
          </cell>
          <cell r="D5095">
            <v>0</v>
          </cell>
          <cell r="E5095">
            <v>0</v>
          </cell>
          <cell r="F5095">
            <v>0</v>
          </cell>
          <cell r="G5095">
            <v>0</v>
          </cell>
          <cell r="H5095">
            <v>0</v>
          </cell>
          <cell r="I5095">
            <v>0</v>
          </cell>
          <cell r="J5095">
            <v>0</v>
          </cell>
          <cell r="K5095">
            <v>0</v>
          </cell>
          <cell r="L5095">
            <v>0</v>
          </cell>
          <cell r="M5095">
            <v>0</v>
          </cell>
          <cell r="N5095">
            <v>0</v>
          </cell>
          <cell r="O5095">
            <v>0</v>
          </cell>
        </row>
        <row r="5096">
          <cell r="A5096" t="str">
            <v>GemplusReserves - Business Sharing</v>
          </cell>
          <cell r="B5096">
            <v>0</v>
          </cell>
          <cell r="C5096">
            <v>0</v>
          </cell>
          <cell r="D5096">
            <v>0</v>
          </cell>
          <cell r="E5096">
            <v>0</v>
          </cell>
          <cell r="F5096">
            <v>0</v>
          </cell>
          <cell r="G5096">
            <v>0</v>
          </cell>
          <cell r="H5096">
            <v>0</v>
          </cell>
          <cell r="I5096">
            <v>0</v>
          </cell>
          <cell r="J5096">
            <v>0</v>
          </cell>
          <cell r="K5096">
            <v>0</v>
          </cell>
          <cell r="L5096">
            <v>0</v>
          </cell>
          <cell r="M5096">
            <v>0</v>
          </cell>
          <cell r="N5096">
            <v>0</v>
          </cell>
          <cell r="O5096">
            <v>0</v>
          </cell>
        </row>
        <row r="5097">
          <cell r="A5097" t="str">
            <v>GermanyNEA - Fixed Rate</v>
          </cell>
          <cell r="B5097">
            <v>0</v>
          </cell>
          <cell r="C5097">
            <v>0</v>
          </cell>
          <cell r="D5097">
            <v>0</v>
          </cell>
          <cell r="E5097">
            <v>0</v>
          </cell>
          <cell r="F5097">
            <v>0</v>
          </cell>
          <cell r="G5097">
            <v>0</v>
          </cell>
          <cell r="H5097">
            <v>0</v>
          </cell>
          <cell r="I5097">
            <v>0</v>
          </cell>
          <cell r="J5097">
            <v>0</v>
          </cell>
          <cell r="K5097">
            <v>0</v>
          </cell>
          <cell r="L5097">
            <v>0</v>
          </cell>
          <cell r="M5097">
            <v>0</v>
          </cell>
          <cell r="N5097">
            <v>0</v>
          </cell>
          <cell r="O5097">
            <v>0</v>
          </cell>
        </row>
        <row r="5098">
          <cell r="A5098" t="str">
            <v>GermanyNEA - Floating Rate</v>
          </cell>
          <cell r="B5098">
            <v>0</v>
          </cell>
          <cell r="C5098">
            <v>0</v>
          </cell>
          <cell r="D5098">
            <v>0</v>
          </cell>
          <cell r="E5098">
            <v>0</v>
          </cell>
          <cell r="F5098">
            <v>0</v>
          </cell>
          <cell r="G5098">
            <v>0</v>
          </cell>
          <cell r="H5098">
            <v>0</v>
          </cell>
          <cell r="I5098">
            <v>0</v>
          </cell>
          <cell r="J5098">
            <v>0</v>
          </cell>
          <cell r="K5098">
            <v>0</v>
          </cell>
          <cell r="L5098">
            <v>0</v>
          </cell>
          <cell r="M5098">
            <v>0</v>
          </cell>
          <cell r="N5098">
            <v>0</v>
          </cell>
          <cell r="O5098">
            <v>0</v>
          </cell>
        </row>
        <row r="5099">
          <cell r="A5099" t="str">
            <v>GermanyReserves - FX Gain / Loss</v>
          </cell>
          <cell r="B5099">
            <v>8985656.3399999999</v>
          </cell>
          <cell r="C5099">
            <v>10638665.779999999</v>
          </cell>
          <cell r="D5099">
            <v>7643104.6299999999</v>
          </cell>
          <cell r="E5099">
            <v>8563390.6999999993</v>
          </cell>
          <cell r="F5099">
            <v>8563390.6999999993</v>
          </cell>
          <cell r="G5099">
            <v>0</v>
          </cell>
          <cell r="H5099">
            <v>0</v>
          </cell>
          <cell r="I5099">
            <v>0</v>
          </cell>
          <cell r="J5099">
            <v>0</v>
          </cell>
          <cell r="K5099">
            <v>0</v>
          </cell>
          <cell r="L5099">
            <v>9607844.0999999996</v>
          </cell>
          <cell r="M5099">
            <v>0</v>
          </cell>
          <cell r="N5099">
            <v>0</v>
          </cell>
          <cell r="O5099">
            <v>0</v>
          </cell>
        </row>
        <row r="5100">
          <cell r="A5100" t="str">
            <v>GermanyReserves - Provisons</v>
          </cell>
          <cell r="B5100">
            <v>-1138276.43</v>
          </cell>
          <cell r="C5100">
            <v>-2668612.88</v>
          </cell>
          <cell r="D5100">
            <v>-5409350.0099999998</v>
          </cell>
          <cell r="E5100">
            <v>-6704253.2699999996</v>
          </cell>
          <cell r="F5100">
            <v>-6704253.2699999996</v>
          </cell>
          <cell r="G5100">
            <v>0</v>
          </cell>
          <cell r="H5100">
            <v>0</v>
          </cell>
          <cell r="I5100">
            <v>0</v>
          </cell>
          <cell r="J5100">
            <v>0</v>
          </cell>
          <cell r="K5100">
            <v>0</v>
          </cell>
          <cell r="L5100">
            <v>-2198001.75</v>
          </cell>
          <cell r="M5100">
            <v>0</v>
          </cell>
          <cell r="N5100">
            <v>0</v>
          </cell>
          <cell r="O5100">
            <v>0</v>
          </cell>
        </row>
        <row r="5101">
          <cell r="A5101" t="str">
            <v>GermanyReserves - Recoveries</v>
          </cell>
          <cell r="B5101">
            <v>-926905.72</v>
          </cell>
          <cell r="C5101">
            <v>-2077854.18</v>
          </cell>
          <cell r="D5101">
            <v>-3186097.8</v>
          </cell>
          <cell r="E5101">
            <v>-4533488.6500000004</v>
          </cell>
          <cell r="F5101">
            <v>-4533488.6500000004</v>
          </cell>
          <cell r="G5101">
            <v>0</v>
          </cell>
          <cell r="H5101">
            <v>0</v>
          </cell>
          <cell r="I5101">
            <v>0</v>
          </cell>
          <cell r="J5101">
            <v>0</v>
          </cell>
          <cell r="K5101">
            <v>0</v>
          </cell>
          <cell r="L5101">
            <v>-828025.31</v>
          </cell>
          <cell r="M5101">
            <v>0</v>
          </cell>
          <cell r="N5101">
            <v>0</v>
          </cell>
          <cell r="O5101">
            <v>0</v>
          </cell>
        </row>
        <row r="5102">
          <cell r="A5102" t="str">
            <v>GermanyReserves - BOP</v>
          </cell>
          <cell r="B5102">
            <v>-47538288.539999999</v>
          </cell>
          <cell r="C5102">
            <v>-47538288.539999999</v>
          </cell>
          <cell r="D5102">
            <v>-47538288.539999999</v>
          </cell>
          <cell r="E5102">
            <v>-47538288.539999999</v>
          </cell>
          <cell r="F5102">
            <v>-47538288.539999999</v>
          </cell>
          <cell r="G5102">
            <v>-55123512.104529001</v>
          </cell>
          <cell r="H5102">
            <v>-61877454.704458997</v>
          </cell>
          <cell r="I5102">
            <v>-68486951.633634001</v>
          </cell>
          <cell r="J5102">
            <v>-75129667.329236999</v>
          </cell>
          <cell r="K5102">
            <v>-75129667.329236999</v>
          </cell>
          <cell r="L5102">
            <v>-56644102.479999997</v>
          </cell>
          <cell r="M5102">
            <v>-78360134.303251997</v>
          </cell>
          <cell r="N5102">
            <v>-95905017.843301997</v>
          </cell>
          <cell r="O5102">
            <v>-118400853.026186</v>
          </cell>
        </row>
        <row r="5103">
          <cell r="A5103" t="str">
            <v>GermanyReserves - Transfers &amp; Others</v>
          </cell>
          <cell r="B5103">
            <v>-2939432.19</v>
          </cell>
          <cell r="C5103">
            <v>-7985654.5</v>
          </cell>
          <cell r="D5103">
            <v>-10727178.83</v>
          </cell>
          <cell r="E5103">
            <v>-14740896.970000001</v>
          </cell>
          <cell r="F5103">
            <v>-14740896.970000001</v>
          </cell>
          <cell r="G5103">
            <v>0</v>
          </cell>
          <cell r="H5103">
            <v>0</v>
          </cell>
          <cell r="I5103">
            <v>0</v>
          </cell>
          <cell r="J5103">
            <v>0</v>
          </cell>
          <cell r="K5103">
            <v>0</v>
          </cell>
          <cell r="L5103">
            <v>-3864179.05</v>
          </cell>
          <cell r="M5103">
            <v>0</v>
          </cell>
          <cell r="N5103">
            <v>0</v>
          </cell>
          <cell r="O5103">
            <v>0</v>
          </cell>
        </row>
        <row r="5104">
          <cell r="A5104" t="str">
            <v>GermanyReserves - Write-Offs</v>
          </cell>
          <cell r="B5104">
            <v>2351905.66</v>
          </cell>
          <cell r="C5104">
            <v>9285397.7100000009</v>
          </cell>
          <cell r="D5104">
            <v>12743920</v>
          </cell>
          <cell r="E5104">
            <v>16872824.949999999</v>
          </cell>
          <cell r="F5104">
            <v>16872824.949999999</v>
          </cell>
          <cell r="G5104">
            <v>5826455.2865319997</v>
          </cell>
          <cell r="H5104">
            <v>11212039.431779001</v>
          </cell>
          <cell r="I5104">
            <v>16239503.942717001</v>
          </cell>
          <cell r="J5104">
            <v>21244800.325272001</v>
          </cell>
          <cell r="K5104">
            <v>21244800.325272001</v>
          </cell>
          <cell r="L5104">
            <v>2073919.88</v>
          </cell>
          <cell r="M5104">
            <v>15971129.227502</v>
          </cell>
          <cell r="N5104">
            <v>20742418.841518</v>
          </cell>
          <cell r="O5104">
            <v>24740204.354570001</v>
          </cell>
        </row>
        <row r="5105">
          <cell r="A5105" t="str">
            <v>Germany780 FR Provision</v>
          </cell>
          <cell r="B5105">
            <v>1138276.43</v>
          </cell>
          <cell r="C5105">
            <v>1530336.4</v>
          </cell>
          <cell r="D5105">
            <v>2740737.18</v>
          </cell>
          <cell r="E5105">
            <v>1294903.26</v>
          </cell>
          <cell r="F5105">
            <v>6704253.2699999996</v>
          </cell>
          <cell r="G5105">
            <v>0</v>
          </cell>
          <cell r="H5105">
            <v>0</v>
          </cell>
          <cell r="I5105">
            <v>0</v>
          </cell>
          <cell r="J5105">
            <v>0</v>
          </cell>
          <cell r="K5105">
            <v>0</v>
          </cell>
          <cell r="L5105">
            <v>2198001.75</v>
          </cell>
          <cell r="M5105">
            <v>0</v>
          </cell>
          <cell r="N5105">
            <v>0</v>
          </cell>
          <cell r="O5105">
            <v>0</v>
          </cell>
        </row>
        <row r="5106">
          <cell r="A5106" t="str">
            <v>Germany780 FR Recovery</v>
          </cell>
          <cell r="B5106">
            <v>0</v>
          </cell>
          <cell r="C5106">
            <v>0</v>
          </cell>
          <cell r="D5106">
            <v>0</v>
          </cell>
          <cell r="E5106">
            <v>0</v>
          </cell>
          <cell r="F5106">
            <v>0</v>
          </cell>
          <cell r="G5106">
            <v>1909064.416187</v>
          </cell>
          <cell r="H5106">
            <v>1369547.385308</v>
          </cell>
          <cell r="I5106">
            <v>746856.79458400002</v>
          </cell>
          <cell r="J5106">
            <v>719993.56055399997</v>
          </cell>
          <cell r="K5106">
            <v>4745462.1566329999</v>
          </cell>
          <cell r="L5106">
            <v>0</v>
          </cell>
          <cell r="M5106">
            <v>6718652.8238169998</v>
          </cell>
          <cell r="N5106">
            <v>9678570.6893680003</v>
          </cell>
          <cell r="O5106">
            <v>14410055.061241999</v>
          </cell>
        </row>
        <row r="5107">
          <cell r="A5107" t="str">
            <v>Germany781 LL Provision</v>
          </cell>
          <cell r="B5107">
            <v>0</v>
          </cell>
          <cell r="C5107">
            <v>0</v>
          </cell>
          <cell r="D5107">
            <v>0</v>
          </cell>
          <cell r="E5107">
            <v>0</v>
          </cell>
          <cell r="F5107">
            <v>0</v>
          </cell>
          <cell r="G5107">
            <v>0</v>
          </cell>
          <cell r="H5107">
            <v>0</v>
          </cell>
          <cell r="I5107">
            <v>0</v>
          </cell>
          <cell r="J5107">
            <v>0</v>
          </cell>
          <cell r="K5107">
            <v>0</v>
          </cell>
          <cell r="L5107">
            <v>0</v>
          </cell>
          <cell r="M5107">
            <v>0</v>
          </cell>
          <cell r="N5107">
            <v>0</v>
          </cell>
          <cell r="O5107">
            <v>0</v>
          </cell>
        </row>
        <row r="5108">
          <cell r="A5108" t="str">
            <v>Germany781 LL Recovery</v>
          </cell>
          <cell r="B5108">
            <v>0</v>
          </cell>
          <cell r="C5108">
            <v>0</v>
          </cell>
          <cell r="D5108">
            <v>0</v>
          </cell>
          <cell r="E5108">
            <v>0</v>
          </cell>
          <cell r="F5108">
            <v>0</v>
          </cell>
          <cell r="G5108">
            <v>0</v>
          </cell>
          <cell r="H5108">
            <v>0</v>
          </cell>
          <cell r="I5108">
            <v>0</v>
          </cell>
          <cell r="J5108">
            <v>0</v>
          </cell>
          <cell r="K5108">
            <v>0</v>
          </cell>
          <cell r="L5108">
            <v>0</v>
          </cell>
          <cell r="M5108">
            <v>0</v>
          </cell>
          <cell r="N5108">
            <v>0</v>
          </cell>
          <cell r="O5108">
            <v>0</v>
          </cell>
        </row>
        <row r="5109">
          <cell r="A5109" t="str">
            <v>Germany782 DF Provision</v>
          </cell>
          <cell r="B5109">
            <v>0</v>
          </cell>
          <cell r="C5109">
            <v>0</v>
          </cell>
          <cell r="D5109">
            <v>0</v>
          </cell>
          <cell r="E5109">
            <v>0</v>
          </cell>
          <cell r="F5109">
            <v>0</v>
          </cell>
          <cell r="G5109">
            <v>0</v>
          </cell>
          <cell r="H5109">
            <v>0</v>
          </cell>
          <cell r="I5109">
            <v>0</v>
          </cell>
          <cell r="J5109">
            <v>0</v>
          </cell>
          <cell r="K5109">
            <v>0</v>
          </cell>
          <cell r="L5109">
            <v>0</v>
          </cell>
          <cell r="M5109">
            <v>0</v>
          </cell>
          <cell r="N5109">
            <v>0</v>
          </cell>
          <cell r="O5109">
            <v>0</v>
          </cell>
        </row>
        <row r="5110">
          <cell r="A5110" t="str">
            <v>Germany782 DF Recovery</v>
          </cell>
          <cell r="B5110">
            <v>0</v>
          </cell>
          <cell r="C5110">
            <v>0</v>
          </cell>
          <cell r="D5110">
            <v>0</v>
          </cell>
          <cell r="E5110">
            <v>0</v>
          </cell>
          <cell r="F5110">
            <v>0</v>
          </cell>
          <cell r="G5110">
            <v>0</v>
          </cell>
          <cell r="H5110">
            <v>0</v>
          </cell>
          <cell r="I5110">
            <v>0</v>
          </cell>
          <cell r="J5110">
            <v>0</v>
          </cell>
          <cell r="K5110">
            <v>0</v>
          </cell>
          <cell r="L5110">
            <v>0</v>
          </cell>
          <cell r="M5110">
            <v>0</v>
          </cell>
          <cell r="N5110">
            <v>0</v>
          </cell>
          <cell r="O5110">
            <v>0</v>
          </cell>
        </row>
        <row r="5111">
          <cell r="A5111" t="str">
            <v>Germany783 Corp Level Provision</v>
          </cell>
          <cell r="B5111">
            <v>0</v>
          </cell>
          <cell r="C5111">
            <v>0</v>
          </cell>
          <cell r="D5111">
            <v>0</v>
          </cell>
          <cell r="E5111">
            <v>0</v>
          </cell>
          <cell r="F5111">
            <v>0</v>
          </cell>
          <cell r="G5111">
            <v>0</v>
          </cell>
          <cell r="H5111">
            <v>0</v>
          </cell>
          <cell r="I5111">
            <v>0</v>
          </cell>
          <cell r="J5111">
            <v>0</v>
          </cell>
          <cell r="K5111">
            <v>0</v>
          </cell>
          <cell r="L5111">
            <v>0</v>
          </cell>
          <cell r="M5111">
            <v>0</v>
          </cell>
          <cell r="N5111">
            <v>0</v>
          </cell>
          <cell r="O5111">
            <v>0</v>
          </cell>
        </row>
        <row r="5112">
          <cell r="A5112" t="str">
            <v>Germany783 Corp Level Recovery</v>
          </cell>
          <cell r="B5112">
            <v>0</v>
          </cell>
          <cell r="C5112">
            <v>0</v>
          </cell>
          <cell r="D5112">
            <v>0</v>
          </cell>
          <cell r="E5112">
            <v>0</v>
          </cell>
          <cell r="F5112">
            <v>0</v>
          </cell>
          <cell r="G5112">
            <v>0</v>
          </cell>
          <cell r="H5112">
            <v>0</v>
          </cell>
          <cell r="I5112">
            <v>0</v>
          </cell>
          <cell r="J5112">
            <v>0</v>
          </cell>
          <cell r="K5112">
            <v>0</v>
          </cell>
          <cell r="L5112">
            <v>0</v>
          </cell>
          <cell r="M5112">
            <v>0</v>
          </cell>
          <cell r="N5112">
            <v>0</v>
          </cell>
          <cell r="O5112">
            <v>0</v>
          </cell>
        </row>
        <row r="5113">
          <cell r="A5113" t="str">
            <v>Germany784 Business Share Provision</v>
          </cell>
          <cell r="B5113">
            <v>0</v>
          </cell>
          <cell r="C5113">
            <v>0</v>
          </cell>
          <cell r="D5113">
            <v>0</v>
          </cell>
          <cell r="E5113">
            <v>0</v>
          </cell>
          <cell r="F5113">
            <v>0</v>
          </cell>
          <cell r="G5113">
            <v>0</v>
          </cell>
          <cell r="H5113">
            <v>0</v>
          </cell>
          <cell r="I5113">
            <v>0</v>
          </cell>
          <cell r="J5113">
            <v>0</v>
          </cell>
          <cell r="K5113">
            <v>0</v>
          </cell>
          <cell r="L5113">
            <v>0</v>
          </cell>
          <cell r="M5113">
            <v>0</v>
          </cell>
          <cell r="N5113">
            <v>0</v>
          </cell>
          <cell r="O5113">
            <v>0</v>
          </cell>
        </row>
        <row r="5114">
          <cell r="A5114" t="str">
            <v>GermanyReserves - Business Sharing</v>
          </cell>
          <cell r="B5114">
            <v>0</v>
          </cell>
          <cell r="C5114">
            <v>0</v>
          </cell>
          <cell r="D5114">
            <v>0</v>
          </cell>
          <cell r="E5114">
            <v>0</v>
          </cell>
          <cell r="F5114">
            <v>0</v>
          </cell>
          <cell r="G5114">
            <v>0</v>
          </cell>
          <cell r="H5114">
            <v>0</v>
          </cell>
          <cell r="I5114">
            <v>0</v>
          </cell>
          <cell r="J5114">
            <v>0</v>
          </cell>
          <cell r="K5114">
            <v>0</v>
          </cell>
          <cell r="L5114">
            <v>0</v>
          </cell>
          <cell r="M5114">
            <v>0</v>
          </cell>
          <cell r="N5114">
            <v>0</v>
          </cell>
          <cell r="O5114">
            <v>0</v>
          </cell>
        </row>
        <row r="5115">
          <cell r="A5115" t="str">
            <v>Hong KongNEA - Fixed Rate</v>
          </cell>
          <cell r="B5115">
            <v>0</v>
          </cell>
          <cell r="C5115">
            <v>0</v>
          </cell>
          <cell r="D5115">
            <v>0</v>
          </cell>
          <cell r="E5115">
            <v>0</v>
          </cell>
          <cell r="F5115">
            <v>0</v>
          </cell>
          <cell r="G5115">
            <v>0</v>
          </cell>
          <cell r="H5115">
            <v>0</v>
          </cell>
          <cell r="I5115">
            <v>0</v>
          </cell>
          <cell r="J5115">
            <v>0</v>
          </cell>
          <cell r="K5115">
            <v>0</v>
          </cell>
          <cell r="L5115">
            <v>0</v>
          </cell>
          <cell r="M5115">
            <v>0</v>
          </cell>
          <cell r="N5115">
            <v>0</v>
          </cell>
          <cell r="O5115">
            <v>0</v>
          </cell>
        </row>
        <row r="5116">
          <cell r="A5116" t="str">
            <v>Hong KongNEA - Floating Rate</v>
          </cell>
          <cell r="B5116">
            <v>0</v>
          </cell>
          <cell r="C5116">
            <v>0</v>
          </cell>
          <cell r="D5116">
            <v>0</v>
          </cell>
          <cell r="E5116">
            <v>0</v>
          </cell>
          <cell r="F5116">
            <v>0</v>
          </cell>
          <cell r="G5116">
            <v>0</v>
          </cell>
          <cell r="H5116">
            <v>0</v>
          </cell>
          <cell r="I5116">
            <v>0</v>
          </cell>
          <cell r="J5116">
            <v>0</v>
          </cell>
          <cell r="K5116">
            <v>0</v>
          </cell>
          <cell r="L5116">
            <v>0</v>
          </cell>
          <cell r="M5116">
            <v>0</v>
          </cell>
          <cell r="N5116">
            <v>0</v>
          </cell>
          <cell r="O5116">
            <v>0</v>
          </cell>
        </row>
        <row r="5117">
          <cell r="A5117" t="str">
            <v>Hong KongReserves - FX Gain / Loss</v>
          </cell>
          <cell r="B5117">
            <v>73754.83</v>
          </cell>
          <cell r="C5117">
            <v>73795.44</v>
          </cell>
          <cell r="D5117">
            <v>73183.33</v>
          </cell>
          <cell r="E5117">
            <v>73650.960000000006</v>
          </cell>
          <cell r="F5117">
            <v>73650.960000000006</v>
          </cell>
          <cell r="G5117">
            <v>0</v>
          </cell>
          <cell r="H5117">
            <v>0</v>
          </cell>
          <cell r="I5117">
            <v>0</v>
          </cell>
          <cell r="J5117">
            <v>0</v>
          </cell>
          <cell r="K5117">
            <v>0</v>
          </cell>
          <cell r="L5117">
            <v>29325.69</v>
          </cell>
          <cell r="M5117">
            <v>0</v>
          </cell>
          <cell r="N5117">
            <v>0</v>
          </cell>
          <cell r="O5117">
            <v>0</v>
          </cell>
        </row>
        <row r="5118">
          <cell r="A5118" t="str">
            <v>Hong KongReserves - Provisons</v>
          </cell>
          <cell r="B5118">
            <v>-1947233.69</v>
          </cell>
          <cell r="C5118">
            <v>-3043882.92</v>
          </cell>
          <cell r="D5118">
            <v>-4858020.2699999996</v>
          </cell>
          <cell r="E5118">
            <v>-7685645.4100000001</v>
          </cell>
          <cell r="F5118">
            <v>-7685645.4100000001</v>
          </cell>
          <cell r="G5118">
            <v>0</v>
          </cell>
          <cell r="H5118">
            <v>0</v>
          </cell>
          <cell r="I5118">
            <v>0</v>
          </cell>
          <cell r="J5118">
            <v>0</v>
          </cell>
          <cell r="K5118">
            <v>0</v>
          </cell>
          <cell r="L5118">
            <v>-5059328.91</v>
          </cell>
          <cell r="M5118">
            <v>0</v>
          </cell>
          <cell r="N5118">
            <v>0</v>
          </cell>
          <cell r="O5118">
            <v>0</v>
          </cell>
        </row>
        <row r="5119">
          <cell r="A5119" t="str">
            <v>Hong KongReserves - Recoveries</v>
          </cell>
          <cell r="B5119">
            <v>-1038064.58</v>
          </cell>
          <cell r="C5119">
            <v>-2601339.7000000002</v>
          </cell>
          <cell r="D5119">
            <v>-3592011.63</v>
          </cell>
          <cell r="E5119">
            <v>-6604687.5800000001</v>
          </cell>
          <cell r="F5119">
            <v>-6604687.5800000001</v>
          </cell>
          <cell r="G5119">
            <v>0</v>
          </cell>
          <cell r="H5119">
            <v>0</v>
          </cell>
          <cell r="I5119">
            <v>0</v>
          </cell>
          <cell r="J5119">
            <v>0</v>
          </cell>
          <cell r="K5119">
            <v>0</v>
          </cell>
          <cell r="L5119">
            <v>-1536506.61</v>
          </cell>
          <cell r="M5119">
            <v>0</v>
          </cell>
          <cell r="N5119">
            <v>0</v>
          </cell>
          <cell r="O5119">
            <v>0</v>
          </cell>
        </row>
        <row r="5120">
          <cell r="A5120" t="str">
            <v>Hong KongReserves - BOP</v>
          </cell>
          <cell r="B5120">
            <v>-9243406</v>
          </cell>
          <cell r="C5120">
            <v>-9243406</v>
          </cell>
          <cell r="D5120">
            <v>-9243406</v>
          </cell>
          <cell r="E5120">
            <v>-9243406</v>
          </cell>
          <cell r="F5120">
            <v>-9243406</v>
          </cell>
          <cell r="G5120">
            <v>-14605850.674358999</v>
          </cell>
          <cell r="H5120">
            <v>-18887003.012820002</v>
          </cell>
          <cell r="I5120">
            <v>-23503598.919231001</v>
          </cell>
          <cell r="J5120">
            <v>-25050491.551282</v>
          </cell>
          <cell r="K5120">
            <v>-25050491.551282</v>
          </cell>
          <cell r="L5120">
            <v>-11296570.449999999</v>
          </cell>
          <cell r="M5120">
            <v>-18620247.837781001</v>
          </cell>
          <cell r="N5120">
            <v>-27747545.043276001</v>
          </cell>
          <cell r="O5120">
            <v>-35937673.414590001</v>
          </cell>
        </row>
        <row r="5121">
          <cell r="A5121" t="str">
            <v>Hong KongReserves - Transfers &amp; Others</v>
          </cell>
          <cell r="B5121">
            <v>0</v>
          </cell>
          <cell r="C5121">
            <v>65380.02</v>
          </cell>
          <cell r="D5121">
            <v>65380.02</v>
          </cell>
          <cell r="E5121">
            <v>65380.02</v>
          </cell>
          <cell r="F5121">
            <v>65380.02</v>
          </cell>
          <cell r="G5121">
            <v>0</v>
          </cell>
          <cell r="H5121">
            <v>0</v>
          </cell>
          <cell r="I5121">
            <v>0</v>
          </cell>
          <cell r="J5121">
            <v>0</v>
          </cell>
          <cell r="K5121">
            <v>0</v>
          </cell>
          <cell r="L5121">
            <v>3092482.59</v>
          </cell>
          <cell r="M5121">
            <v>0</v>
          </cell>
          <cell r="N5121">
            <v>0</v>
          </cell>
          <cell r="O5121">
            <v>0</v>
          </cell>
        </row>
        <row r="5122">
          <cell r="A5122" t="str">
            <v>Hong KongReserves - Write-Offs</v>
          </cell>
          <cell r="B5122">
            <v>1736119.35</v>
          </cell>
          <cell r="C5122">
            <v>4427368.1399999997</v>
          </cell>
          <cell r="D5122">
            <v>7065024.6299999999</v>
          </cell>
          <cell r="E5122">
            <v>12171788.51</v>
          </cell>
          <cell r="F5122">
            <v>12171788.51</v>
          </cell>
          <cell r="G5122">
            <v>2824733.8269230002</v>
          </cell>
          <cell r="H5122">
            <v>5649467.6538460003</v>
          </cell>
          <cell r="I5122">
            <v>8474201.4807689991</v>
          </cell>
          <cell r="J5122">
            <v>11298935.307692001</v>
          </cell>
          <cell r="K5122">
            <v>11298935.307692001</v>
          </cell>
          <cell r="L5122">
            <v>4312079.9800000004</v>
          </cell>
          <cell r="M5122">
            <v>7000290</v>
          </cell>
          <cell r="N5122">
            <v>11640370</v>
          </cell>
          <cell r="O5122">
            <v>15754488</v>
          </cell>
        </row>
        <row r="5123">
          <cell r="A5123" t="str">
            <v>Hong Kong780 FR Provision</v>
          </cell>
          <cell r="B5123">
            <v>1923535.04</v>
          </cell>
          <cell r="C5123">
            <v>717564.94</v>
          </cell>
          <cell r="D5123">
            <v>2087661.61</v>
          </cell>
          <cell r="E5123">
            <v>1557082.73</v>
          </cell>
          <cell r="F5123">
            <v>6285844.3200000003</v>
          </cell>
          <cell r="G5123">
            <v>0</v>
          </cell>
          <cell r="H5123">
            <v>0</v>
          </cell>
          <cell r="I5123">
            <v>0</v>
          </cell>
          <cell r="J5123">
            <v>0</v>
          </cell>
          <cell r="K5123">
            <v>0</v>
          </cell>
          <cell r="L5123">
            <v>3734138.59</v>
          </cell>
          <cell r="M5123">
            <v>0</v>
          </cell>
          <cell r="N5123">
            <v>0</v>
          </cell>
          <cell r="O5123">
            <v>0</v>
          </cell>
        </row>
        <row r="5124">
          <cell r="A5124" t="str">
            <v>Hong Kong780 FR Recovery</v>
          </cell>
          <cell r="B5124">
            <v>0</v>
          </cell>
          <cell r="C5124">
            <v>0</v>
          </cell>
          <cell r="D5124">
            <v>0</v>
          </cell>
          <cell r="E5124">
            <v>0</v>
          </cell>
          <cell r="F5124">
            <v>0</v>
          </cell>
          <cell r="G5124">
            <v>6431424.6756410003</v>
          </cell>
          <cell r="H5124">
            <v>4281152.3371789996</v>
          </cell>
          <cell r="I5124">
            <v>4616595.9051280003</v>
          </cell>
          <cell r="J5124">
            <v>1546892.6307689999</v>
          </cell>
          <cell r="K5124">
            <v>16876065.548717</v>
          </cell>
          <cell r="L5124">
            <v>0</v>
          </cell>
          <cell r="M5124">
            <v>11372258.578918001</v>
          </cell>
          <cell r="N5124">
            <v>16167745.225671999</v>
          </cell>
          <cell r="O5124">
            <v>19830498.513530999</v>
          </cell>
        </row>
        <row r="5125">
          <cell r="A5125" t="str">
            <v>Hong Kong781 LL Provision</v>
          </cell>
          <cell r="B5125">
            <v>0</v>
          </cell>
          <cell r="C5125">
            <v>0</v>
          </cell>
          <cell r="D5125">
            <v>0</v>
          </cell>
          <cell r="E5125">
            <v>0</v>
          </cell>
          <cell r="F5125">
            <v>0</v>
          </cell>
          <cell r="G5125">
            <v>0</v>
          </cell>
          <cell r="H5125">
            <v>0</v>
          </cell>
          <cell r="I5125">
            <v>0</v>
          </cell>
          <cell r="J5125">
            <v>0</v>
          </cell>
          <cell r="K5125">
            <v>0</v>
          </cell>
          <cell r="L5125">
            <v>0</v>
          </cell>
          <cell r="M5125">
            <v>0</v>
          </cell>
          <cell r="N5125">
            <v>0</v>
          </cell>
          <cell r="O5125">
            <v>0</v>
          </cell>
        </row>
        <row r="5126">
          <cell r="A5126" t="str">
            <v>Hong Kong781 LL Recovery</v>
          </cell>
          <cell r="B5126">
            <v>0</v>
          </cell>
          <cell r="C5126">
            <v>0</v>
          </cell>
          <cell r="D5126">
            <v>0</v>
          </cell>
          <cell r="E5126">
            <v>0</v>
          </cell>
          <cell r="F5126">
            <v>0</v>
          </cell>
          <cell r="G5126">
            <v>0</v>
          </cell>
          <cell r="H5126">
            <v>0</v>
          </cell>
          <cell r="I5126">
            <v>0</v>
          </cell>
          <cell r="J5126">
            <v>0</v>
          </cell>
          <cell r="K5126">
            <v>0</v>
          </cell>
          <cell r="L5126">
            <v>0</v>
          </cell>
          <cell r="M5126">
            <v>0</v>
          </cell>
          <cell r="N5126">
            <v>0</v>
          </cell>
          <cell r="O5126">
            <v>0</v>
          </cell>
        </row>
        <row r="5127">
          <cell r="A5127" t="str">
            <v>Hong Kong782 DF Provision</v>
          </cell>
          <cell r="B5127">
            <v>23698.639999999999</v>
          </cell>
          <cell r="C5127">
            <v>379084.29</v>
          </cell>
          <cell r="D5127">
            <v>-273524.26</v>
          </cell>
          <cell r="E5127">
            <v>1270542.4099999999</v>
          </cell>
          <cell r="F5127">
            <v>1399801.08</v>
          </cell>
          <cell r="G5127">
            <v>0</v>
          </cell>
          <cell r="H5127">
            <v>0</v>
          </cell>
          <cell r="I5127">
            <v>0</v>
          </cell>
          <cell r="J5127">
            <v>0</v>
          </cell>
          <cell r="K5127">
            <v>0</v>
          </cell>
          <cell r="L5127">
            <v>1325193.3400000001</v>
          </cell>
          <cell r="M5127">
            <v>0</v>
          </cell>
          <cell r="N5127">
            <v>0</v>
          </cell>
          <cell r="O5127">
            <v>0</v>
          </cell>
        </row>
        <row r="5128">
          <cell r="A5128" t="str">
            <v>Hong Kong782 DF Recovery</v>
          </cell>
          <cell r="B5128">
            <v>0</v>
          </cell>
          <cell r="C5128">
            <v>0</v>
          </cell>
          <cell r="D5128">
            <v>0</v>
          </cell>
          <cell r="E5128">
            <v>0</v>
          </cell>
          <cell r="F5128">
            <v>0</v>
          </cell>
          <cell r="G5128">
            <v>0</v>
          </cell>
          <cell r="H5128">
            <v>0</v>
          </cell>
          <cell r="I5128">
            <v>0</v>
          </cell>
          <cell r="J5128">
            <v>0</v>
          </cell>
          <cell r="K5128">
            <v>0</v>
          </cell>
          <cell r="L5128">
            <v>0</v>
          </cell>
          <cell r="M5128">
            <v>0</v>
          </cell>
          <cell r="N5128">
            <v>0</v>
          </cell>
          <cell r="O5128">
            <v>0</v>
          </cell>
        </row>
        <row r="5129">
          <cell r="A5129" t="str">
            <v>Hong Kong783 Corp Level Provision</v>
          </cell>
          <cell r="B5129">
            <v>0</v>
          </cell>
          <cell r="C5129">
            <v>0</v>
          </cell>
          <cell r="D5129">
            <v>0</v>
          </cell>
          <cell r="E5129">
            <v>0</v>
          </cell>
          <cell r="F5129">
            <v>0</v>
          </cell>
          <cell r="G5129">
            <v>0</v>
          </cell>
          <cell r="H5129">
            <v>0</v>
          </cell>
          <cell r="I5129">
            <v>0</v>
          </cell>
          <cell r="J5129">
            <v>0</v>
          </cell>
          <cell r="K5129">
            <v>0</v>
          </cell>
          <cell r="L5129">
            <v>0</v>
          </cell>
          <cell r="M5129">
            <v>0</v>
          </cell>
          <cell r="N5129">
            <v>0</v>
          </cell>
          <cell r="O5129">
            <v>0</v>
          </cell>
        </row>
        <row r="5130">
          <cell r="A5130" t="str">
            <v>Hong Kong783 Corp Level Recovery</v>
          </cell>
          <cell r="B5130">
            <v>0</v>
          </cell>
          <cell r="C5130">
            <v>0</v>
          </cell>
          <cell r="D5130">
            <v>0</v>
          </cell>
          <cell r="E5130">
            <v>0</v>
          </cell>
          <cell r="F5130">
            <v>0</v>
          </cell>
          <cell r="G5130">
            <v>0</v>
          </cell>
          <cell r="H5130">
            <v>0</v>
          </cell>
          <cell r="I5130">
            <v>0</v>
          </cell>
          <cell r="J5130">
            <v>0</v>
          </cell>
          <cell r="K5130">
            <v>0</v>
          </cell>
          <cell r="L5130">
            <v>0</v>
          </cell>
          <cell r="M5130">
            <v>0</v>
          </cell>
          <cell r="N5130">
            <v>0</v>
          </cell>
          <cell r="O5130">
            <v>0</v>
          </cell>
        </row>
        <row r="5131">
          <cell r="A5131" t="str">
            <v>Hong Kong784 Business Share Provision</v>
          </cell>
          <cell r="B5131">
            <v>-103534</v>
          </cell>
          <cell r="C5131">
            <v>359800</v>
          </cell>
          <cell r="D5131">
            <v>48144</v>
          </cell>
          <cell r="E5131">
            <v>516407</v>
          </cell>
          <cell r="F5131">
            <v>820817</v>
          </cell>
          <cell r="G5131">
            <v>0</v>
          </cell>
          <cell r="H5131">
            <v>0</v>
          </cell>
          <cell r="I5131">
            <v>0</v>
          </cell>
          <cell r="J5131">
            <v>0</v>
          </cell>
          <cell r="K5131">
            <v>0</v>
          </cell>
          <cell r="L5131">
            <v>0</v>
          </cell>
          <cell r="M5131">
            <v>0</v>
          </cell>
          <cell r="N5131">
            <v>0</v>
          </cell>
          <cell r="O5131">
            <v>0</v>
          </cell>
        </row>
        <row r="5132">
          <cell r="A5132" t="str">
            <v>Hong KongReserves - Business Sharing</v>
          </cell>
          <cell r="B5132">
            <v>3669968</v>
          </cell>
          <cell r="C5132">
            <v>3251922</v>
          </cell>
          <cell r="D5132">
            <v>3142073</v>
          </cell>
          <cell r="E5132">
            <v>3048491</v>
          </cell>
          <cell r="F5132">
            <v>3048491</v>
          </cell>
          <cell r="G5132">
            <v>0</v>
          </cell>
          <cell r="H5132">
            <v>0</v>
          </cell>
          <cell r="I5132">
            <v>0</v>
          </cell>
          <cell r="J5132">
            <v>0</v>
          </cell>
          <cell r="K5132">
            <v>0</v>
          </cell>
          <cell r="L5132">
            <v>0</v>
          </cell>
          <cell r="M5132">
            <v>0</v>
          </cell>
          <cell r="N5132">
            <v>0</v>
          </cell>
          <cell r="O5132">
            <v>0</v>
          </cell>
        </row>
        <row r="5133">
          <cell r="A5133" t="str">
            <v>Housing BankNEA - Fixed Rate</v>
          </cell>
          <cell r="B5133">
            <v>0</v>
          </cell>
          <cell r="C5133">
            <v>0</v>
          </cell>
          <cell r="D5133">
            <v>0</v>
          </cell>
          <cell r="E5133">
            <v>0</v>
          </cell>
          <cell r="F5133">
            <v>0</v>
          </cell>
          <cell r="G5133">
            <v>0</v>
          </cell>
          <cell r="H5133">
            <v>0</v>
          </cell>
          <cell r="I5133">
            <v>0</v>
          </cell>
          <cell r="J5133">
            <v>0</v>
          </cell>
          <cell r="K5133">
            <v>0</v>
          </cell>
          <cell r="L5133">
            <v>0</v>
          </cell>
          <cell r="M5133">
            <v>0</v>
          </cell>
          <cell r="N5133">
            <v>0</v>
          </cell>
          <cell r="O5133">
            <v>0</v>
          </cell>
        </row>
        <row r="5134">
          <cell r="A5134" t="str">
            <v>Housing BankNEA - Floating Rate</v>
          </cell>
          <cell r="B5134">
            <v>0</v>
          </cell>
          <cell r="C5134">
            <v>0</v>
          </cell>
          <cell r="D5134">
            <v>0</v>
          </cell>
          <cell r="E5134">
            <v>0</v>
          </cell>
          <cell r="F5134">
            <v>0</v>
          </cell>
          <cell r="G5134">
            <v>0</v>
          </cell>
          <cell r="H5134">
            <v>0</v>
          </cell>
          <cell r="I5134">
            <v>0</v>
          </cell>
          <cell r="J5134">
            <v>0</v>
          </cell>
          <cell r="K5134">
            <v>0</v>
          </cell>
          <cell r="L5134">
            <v>0</v>
          </cell>
          <cell r="M5134">
            <v>0</v>
          </cell>
          <cell r="N5134">
            <v>0</v>
          </cell>
          <cell r="O5134">
            <v>0</v>
          </cell>
        </row>
        <row r="5135">
          <cell r="A5135" t="str">
            <v>Housing BankReserves - FX Gain / Loss</v>
          </cell>
          <cell r="B5135">
            <v>180151.52</v>
          </cell>
          <cell r="C5135">
            <v>308235.81</v>
          </cell>
          <cell r="D5135">
            <v>116119.84</v>
          </cell>
          <cell r="E5135">
            <v>173183.58</v>
          </cell>
          <cell r="F5135">
            <v>173183.58</v>
          </cell>
          <cell r="G5135">
            <v>0</v>
          </cell>
          <cell r="H5135">
            <v>0</v>
          </cell>
          <cell r="I5135">
            <v>0</v>
          </cell>
          <cell r="J5135">
            <v>0</v>
          </cell>
          <cell r="K5135">
            <v>0</v>
          </cell>
          <cell r="L5135">
            <v>241408.01</v>
          </cell>
          <cell r="M5135">
            <v>0</v>
          </cell>
          <cell r="N5135">
            <v>0</v>
          </cell>
          <cell r="O5135">
            <v>0</v>
          </cell>
        </row>
        <row r="5136">
          <cell r="A5136" t="str">
            <v>Housing BankReserves - Provisons</v>
          </cell>
          <cell r="B5136">
            <v>-1072872.8500000001</v>
          </cell>
          <cell r="C5136">
            <v>-2507507.34</v>
          </cell>
          <cell r="D5136">
            <v>-830617.12</v>
          </cell>
          <cell r="E5136">
            <v>-1685900.04</v>
          </cell>
          <cell r="F5136">
            <v>-1685900.04</v>
          </cell>
          <cell r="G5136">
            <v>0</v>
          </cell>
          <cell r="H5136">
            <v>0</v>
          </cell>
          <cell r="I5136">
            <v>0</v>
          </cell>
          <cell r="J5136">
            <v>0</v>
          </cell>
          <cell r="K5136">
            <v>0</v>
          </cell>
          <cell r="L5136">
            <v>-33491.93</v>
          </cell>
          <cell r="M5136">
            <v>0</v>
          </cell>
          <cell r="N5136">
            <v>0</v>
          </cell>
          <cell r="O5136">
            <v>0</v>
          </cell>
        </row>
        <row r="5137">
          <cell r="A5137" t="str">
            <v>Housing BankReserves - Recoveries</v>
          </cell>
          <cell r="B5137">
            <v>0</v>
          </cell>
          <cell r="C5137">
            <v>0</v>
          </cell>
          <cell r="D5137">
            <v>0</v>
          </cell>
          <cell r="E5137">
            <v>0</v>
          </cell>
          <cell r="F5137">
            <v>0</v>
          </cell>
          <cell r="G5137">
            <v>0</v>
          </cell>
          <cell r="H5137">
            <v>0</v>
          </cell>
          <cell r="I5137">
            <v>0</v>
          </cell>
          <cell r="J5137">
            <v>0</v>
          </cell>
          <cell r="K5137">
            <v>0</v>
          </cell>
          <cell r="L5137">
            <v>-10273.43</v>
          </cell>
          <cell r="M5137">
            <v>0</v>
          </cell>
          <cell r="N5137">
            <v>0</v>
          </cell>
          <cell r="O5137">
            <v>0</v>
          </cell>
        </row>
        <row r="5138">
          <cell r="A5138" t="str">
            <v>Housing BankReserves - BOP</v>
          </cell>
          <cell r="B5138">
            <v>-3818430.32</v>
          </cell>
          <cell r="C5138">
            <v>-3818430.32</v>
          </cell>
          <cell r="D5138">
            <v>-3818430.32</v>
          </cell>
          <cell r="E5138">
            <v>-3818430.32</v>
          </cell>
          <cell r="F5138">
            <v>-3818430.32</v>
          </cell>
          <cell r="G5138">
            <v>-5608531.7475279998</v>
          </cell>
          <cell r="H5138">
            <v>-6515131.1871079998</v>
          </cell>
          <cell r="I5138">
            <v>-7193327.5555530004</v>
          </cell>
          <cell r="J5138">
            <v>-8101133.3104419997</v>
          </cell>
          <cell r="K5138">
            <v>-8101133.3104419997</v>
          </cell>
          <cell r="L5138">
            <v>-5325553.9000000004</v>
          </cell>
          <cell r="M5138">
            <v>-9624083.7942699995</v>
          </cell>
          <cell r="N5138">
            <v>-16334729.742562</v>
          </cell>
          <cell r="O5138">
            <v>-23874440.466568999</v>
          </cell>
        </row>
        <row r="5139">
          <cell r="A5139" t="str">
            <v>Housing BankReserves - Transfers &amp; Others</v>
          </cell>
          <cell r="B5139">
            <v>0</v>
          </cell>
          <cell r="C5139">
            <v>0</v>
          </cell>
          <cell r="D5139">
            <v>0</v>
          </cell>
          <cell r="E5139">
            <v>0</v>
          </cell>
          <cell r="F5139">
            <v>0</v>
          </cell>
          <cell r="G5139">
            <v>0</v>
          </cell>
          <cell r="H5139">
            <v>0</v>
          </cell>
          <cell r="I5139">
            <v>0</v>
          </cell>
          <cell r="J5139">
            <v>0</v>
          </cell>
          <cell r="K5139">
            <v>0</v>
          </cell>
          <cell r="L5139">
            <v>0</v>
          </cell>
          <cell r="M5139">
            <v>0</v>
          </cell>
          <cell r="N5139">
            <v>0</v>
          </cell>
          <cell r="O5139">
            <v>0</v>
          </cell>
        </row>
        <row r="5140">
          <cell r="A5140" t="str">
            <v>Housing BankReserves - Write-Offs</v>
          </cell>
          <cell r="B5140">
            <v>17582.080000000002</v>
          </cell>
          <cell r="C5140">
            <v>545772.5</v>
          </cell>
          <cell r="D5140">
            <v>545772.5</v>
          </cell>
          <cell r="E5140">
            <v>178776.46</v>
          </cell>
          <cell r="F5140">
            <v>178776.46</v>
          </cell>
          <cell r="G5140">
            <v>96366.188250000007</v>
          </cell>
          <cell r="H5140">
            <v>402615.11249500001</v>
          </cell>
          <cell r="I5140">
            <v>395437.231134</v>
          </cell>
          <cell r="J5140">
            <v>460263.76500700001</v>
          </cell>
          <cell r="K5140">
            <v>460263.76500700001</v>
          </cell>
          <cell r="L5140">
            <v>45425.96</v>
          </cell>
          <cell r="M5140">
            <v>0</v>
          </cell>
          <cell r="N5140">
            <v>0</v>
          </cell>
          <cell r="O5140">
            <v>0</v>
          </cell>
        </row>
        <row r="5141">
          <cell r="A5141" t="str">
            <v>Housing Bank780 FR Provision</v>
          </cell>
          <cell r="B5141">
            <v>1551831.48</v>
          </cell>
          <cell r="C5141">
            <v>2885439.39</v>
          </cell>
          <cell r="D5141">
            <v>6855128.6799999997</v>
          </cell>
          <cell r="E5141">
            <v>855282.93</v>
          </cell>
          <cell r="F5141">
            <v>12147682.48</v>
          </cell>
          <cell r="G5141">
            <v>0</v>
          </cell>
          <cell r="H5141">
            <v>0</v>
          </cell>
          <cell r="I5141">
            <v>0</v>
          </cell>
          <cell r="J5141">
            <v>0</v>
          </cell>
          <cell r="K5141">
            <v>0</v>
          </cell>
          <cell r="L5141">
            <v>372041.03</v>
          </cell>
          <cell r="M5141">
            <v>4996000</v>
          </cell>
          <cell r="N5141">
            <v>6711000</v>
          </cell>
          <cell r="O5141">
            <v>7540000</v>
          </cell>
        </row>
        <row r="5142">
          <cell r="A5142" t="str">
            <v>Housing Bank780 FR Recovery</v>
          </cell>
          <cell r="B5142">
            <v>-478958.65</v>
          </cell>
          <cell r="C5142">
            <v>-1450804.91</v>
          </cell>
          <cell r="D5142">
            <v>-8532018.9000000004</v>
          </cell>
          <cell r="E5142">
            <v>0</v>
          </cell>
          <cell r="F5142">
            <v>-10461782.460000001</v>
          </cell>
          <cell r="G5142">
            <v>359796</v>
          </cell>
          <cell r="H5142">
            <v>600351</v>
          </cell>
          <cell r="I5142">
            <v>685374</v>
          </cell>
          <cell r="J5142">
            <v>842979</v>
          </cell>
          <cell r="K5142">
            <v>2488500</v>
          </cell>
          <cell r="L5142">
            <v>-338549.1</v>
          </cell>
          <cell r="M5142">
            <v>0</v>
          </cell>
          <cell r="N5142">
            <v>0</v>
          </cell>
          <cell r="O5142">
            <v>0</v>
          </cell>
        </row>
        <row r="5143">
          <cell r="A5143" t="str">
            <v>Housing Bank781 LL Provision</v>
          </cell>
          <cell r="B5143">
            <v>0</v>
          </cell>
          <cell r="C5143">
            <v>0</v>
          </cell>
          <cell r="D5143">
            <v>0</v>
          </cell>
          <cell r="E5143">
            <v>0</v>
          </cell>
          <cell r="F5143">
            <v>0</v>
          </cell>
          <cell r="G5143">
            <v>0</v>
          </cell>
          <cell r="H5143">
            <v>0</v>
          </cell>
          <cell r="I5143">
            <v>0</v>
          </cell>
          <cell r="J5143">
            <v>0</v>
          </cell>
          <cell r="K5143">
            <v>0</v>
          </cell>
          <cell r="L5143">
            <v>0</v>
          </cell>
          <cell r="M5143">
            <v>0</v>
          </cell>
          <cell r="N5143">
            <v>0</v>
          </cell>
          <cell r="O5143">
            <v>0</v>
          </cell>
        </row>
        <row r="5144">
          <cell r="A5144" t="str">
            <v>Housing Bank781 LL Recovery</v>
          </cell>
          <cell r="B5144">
            <v>0</v>
          </cell>
          <cell r="C5144">
            <v>0</v>
          </cell>
          <cell r="D5144">
            <v>0</v>
          </cell>
          <cell r="E5144">
            <v>0</v>
          </cell>
          <cell r="F5144">
            <v>0</v>
          </cell>
          <cell r="G5144">
            <v>0</v>
          </cell>
          <cell r="H5144">
            <v>0</v>
          </cell>
          <cell r="I5144">
            <v>0</v>
          </cell>
          <cell r="J5144">
            <v>0</v>
          </cell>
          <cell r="K5144">
            <v>0</v>
          </cell>
          <cell r="L5144">
            <v>0</v>
          </cell>
          <cell r="M5144">
            <v>0</v>
          </cell>
          <cell r="N5144">
            <v>0</v>
          </cell>
          <cell r="O5144">
            <v>0</v>
          </cell>
        </row>
        <row r="5145">
          <cell r="A5145" t="str">
            <v>Housing Bank782 DF Provision</v>
          </cell>
          <cell r="B5145">
            <v>0</v>
          </cell>
          <cell r="C5145">
            <v>0</v>
          </cell>
          <cell r="D5145">
            <v>0</v>
          </cell>
          <cell r="E5145">
            <v>0</v>
          </cell>
          <cell r="F5145">
            <v>0</v>
          </cell>
          <cell r="G5145">
            <v>0</v>
          </cell>
          <cell r="H5145">
            <v>0</v>
          </cell>
          <cell r="I5145">
            <v>0</v>
          </cell>
          <cell r="J5145">
            <v>0</v>
          </cell>
          <cell r="K5145">
            <v>0</v>
          </cell>
          <cell r="L5145">
            <v>0</v>
          </cell>
          <cell r="M5145">
            <v>0</v>
          </cell>
          <cell r="N5145">
            <v>0</v>
          </cell>
          <cell r="O5145">
            <v>0</v>
          </cell>
        </row>
        <row r="5146">
          <cell r="A5146" t="str">
            <v>Housing Bank782 DF Recovery</v>
          </cell>
          <cell r="B5146">
            <v>0</v>
          </cell>
          <cell r="C5146">
            <v>0</v>
          </cell>
          <cell r="D5146">
            <v>0</v>
          </cell>
          <cell r="E5146">
            <v>0</v>
          </cell>
          <cell r="F5146">
            <v>0</v>
          </cell>
          <cell r="G5146">
            <v>0</v>
          </cell>
          <cell r="H5146">
            <v>0</v>
          </cell>
          <cell r="I5146">
            <v>0</v>
          </cell>
          <cell r="J5146">
            <v>0</v>
          </cell>
          <cell r="K5146">
            <v>0</v>
          </cell>
          <cell r="L5146">
            <v>0</v>
          </cell>
          <cell r="M5146">
            <v>0</v>
          </cell>
          <cell r="N5146">
            <v>0</v>
          </cell>
          <cell r="O5146">
            <v>0</v>
          </cell>
        </row>
        <row r="5147">
          <cell r="A5147" t="str">
            <v>Housing Bank783 Corp Level Provision</v>
          </cell>
          <cell r="B5147">
            <v>0</v>
          </cell>
          <cell r="C5147">
            <v>0</v>
          </cell>
          <cell r="D5147">
            <v>0</v>
          </cell>
          <cell r="E5147">
            <v>0</v>
          </cell>
          <cell r="F5147">
            <v>0</v>
          </cell>
          <cell r="G5147">
            <v>0</v>
          </cell>
          <cell r="H5147">
            <v>0</v>
          </cell>
          <cell r="I5147">
            <v>0</v>
          </cell>
          <cell r="J5147">
            <v>0</v>
          </cell>
          <cell r="K5147">
            <v>0</v>
          </cell>
          <cell r="L5147">
            <v>0</v>
          </cell>
          <cell r="M5147">
            <v>0</v>
          </cell>
          <cell r="N5147">
            <v>0</v>
          </cell>
          <cell r="O5147">
            <v>0</v>
          </cell>
        </row>
        <row r="5148">
          <cell r="A5148" t="str">
            <v>Housing Bank783 Corp Level Recovery</v>
          </cell>
          <cell r="B5148">
            <v>0</v>
          </cell>
          <cell r="C5148">
            <v>0</v>
          </cell>
          <cell r="D5148">
            <v>0</v>
          </cell>
          <cell r="E5148">
            <v>0</v>
          </cell>
          <cell r="F5148">
            <v>0</v>
          </cell>
          <cell r="G5148">
            <v>0</v>
          </cell>
          <cell r="H5148">
            <v>0</v>
          </cell>
          <cell r="I5148">
            <v>0</v>
          </cell>
          <cell r="J5148">
            <v>0</v>
          </cell>
          <cell r="K5148">
            <v>0</v>
          </cell>
          <cell r="L5148">
            <v>0</v>
          </cell>
          <cell r="M5148">
            <v>0</v>
          </cell>
          <cell r="N5148">
            <v>0</v>
          </cell>
          <cell r="O5148">
            <v>0</v>
          </cell>
        </row>
        <row r="5149">
          <cell r="A5149" t="str">
            <v>Housing Bank784 Business Share Provision</v>
          </cell>
          <cell r="B5149">
            <v>0</v>
          </cell>
          <cell r="C5149">
            <v>0</v>
          </cell>
          <cell r="D5149">
            <v>0</v>
          </cell>
          <cell r="E5149">
            <v>0</v>
          </cell>
          <cell r="F5149">
            <v>0</v>
          </cell>
          <cell r="G5149">
            <v>0</v>
          </cell>
          <cell r="H5149">
            <v>0</v>
          </cell>
          <cell r="I5149">
            <v>0</v>
          </cell>
          <cell r="J5149">
            <v>0</v>
          </cell>
          <cell r="K5149">
            <v>0</v>
          </cell>
          <cell r="L5149">
            <v>0</v>
          </cell>
          <cell r="M5149">
            <v>0</v>
          </cell>
          <cell r="N5149">
            <v>0</v>
          </cell>
          <cell r="O5149">
            <v>0</v>
          </cell>
        </row>
        <row r="5150">
          <cell r="A5150" t="str">
            <v>Housing BankReserves - Business Sharing</v>
          </cell>
          <cell r="B5150">
            <v>0</v>
          </cell>
          <cell r="C5150">
            <v>0</v>
          </cell>
          <cell r="D5150">
            <v>0</v>
          </cell>
          <cell r="E5150">
            <v>0</v>
          </cell>
          <cell r="F5150">
            <v>0</v>
          </cell>
          <cell r="G5150">
            <v>0</v>
          </cell>
          <cell r="H5150">
            <v>0</v>
          </cell>
          <cell r="I5150">
            <v>0</v>
          </cell>
          <cell r="J5150">
            <v>0</v>
          </cell>
          <cell r="K5150">
            <v>0</v>
          </cell>
          <cell r="L5150">
            <v>0</v>
          </cell>
          <cell r="M5150">
            <v>0</v>
          </cell>
          <cell r="N5150">
            <v>0</v>
          </cell>
          <cell r="O5150">
            <v>0</v>
          </cell>
        </row>
        <row r="5151">
          <cell r="A5151" t="str">
            <v>I GroupNEA - Fixed Rate</v>
          </cell>
          <cell r="B5151">
            <v>0</v>
          </cell>
          <cell r="C5151">
            <v>0</v>
          </cell>
          <cell r="D5151">
            <v>0</v>
          </cell>
          <cell r="E5151">
            <v>0</v>
          </cell>
          <cell r="F5151">
            <v>0</v>
          </cell>
          <cell r="G5151">
            <v>0</v>
          </cell>
          <cell r="H5151">
            <v>0</v>
          </cell>
          <cell r="I5151">
            <v>0</v>
          </cell>
          <cell r="J5151">
            <v>0</v>
          </cell>
          <cell r="K5151">
            <v>0</v>
          </cell>
          <cell r="L5151">
            <v>0</v>
          </cell>
          <cell r="M5151">
            <v>0</v>
          </cell>
          <cell r="N5151">
            <v>0</v>
          </cell>
          <cell r="O5151">
            <v>0</v>
          </cell>
        </row>
        <row r="5152">
          <cell r="A5152" t="str">
            <v>I GroupNEA - Floating Rate</v>
          </cell>
          <cell r="B5152">
            <v>0</v>
          </cell>
          <cell r="C5152">
            <v>0</v>
          </cell>
          <cell r="D5152">
            <v>0</v>
          </cell>
          <cell r="E5152">
            <v>0</v>
          </cell>
          <cell r="F5152">
            <v>0</v>
          </cell>
          <cell r="G5152">
            <v>0</v>
          </cell>
          <cell r="H5152">
            <v>0</v>
          </cell>
          <cell r="I5152">
            <v>0</v>
          </cell>
          <cell r="J5152">
            <v>0</v>
          </cell>
          <cell r="K5152">
            <v>0</v>
          </cell>
          <cell r="L5152">
            <v>0</v>
          </cell>
          <cell r="M5152">
            <v>0</v>
          </cell>
          <cell r="N5152">
            <v>0</v>
          </cell>
          <cell r="O5152">
            <v>0</v>
          </cell>
        </row>
        <row r="5153">
          <cell r="A5153" t="str">
            <v>I GroupReserves - FX Gain / Loss</v>
          </cell>
          <cell r="B5153">
            <v>0</v>
          </cell>
          <cell r="C5153">
            <v>860991.81</v>
          </cell>
          <cell r="D5153">
            <v>-1120226.3400000001</v>
          </cell>
          <cell r="E5153">
            <v>-624991.80000000005</v>
          </cell>
          <cell r="F5153">
            <v>-624991.80000000005</v>
          </cell>
          <cell r="G5153">
            <v>0</v>
          </cell>
          <cell r="H5153">
            <v>0</v>
          </cell>
          <cell r="I5153">
            <v>0</v>
          </cell>
          <cell r="J5153">
            <v>0</v>
          </cell>
          <cell r="K5153">
            <v>0</v>
          </cell>
          <cell r="L5153">
            <v>686335</v>
          </cell>
          <cell r="M5153">
            <v>0</v>
          </cell>
          <cell r="N5153">
            <v>0</v>
          </cell>
          <cell r="O5153">
            <v>0</v>
          </cell>
        </row>
        <row r="5154">
          <cell r="A5154" t="str">
            <v>I GroupReserves - Provisons</v>
          </cell>
          <cell r="B5154">
            <v>0</v>
          </cell>
          <cell r="C5154">
            <v>0</v>
          </cell>
          <cell r="D5154">
            <v>0</v>
          </cell>
          <cell r="E5154">
            <v>0</v>
          </cell>
          <cell r="F5154">
            <v>0</v>
          </cell>
          <cell r="G5154">
            <v>0</v>
          </cell>
          <cell r="H5154">
            <v>0</v>
          </cell>
          <cell r="I5154">
            <v>0</v>
          </cell>
          <cell r="J5154">
            <v>0</v>
          </cell>
          <cell r="K5154">
            <v>0</v>
          </cell>
          <cell r="L5154">
            <v>-4756553.8600000003</v>
          </cell>
          <cell r="M5154">
            <v>0</v>
          </cell>
          <cell r="N5154">
            <v>0</v>
          </cell>
          <cell r="O5154">
            <v>0</v>
          </cell>
        </row>
        <row r="5155">
          <cell r="A5155" t="str">
            <v>I GroupReserves - Recoveries</v>
          </cell>
          <cell r="B5155">
            <v>0</v>
          </cell>
          <cell r="C5155">
            <v>0</v>
          </cell>
          <cell r="D5155">
            <v>0</v>
          </cell>
          <cell r="E5155">
            <v>0</v>
          </cell>
          <cell r="F5155">
            <v>0</v>
          </cell>
          <cell r="G5155">
            <v>0</v>
          </cell>
          <cell r="H5155">
            <v>0</v>
          </cell>
          <cell r="I5155">
            <v>0</v>
          </cell>
          <cell r="J5155">
            <v>0</v>
          </cell>
          <cell r="K5155">
            <v>0</v>
          </cell>
          <cell r="L5155">
            <v>-11084164.529999999</v>
          </cell>
          <cell r="M5155">
            <v>0</v>
          </cell>
          <cell r="N5155">
            <v>0</v>
          </cell>
          <cell r="O5155">
            <v>0</v>
          </cell>
        </row>
        <row r="5156">
          <cell r="A5156" t="str">
            <v>I GroupReserves - BOP</v>
          </cell>
          <cell r="B5156">
            <v>0</v>
          </cell>
          <cell r="C5156">
            <v>0</v>
          </cell>
          <cell r="D5156">
            <v>0</v>
          </cell>
          <cell r="E5156">
            <v>0</v>
          </cell>
          <cell r="F5156">
            <v>0</v>
          </cell>
          <cell r="G5156">
            <v>-48759791.983763002</v>
          </cell>
          <cell r="H5156">
            <v>-53003968.959985003</v>
          </cell>
          <cell r="I5156">
            <v>-58840543.179871999</v>
          </cell>
          <cell r="J5156">
            <v>-65612970.249093004</v>
          </cell>
          <cell r="K5156">
            <v>-65612970.249093004</v>
          </cell>
          <cell r="L5156">
            <v>-45008191.25</v>
          </cell>
          <cell r="M5156">
            <v>-51700000</v>
          </cell>
          <cell r="N5156">
            <v>-59500000</v>
          </cell>
          <cell r="O5156">
            <v>-65100000</v>
          </cell>
        </row>
        <row r="5157">
          <cell r="A5157" t="str">
            <v>I GroupReserves - Transfers &amp; Others</v>
          </cell>
          <cell r="B5157">
            <v>0</v>
          </cell>
          <cell r="C5157">
            <v>-39090662.590000004</v>
          </cell>
          <cell r="D5157">
            <v>-42067619.289999999</v>
          </cell>
          <cell r="E5157">
            <v>-45008191.25</v>
          </cell>
          <cell r="F5157">
            <v>-45008191.25</v>
          </cell>
          <cell r="G5157">
            <v>0</v>
          </cell>
          <cell r="H5157">
            <v>0</v>
          </cell>
          <cell r="I5157">
            <v>0</v>
          </cell>
          <cell r="J5157">
            <v>0</v>
          </cell>
          <cell r="K5157">
            <v>0</v>
          </cell>
          <cell r="L5157">
            <v>10151044.810000001</v>
          </cell>
          <cell r="M5157">
            <v>0</v>
          </cell>
          <cell r="N5157">
            <v>0</v>
          </cell>
          <cell r="O5157">
            <v>0</v>
          </cell>
        </row>
        <row r="5158">
          <cell r="A5158" t="str">
            <v>I GroupReserves - Write-Offs</v>
          </cell>
          <cell r="B5158">
            <v>0</v>
          </cell>
          <cell r="C5158">
            <v>0</v>
          </cell>
          <cell r="D5158">
            <v>0</v>
          </cell>
          <cell r="E5158">
            <v>0</v>
          </cell>
          <cell r="F5158">
            <v>0</v>
          </cell>
          <cell r="G5158">
            <v>633812.581076</v>
          </cell>
          <cell r="H5158">
            <v>1588545.050423</v>
          </cell>
          <cell r="I5158">
            <v>2935300.043966</v>
          </cell>
          <cell r="J5158">
            <v>4742734.2142540002</v>
          </cell>
          <cell r="K5158">
            <v>4742734.2142540002</v>
          </cell>
          <cell r="L5158">
            <v>4279.79</v>
          </cell>
          <cell r="M5158">
            <v>0</v>
          </cell>
          <cell r="N5158">
            <v>0</v>
          </cell>
          <cell r="O5158">
            <v>0</v>
          </cell>
        </row>
        <row r="5159">
          <cell r="A5159" t="str">
            <v>I Group780 FR Provision</v>
          </cell>
          <cell r="B5159">
            <v>0</v>
          </cell>
          <cell r="C5159">
            <v>0</v>
          </cell>
          <cell r="D5159">
            <v>0</v>
          </cell>
          <cell r="E5159">
            <v>0</v>
          </cell>
          <cell r="F5159">
            <v>0</v>
          </cell>
          <cell r="G5159">
            <v>0</v>
          </cell>
          <cell r="H5159">
            <v>0</v>
          </cell>
          <cell r="I5159">
            <v>0</v>
          </cell>
          <cell r="J5159">
            <v>0</v>
          </cell>
          <cell r="K5159">
            <v>0</v>
          </cell>
          <cell r="L5159">
            <v>4759218.03</v>
          </cell>
          <cell r="M5159">
            <v>10700000</v>
          </cell>
          <cell r="N5159">
            <v>7800000</v>
          </cell>
          <cell r="O5159">
            <v>5600000</v>
          </cell>
        </row>
        <row r="5160">
          <cell r="A5160" t="str">
            <v>I Group780 FR Recovery</v>
          </cell>
          <cell r="B5160">
            <v>0</v>
          </cell>
          <cell r="C5160">
            <v>0</v>
          </cell>
          <cell r="D5160">
            <v>0</v>
          </cell>
          <cell r="E5160">
            <v>0</v>
          </cell>
          <cell r="F5160">
            <v>0</v>
          </cell>
          <cell r="G5160">
            <v>3296777.49101</v>
          </cell>
          <cell r="H5160">
            <v>4244176.9762209998</v>
          </cell>
          <cell r="I5160">
            <v>5836574.2198879998</v>
          </cell>
          <cell r="J5160">
            <v>6772427.0692210002</v>
          </cell>
          <cell r="K5160">
            <v>20149955.756340001</v>
          </cell>
          <cell r="L5160">
            <v>0</v>
          </cell>
          <cell r="M5160">
            <v>16700000</v>
          </cell>
          <cell r="N5160">
            <v>20000000</v>
          </cell>
          <cell r="O5160">
            <v>22400000</v>
          </cell>
        </row>
        <row r="5161">
          <cell r="A5161" t="str">
            <v>I Group781 LL Provision</v>
          </cell>
          <cell r="B5161">
            <v>0</v>
          </cell>
          <cell r="C5161">
            <v>0</v>
          </cell>
          <cell r="D5161">
            <v>0</v>
          </cell>
          <cell r="E5161">
            <v>0</v>
          </cell>
          <cell r="F5161">
            <v>0</v>
          </cell>
          <cell r="G5161">
            <v>0</v>
          </cell>
          <cell r="H5161">
            <v>0</v>
          </cell>
          <cell r="I5161">
            <v>0</v>
          </cell>
          <cell r="J5161">
            <v>0</v>
          </cell>
          <cell r="K5161">
            <v>0</v>
          </cell>
          <cell r="L5161">
            <v>0</v>
          </cell>
          <cell r="M5161">
            <v>0</v>
          </cell>
          <cell r="N5161">
            <v>0</v>
          </cell>
          <cell r="O5161">
            <v>0</v>
          </cell>
        </row>
        <row r="5162">
          <cell r="A5162" t="str">
            <v>I Group781 LL Recovery</v>
          </cell>
          <cell r="B5162">
            <v>0</v>
          </cell>
          <cell r="C5162">
            <v>0</v>
          </cell>
          <cell r="D5162">
            <v>0</v>
          </cell>
          <cell r="E5162">
            <v>0</v>
          </cell>
          <cell r="F5162">
            <v>0</v>
          </cell>
          <cell r="G5162">
            <v>0</v>
          </cell>
          <cell r="H5162">
            <v>0</v>
          </cell>
          <cell r="I5162">
            <v>0</v>
          </cell>
          <cell r="J5162">
            <v>0</v>
          </cell>
          <cell r="K5162">
            <v>0</v>
          </cell>
          <cell r="L5162">
            <v>0</v>
          </cell>
          <cell r="M5162">
            <v>0</v>
          </cell>
          <cell r="N5162">
            <v>0</v>
          </cell>
          <cell r="O5162">
            <v>0</v>
          </cell>
        </row>
        <row r="5163">
          <cell r="A5163" t="str">
            <v>I Group782 DF Provision</v>
          </cell>
          <cell r="B5163">
            <v>0</v>
          </cell>
          <cell r="C5163">
            <v>0</v>
          </cell>
          <cell r="D5163">
            <v>0</v>
          </cell>
          <cell r="E5163">
            <v>0</v>
          </cell>
          <cell r="F5163">
            <v>0</v>
          </cell>
          <cell r="G5163">
            <v>0</v>
          </cell>
          <cell r="H5163">
            <v>0</v>
          </cell>
          <cell r="I5163">
            <v>0</v>
          </cell>
          <cell r="J5163">
            <v>0</v>
          </cell>
          <cell r="K5163">
            <v>0</v>
          </cell>
          <cell r="L5163">
            <v>0</v>
          </cell>
          <cell r="M5163">
            <v>0</v>
          </cell>
          <cell r="N5163">
            <v>0</v>
          </cell>
          <cell r="O5163">
            <v>0</v>
          </cell>
        </row>
        <row r="5164">
          <cell r="A5164" t="str">
            <v>I Group782 DF Recovery</v>
          </cell>
          <cell r="B5164">
            <v>0</v>
          </cell>
          <cell r="C5164">
            <v>0</v>
          </cell>
          <cell r="D5164">
            <v>0</v>
          </cell>
          <cell r="E5164">
            <v>0</v>
          </cell>
          <cell r="F5164">
            <v>0</v>
          </cell>
          <cell r="G5164">
            <v>0</v>
          </cell>
          <cell r="H5164">
            <v>0</v>
          </cell>
          <cell r="I5164">
            <v>0</v>
          </cell>
          <cell r="J5164">
            <v>0</v>
          </cell>
          <cell r="K5164">
            <v>0</v>
          </cell>
          <cell r="L5164">
            <v>0</v>
          </cell>
          <cell r="M5164">
            <v>0</v>
          </cell>
          <cell r="N5164">
            <v>0</v>
          </cell>
          <cell r="O5164">
            <v>0</v>
          </cell>
        </row>
        <row r="5165">
          <cell r="A5165" t="str">
            <v>I Group783 Corp Level Provision</v>
          </cell>
          <cell r="B5165">
            <v>0</v>
          </cell>
          <cell r="C5165">
            <v>0</v>
          </cell>
          <cell r="D5165">
            <v>0</v>
          </cell>
          <cell r="E5165">
            <v>0</v>
          </cell>
          <cell r="F5165">
            <v>0</v>
          </cell>
          <cell r="G5165">
            <v>0</v>
          </cell>
          <cell r="H5165">
            <v>0</v>
          </cell>
          <cell r="I5165">
            <v>0</v>
          </cell>
          <cell r="J5165">
            <v>0</v>
          </cell>
          <cell r="K5165">
            <v>0</v>
          </cell>
          <cell r="L5165">
            <v>0</v>
          </cell>
          <cell r="M5165">
            <v>0</v>
          </cell>
          <cell r="N5165">
            <v>0</v>
          </cell>
          <cell r="O5165">
            <v>0</v>
          </cell>
        </row>
        <row r="5166">
          <cell r="A5166" t="str">
            <v>I Group783 Corp Level Recovery</v>
          </cell>
          <cell r="B5166">
            <v>0</v>
          </cell>
          <cell r="C5166">
            <v>0</v>
          </cell>
          <cell r="D5166">
            <v>0</v>
          </cell>
          <cell r="E5166">
            <v>0</v>
          </cell>
          <cell r="F5166">
            <v>0</v>
          </cell>
          <cell r="G5166">
            <v>0</v>
          </cell>
          <cell r="H5166">
            <v>0</v>
          </cell>
          <cell r="I5166">
            <v>0</v>
          </cell>
          <cell r="J5166">
            <v>0</v>
          </cell>
          <cell r="K5166">
            <v>0</v>
          </cell>
          <cell r="L5166">
            <v>0</v>
          </cell>
          <cell r="M5166">
            <v>0</v>
          </cell>
          <cell r="N5166">
            <v>0</v>
          </cell>
          <cell r="O5166">
            <v>0</v>
          </cell>
        </row>
        <row r="5167">
          <cell r="A5167" t="str">
            <v>I Group784 Business Share Provision</v>
          </cell>
          <cell r="B5167">
            <v>0</v>
          </cell>
          <cell r="C5167">
            <v>0</v>
          </cell>
          <cell r="D5167">
            <v>0</v>
          </cell>
          <cell r="E5167">
            <v>0</v>
          </cell>
          <cell r="F5167">
            <v>0</v>
          </cell>
          <cell r="G5167">
            <v>0</v>
          </cell>
          <cell r="H5167">
            <v>0</v>
          </cell>
          <cell r="I5167">
            <v>0</v>
          </cell>
          <cell r="J5167">
            <v>0</v>
          </cell>
          <cell r="K5167">
            <v>0</v>
          </cell>
          <cell r="L5167">
            <v>0</v>
          </cell>
          <cell r="M5167">
            <v>0</v>
          </cell>
          <cell r="N5167">
            <v>0</v>
          </cell>
          <cell r="O5167">
            <v>0</v>
          </cell>
        </row>
        <row r="5168">
          <cell r="A5168" t="str">
            <v>I GroupReserves - Business Sharing</v>
          </cell>
          <cell r="B5168">
            <v>0</v>
          </cell>
          <cell r="C5168">
            <v>0</v>
          </cell>
          <cell r="D5168">
            <v>0</v>
          </cell>
          <cell r="E5168">
            <v>0</v>
          </cell>
          <cell r="F5168">
            <v>0</v>
          </cell>
          <cell r="G5168">
            <v>0</v>
          </cell>
          <cell r="H5168">
            <v>0</v>
          </cell>
          <cell r="I5168">
            <v>0</v>
          </cell>
          <cell r="J5168">
            <v>0</v>
          </cell>
          <cell r="K5168">
            <v>0</v>
          </cell>
          <cell r="L5168">
            <v>0</v>
          </cell>
          <cell r="M5168">
            <v>0</v>
          </cell>
          <cell r="N5168">
            <v>0</v>
          </cell>
          <cell r="O5168">
            <v>0</v>
          </cell>
        </row>
        <row r="5169">
          <cell r="A5169" t="str">
            <v>India AutoNEA - Fixed Rate</v>
          </cell>
          <cell r="B5169">
            <v>0</v>
          </cell>
          <cell r="C5169">
            <v>0</v>
          </cell>
          <cell r="D5169">
            <v>0</v>
          </cell>
          <cell r="E5169">
            <v>0</v>
          </cell>
          <cell r="F5169">
            <v>0</v>
          </cell>
          <cell r="G5169">
            <v>0</v>
          </cell>
          <cell r="H5169">
            <v>0</v>
          </cell>
          <cell r="I5169">
            <v>0</v>
          </cell>
          <cell r="J5169">
            <v>0</v>
          </cell>
          <cell r="K5169">
            <v>0</v>
          </cell>
          <cell r="L5169">
            <v>0</v>
          </cell>
          <cell r="M5169">
            <v>0</v>
          </cell>
          <cell r="N5169">
            <v>0</v>
          </cell>
          <cell r="O5169">
            <v>0</v>
          </cell>
        </row>
        <row r="5170">
          <cell r="A5170" t="str">
            <v>India AutoNEA - Floating Rate</v>
          </cell>
          <cell r="B5170">
            <v>0</v>
          </cell>
          <cell r="C5170">
            <v>0</v>
          </cell>
          <cell r="D5170">
            <v>0</v>
          </cell>
          <cell r="E5170">
            <v>0</v>
          </cell>
          <cell r="F5170">
            <v>0</v>
          </cell>
          <cell r="G5170">
            <v>0</v>
          </cell>
          <cell r="H5170">
            <v>0</v>
          </cell>
          <cell r="I5170">
            <v>0</v>
          </cell>
          <cell r="J5170">
            <v>0</v>
          </cell>
          <cell r="K5170">
            <v>0</v>
          </cell>
          <cell r="L5170">
            <v>0</v>
          </cell>
          <cell r="M5170">
            <v>0</v>
          </cell>
          <cell r="N5170">
            <v>0</v>
          </cell>
          <cell r="O5170">
            <v>0</v>
          </cell>
        </row>
        <row r="5171">
          <cell r="A5171" t="str">
            <v>India AutoReserves - FX Gain / Loss</v>
          </cell>
          <cell r="B5171">
            <v>0</v>
          </cell>
          <cell r="C5171">
            <v>0</v>
          </cell>
          <cell r="D5171">
            <v>0</v>
          </cell>
          <cell r="E5171">
            <v>0</v>
          </cell>
          <cell r="F5171">
            <v>0</v>
          </cell>
          <cell r="G5171">
            <v>0</v>
          </cell>
          <cell r="H5171">
            <v>0</v>
          </cell>
          <cell r="I5171">
            <v>0</v>
          </cell>
          <cell r="J5171">
            <v>0</v>
          </cell>
          <cell r="K5171">
            <v>0</v>
          </cell>
          <cell r="L5171">
            <v>0</v>
          </cell>
          <cell r="M5171">
            <v>0</v>
          </cell>
          <cell r="N5171">
            <v>0</v>
          </cell>
          <cell r="O5171">
            <v>0</v>
          </cell>
        </row>
        <row r="5172">
          <cell r="A5172" t="str">
            <v>India AutoReserves - Provisons</v>
          </cell>
          <cell r="B5172">
            <v>0</v>
          </cell>
          <cell r="C5172">
            <v>0</v>
          </cell>
          <cell r="D5172">
            <v>0</v>
          </cell>
          <cell r="E5172">
            <v>0</v>
          </cell>
          <cell r="F5172">
            <v>0</v>
          </cell>
          <cell r="G5172">
            <v>0</v>
          </cell>
          <cell r="H5172">
            <v>0</v>
          </cell>
          <cell r="I5172">
            <v>0</v>
          </cell>
          <cell r="J5172">
            <v>0</v>
          </cell>
          <cell r="K5172">
            <v>0</v>
          </cell>
          <cell r="L5172">
            <v>0</v>
          </cell>
          <cell r="M5172">
            <v>0</v>
          </cell>
          <cell r="N5172">
            <v>0</v>
          </cell>
          <cell r="O5172">
            <v>0</v>
          </cell>
        </row>
        <row r="5173">
          <cell r="A5173" t="str">
            <v>India AutoReserves - Recoveries</v>
          </cell>
          <cell r="B5173">
            <v>0</v>
          </cell>
          <cell r="C5173">
            <v>0</v>
          </cell>
          <cell r="D5173">
            <v>0</v>
          </cell>
          <cell r="E5173">
            <v>0</v>
          </cell>
          <cell r="F5173">
            <v>0</v>
          </cell>
          <cell r="G5173">
            <v>0</v>
          </cell>
          <cell r="H5173">
            <v>0</v>
          </cell>
          <cell r="I5173">
            <v>0</v>
          </cell>
          <cell r="J5173">
            <v>0</v>
          </cell>
          <cell r="K5173">
            <v>0</v>
          </cell>
          <cell r="L5173">
            <v>0</v>
          </cell>
          <cell r="M5173">
            <v>0</v>
          </cell>
          <cell r="N5173">
            <v>0</v>
          </cell>
          <cell r="O5173">
            <v>0</v>
          </cell>
        </row>
        <row r="5174">
          <cell r="A5174" t="str">
            <v>India AutoReserves - BOP</v>
          </cell>
          <cell r="B5174">
            <v>0</v>
          </cell>
          <cell r="C5174">
            <v>0</v>
          </cell>
          <cell r="D5174">
            <v>0</v>
          </cell>
          <cell r="E5174">
            <v>0</v>
          </cell>
          <cell r="F5174">
            <v>0</v>
          </cell>
          <cell r="G5174">
            <v>0</v>
          </cell>
          <cell r="H5174">
            <v>0</v>
          </cell>
          <cell r="I5174">
            <v>0</v>
          </cell>
          <cell r="J5174">
            <v>0</v>
          </cell>
          <cell r="K5174">
            <v>0</v>
          </cell>
          <cell r="L5174">
            <v>0</v>
          </cell>
          <cell r="M5174">
            <v>0</v>
          </cell>
          <cell r="N5174">
            <v>0</v>
          </cell>
          <cell r="O5174">
            <v>0</v>
          </cell>
        </row>
        <row r="5175">
          <cell r="A5175" t="str">
            <v>India AutoReserves - Transfers &amp; Others</v>
          </cell>
          <cell r="B5175">
            <v>0</v>
          </cell>
          <cell r="C5175">
            <v>0</v>
          </cell>
          <cell r="D5175">
            <v>0</v>
          </cell>
          <cell r="E5175">
            <v>0</v>
          </cell>
          <cell r="F5175">
            <v>0</v>
          </cell>
          <cell r="G5175">
            <v>0</v>
          </cell>
          <cell r="H5175">
            <v>0</v>
          </cell>
          <cell r="I5175">
            <v>0</v>
          </cell>
          <cell r="J5175">
            <v>0</v>
          </cell>
          <cell r="K5175">
            <v>0</v>
          </cell>
          <cell r="L5175">
            <v>0</v>
          </cell>
          <cell r="M5175">
            <v>0</v>
          </cell>
          <cell r="N5175">
            <v>0</v>
          </cell>
          <cell r="O5175">
            <v>0</v>
          </cell>
        </row>
        <row r="5176">
          <cell r="A5176" t="str">
            <v>India AutoReserves - Write-Offs</v>
          </cell>
          <cell r="B5176">
            <v>0</v>
          </cell>
          <cell r="C5176">
            <v>0</v>
          </cell>
          <cell r="D5176">
            <v>0</v>
          </cell>
          <cell r="E5176">
            <v>0</v>
          </cell>
          <cell r="F5176">
            <v>0</v>
          </cell>
          <cell r="G5176">
            <v>0</v>
          </cell>
          <cell r="H5176">
            <v>0</v>
          </cell>
          <cell r="I5176">
            <v>0</v>
          </cell>
          <cell r="J5176">
            <v>0</v>
          </cell>
          <cell r="K5176">
            <v>0</v>
          </cell>
          <cell r="L5176">
            <v>0</v>
          </cell>
          <cell r="M5176">
            <v>0</v>
          </cell>
          <cell r="N5176">
            <v>0</v>
          </cell>
          <cell r="O5176">
            <v>0</v>
          </cell>
        </row>
        <row r="5177">
          <cell r="A5177" t="str">
            <v>India Auto780 FR Provision</v>
          </cell>
          <cell r="B5177">
            <v>0</v>
          </cell>
          <cell r="C5177">
            <v>0</v>
          </cell>
          <cell r="D5177">
            <v>0</v>
          </cell>
          <cell r="E5177">
            <v>0</v>
          </cell>
          <cell r="F5177">
            <v>0</v>
          </cell>
          <cell r="G5177">
            <v>0</v>
          </cell>
          <cell r="H5177">
            <v>0</v>
          </cell>
          <cell r="I5177">
            <v>0</v>
          </cell>
          <cell r="J5177">
            <v>0</v>
          </cell>
          <cell r="K5177">
            <v>0</v>
          </cell>
          <cell r="L5177">
            <v>0</v>
          </cell>
          <cell r="M5177">
            <v>0</v>
          </cell>
          <cell r="N5177">
            <v>0</v>
          </cell>
          <cell r="O5177">
            <v>0</v>
          </cell>
        </row>
        <row r="5178">
          <cell r="A5178" t="str">
            <v>India Auto780 FR Recovery</v>
          </cell>
          <cell r="B5178">
            <v>0</v>
          </cell>
          <cell r="C5178">
            <v>0</v>
          </cell>
          <cell r="D5178">
            <v>0</v>
          </cell>
          <cell r="E5178">
            <v>0</v>
          </cell>
          <cell r="F5178">
            <v>0</v>
          </cell>
          <cell r="G5178">
            <v>0</v>
          </cell>
          <cell r="H5178">
            <v>0</v>
          </cell>
          <cell r="I5178">
            <v>0</v>
          </cell>
          <cell r="J5178">
            <v>0</v>
          </cell>
          <cell r="K5178">
            <v>0</v>
          </cell>
          <cell r="L5178">
            <v>0</v>
          </cell>
          <cell r="M5178">
            <v>0</v>
          </cell>
          <cell r="N5178">
            <v>0</v>
          </cell>
          <cell r="O5178">
            <v>0</v>
          </cell>
        </row>
        <row r="5179">
          <cell r="A5179" t="str">
            <v>India Auto781 LL Provision</v>
          </cell>
          <cell r="B5179">
            <v>0</v>
          </cell>
          <cell r="C5179">
            <v>0</v>
          </cell>
          <cell r="D5179">
            <v>0</v>
          </cell>
          <cell r="E5179">
            <v>0</v>
          </cell>
          <cell r="F5179">
            <v>0</v>
          </cell>
          <cell r="G5179">
            <v>0</v>
          </cell>
          <cell r="H5179">
            <v>0</v>
          </cell>
          <cell r="I5179">
            <v>0</v>
          </cell>
          <cell r="J5179">
            <v>0</v>
          </cell>
          <cell r="K5179">
            <v>0</v>
          </cell>
          <cell r="L5179">
            <v>0</v>
          </cell>
          <cell r="M5179">
            <v>0</v>
          </cell>
          <cell r="N5179">
            <v>0</v>
          </cell>
          <cell r="O5179">
            <v>0</v>
          </cell>
        </row>
        <row r="5180">
          <cell r="A5180" t="str">
            <v>India Auto781 LL Recovery</v>
          </cell>
          <cell r="B5180">
            <v>0</v>
          </cell>
          <cell r="C5180">
            <v>0</v>
          </cell>
          <cell r="D5180">
            <v>0</v>
          </cell>
          <cell r="E5180">
            <v>0</v>
          </cell>
          <cell r="F5180">
            <v>0</v>
          </cell>
          <cell r="G5180">
            <v>0</v>
          </cell>
          <cell r="H5180">
            <v>0</v>
          </cell>
          <cell r="I5180">
            <v>0</v>
          </cell>
          <cell r="J5180">
            <v>0</v>
          </cell>
          <cell r="K5180">
            <v>0</v>
          </cell>
          <cell r="L5180">
            <v>0</v>
          </cell>
          <cell r="M5180">
            <v>0</v>
          </cell>
          <cell r="N5180">
            <v>0</v>
          </cell>
          <cell r="O5180">
            <v>0</v>
          </cell>
        </row>
        <row r="5181">
          <cell r="A5181" t="str">
            <v>India Auto782 DF Provision</v>
          </cell>
          <cell r="B5181">
            <v>0</v>
          </cell>
          <cell r="C5181">
            <v>0</v>
          </cell>
          <cell r="D5181">
            <v>0</v>
          </cell>
          <cell r="E5181">
            <v>0</v>
          </cell>
          <cell r="F5181">
            <v>0</v>
          </cell>
          <cell r="G5181">
            <v>0</v>
          </cell>
          <cell r="H5181">
            <v>0</v>
          </cell>
          <cell r="I5181">
            <v>0</v>
          </cell>
          <cell r="J5181">
            <v>0</v>
          </cell>
          <cell r="K5181">
            <v>0</v>
          </cell>
          <cell r="L5181">
            <v>0</v>
          </cell>
          <cell r="M5181">
            <v>0</v>
          </cell>
          <cell r="N5181">
            <v>0</v>
          </cell>
          <cell r="O5181">
            <v>0</v>
          </cell>
        </row>
        <row r="5182">
          <cell r="A5182" t="str">
            <v>India Auto782 DF Recovery</v>
          </cell>
          <cell r="B5182">
            <v>0</v>
          </cell>
          <cell r="C5182">
            <v>0</v>
          </cell>
          <cell r="D5182">
            <v>0</v>
          </cell>
          <cell r="E5182">
            <v>0</v>
          </cell>
          <cell r="F5182">
            <v>0</v>
          </cell>
          <cell r="G5182">
            <v>0</v>
          </cell>
          <cell r="H5182">
            <v>0</v>
          </cell>
          <cell r="I5182">
            <v>0</v>
          </cell>
          <cell r="J5182">
            <v>0</v>
          </cell>
          <cell r="K5182">
            <v>0</v>
          </cell>
          <cell r="L5182">
            <v>0</v>
          </cell>
          <cell r="M5182">
            <v>0</v>
          </cell>
          <cell r="N5182">
            <v>0</v>
          </cell>
          <cell r="O5182">
            <v>0</v>
          </cell>
        </row>
        <row r="5183">
          <cell r="A5183" t="str">
            <v>India Auto783 Corp Level Provision</v>
          </cell>
          <cell r="B5183">
            <v>0</v>
          </cell>
          <cell r="C5183">
            <v>0</v>
          </cell>
          <cell r="D5183">
            <v>0</v>
          </cell>
          <cell r="E5183">
            <v>0</v>
          </cell>
          <cell r="F5183">
            <v>0</v>
          </cell>
          <cell r="G5183">
            <v>0</v>
          </cell>
          <cell r="H5183">
            <v>0</v>
          </cell>
          <cell r="I5183">
            <v>0</v>
          </cell>
          <cell r="J5183">
            <v>0</v>
          </cell>
          <cell r="K5183">
            <v>0</v>
          </cell>
          <cell r="L5183">
            <v>0</v>
          </cell>
          <cell r="M5183">
            <v>0</v>
          </cell>
          <cell r="N5183">
            <v>0</v>
          </cell>
          <cell r="O5183">
            <v>0</v>
          </cell>
        </row>
        <row r="5184">
          <cell r="A5184" t="str">
            <v>India Auto783 Corp Level Recovery</v>
          </cell>
          <cell r="B5184">
            <v>0</v>
          </cell>
          <cell r="C5184">
            <v>0</v>
          </cell>
          <cell r="D5184">
            <v>0</v>
          </cell>
          <cell r="E5184">
            <v>0</v>
          </cell>
          <cell r="F5184">
            <v>0</v>
          </cell>
          <cell r="G5184">
            <v>0</v>
          </cell>
          <cell r="H5184">
            <v>0</v>
          </cell>
          <cell r="I5184">
            <v>0</v>
          </cell>
          <cell r="J5184">
            <v>0</v>
          </cell>
          <cell r="K5184">
            <v>0</v>
          </cell>
          <cell r="L5184">
            <v>0</v>
          </cell>
          <cell r="M5184">
            <v>0</v>
          </cell>
          <cell r="N5184">
            <v>0</v>
          </cell>
          <cell r="O5184">
            <v>0</v>
          </cell>
        </row>
        <row r="5185">
          <cell r="A5185" t="str">
            <v>India Auto784 Business Share Provision</v>
          </cell>
          <cell r="B5185">
            <v>0</v>
          </cell>
          <cell r="C5185">
            <v>0</v>
          </cell>
          <cell r="D5185">
            <v>0</v>
          </cell>
          <cell r="E5185">
            <v>0</v>
          </cell>
          <cell r="F5185">
            <v>0</v>
          </cell>
          <cell r="G5185">
            <v>0</v>
          </cell>
          <cell r="H5185">
            <v>0</v>
          </cell>
          <cell r="I5185">
            <v>0</v>
          </cell>
          <cell r="J5185">
            <v>0</v>
          </cell>
          <cell r="K5185">
            <v>0</v>
          </cell>
          <cell r="L5185">
            <v>0</v>
          </cell>
          <cell r="M5185">
            <v>0</v>
          </cell>
          <cell r="N5185">
            <v>0</v>
          </cell>
          <cell r="O5185">
            <v>0</v>
          </cell>
        </row>
        <row r="5186">
          <cell r="A5186" t="str">
            <v>India AutoReserves - Business Sharing</v>
          </cell>
          <cell r="B5186">
            <v>0</v>
          </cell>
          <cell r="C5186">
            <v>0</v>
          </cell>
          <cell r="D5186">
            <v>0</v>
          </cell>
          <cell r="E5186">
            <v>0</v>
          </cell>
          <cell r="F5186">
            <v>0</v>
          </cell>
          <cell r="G5186">
            <v>0</v>
          </cell>
          <cell r="H5186">
            <v>0</v>
          </cell>
          <cell r="I5186">
            <v>0</v>
          </cell>
          <cell r="J5186">
            <v>0</v>
          </cell>
          <cell r="K5186">
            <v>0</v>
          </cell>
          <cell r="L5186">
            <v>0</v>
          </cell>
          <cell r="M5186">
            <v>0</v>
          </cell>
          <cell r="N5186">
            <v>0</v>
          </cell>
          <cell r="O5186">
            <v>0</v>
          </cell>
        </row>
        <row r="5187">
          <cell r="A5187" t="str">
            <v>India CountrywideNEA - Fixed Rate</v>
          </cell>
          <cell r="B5187">
            <v>0</v>
          </cell>
          <cell r="C5187">
            <v>0</v>
          </cell>
          <cell r="D5187">
            <v>0</v>
          </cell>
          <cell r="E5187">
            <v>0</v>
          </cell>
          <cell r="F5187">
            <v>0</v>
          </cell>
          <cell r="G5187">
            <v>0</v>
          </cell>
          <cell r="H5187">
            <v>0</v>
          </cell>
          <cell r="I5187">
            <v>0</v>
          </cell>
          <cell r="J5187">
            <v>0</v>
          </cell>
          <cell r="K5187">
            <v>0</v>
          </cell>
          <cell r="L5187">
            <v>0</v>
          </cell>
          <cell r="M5187">
            <v>0</v>
          </cell>
          <cell r="N5187">
            <v>0</v>
          </cell>
          <cell r="O5187">
            <v>0</v>
          </cell>
        </row>
        <row r="5188">
          <cell r="A5188" t="str">
            <v>India CountrywideNEA - Floating Rate</v>
          </cell>
          <cell r="B5188">
            <v>0</v>
          </cell>
          <cell r="C5188">
            <v>0</v>
          </cell>
          <cell r="D5188">
            <v>0</v>
          </cell>
          <cell r="E5188">
            <v>0</v>
          </cell>
          <cell r="F5188">
            <v>0</v>
          </cell>
          <cell r="G5188">
            <v>0</v>
          </cell>
          <cell r="H5188">
            <v>0</v>
          </cell>
          <cell r="I5188">
            <v>0</v>
          </cell>
          <cell r="J5188">
            <v>0</v>
          </cell>
          <cell r="K5188">
            <v>0</v>
          </cell>
          <cell r="L5188">
            <v>0</v>
          </cell>
          <cell r="M5188">
            <v>0</v>
          </cell>
          <cell r="N5188">
            <v>0</v>
          </cell>
          <cell r="O5188">
            <v>0</v>
          </cell>
        </row>
        <row r="5189">
          <cell r="A5189" t="str">
            <v>India CountrywideReserves - FX Gain / Loss</v>
          </cell>
          <cell r="B5189">
            <v>315270.7</v>
          </cell>
          <cell r="C5189">
            <v>402629.46</v>
          </cell>
          <cell r="D5189">
            <v>603151.81999999995</v>
          </cell>
          <cell r="E5189">
            <v>613909.15</v>
          </cell>
          <cell r="F5189">
            <v>613909.15</v>
          </cell>
          <cell r="G5189">
            <v>0</v>
          </cell>
          <cell r="H5189">
            <v>0</v>
          </cell>
          <cell r="I5189">
            <v>0</v>
          </cell>
          <cell r="J5189">
            <v>0</v>
          </cell>
          <cell r="K5189">
            <v>0</v>
          </cell>
          <cell r="L5189">
            <v>809590.53</v>
          </cell>
          <cell r="M5189">
            <v>0</v>
          </cell>
          <cell r="N5189">
            <v>0</v>
          </cell>
          <cell r="O5189">
            <v>0</v>
          </cell>
        </row>
        <row r="5190">
          <cell r="A5190" t="str">
            <v>India CountrywideReserves - Provisons</v>
          </cell>
          <cell r="B5190">
            <v>-1333293.1299999999</v>
          </cell>
          <cell r="C5190">
            <v>-4300783.41</v>
          </cell>
          <cell r="D5190">
            <v>-6468117.5099999998</v>
          </cell>
          <cell r="E5190">
            <v>-6253538.6399999997</v>
          </cell>
          <cell r="F5190">
            <v>-6253538.6399999997</v>
          </cell>
          <cell r="G5190">
            <v>0</v>
          </cell>
          <cell r="H5190">
            <v>0</v>
          </cell>
          <cell r="I5190">
            <v>0</v>
          </cell>
          <cell r="J5190">
            <v>0</v>
          </cell>
          <cell r="K5190">
            <v>0</v>
          </cell>
          <cell r="L5190">
            <v>-1540582.06</v>
          </cell>
          <cell r="M5190">
            <v>0</v>
          </cell>
          <cell r="N5190">
            <v>0</v>
          </cell>
          <cell r="O5190">
            <v>0</v>
          </cell>
        </row>
        <row r="5191">
          <cell r="A5191" t="str">
            <v>India CountrywideReserves - Recoveries</v>
          </cell>
          <cell r="B5191">
            <v>-4103277.37</v>
          </cell>
          <cell r="C5191">
            <v>-4103277.37</v>
          </cell>
          <cell r="D5191">
            <v>-4103277.37</v>
          </cell>
          <cell r="E5191">
            <v>-4103277.37</v>
          </cell>
          <cell r="F5191">
            <v>-4103277.37</v>
          </cell>
          <cell r="G5191">
            <v>0</v>
          </cell>
          <cell r="H5191">
            <v>0</v>
          </cell>
          <cell r="I5191">
            <v>0</v>
          </cell>
          <cell r="J5191">
            <v>0</v>
          </cell>
          <cell r="K5191">
            <v>0</v>
          </cell>
          <cell r="L5191">
            <v>-7139766.1200000001</v>
          </cell>
          <cell r="M5191">
            <v>0</v>
          </cell>
          <cell r="N5191">
            <v>0</v>
          </cell>
          <cell r="O5191">
            <v>0</v>
          </cell>
        </row>
        <row r="5192">
          <cell r="A5192" t="str">
            <v>India CountrywideReserves - BOP</v>
          </cell>
          <cell r="B5192">
            <v>-8868403.4299999997</v>
          </cell>
          <cell r="C5192">
            <v>-8868403.4299999997</v>
          </cell>
          <cell r="D5192">
            <v>-8868403.4299999997</v>
          </cell>
          <cell r="E5192">
            <v>-8868403.4299999997</v>
          </cell>
          <cell r="F5192">
            <v>-8868403.4299999997</v>
          </cell>
          <cell r="G5192">
            <v>-15297262.496308999</v>
          </cell>
          <cell r="H5192">
            <v>-16749109.425882</v>
          </cell>
          <cell r="I5192">
            <v>-18316088.286205001</v>
          </cell>
          <cell r="J5192">
            <v>-19944352.937491</v>
          </cell>
          <cell r="K5192">
            <v>-19944352.937491</v>
          </cell>
          <cell r="L5192">
            <v>-11709970.01</v>
          </cell>
          <cell r="M5192">
            <v>-24682715.358899999</v>
          </cell>
          <cell r="N5192">
            <v>-29601082.705839999</v>
          </cell>
          <cell r="O5192">
            <v>-33076592.909921002</v>
          </cell>
        </row>
        <row r="5193">
          <cell r="A5193" t="str">
            <v>India CountrywideReserves - Transfers &amp; Others</v>
          </cell>
          <cell r="B5193">
            <v>0</v>
          </cell>
          <cell r="C5193">
            <v>0</v>
          </cell>
          <cell r="D5193">
            <v>0</v>
          </cell>
          <cell r="E5193">
            <v>0</v>
          </cell>
          <cell r="F5193">
            <v>0</v>
          </cell>
          <cell r="G5193">
            <v>0</v>
          </cell>
          <cell r="H5193">
            <v>0</v>
          </cell>
          <cell r="I5193">
            <v>0</v>
          </cell>
          <cell r="J5193">
            <v>0</v>
          </cell>
          <cell r="K5193">
            <v>0</v>
          </cell>
          <cell r="L5193">
            <v>0</v>
          </cell>
          <cell r="M5193">
            <v>0</v>
          </cell>
          <cell r="N5193">
            <v>0</v>
          </cell>
          <cell r="O5193">
            <v>0</v>
          </cell>
        </row>
        <row r="5194">
          <cell r="A5194" t="str">
            <v>India CountrywideReserves - Write-Offs</v>
          </cell>
          <cell r="B5194">
            <v>3209380.88</v>
          </cell>
          <cell r="C5194">
            <v>4845046.0599999996</v>
          </cell>
          <cell r="D5194">
            <v>6126824.6600000001</v>
          </cell>
          <cell r="E5194">
            <v>7515249.4299999997</v>
          </cell>
          <cell r="F5194">
            <v>7515249.4299999997</v>
          </cell>
          <cell r="G5194">
            <v>4810320.9519830002</v>
          </cell>
          <cell r="H5194">
            <v>6108316.2057499997</v>
          </cell>
          <cell r="I5194">
            <v>7435035.7412769999</v>
          </cell>
          <cell r="J5194">
            <v>8663910.2884689998</v>
          </cell>
          <cell r="K5194">
            <v>8663910.2884689998</v>
          </cell>
          <cell r="L5194">
            <v>9569885.8800000008</v>
          </cell>
          <cell r="M5194">
            <v>6448979.5918359999</v>
          </cell>
          <cell r="N5194">
            <v>8816326.5306129996</v>
          </cell>
          <cell r="O5194">
            <v>9163265.3061229996</v>
          </cell>
        </row>
        <row r="5195">
          <cell r="A5195" t="str">
            <v>India Countrywide780 FR Provision</v>
          </cell>
          <cell r="B5195">
            <v>1333293.1299999999</v>
          </cell>
          <cell r="C5195">
            <v>2967490.28</v>
          </cell>
          <cell r="D5195">
            <v>2167334.1</v>
          </cell>
          <cell r="E5195">
            <v>-214578.87</v>
          </cell>
          <cell r="F5195">
            <v>6253538.6399999997</v>
          </cell>
          <cell r="G5195">
            <v>0</v>
          </cell>
          <cell r="H5195">
            <v>0</v>
          </cell>
          <cell r="I5195">
            <v>0</v>
          </cell>
          <cell r="J5195">
            <v>0</v>
          </cell>
          <cell r="K5195">
            <v>0</v>
          </cell>
          <cell r="L5195">
            <v>1540582.06</v>
          </cell>
          <cell r="M5195">
            <v>3163265.3061219999</v>
          </cell>
          <cell r="N5195">
            <v>2551020.4081629999</v>
          </cell>
          <cell r="O5195">
            <v>3128571.4285710002</v>
          </cell>
        </row>
        <row r="5196">
          <cell r="A5196" t="str">
            <v>India Countrywide780 FR Recovery</v>
          </cell>
          <cell r="B5196">
            <v>0</v>
          </cell>
          <cell r="C5196">
            <v>0</v>
          </cell>
          <cell r="D5196">
            <v>0</v>
          </cell>
          <cell r="E5196">
            <v>0</v>
          </cell>
          <cell r="F5196">
            <v>0</v>
          </cell>
          <cell r="G5196">
            <v>1116536.029138</v>
          </cell>
          <cell r="H5196">
            <v>1388035.401694</v>
          </cell>
          <cell r="I5196">
            <v>1503167.3324440001</v>
          </cell>
          <cell r="J5196">
            <v>1564453.123407</v>
          </cell>
          <cell r="K5196">
            <v>5572191.8866830003</v>
          </cell>
          <cell r="L5196">
            <v>0</v>
          </cell>
          <cell r="M5196">
            <v>6448979.5918370001</v>
          </cell>
          <cell r="N5196">
            <v>8816326.5306119993</v>
          </cell>
          <cell r="O5196">
            <v>9163265.3061219994</v>
          </cell>
        </row>
        <row r="5197">
          <cell r="A5197" t="str">
            <v>India Countrywide781 LL Provision</v>
          </cell>
          <cell r="B5197">
            <v>0</v>
          </cell>
          <cell r="C5197">
            <v>0</v>
          </cell>
          <cell r="D5197">
            <v>0</v>
          </cell>
          <cell r="E5197">
            <v>0</v>
          </cell>
          <cell r="F5197">
            <v>0</v>
          </cell>
          <cell r="G5197">
            <v>0</v>
          </cell>
          <cell r="H5197">
            <v>0</v>
          </cell>
          <cell r="I5197">
            <v>0</v>
          </cell>
          <cell r="J5197">
            <v>0</v>
          </cell>
          <cell r="K5197">
            <v>0</v>
          </cell>
          <cell r="L5197">
            <v>0</v>
          </cell>
          <cell r="M5197">
            <v>0</v>
          </cell>
          <cell r="N5197">
            <v>0</v>
          </cell>
          <cell r="O5197">
            <v>0</v>
          </cell>
        </row>
        <row r="5198">
          <cell r="A5198" t="str">
            <v>India Countrywide781 LL Recovery</v>
          </cell>
          <cell r="B5198">
            <v>0</v>
          </cell>
          <cell r="C5198">
            <v>0</v>
          </cell>
          <cell r="D5198">
            <v>0</v>
          </cell>
          <cell r="E5198">
            <v>0</v>
          </cell>
          <cell r="F5198">
            <v>0</v>
          </cell>
          <cell r="G5198">
            <v>0</v>
          </cell>
          <cell r="H5198">
            <v>0</v>
          </cell>
          <cell r="I5198">
            <v>0</v>
          </cell>
          <cell r="J5198">
            <v>0</v>
          </cell>
          <cell r="K5198">
            <v>0</v>
          </cell>
          <cell r="L5198">
            <v>0</v>
          </cell>
          <cell r="M5198">
            <v>0</v>
          </cell>
          <cell r="N5198">
            <v>0</v>
          </cell>
          <cell r="O5198">
            <v>0</v>
          </cell>
        </row>
        <row r="5199">
          <cell r="A5199" t="str">
            <v>India Countrywide782 DF Provision</v>
          </cell>
          <cell r="B5199">
            <v>0</v>
          </cell>
          <cell r="C5199">
            <v>0</v>
          </cell>
          <cell r="D5199">
            <v>0</v>
          </cell>
          <cell r="E5199">
            <v>0</v>
          </cell>
          <cell r="F5199">
            <v>0</v>
          </cell>
          <cell r="G5199">
            <v>0</v>
          </cell>
          <cell r="H5199">
            <v>0</v>
          </cell>
          <cell r="I5199">
            <v>0</v>
          </cell>
          <cell r="J5199">
            <v>0</v>
          </cell>
          <cell r="K5199">
            <v>0</v>
          </cell>
          <cell r="L5199">
            <v>0</v>
          </cell>
          <cell r="M5199">
            <v>0</v>
          </cell>
          <cell r="N5199">
            <v>0</v>
          </cell>
          <cell r="O5199">
            <v>0</v>
          </cell>
        </row>
        <row r="5200">
          <cell r="A5200" t="str">
            <v>India Countrywide782 DF Recovery</v>
          </cell>
          <cell r="B5200">
            <v>0</v>
          </cell>
          <cell r="C5200">
            <v>0</v>
          </cell>
          <cell r="D5200">
            <v>0</v>
          </cell>
          <cell r="E5200">
            <v>0</v>
          </cell>
          <cell r="F5200">
            <v>0</v>
          </cell>
          <cell r="G5200">
            <v>0</v>
          </cell>
          <cell r="H5200">
            <v>0</v>
          </cell>
          <cell r="I5200">
            <v>0</v>
          </cell>
          <cell r="J5200">
            <v>0</v>
          </cell>
          <cell r="K5200">
            <v>0</v>
          </cell>
          <cell r="L5200">
            <v>0</v>
          </cell>
          <cell r="M5200">
            <v>0</v>
          </cell>
          <cell r="N5200">
            <v>0</v>
          </cell>
          <cell r="O5200">
            <v>0</v>
          </cell>
        </row>
        <row r="5201">
          <cell r="A5201" t="str">
            <v>India Countrywide783 Corp Level Provision</v>
          </cell>
          <cell r="B5201">
            <v>0</v>
          </cell>
          <cell r="C5201">
            <v>0</v>
          </cell>
          <cell r="D5201">
            <v>0</v>
          </cell>
          <cell r="E5201">
            <v>0</v>
          </cell>
          <cell r="F5201">
            <v>0</v>
          </cell>
          <cell r="G5201">
            <v>0</v>
          </cell>
          <cell r="H5201">
            <v>0</v>
          </cell>
          <cell r="I5201">
            <v>0</v>
          </cell>
          <cell r="J5201">
            <v>0</v>
          </cell>
          <cell r="K5201">
            <v>0</v>
          </cell>
          <cell r="L5201">
            <v>0</v>
          </cell>
          <cell r="M5201">
            <v>0</v>
          </cell>
          <cell r="N5201">
            <v>0</v>
          </cell>
          <cell r="O5201">
            <v>0</v>
          </cell>
        </row>
        <row r="5202">
          <cell r="A5202" t="str">
            <v>India Countrywide783 Corp Level Recovery</v>
          </cell>
          <cell r="B5202">
            <v>0</v>
          </cell>
          <cell r="C5202">
            <v>0</v>
          </cell>
          <cell r="D5202">
            <v>0</v>
          </cell>
          <cell r="E5202">
            <v>0</v>
          </cell>
          <cell r="F5202">
            <v>0</v>
          </cell>
          <cell r="G5202">
            <v>0</v>
          </cell>
          <cell r="H5202">
            <v>0</v>
          </cell>
          <cell r="I5202">
            <v>0</v>
          </cell>
          <cell r="J5202">
            <v>0</v>
          </cell>
          <cell r="K5202">
            <v>0</v>
          </cell>
          <cell r="L5202">
            <v>0</v>
          </cell>
          <cell r="M5202">
            <v>0</v>
          </cell>
          <cell r="N5202">
            <v>0</v>
          </cell>
          <cell r="O5202">
            <v>0</v>
          </cell>
        </row>
        <row r="5203">
          <cell r="A5203" t="str">
            <v>India Countrywide784 Business Share Provision</v>
          </cell>
          <cell r="B5203">
            <v>0</v>
          </cell>
          <cell r="C5203">
            <v>0</v>
          </cell>
          <cell r="D5203">
            <v>0</v>
          </cell>
          <cell r="E5203">
            <v>0</v>
          </cell>
          <cell r="F5203">
            <v>0</v>
          </cell>
          <cell r="G5203">
            <v>0</v>
          </cell>
          <cell r="H5203">
            <v>0</v>
          </cell>
          <cell r="I5203">
            <v>0</v>
          </cell>
          <cell r="J5203">
            <v>0</v>
          </cell>
          <cell r="K5203">
            <v>0</v>
          </cell>
          <cell r="L5203">
            <v>0</v>
          </cell>
          <cell r="M5203">
            <v>0</v>
          </cell>
          <cell r="N5203">
            <v>0</v>
          </cell>
          <cell r="O5203">
            <v>0</v>
          </cell>
        </row>
        <row r="5204">
          <cell r="A5204" t="str">
            <v>India CountrywideReserves - Business Sharing</v>
          </cell>
          <cell r="B5204">
            <v>0</v>
          </cell>
          <cell r="C5204">
            <v>0</v>
          </cell>
          <cell r="D5204">
            <v>0</v>
          </cell>
          <cell r="E5204">
            <v>0</v>
          </cell>
          <cell r="F5204">
            <v>0</v>
          </cell>
          <cell r="G5204">
            <v>0</v>
          </cell>
          <cell r="H5204">
            <v>0</v>
          </cell>
          <cell r="I5204">
            <v>0</v>
          </cell>
          <cell r="J5204">
            <v>0</v>
          </cell>
          <cell r="K5204">
            <v>0</v>
          </cell>
          <cell r="L5204">
            <v>0</v>
          </cell>
          <cell r="M5204">
            <v>0</v>
          </cell>
          <cell r="N5204">
            <v>0</v>
          </cell>
          <cell r="O5204">
            <v>0</v>
          </cell>
        </row>
        <row r="5205">
          <cell r="A5205" t="str">
            <v>IndonesiaNEA - Fixed Rate</v>
          </cell>
          <cell r="B5205">
            <v>0</v>
          </cell>
          <cell r="C5205">
            <v>0</v>
          </cell>
          <cell r="D5205">
            <v>0</v>
          </cell>
          <cell r="E5205">
            <v>0</v>
          </cell>
          <cell r="F5205">
            <v>0</v>
          </cell>
          <cell r="G5205">
            <v>0</v>
          </cell>
          <cell r="H5205">
            <v>0</v>
          </cell>
          <cell r="I5205">
            <v>0</v>
          </cell>
          <cell r="J5205">
            <v>0</v>
          </cell>
          <cell r="K5205">
            <v>0</v>
          </cell>
          <cell r="L5205">
            <v>0</v>
          </cell>
          <cell r="M5205">
            <v>0</v>
          </cell>
          <cell r="N5205">
            <v>0</v>
          </cell>
          <cell r="O5205">
            <v>0</v>
          </cell>
        </row>
        <row r="5206">
          <cell r="A5206" t="str">
            <v>IndonesiaNEA - Floating Rate</v>
          </cell>
          <cell r="B5206">
            <v>0</v>
          </cell>
          <cell r="C5206">
            <v>0</v>
          </cell>
          <cell r="D5206">
            <v>0</v>
          </cell>
          <cell r="E5206">
            <v>0</v>
          </cell>
          <cell r="F5206">
            <v>0</v>
          </cell>
          <cell r="G5206">
            <v>0</v>
          </cell>
          <cell r="H5206">
            <v>0</v>
          </cell>
          <cell r="I5206">
            <v>0</v>
          </cell>
          <cell r="J5206">
            <v>0</v>
          </cell>
          <cell r="K5206">
            <v>0</v>
          </cell>
          <cell r="L5206">
            <v>0</v>
          </cell>
          <cell r="M5206">
            <v>0</v>
          </cell>
          <cell r="N5206">
            <v>0</v>
          </cell>
          <cell r="O5206">
            <v>0</v>
          </cell>
        </row>
        <row r="5207">
          <cell r="A5207" t="str">
            <v>IndonesiaReserves - FX Gain / Loss</v>
          </cell>
          <cell r="B5207">
            <v>2992256.36</v>
          </cell>
          <cell r="C5207">
            <v>3273292.73</v>
          </cell>
          <cell r="D5207">
            <v>2263826.6800000002</v>
          </cell>
          <cell r="E5207">
            <v>3032144.4</v>
          </cell>
          <cell r="F5207">
            <v>3032144.4</v>
          </cell>
          <cell r="G5207">
            <v>0</v>
          </cell>
          <cell r="H5207">
            <v>0</v>
          </cell>
          <cell r="I5207">
            <v>0</v>
          </cell>
          <cell r="J5207">
            <v>0</v>
          </cell>
          <cell r="K5207">
            <v>0</v>
          </cell>
          <cell r="L5207">
            <v>2762815.32</v>
          </cell>
          <cell r="M5207">
            <v>0</v>
          </cell>
          <cell r="N5207">
            <v>0</v>
          </cell>
          <cell r="O5207">
            <v>0</v>
          </cell>
        </row>
        <row r="5208">
          <cell r="A5208" t="str">
            <v>IndonesiaReserves - Provisons</v>
          </cell>
          <cell r="B5208">
            <v>-420137.5</v>
          </cell>
          <cell r="C5208">
            <v>-1782410.55</v>
          </cell>
          <cell r="D5208">
            <v>-4838689.76</v>
          </cell>
          <cell r="E5208">
            <v>-7881069.75</v>
          </cell>
          <cell r="F5208">
            <v>-7881069.75</v>
          </cell>
          <cell r="G5208">
            <v>0</v>
          </cell>
          <cell r="H5208">
            <v>0</v>
          </cell>
          <cell r="I5208">
            <v>0</v>
          </cell>
          <cell r="J5208">
            <v>0</v>
          </cell>
          <cell r="K5208">
            <v>0</v>
          </cell>
          <cell r="L5208">
            <v>-4470483.84</v>
          </cell>
          <cell r="M5208">
            <v>0</v>
          </cell>
          <cell r="N5208">
            <v>0</v>
          </cell>
          <cell r="O5208">
            <v>0</v>
          </cell>
        </row>
        <row r="5209">
          <cell r="A5209" t="str">
            <v>IndonesiaReserves - Recoveries</v>
          </cell>
          <cell r="B5209">
            <v>-32651.93</v>
          </cell>
          <cell r="C5209">
            <v>-67714.899999999994</v>
          </cell>
          <cell r="D5209">
            <v>-107193.71</v>
          </cell>
          <cell r="E5209">
            <v>-161620.39000000001</v>
          </cell>
          <cell r="F5209">
            <v>-161620.39000000001</v>
          </cell>
          <cell r="G5209">
            <v>0</v>
          </cell>
          <cell r="H5209">
            <v>0</v>
          </cell>
          <cell r="I5209">
            <v>0</v>
          </cell>
          <cell r="J5209">
            <v>0</v>
          </cell>
          <cell r="K5209">
            <v>0</v>
          </cell>
          <cell r="L5209">
            <v>202688.66</v>
          </cell>
          <cell r="M5209">
            <v>0</v>
          </cell>
          <cell r="N5209">
            <v>0</v>
          </cell>
          <cell r="O5209">
            <v>0</v>
          </cell>
        </row>
        <row r="5210">
          <cell r="A5210" t="str">
            <v>IndonesiaReserves - BOP</v>
          </cell>
          <cell r="B5210">
            <v>-4655812.67</v>
          </cell>
          <cell r="C5210">
            <v>-4655812.67</v>
          </cell>
          <cell r="D5210">
            <v>-4655812.67</v>
          </cell>
          <cell r="E5210">
            <v>-4655812.67</v>
          </cell>
          <cell r="F5210">
            <v>-4655812.67</v>
          </cell>
          <cell r="G5210">
            <v>-9105802.3343809992</v>
          </cell>
          <cell r="H5210">
            <v>-10915784.370309001</v>
          </cell>
          <cell r="I5210">
            <v>-12560078.249729</v>
          </cell>
          <cell r="J5210">
            <v>-15171061.829418</v>
          </cell>
          <cell r="K5210">
            <v>-15171061.829418</v>
          </cell>
          <cell r="L5210">
            <v>-10313244.390000001</v>
          </cell>
          <cell r="M5210">
            <v>-5865108.6799999997</v>
          </cell>
          <cell r="N5210">
            <v>-8716058.0800000001</v>
          </cell>
          <cell r="O5210">
            <v>-12660428.810000001</v>
          </cell>
        </row>
        <row r="5211">
          <cell r="A5211" t="str">
            <v>IndonesiaReserves - Transfers &amp; Others</v>
          </cell>
          <cell r="B5211">
            <v>0</v>
          </cell>
          <cell r="C5211">
            <v>0</v>
          </cell>
          <cell r="D5211">
            <v>0</v>
          </cell>
          <cell r="E5211">
            <v>0</v>
          </cell>
          <cell r="F5211">
            <v>0</v>
          </cell>
          <cell r="G5211">
            <v>0</v>
          </cell>
          <cell r="H5211">
            <v>0</v>
          </cell>
          <cell r="I5211">
            <v>0</v>
          </cell>
          <cell r="J5211">
            <v>0</v>
          </cell>
          <cell r="K5211">
            <v>0</v>
          </cell>
          <cell r="L5211">
            <v>0</v>
          </cell>
          <cell r="M5211">
            <v>0</v>
          </cell>
          <cell r="N5211">
            <v>0</v>
          </cell>
          <cell r="O5211">
            <v>0</v>
          </cell>
        </row>
        <row r="5212">
          <cell r="A5212" t="str">
            <v>IndonesiaReserves - Write-Offs</v>
          </cell>
          <cell r="B5212">
            <v>325057.34999999998</v>
          </cell>
          <cell r="C5212">
            <v>669299.01</v>
          </cell>
          <cell r="D5212">
            <v>1200150.96</v>
          </cell>
          <cell r="E5212">
            <v>2385258.42</v>
          </cell>
          <cell r="F5212">
            <v>2385258.42</v>
          </cell>
          <cell r="G5212">
            <v>1440848.9117089999</v>
          </cell>
          <cell r="H5212">
            <v>3218029.7907819999</v>
          </cell>
          <cell r="I5212">
            <v>5203616.2247559996</v>
          </cell>
          <cell r="J5212">
            <v>7116672.7041109996</v>
          </cell>
          <cell r="K5212">
            <v>7116672.7041109996</v>
          </cell>
          <cell r="L5212">
            <v>1225279.1100000001</v>
          </cell>
          <cell r="M5212">
            <v>0</v>
          </cell>
          <cell r="N5212">
            <v>0</v>
          </cell>
          <cell r="O5212">
            <v>0</v>
          </cell>
        </row>
        <row r="5213">
          <cell r="A5213" t="str">
            <v>Indonesia780 FR Provision</v>
          </cell>
          <cell r="B5213">
            <v>420137.5</v>
          </cell>
          <cell r="C5213">
            <v>1362273.05</v>
          </cell>
          <cell r="D5213">
            <v>3056279.21</v>
          </cell>
          <cell r="E5213">
            <v>3042379.99</v>
          </cell>
          <cell r="F5213">
            <v>7881069.75</v>
          </cell>
          <cell r="G5213">
            <v>0</v>
          </cell>
          <cell r="H5213">
            <v>0</v>
          </cell>
          <cell r="I5213">
            <v>0</v>
          </cell>
          <cell r="J5213">
            <v>0</v>
          </cell>
          <cell r="K5213">
            <v>0</v>
          </cell>
          <cell r="L5213">
            <v>4470483.84</v>
          </cell>
          <cell r="M5213">
            <v>0</v>
          </cell>
          <cell r="N5213">
            <v>0</v>
          </cell>
          <cell r="O5213">
            <v>0</v>
          </cell>
        </row>
        <row r="5214">
          <cell r="A5214" t="str">
            <v>Indonesia780 FR Recovery</v>
          </cell>
          <cell r="B5214">
            <v>0</v>
          </cell>
          <cell r="C5214">
            <v>0</v>
          </cell>
          <cell r="D5214">
            <v>0</v>
          </cell>
          <cell r="E5214">
            <v>0</v>
          </cell>
          <cell r="F5214">
            <v>0</v>
          </cell>
          <cell r="G5214">
            <v>2209557.3111479999</v>
          </cell>
          <cell r="H5214">
            <v>1809982.035929</v>
          </cell>
          <cell r="I5214">
            <v>1644293.8794189999</v>
          </cell>
          <cell r="J5214">
            <v>2610983.5796889998</v>
          </cell>
          <cell r="K5214">
            <v>8274816.8061849996</v>
          </cell>
          <cell r="L5214">
            <v>0</v>
          </cell>
          <cell r="M5214">
            <v>6817470</v>
          </cell>
          <cell r="N5214">
            <v>11209548</v>
          </cell>
          <cell r="O5214">
            <v>16414273</v>
          </cell>
        </row>
        <row r="5215">
          <cell r="A5215" t="str">
            <v>Indonesia781 LL Provision</v>
          </cell>
          <cell r="B5215">
            <v>0</v>
          </cell>
          <cell r="C5215">
            <v>0</v>
          </cell>
          <cell r="D5215">
            <v>0</v>
          </cell>
          <cell r="E5215">
            <v>0</v>
          </cell>
          <cell r="F5215">
            <v>0</v>
          </cell>
          <cell r="G5215">
            <v>0</v>
          </cell>
          <cell r="H5215">
            <v>0</v>
          </cell>
          <cell r="I5215">
            <v>0</v>
          </cell>
          <cell r="J5215">
            <v>0</v>
          </cell>
          <cell r="K5215">
            <v>0</v>
          </cell>
          <cell r="L5215">
            <v>0</v>
          </cell>
          <cell r="M5215">
            <v>0</v>
          </cell>
          <cell r="N5215">
            <v>0</v>
          </cell>
          <cell r="O5215">
            <v>0</v>
          </cell>
        </row>
        <row r="5216">
          <cell r="A5216" t="str">
            <v>Indonesia781 LL Recovery</v>
          </cell>
          <cell r="B5216">
            <v>0</v>
          </cell>
          <cell r="C5216">
            <v>0</v>
          </cell>
          <cell r="D5216">
            <v>0</v>
          </cell>
          <cell r="E5216">
            <v>0</v>
          </cell>
          <cell r="F5216">
            <v>0</v>
          </cell>
          <cell r="G5216">
            <v>0</v>
          </cell>
          <cell r="H5216">
            <v>0</v>
          </cell>
          <cell r="I5216">
            <v>0</v>
          </cell>
          <cell r="J5216">
            <v>0</v>
          </cell>
          <cell r="K5216">
            <v>0</v>
          </cell>
          <cell r="L5216">
            <v>0</v>
          </cell>
          <cell r="M5216">
            <v>0</v>
          </cell>
          <cell r="N5216">
            <v>0</v>
          </cell>
          <cell r="O5216">
            <v>0</v>
          </cell>
        </row>
        <row r="5217">
          <cell r="A5217" t="str">
            <v>Indonesia782 DF Provision</v>
          </cell>
          <cell r="B5217">
            <v>0</v>
          </cell>
          <cell r="C5217">
            <v>0</v>
          </cell>
          <cell r="D5217">
            <v>0</v>
          </cell>
          <cell r="E5217">
            <v>0</v>
          </cell>
          <cell r="F5217">
            <v>0</v>
          </cell>
          <cell r="G5217">
            <v>0</v>
          </cell>
          <cell r="H5217">
            <v>0</v>
          </cell>
          <cell r="I5217">
            <v>0</v>
          </cell>
          <cell r="J5217">
            <v>0</v>
          </cell>
          <cell r="K5217">
            <v>0</v>
          </cell>
          <cell r="L5217">
            <v>0</v>
          </cell>
          <cell r="M5217">
            <v>0</v>
          </cell>
          <cell r="N5217">
            <v>0</v>
          </cell>
          <cell r="O5217">
            <v>0</v>
          </cell>
        </row>
        <row r="5218">
          <cell r="A5218" t="str">
            <v>Indonesia782 DF Recovery</v>
          </cell>
          <cell r="B5218">
            <v>0</v>
          </cell>
          <cell r="C5218">
            <v>0</v>
          </cell>
          <cell r="D5218">
            <v>0</v>
          </cell>
          <cell r="E5218">
            <v>0</v>
          </cell>
          <cell r="F5218">
            <v>0</v>
          </cell>
          <cell r="G5218">
            <v>0</v>
          </cell>
          <cell r="H5218">
            <v>0</v>
          </cell>
          <cell r="I5218">
            <v>0</v>
          </cell>
          <cell r="J5218">
            <v>0</v>
          </cell>
          <cell r="K5218">
            <v>0</v>
          </cell>
          <cell r="L5218">
            <v>0</v>
          </cell>
          <cell r="M5218">
            <v>0</v>
          </cell>
          <cell r="N5218">
            <v>0</v>
          </cell>
          <cell r="O5218">
            <v>0</v>
          </cell>
        </row>
        <row r="5219">
          <cell r="A5219" t="str">
            <v>Indonesia783 Corp Level Provision</v>
          </cell>
          <cell r="B5219">
            <v>0</v>
          </cell>
          <cell r="C5219">
            <v>0</v>
          </cell>
          <cell r="D5219">
            <v>0</v>
          </cell>
          <cell r="E5219">
            <v>0</v>
          </cell>
          <cell r="F5219">
            <v>0</v>
          </cell>
          <cell r="G5219">
            <v>0</v>
          </cell>
          <cell r="H5219">
            <v>0</v>
          </cell>
          <cell r="I5219">
            <v>0</v>
          </cell>
          <cell r="J5219">
            <v>0</v>
          </cell>
          <cell r="K5219">
            <v>0</v>
          </cell>
          <cell r="L5219">
            <v>0</v>
          </cell>
          <cell r="M5219">
            <v>0</v>
          </cell>
          <cell r="N5219">
            <v>0</v>
          </cell>
          <cell r="O5219">
            <v>0</v>
          </cell>
        </row>
        <row r="5220">
          <cell r="A5220" t="str">
            <v>Indonesia783 Corp Level Recovery</v>
          </cell>
          <cell r="B5220">
            <v>0</v>
          </cell>
          <cell r="C5220">
            <v>0</v>
          </cell>
          <cell r="D5220">
            <v>0</v>
          </cell>
          <cell r="E5220">
            <v>0</v>
          </cell>
          <cell r="F5220">
            <v>0</v>
          </cell>
          <cell r="G5220">
            <v>0</v>
          </cell>
          <cell r="H5220">
            <v>0</v>
          </cell>
          <cell r="I5220">
            <v>0</v>
          </cell>
          <cell r="J5220">
            <v>0</v>
          </cell>
          <cell r="K5220">
            <v>0</v>
          </cell>
          <cell r="L5220">
            <v>0</v>
          </cell>
          <cell r="M5220">
            <v>0</v>
          </cell>
          <cell r="N5220">
            <v>0</v>
          </cell>
          <cell r="O5220">
            <v>0</v>
          </cell>
        </row>
        <row r="5221">
          <cell r="A5221" t="str">
            <v>Indonesia784 Business Share Provision</v>
          </cell>
          <cell r="B5221">
            <v>0</v>
          </cell>
          <cell r="C5221">
            <v>0</v>
          </cell>
          <cell r="D5221">
            <v>0</v>
          </cell>
          <cell r="E5221">
            <v>0</v>
          </cell>
          <cell r="F5221">
            <v>0</v>
          </cell>
          <cell r="G5221">
            <v>0</v>
          </cell>
          <cell r="H5221">
            <v>0</v>
          </cell>
          <cell r="I5221">
            <v>0</v>
          </cell>
          <cell r="J5221">
            <v>0</v>
          </cell>
          <cell r="K5221">
            <v>0</v>
          </cell>
          <cell r="L5221">
            <v>0</v>
          </cell>
          <cell r="M5221">
            <v>0</v>
          </cell>
          <cell r="N5221">
            <v>0</v>
          </cell>
          <cell r="O5221">
            <v>0</v>
          </cell>
        </row>
        <row r="5222">
          <cell r="A5222" t="str">
            <v>IndonesiaReserves - Business Sharing</v>
          </cell>
          <cell r="B5222">
            <v>0</v>
          </cell>
          <cell r="C5222">
            <v>0</v>
          </cell>
          <cell r="D5222">
            <v>0</v>
          </cell>
          <cell r="E5222">
            <v>0</v>
          </cell>
          <cell r="F5222">
            <v>0</v>
          </cell>
          <cell r="G5222">
            <v>0</v>
          </cell>
          <cell r="H5222">
            <v>0</v>
          </cell>
          <cell r="I5222">
            <v>0</v>
          </cell>
          <cell r="J5222">
            <v>0</v>
          </cell>
          <cell r="K5222">
            <v>0</v>
          </cell>
          <cell r="L5222">
            <v>0</v>
          </cell>
          <cell r="M5222">
            <v>0</v>
          </cell>
          <cell r="N5222">
            <v>0</v>
          </cell>
          <cell r="O5222">
            <v>0</v>
          </cell>
        </row>
        <row r="5223">
          <cell r="A5223" t="str">
            <v>Ireland HQNEA - Fixed Rate</v>
          </cell>
          <cell r="B5223">
            <v>0</v>
          </cell>
          <cell r="C5223">
            <v>0</v>
          </cell>
          <cell r="D5223">
            <v>0</v>
          </cell>
          <cell r="E5223">
            <v>0</v>
          </cell>
          <cell r="F5223">
            <v>0</v>
          </cell>
          <cell r="G5223">
            <v>0</v>
          </cell>
          <cell r="H5223">
            <v>0</v>
          </cell>
          <cell r="I5223">
            <v>0</v>
          </cell>
          <cell r="J5223">
            <v>0</v>
          </cell>
          <cell r="K5223">
            <v>0</v>
          </cell>
          <cell r="L5223">
            <v>0</v>
          </cell>
          <cell r="M5223">
            <v>0</v>
          </cell>
          <cell r="N5223">
            <v>0</v>
          </cell>
          <cell r="O5223">
            <v>0</v>
          </cell>
        </row>
        <row r="5224">
          <cell r="A5224" t="str">
            <v>Ireland HQNEA - Floating Rate</v>
          </cell>
          <cell r="B5224">
            <v>0</v>
          </cell>
          <cell r="C5224">
            <v>0</v>
          </cell>
          <cell r="D5224">
            <v>0</v>
          </cell>
          <cell r="E5224">
            <v>0</v>
          </cell>
          <cell r="F5224">
            <v>0</v>
          </cell>
          <cell r="G5224">
            <v>0</v>
          </cell>
          <cell r="H5224">
            <v>0</v>
          </cell>
          <cell r="I5224">
            <v>0</v>
          </cell>
          <cell r="J5224">
            <v>0</v>
          </cell>
          <cell r="K5224">
            <v>0</v>
          </cell>
          <cell r="L5224">
            <v>0</v>
          </cell>
          <cell r="M5224">
            <v>0</v>
          </cell>
          <cell r="N5224">
            <v>0</v>
          </cell>
          <cell r="O5224">
            <v>0</v>
          </cell>
        </row>
        <row r="5225">
          <cell r="A5225" t="str">
            <v>Ireland HQReserves - FX Gain / Loss</v>
          </cell>
          <cell r="B5225">
            <v>0</v>
          </cell>
          <cell r="C5225">
            <v>0</v>
          </cell>
          <cell r="D5225">
            <v>0</v>
          </cell>
          <cell r="E5225">
            <v>833887.51</v>
          </cell>
          <cell r="F5225">
            <v>833887.51</v>
          </cell>
          <cell r="G5225">
            <v>0</v>
          </cell>
          <cell r="H5225">
            <v>0</v>
          </cell>
          <cell r="I5225">
            <v>0</v>
          </cell>
          <cell r="J5225">
            <v>0</v>
          </cell>
          <cell r="K5225">
            <v>0</v>
          </cell>
          <cell r="L5225">
            <v>871959.57</v>
          </cell>
          <cell r="M5225">
            <v>0</v>
          </cell>
          <cell r="N5225">
            <v>0</v>
          </cell>
          <cell r="O5225">
            <v>0</v>
          </cell>
        </row>
        <row r="5226">
          <cell r="A5226" t="str">
            <v>Ireland HQReserves - Provisons</v>
          </cell>
          <cell r="B5226">
            <v>0</v>
          </cell>
          <cell r="C5226">
            <v>0</v>
          </cell>
          <cell r="D5226">
            <v>0</v>
          </cell>
          <cell r="E5226">
            <v>1000000</v>
          </cell>
          <cell r="F5226">
            <v>1000000</v>
          </cell>
          <cell r="G5226">
            <v>0</v>
          </cell>
          <cell r="H5226">
            <v>0</v>
          </cell>
          <cell r="I5226">
            <v>0</v>
          </cell>
          <cell r="J5226">
            <v>0</v>
          </cell>
          <cell r="K5226">
            <v>0</v>
          </cell>
          <cell r="L5226">
            <v>-4500000</v>
          </cell>
          <cell r="M5226">
            <v>0</v>
          </cell>
          <cell r="N5226">
            <v>0</v>
          </cell>
          <cell r="O5226">
            <v>0</v>
          </cell>
        </row>
        <row r="5227">
          <cell r="A5227" t="str">
            <v>Ireland HQReserves - Recoveries</v>
          </cell>
          <cell r="B5227">
            <v>0</v>
          </cell>
          <cell r="C5227">
            <v>0</v>
          </cell>
          <cell r="D5227">
            <v>0</v>
          </cell>
          <cell r="E5227">
            <v>0</v>
          </cell>
          <cell r="F5227">
            <v>0</v>
          </cell>
          <cell r="G5227">
            <v>0</v>
          </cell>
          <cell r="H5227">
            <v>0</v>
          </cell>
          <cell r="I5227">
            <v>0</v>
          </cell>
          <cell r="J5227">
            <v>0</v>
          </cell>
          <cell r="K5227">
            <v>0</v>
          </cell>
          <cell r="L5227">
            <v>0</v>
          </cell>
          <cell r="M5227">
            <v>0</v>
          </cell>
          <cell r="N5227">
            <v>0</v>
          </cell>
          <cell r="O5227">
            <v>0</v>
          </cell>
        </row>
        <row r="5228">
          <cell r="A5228" t="str">
            <v>Ireland HQReserves - BOP</v>
          </cell>
          <cell r="B5228">
            <v>-5165458.3</v>
          </cell>
          <cell r="C5228">
            <v>-1630787.45</v>
          </cell>
          <cell r="D5228">
            <v>-2343427.79</v>
          </cell>
          <cell r="E5228">
            <v>-4392617.57</v>
          </cell>
          <cell r="F5228">
            <v>-4392617.57</v>
          </cell>
          <cell r="G5228">
            <v>-709434</v>
          </cell>
          <cell r="H5228">
            <v>-709434</v>
          </cell>
          <cell r="I5228">
            <v>-709434</v>
          </cell>
          <cell r="J5228">
            <v>-709434</v>
          </cell>
          <cell r="K5228">
            <v>-709434</v>
          </cell>
          <cell r="L5228">
            <v>-1543321.79</v>
          </cell>
          <cell r="M5228">
            <v>-5165458</v>
          </cell>
          <cell r="N5228">
            <v>-5165458</v>
          </cell>
          <cell r="O5228">
            <v>-5165458</v>
          </cell>
        </row>
        <row r="5229">
          <cell r="A5229" t="str">
            <v>Ireland HQReserves - Transfers &amp; Others</v>
          </cell>
          <cell r="B5229">
            <v>0</v>
          </cell>
          <cell r="C5229">
            <v>0</v>
          </cell>
          <cell r="D5229">
            <v>0</v>
          </cell>
          <cell r="E5229">
            <v>1849112.58</v>
          </cell>
          <cell r="F5229">
            <v>1849112.58</v>
          </cell>
          <cell r="G5229">
            <v>0</v>
          </cell>
          <cell r="H5229">
            <v>0</v>
          </cell>
          <cell r="I5229">
            <v>0</v>
          </cell>
          <cell r="J5229">
            <v>0</v>
          </cell>
          <cell r="K5229">
            <v>0</v>
          </cell>
          <cell r="L5229">
            <v>0</v>
          </cell>
          <cell r="M5229">
            <v>0</v>
          </cell>
          <cell r="N5229">
            <v>0</v>
          </cell>
          <cell r="O5229">
            <v>0</v>
          </cell>
        </row>
        <row r="5230">
          <cell r="A5230" t="str">
            <v>Ireland HQReserves - Write-Offs</v>
          </cell>
          <cell r="B5230">
            <v>0</v>
          </cell>
          <cell r="C5230">
            <v>0</v>
          </cell>
          <cell r="D5230">
            <v>0</v>
          </cell>
          <cell r="E5230">
            <v>183.2</v>
          </cell>
          <cell r="F5230">
            <v>183.2</v>
          </cell>
          <cell r="G5230">
            <v>0</v>
          </cell>
          <cell r="H5230">
            <v>0</v>
          </cell>
          <cell r="I5230">
            <v>0</v>
          </cell>
          <cell r="J5230">
            <v>0</v>
          </cell>
          <cell r="K5230">
            <v>0</v>
          </cell>
          <cell r="L5230">
            <v>-159.53</v>
          </cell>
          <cell r="M5230">
            <v>0</v>
          </cell>
          <cell r="N5230">
            <v>0</v>
          </cell>
          <cell r="O5230">
            <v>0</v>
          </cell>
        </row>
        <row r="5231">
          <cell r="A5231" t="str">
            <v>Ireland HQ780 FR Provision</v>
          </cell>
          <cell r="B5231">
            <v>0</v>
          </cell>
          <cell r="C5231">
            <v>0</v>
          </cell>
          <cell r="D5231">
            <v>0</v>
          </cell>
          <cell r="E5231">
            <v>-1000000</v>
          </cell>
          <cell r="F5231">
            <v>-1000000</v>
          </cell>
          <cell r="G5231">
            <v>0</v>
          </cell>
          <cell r="H5231">
            <v>0</v>
          </cell>
          <cell r="I5231">
            <v>0</v>
          </cell>
          <cell r="J5231">
            <v>0</v>
          </cell>
          <cell r="K5231">
            <v>0</v>
          </cell>
          <cell r="L5231">
            <v>4500000</v>
          </cell>
          <cell r="M5231">
            <v>0</v>
          </cell>
          <cell r="N5231">
            <v>0</v>
          </cell>
          <cell r="O5231">
            <v>0</v>
          </cell>
        </row>
        <row r="5232">
          <cell r="A5232" t="str">
            <v>Ireland HQ780 FR Recovery</v>
          </cell>
          <cell r="B5232">
            <v>0</v>
          </cell>
          <cell r="C5232">
            <v>0</v>
          </cell>
          <cell r="D5232">
            <v>565155.73</v>
          </cell>
          <cell r="E5232">
            <v>-565155.73</v>
          </cell>
          <cell r="F5232">
            <v>0</v>
          </cell>
          <cell r="G5232">
            <v>0</v>
          </cell>
          <cell r="H5232">
            <v>0</v>
          </cell>
          <cell r="I5232">
            <v>0</v>
          </cell>
          <cell r="J5232">
            <v>0</v>
          </cell>
          <cell r="K5232">
            <v>0</v>
          </cell>
          <cell r="L5232">
            <v>0</v>
          </cell>
          <cell r="M5232">
            <v>0</v>
          </cell>
          <cell r="N5232">
            <v>0</v>
          </cell>
          <cell r="O5232">
            <v>0</v>
          </cell>
        </row>
        <row r="5233">
          <cell r="A5233" t="str">
            <v>Ireland HQ781 LL Provision</v>
          </cell>
          <cell r="B5233">
            <v>0</v>
          </cell>
          <cell r="C5233">
            <v>0</v>
          </cell>
          <cell r="D5233">
            <v>0</v>
          </cell>
          <cell r="E5233">
            <v>0</v>
          </cell>
          <cell r="F5233">
            <v>0</v>
          </cell>
          <cell r="G5233">
            <v>0</v>
          </cell>
          <cell r="H5233">
            <v>0</v>
          </cell>
          <cell r="I5233">
            <v>0</v>
          </cell>
          <cell r="J5233">
            <v>0</v>
          </cell>
          <cell r="K5233">
            <v>0</v>
          </cell>
          <cell r="L5233">
            <v>0</v>
          </cell>
          <cell r="M5233">
            <v>0</v>
          </cell>
          <cell r="N5233">
            <v>0</v>
          </cell>
          <cell r="O5233">
            <v>0</v>
          </cell>
        </row>
        <row r="5234">
          <cell r="A5234" t="str">
            <v>Ireland HQ781 LL Recovery</v>
          </cell>
          <cell r="B5234">
            <v>0</v>
          </cell>
          <cell r="C5234">
            <v>0</v>
          </cell>
          <cell r="D5234">
            <v>0</v>
          </cell>
          <cell r="E5234">
            <v>0</v>
          </cell>
          <cell r="F5234">
            <v>0</v>
          </cell>
          <cell r="G5234">
            <v>0</v>
          </cell>
          <cell r="H5234">
            <v>0</v>
          </cell>
          <cell r="I5234">
            <v>0</v>
          </cell>
          <cell r="J5234">
            <v>0</v>
          </cell>
          <cell r="K5234">
            <v>0</v>
          </cell>
          <cell r="L5234">
            <v>0</v>
          </cell>
          <cell r="M5234">
            <v>0</v>
          </cell>
          <cell r="N5234">
            <v>0</v>
          </cell>
          <cell r="O5234">
            <v>0</v>
          </cell>
        </row>
        <row r="5235">
          <cell r="A5235" t="str">
            <v>Ireland HQ782 DF Provision</v>
          </cell>
          <cell r="B5235">
            <v>0</v>
          </cell>
          <cell r="C5235">
            <v>0</v>
          </cell>
          <cell r="D5235">
            <v>0</v>
          </cell>
          <cell r="E5235">
            <v>0</v>
          </cell>
          <cell r="F5235">
            <v>0</v>
          </cell>
          <cell r="G5235">
            <v>0</v>
          </cell>
          <cell r="H5235">
            <v>0</v>
          </cell>
          <cell r="I5235">
            <v>0</v>
          </cell>
          <cell r="J5235">
            <v>0</v>
          </cell>
          <cell r="K5235">
            <v>0</v>
          </cell>
          <cell r="L5235">
            <v>0</v>
          </cell>
          <cell r="M5235">
            <v>0</v>
          </cell>
          <cell r="N5235">
            <v>0</v>
          </cell>
          <cell r="O5235">
            <v>0</v>
          </cell>
        </row>
        <row r="5236">
          <cell r="A5236" t="str">
            <v>Ireland HQ782 DF Recovery</v>
          </cell>
          <cell r="B5236">
            <v>0</v>
          </cell>
          <cell r="C5236">
            <v>0</v>
          </cell>
          <cell r="D5236">
            <v>0</v>
          </cell>
          <cell r="E5236">
            <v>0</v>
          </cell>
          <cell r="F5236">
            <v>0</v>
          </cell>
          <cell r="G5236">
            <v>0</v>
          </cell>
          <cell r="H5236">
            <v>0</v>
          </cell>
          <cell r="I5236">
            <v>0</v>
          </cell>
          <cell r="J5236">
            <v>0</v>
          </cell>
          <cell r="K5236">
            <v>0</v>
          </cell>
          <cell r="L5236">
            <v>0</v>
          </cell>
          <cell r="M5236">
            <v>0</v>
          </cell>
          <cell r="N5236">
            <v>0</v>
          </cell>
          <cell r="O5236">
            <v>0</v>
          </cell>
        </row>
        <row r="5237">
          <cell r="A5237" t="str">
            <v>Ireland HQ783 Corp Level Provision</v>
          </cell>
          <cell r="B5237">
            <v>0</v>
          </cell>
          <cell r="C5237">
            <v>0</v>
          </cell>
          <cell r="D5237">
            <v>0</v>
          </cell>
          <cell r="E5237">
            <v>0</v>
          </cell>
          <cell r="F5237">
            <v>0</v>
          </cell>
          <cell r="G5237">
            <v>0</v>
          </cell>
          <cell r="H5237">
            <v>0</v>
          </cell>
          <cell r="I5237">
            <v>0</v>
          </cell>
          <cell r="J5237">
            <v>0</v>
          </cell>
          <cell r="K5237">
            <v>0</v>
          </cell>
          <cell r="L5237">
            <v>0</v>
          </cell>
          <cell r="M5237">
            <v>0</v>
          </cell>
          <cell r="N5237">
            <v>0</v>
          </cell>
          <cell r="O5237">
            <v>0</v>
          </cell>
        </row>
        <row r="5238">
          <cell r="A5238" t="str">
            <v>Ireland HQ783 Corp Level Recovery</v>
          </cell>
          <cell r="B5238">
            <v>0</v>
          </cell>
          <cell r="C5238">
            <v>0</v>
          </cell>
          <cell r="D5238">
            <v>0</v>
          </cell>
          <cell r="E5238">
            <v>0</v>
          </cell>
          <cell r="F5238">
            <v>0</v>
          </cell>
          <cell r="G5238">
            <v>0</v>
          </cell>
          <cell r="H5238">
            <v>0</v>
          </cell>
          <cell r="I5238">
            <v>0</v>
          </cell>
          <cell r="J5238">
            <v>0</v>
          </cell>
          <cell r="K5238">
            <v>0</v>
          </cell>
          <cell r="L5238">
            <v>0</v>
          </cell>
          <cell r="M5238">
            <v>0</v>
          </cell>
          <cell r="N5238">
            <v>0</v>
          </cell>
          <cell r="O5238">
            <v>0</v>
          </cell>
        </row>
        <row r="5239">
          <cell r="A5239" t="str">
            <v>Ireland HQ784 Business Share Provision</v>
          </cell>
          <cell r="B5239">
            <v>0</v>
          </cell>
          <cell r="C5239">
            <v>0</v>
          </cell>
          <cell r="D5239">
            <v>0</v>
          </cell>
          <cell r="E5239">
            <v>0</v>
          </cell>
          <cell r="F5239">
            <v>0</v>
          </cell>
          <cell r="G5239">
            <v>0</v>
          </cell>
          <cell r="H5239">
            <v>0</v>
          </cell>
          <cell r="I5239">
            <v>0</v>
          </cell>
          <cell r="J5239">
            <v>0</v>
          </cell>
          <cell r="K5239">
            <v>0</v>
          </cell>
          <cell r="L5239">
            <v>0</v>
          </cell>
          <cell r="M5239">
            <v>0</v>
          </cell>
          <cell r="N5239">
            <v>0</v>
          </cell>
          <cell r="O5239">
            <v>0</v>
          </cell>
        </row>
        <row r="5240">
          <cell r="A5240" t="str">
            <v>Ireland HQReserves - Business Sharing</v>
          </cell>
          <cell r="B5240">
            <v>0</v>
          </cell>
          <cell r="C5240">
            <v>0</v>
          </cell>
          <cell r="D5240">
            <v>0</v>
          </cell>
          <cell r="E5240">
            <v>0</v>
          </cell>
          <cell r="F5240">
            <v>0</v>
          </cell>
          <cell r="G5240">
            <v>0</v>
          </cell>
          <cell r="H5240">
            <v>0</v>
          </cell>
          <cell r="I5240">
            <v>0</v>
          </cell>
          <cell r="J5240">
            <v>0</v>
          </cell>
          <cell r="K5240">
            <v>0</v>
          </cell>
          <cell r="L5240">
            <v>0</v>
          </cell>
          <cell r="M5240">
            <v>0</v>
          </cell>
          <cell r="N5240">
            <v>0</v>
          </cell>
          <cell r="O5240">
            <v>0</v>
          </cell>
        </row>
        <row r="5241">
          <cell r="A5241" t="str">
            <v>Japan - GECCCNEA - Fixed Rate</v>
          </cell>
          <cell r="B5241">
            <v>0</v>
          </cell>
          <cell r="C5241">
            <v>0</v>
          </cell>
          <cell r="D5241">
            <v>0</v>
          </cell>
          <cell r="E5241">
            <v>0</v>
          </cell>
          <cell r="F5241">
            <v>0</v>
          </cell>
          <cell r="G5241">
            <v>0</v>
          </cell>
          <cell r="H5241">
            <v>0</v>
          </cell>
          <cell r="I5241">
            <v>0</v>
          </cell>
          <cell r="J5241">
            <v>0</v>
          </cell>
          <cell r="K5241">
            <v>0</v>
          </cell>
          <cell r="L5241">
            <v>0</v>
          </cell>
          <cell r="M5241">
            <v>0</v>
          </cell>
          <cell r="N5241">
            <v>0</v>
          </cell>
          <cell r="O5241">
            <v>0</v>
          </cell>
        </row>
        <row r="5242">
          <cell r="A5242" t="str">
            <v>Japan - GECCCNEA - Floating Rate</v>
          </cell>
          <cell r="B5242">
            <v>0</v>
          </cell>
          <cell r="C5242">
            <v>0</v>
          </cell>
          <cell r="D5242">
            <v>0</v>
          </cell>
          <cell r="E5242">
            <v>0</v>
          </cell>
          <cell r="F5242">
            <v>0</v>
          </cell>
          <cell r="G5242">
            <v>0</v>
          </cell>
          <cell r="H5242">
            <v>0</v>
          </cell>
          <cell r="I5242">
            <v>0</v>
          </cell>
          <cell r="J5242">
            <v>0</v>
          </cell>
          <cell r="K5242">
            <v>0</v>
          </cell>
          <cell r="L5242">
            <v>0</v>
          </cell>
          <cell r="M5242">
            <v>0</v>
          </cell>
          <cell r="N5242">
            <v>0</v>
          </cell>
          <cell r="O5242">
            <v>0</v>
          </cell>
        </row>
        <row r="5243">
          <cell r="A5243" t="str">
            <v>Japan - GECCCReserves - FX Gain / Loss</v>
          </cell>
          <cell r="B5243">
            <v>38956862.159999996</v>
          </cell>
          <cell r="C5243">
            <v>42630830.359999999</v>
          </cell>
          <cell r="D5243">
            <v>11036200.810000001</v>
          </cell>
          <cell r="E5243">
            <v>66095243.450000003</v>
          </cell>
          <cell r="F5243">
            <v>66095243.450000003</v>
          </cell>
          <cell r="G5243">
            <v>0</v>
          </cell>
          <cell r="H5243">
            <v>0</v>
          </cell>
          <cell r="I5243">
            <v>0</v>
          </cell>
          <cell r="J5243">
            <v>0</v>
          </cell>
          <cell r="K5243">
            <v>0</v>
          </cell>
          <cell r="L5243">
            <v>73995865.709999993</v>
          </cell>
          <cell r="M5243">
            <v>0</v>
          </cell>
          <cell r="N5243">
            <v>0</v>
          </cell>
          <cell r="O5243">
            <v>0</v>
          </cell>
        </row>
        <row r="5244">
          <cell r="A5244" t="str">
            <v>Japan - GECCCReserves - Provisons</v>
          </cell>
          <cell r="B5244">
            <v>-53154459.789999999</v>
          </cell>
          <cell r="C5244">
            <v>-160435715.78</v>
          </cell>
          <cell r="D5244">
            <v>-277478274.13999999</v>
          </cell>
          <cell r="E5244">
            <v>-403340266.11000001</v>
          </cell>
          <cell r="F5244">
            <v>-403340266.11000001</v>
          </cell>
          <cell r="G5244">
            <v>0</v>
          </cell>
          <cell r="H5244">
            <v>0</v>
          </cell>
          <cell r="I5244">
            <v>0</v>
          </cell>
          <cell r="J5244">
            <v>0</v>
          </cell>
          <cell r="K5244">
            <v>0</v>
          </cell>
          <cell r="L5244">
            <v>-107387403.69</v>
          </cell>
          <cell r="M5244">
            <v>0</v>
          </cell>
          <cell r="N5244">
            <v>0</v>
          </cell>
          <cell r="O5244">
            <v>0</v>
          </cell>
        </row>
        <row r="5245">
          <cell r="A5245" t="str">
            <v>Japan - GECCCReserves - Recoveries</v>
          </cell>
          <cell r="B5245">
            <v>0</v>
          </cell>
          <cell r="C5245">
            <v>-7822236.46</v>
          </cell>
          <cell r="D5245">
            <v>-12475694.189999999</v>
          </cell>
          <cell r="E5245">
            <v>-17319986.010000002</v>
          </cell>
          <cell r="F5245">
            <v>-17319986.010000002</v>
          </cell>
          <cell r="G5245">
            <v>0</v>
          </cell>
          <cell r="H5245">
            <v>0</v>
          </cell>
          <cell r="I5245">
            <v>0</v>
          </cell>
          <cell r="J5245">
            <v>0</v>
          </cell>
          <cell r="K5245">
            <v>0</v>
          </cell>
          <cell r="L5245">
            <v>-5141539.5999999996</v>
          </cell>
          <cell r="M5245">
            <v>0</v>
          </cell>
          <cell r="N5245">
            <v>0</v>
          </cell>
          <cell r="O5245">
            <v>0</v>
          </cell>
        </row>
        <row r="5246">
          <cell r="A5246" t="str">
            <v>Japan - GECCCReserves - BOP</v>
          </cell>
          <cell r="B5246">
            <v>-657754091.12</v>
          </cell>
          <cell r="C5246">
            <v>-657754091.12</v>
          </cell>
          <cell r="D5246">
            <v>-657754091.12</v>
          </cell>
          <cell r="E5246">
            <v>-657754091.12</v>
          </cell>
          <cell r="F5246">
            <v>-657754091.12</v>
          </cell>
          <cell r="G5246">
            <v>-821851939.63646495</v>
          </cell>
          <cell r="H5246">
            <v>-936140665.63633001</v>
          </cell>
          <cell r="I5246">
            <v>-1064049407.18978</v>
          </cell>
          <cell r="J5246">
            <v>-1193786638.6972499</v>
          </cell>
          <cell r="K5246">
            <v>-1193786638.6972499</v>
          </cell>
          <cell r="L5246">
            <v>-741291812.11000001</v>
          </cell>
          <cell r="M5246">
            <v>-1046488750</v>
          </cell>
          <cell r="N5246">
            <v>-1143480225</v>
          </cell>
          <cell r="O5246">
            <v>-1273037216.6666601</v>
          </cell>
        </row>
        <row r="5247">
          <cell r="A5247" t="str">
            <v>Japan - GECCCReserves - Transfers &amp; Others</v>
          </cell>
          <cell r="B5247">
            <v>0</v>
          </cell>
          <cell r="C5247">
            <v>-25980799.390000001</v>
          </cell>
          <cell r="D5247">
            <v>-25980799.390000001</v>
          </cell>
          <cell r="E5247">
            <v>-26203989.25</v>
          </cell>
          <cell r="F5247">
            <v>-26203989.25</v>
          </cell>
          <cell r="G5247">
            <v>0</v>
          </cell>
          <cell r="H5247">
            <v>0</v>
          </cell>
          <cell r="I5247">
            <v>0</v>
          </cell>
          <cell r="J5247">
            <v>0</v>
          </cell>
          <cell r="K5247">
            <v>0</v>
          </cell>
          <cell r="L5247">
            <v>5876628.3099999996</v>
          </cell>
          <cell r="M5247">
            <v>0</v>
          </cell>
          <cell r="N5247">
            <v>0</v>
          </cell>
          <cell r="O5247">
            <v>0</v>
          </cell>
        </row>
        <row r="5248">
          <cell r="A5248" t="str">
            <v>Japan - GECCCReserves - Write-Offs</v>
          </cell>
          <cell r="B5248">
            <v>43600286.590000004</v>
          </cell>
          <cell r="C5248">
            <v>160839129.37</v>
          </cell>
          <cell r="D5248">
            <v>253348415.69999999</v>
          </cell>
          <cell r="E5248">
            <v>363326520.38</v>
          </cell>
          <cell r="F5248">
            <v>363326520.38</v>
          </cell>
          <cell r="G5248">
            <v>98756968</v>
          </cell>
          <cell r="H5248">
            <v>203581476.33333299</v>
          </cell>
          <cell r="I5248">
            <v>312063818</v>
          </cell>
          <cell r="J5248">
            <v>434224394</v>
          </cell>
          <cell r="K5248">
            <v>434224394</v>
          </cell>
          <cell r="L5248">
            <v>93974972.659999996</v>
          </cell>
          <cell r="M5248">
            <v>354692675</v>
          </cell>
          <cell r="N5248">
            <v>379119208.33333302</v>
          </cell>
          <cell r="O5248">
            <v>426073333.33333302</v>
          </cell>
        </row>
        <row r="5249">
          <cell r="A5249" t="str">
            <v>Japan - GECCC780 FR Provision</v>
          </cell>
          <cell r="B5249">
            <v>53274551.520000003</v>
          </cell>
          <cell r="C5249">
            <v>115200783.53</v>
          </cell>
          <cell r="D5249">
            <v>121720689.47</v>
          </cell>
          <cell r="E5249">
            <v>113326338.55</v>
          </cell>
          <cell r="F5249">
            <v>403522363.06999999</v>
          </cell>
          <cell r="G5249">
            <v>0</v>
          </cell>
          <cell r="H5249">
            <v>0</v>
          </cell>
          <cell r="I5249">
            <v>0</v>
          </cell>
          <cell r="J5249">
            <v>0</v>
          </cell>
          <cell r="K5249">
            <v>0</v>
          </cell>
          <cell r="L5249">
            <v>107387395.84999999</v>
          </cell>
          <cell r="M5249">
            <v>21853841.666666999</v>
          </cell>
          <cell r="N5249">
            <v>72564941.666666999</v>
          </cell>
          <cell r="O5249">
            <v>82602866.666666999</v>
          </cell>
        </row>
        <row r="5250">
          <cell r="A5250" t="str">
            <v>Japan - GECCC780 FR Recovery</v>
          </cell>
          <cell r="B5250">
            <v>-120272.55</v>
          </cell>
          <cell r="C5250">
            <v>-7919346.7199999997</v>
          </cell>
          <cell r="D5250">
            <v>-4678131.1100000003</v>
          </cell>
          <cell r="E5250">
            <v>12535644.35</v>
          </cell>
          <cell r="F5250">
            <v>-182106.03</v>
          </cell>
          <cell r="G5250">
            <v>104961983.333333</v>
          </cell>
          <cell r="H5250">
            <v>114288725</v>
          </cell>
          <cell r="I5250">
            <v>127908741.666667</v>
          </cell>
          <cell r="J5250">
            <v>129737233.333333</v>
          </cell>
          <cell r="K5250">
            <v>476896683.33333302</v>
          </cell>
          <cell r="L5250">
            <v>0.13</v>
          </cell>
          <cell r="M5250">
            <v>354692675</v>
          </cell>
          <cell r="N5250">
            <v>379119208.33333302</v>
          </cell>
          <cell r="O5250">
            <v>426073333.33333302</v>
          </cell>
        </row>
        <row r="5251">
          <cell r="A5251" t="str">
            <v>Japan - GECCC781 LL Provision</v>
          </cell>
          <cell r="B5251">
            <v>0</v>
          </cell>
          <cell r="C5251">
            <v>0</v>
          </cell>
          <cell r="D5251">
            <v>0</v>
          </cell>
          <cell r="E5251">
            <v>0</v>
          </cell>
          <cell r="F5251">
            <v>0</v>
          </cell>
          <cell r="G5251">
            <v>0</v>
          </cell>
          <cell r="H5251">
            <v>0</v>
          </cell>
          <cell r="I5251">
            <v>0</v>
          </cell>
          <cell r="J5251">
            <v>0</v>
          </cell>
          <cell r="K5251">
            <v>0</v>
          </cell>
          <cell r="L5251">
            <v>0</v>
          </cell>
          <cell r="M5251">
            <v>0</v>
          </cell>
          <cell r="N5251">
            <v>0</v>
          </cell>
          <cell r="O5251">
            <v>0</v>
          </cell>
        </row>
        <row r="5252">
          <cell r="A5252" t="str">
            <v>Japan - GECCC781 LL Recovery</v>
          </cell>
          <cell r="B5252">
            <v>0</v>
          </cell>
          <cell r="C5252">
            <v>0</v>
          </cell>
          <cell r="D5252">
            <v>0</v>
          </cell>
          <cell r="E5252">
            <v>0</v>
          </cell>
          <cell r="F5252">
            <v>0</v>
          </cell>
          <cell r="G5252">
            <v>0</v>
          </cell>
          <cell r="H5252">
            <v>0</v>
          </cell>
          <cell r="I5252">
            <v>0</v>
          </cell>
          <cell r="J5252">
            <v>0</v>
          </cell>
          <cell r="K5252">
            <v>0</v>
          </cell>
          <cell r="L5252">
            <v>0</v>
          </cell>
          <cell r="M5252">
            <v>0</v>
          </cell>
          <cell r="N5252">
            <v>0</v>
          </cell>
          <cell r="O5252">
            <v>0</v>
          </cell>
        </row>
        <row r="5253">
          <cell r="A5253" t="str">
            <v>Japan - GECCC782 DF Provision</v>
          </cell>
          <cell r="B5253">
            <v>0</v>
          </cell>
          <cell r="C5253">
            <v>0</v>
          </cell>
          <cell r="D5253">
            <v>0</v>
          </cell>
          <cell r="E5253">
            <v>0</v>
          </cell>
          <cell r="F5253">
            <v>0</v>
          </cell>
          <cell r="G5253">
            <v>0</v>
          </cell>
          <cell r="H5253">
            <v>0</v>
          </cell>
          <cell r="I5253">
            <v>0</v>
          </cell>
          <cell r="J5253">
            <v>0</v>
          </cell>
          <cell r="K5253">
            <v>0</v>
          </cell>
          <cell r="L5253">
            <v>0</v>
          </cell>
          <cell r="M5253">
            <v>0</v>
          </cell>
          <cell r="N5253">
            <v>0</v>
          </cell>
          <cell r="O5253">
            <v>0</v>
          </cell>
        </row>
        <row r="5254">
          <cell r="A5254" t="str">
            <v>Japan - GECCC782 DF Recovery</v>
          </cell>
          <cell r="B5254">
            <v>0</v>
          </cell>
          <cell r="C5254">
            <v>0</v>
          </cell>
          <cell r="D5254">
            <v>0</v>
          </cell>
          <cell r="E5254">
            <v>0</v>
          </cell>
          <cell r="F5254">
            <v>0</v>
          </cell>
          <cell r="G5254">
            <v>0</v>
          </cell>
          <cell r="H5254">
            <v>0</v>
          </cell>
          <cell r="I5254">
            <v>0</v>
          </cell>
          <cell r="J5254">
            <v>0</v>
          </cell>
          <cell r="K5254">
            <v>0</v>
          </cell>
          <cell r="L5254">
            <v>0</v>
          </cell>
          <cell r="M5254">
            <v>0</v>
          </cell>
          <cell r="N5254">
            <v>0</v>
          </cell>
          <cell r="O5254">
            <v>0</v>
          </cell>
        </row>
        <row r="5255">
          <cell r="A5255" t="str">
            <v>Japan - GECCC783 Corp Level Provision</v>
          </cell>
          <cell r="B5255">
            <v>0</v>
          </cell>
          <cell r="C5255">
            <v>0</v>
          </cell>
          <cell r="D5255">
            <v>0</v>
          </cell>
          <cell r="E5255">
            <v>0</v>
          </cell>
          <cell r="F5255">
            <v>0</v>
          </cell>
          <cell r="G5255">
            <v>0</v>
          </cell>
          <cell r="H5255">
            <v>0</v>
          </cell>
          <cell r="I5255">
            <v>0</v>
          </cell>
          <cell r="J5255">
            <v>0</v>
          </cell>
          <cell r="K5255">
            <v>0</v>
          </cell>
          <cell r="L5255">
            <v>0</v>
          </cell>
          <cell r="M5255">
            <v>0</v>
          </cell>
          <cell r="N5255">
            <v>0</v>
          </cell>
          <cell r="O5255">
            <v>0</v>
          </cell>
        </row>
        <row r="5256">
          <cell r="A5256" t="str">
            <v>Japan - GECCC783 Corp Level Recovery</v>
          </cell>
          <cell r="B5256">
            <v>0</v>
          </cell>
          <cell r="C5256">
            <v>0</v>
          </cell>
          <cell r="D5256">
            <v>0</v>
          </cell>
          <cell r="E5256">
            <v>0</v>
          </cell>
          <cell r="F5256">
            <v>0</v>
          </cell>
          <cell r="G5256">
            <v>0</v>
          </cell>
          <cell r="H5256">
            <v>0</v>
          </cell>
          <cell r="I5256">
            <v>0</v>
          </cell>
          <cell r="J5256">
            <v>0</v>
          </cell>
          <cell r="K5256">
            <v>0</v>
          </cell>
          <cell r="L5256">
            <v>0</v>
          </cell>
          <cell r="M5256">
            <v>0</v>
          </cell>
          <cell r="N5256">
            <v>0</v>
          </cell>
          <cell r="O5256">
            <v>0</v>
          </cell>
        </row>
        <row r="5257">
          <cell r="A5257" t="str">
            <v>Japan - GECCC784 Business Share Provision</v>
          </cell>
          <cell r="B5257">
            <v>0</v>
          </cell>
          <cell r="C5257">
            <v>0</v>
          </cell>
          <cell r="D5257">
            <v>0</v>
          </cell>
          <cell r="E5257">
            <v>0</v>
          </cell>
          <cell r="F5257">
            <v>0</v>
          </cell>
          <cell r="G5257">
            <v>0</v>
          </cell>
          <cell r="H5257">
            <v>0</v>
          </cell>
          <cell r="I5257">
            <v>0</v>
          </cell>
          <cell r="J5257">
            <v>0</v>
          </cell>
          <cell r="K5257">
            <v>0</v>
          </cell>
          <cell r="L5257">
            <v>0</v>
          </cell>
          <cell r="M5257">
            <v>0</v>
          </cell>
          <cell r="N5257">
            <v>0</v>
          </cell>
          <cell r="O5257">
            <v>0</v>
          </cell>
        </row>
        <row r="5258">
          <cell r="A5258" t="str">
            <v>Japan - GECCCReserves - Business Sharing</v>
          </cell>
          <cell r="B5258">
            <v>0</v>
          </cell>
          <cell r="C5258">
            <v>0</v>
          </cell>
          <cell r="D5258">
            <v>0</v>
          </cell>
          <cell r="E5258">
            <v>0</v>
          </cell>
          <cell r="F5258">
            <v>0</v>
          </cell>
          <cell r="G5258">
            <v>0</v>
          </cell>
          <cell r="H5258">
            <v>0</v>
          </cell>
          <cell r="I5258">
            <v>0</v>
          </cell>
          <cell r="J5258">
            <v>0</v>
          </cell>
          <cell r="K5258">
            <v>0</v>
          </cell>
          <cell r="L5258">
            <v>0</v>
          </cell>
          <cell r="M5258">
            <v>0</v>
          </cell>
          <cell r="N5258">
            <v>0</v>
          </cell>
          <cell r="O5258">
            <v>0</v>
          </cell>
        </row>
        <row r="5259">
          <cell r="A5259" t="str">
            <v>Japan - GECCFNEA - Fixed Rate</v>
          </cell>
          <cell r="B5259">
            <v>0</v>
          </cell>
          <cell r="C5259">
            <v>0</v>
          </cell>
          <cell r="D5259">
            <v>0</v>
          </cell>
          <cell r="E5259">
            <v>0</v>
          </cell>
          <cell r="F5259">
            <v>0</v>
          </cell>
          <cell r="G5259">
            <v>0</v>
          </cell>
          <cell r="H5259">
            <v>0</v>
          </cell>
          <cell r="I5259">
            <v>0</v>
          </cell>
          <cell r="J5259">
            <v>0</v>
          </cell>
          <cell r="K5259">
            <v>0</v>
          </cell>
          <cell r="L5259">
            <v>0</v>
          </cell>
          <cell r="M5259">
            <v>0</v>
          </cell>
          <cell r="N5259">
            <v>0</v>
          </cell>
          <cell r="O5259">
            <v>0</v>
          </cell>
        </row>
        <row r="5260">
          <cell r="A5260" t="str">
            <v>Japan - GECCFNEA - Floating Rate</v>
          </cell>
          <cell r="B5260">
            <v>0</v>
          </cell>
          <cell r="C5260">
            <v>0</v>
          </cell>
          <cell r="D5260">
            <v>0</v>
          </cell>
          <cell r="E5260">
            <v>0</v>
          </cell>
          <cell r="F5260">
            <v>0</v>
          </cell>
          <cell r="G5260">
            <v>0</v>
          </cell>
          <cell r="H5260">
            <v>0</v>
          </cell>
          <cell r="I5260">
            <v>0</v>
          </cell>
          <cell r="J5260">
            <v>0</v>
          </cell>
          <cell r="K5260">
            <v>0</v>
          </cell>
          <cell r="L5260">
            <v>0</v>
          </cell>
          <cell r="M5260">
            <v>0</v>
          </cell>
          <cell r="N5260">
            <v>0</v>
          </cell>
          <cell r="O5260">
            <v>0</v>
          </cell>
        </row>
        <row r="5261">
          <cell r="A5261" t="str">
            <v>Japan - GECCFReserves - FX Gain / Loss</v>
          </cell>
          <cell r="B5261">
            <v>8747098.7599999998</v>
          </cell>
          <cell r="C5261">
            <v>8895985.2400000002</v>
          </cell>
          <cell r="D5261">
            <v>6151417.0300000003</v>
          </cell>
          <cell r="E5261">
            <v>11102427.470000001</v>
          </cell>
          <cell r="F5261">
            <v>11102427.470000001</v>
          </cell>
          <cell r="G5261">
            <v>0</v>
          </cell>
          <cell r="H5261">
            <v>0</v>
          </cell>
          <cell r="I5261">
            <v>0</v>
          </cell>
          <cell r="J5261">
            <v>0</v>
          </cell>
          <cell r="K5261">
            <v>0</v>
          </cell>
          <cell r="L5261">
            <v>11625986.41</v>
          </cell>
          <cell r="M5261">
            <v>0</v>
          </cell>
          <cell r="N5261">
            <v>0</v>
          </cell>
          <cell r="O5261">
            <v>0</v>
          </cell>
        </row>
        <row r="5262">
          <cell r="A5262" t="str">
            <v>Japan - GECCFReserves - Provisons</v>
          </cell>
          <cell r="B5262">
            <v>-13872323.289999999</v>
          </cell>
          <cell r="C5262">
            <v>-23365092.809999999</v>
          </cell>
          <cell r="D5262">
            <v>-20541350.989999998</v>
          </cell>
          <cell r="E5262">
            <v>-39089819.939999998</v>
          </cell>
          <cell r="F5262">
            <v>-39089819.939999998</v>
          </cell>
          <cell r="G5262">
            <v>0</v>
          </cell>
          <cell r="H5262">
            <v>0</v>
          </cell>
          <cell r="I5262">
            <v>0</v>
          </cell>
          <cell r="J5262">
            <v>0</v>
          </cell>
          <cell r="K5262">
            <v>0</v>
          </cell>
          <cell r="L5262">
            <v>-4830535.54</v>
          </cell>
          <cell r="M5262">
            <v>0</v>
          </cell>
          <cell r="N5262">
            <v>0</v>
          </cell>
          <cell r="O5262">
            <v>0</v>
          </cell>
        </row>
        <row r="5263">
          <cell r="A5263" t="str">
            <v>Japan - GECCFReserves - Recoveries</v>
          </cell>
          <cell r="B5263">
            <v>-57386.99</v>
          </cell>
          <cell r="C5263">
            <v>-110979.06</v>
          </cell>
          <cell r="D5263">
            <v>-172152.2</v>
          </cell>
          <cell r="E5263">
            <v>-314792.07</v>
          </cell>
          <cell r="F5263">
            <v>-314792.07</v>
          </cell>
          <cell r="G5263">
            <v>0</v>
          </cell>
          <cell r="H5263">
            <v>0</v>
          </cell>
          <cell r="I5263">
            <v>0</v>
          </cell>
          <cell r="J5263">
            <v>0</v>
          </cell>
          <cell r="K5263">
            <v>0</v>
          </cell>
          <cell r="L5263">
            <v>-189958.73</v>
          </cell>
          <cell r="M5263">
            <v>0</v>
          </cell>
          <cell r="N5263">
            <v>0</v>
          </cell>
          <cell r="O5263">
            <v>0</v>
          </cell>
        </row>
        <row r="5264">
          <cell r="A5264" t="str">
            <v>Japan - GECCFReserves - BOP</v>
          </cell>
          <cell r="B5264">
            <v>-98575210.409999996</v>
          </cell>
          <cell r="C5264">
            <v>-98575210.409999996</v>
          </cell>
          <cell r="D5264">
            <v>-98575210.409999996</v>
          </cell>
          <cell r="E5264">
            <v>-98575210.409999996</v>
          </cell>
          <cell r="F5264">
            <v>-98575210.409999996</v>
          </cell>
          <cell r="G5264">
            <v>-71334425.508100003</v>
          </cell>
          <cell r="H5264">
            <v>-84413955.075819001</v>
          </cell>
          <cell r="I5264">
            <v>-91378250.520343006</v>
          </cell>
          <cell r="J5264">
            <v>-107731283.24707299</v>
          </cell>
          <cell r="K5264">
            <v>-107731283.24707299</v>
          </cell>
          <cell r="L5264">
            <v>-69383043.549999997</v>
          </cell>
          <cell r="M5264">
            <v>-128051461.184</v>
          </cell>
          <cell r="N5264">
            <v>-140107962.85100001</v>
          </cell>
          <cell r="O5264">
            <v>-154832571.10499999</v>
          </cell>
        </row>
        <row r="5265">
          <cell r="A5265" t="str">
            <v>Japan - GECCFReserves - Transfers &amp; Others</v>
          </cell>
          <cell r="B5265">
            <v>0</v>
          </cell>
          <cell r="C5265">
            <v>0</v>
          </cell>
          <cell r="D5265">
            <v>0</v>
          </cell>
          <cell r="E5265">
            <v>-1692.08</v>
          </cell>
          <cell r="F5265">
            <v>-1692.08</v>
          </cell>
          <cell r="G5265">
            <v>0</v>
          </cell>
          <cell r="H5265">
            <v>0</v>
          </cell>
          <cell r="I5265">
            <v>0</v>
          </cell>
          <cell r="J5265">
            <v>0</v>
          </cell>
          <cell r="K5265">
            <v>0</v>
          </cell>
          <cell r="L5265">
            <v>-3157209.47</v>
          </cell>
          <cell r="M5265">
            <v>0</v>
          </cell>
          <cell r="N5265">
            <v>0</v>
          </cell>
          <cell r="O5265">
            <v>0</v>
          </cell>
        </row>
        <row r="5266">
          <cell r="A5266" t="str">
            <v>Japan - GECCFReserves - Write-Offs</v>
          </cell>
          <cell r="B5266">
            <v>22471371.91</v>
          </cell>
          <cell r="C5266">
            <v>38450549.719999999</v>
          </cell>
          <cell r="D5266">
            <v>51587285.100000001</v>
          </cell>
          <cell r="E5266">
            <v>68598470.950000003</v>
          </cell>
          <cell r="F5266">
            <v>68598470.950000003</v>
          </cell>
          <cell r="G5266">
            <v>12007882.576837</v>
          </cell>
          <cell r="H5266">
            <v>24151127.838192999</v>
          </cell>
          <cell r="I5266">
            <v>37314321.486151002</v>
          </cell>
          <cell r="J5266">
            <v>50406892.173064001</v>
          </cell>
          <cell r="K5266">
            <v>50406892.173064001</v>
          </cell>
          <cell r="L5266">
            <v>12712124.449999999</v>
          </cell>
          <cell r="M5266">
            <v>50531346.965999998</v>
          </cell>
          <cell r="N5266">
            <v>55651897.993000001</v>
          </cell>
          <cell r="O5266">
            <v>62427935.934</v>
          </cell>
        </row>
        <row r="5267">
          <cell r="A5267" t="str">
            <v>Japan - GECCF780 FR Provision</v>
          </cell>
          <cell r="B5267">
            <v>13872322.41</v>
          </cell>
          <cell r="C5267">
            <v>9492770.4000000004</v>
          </cell>
          <cell r="D5267">
            <v>-2823741.82</v>
          </cell>
          <cell r="E5267">
            <v>18548468.949999999</v>
          </cell>
          <cell r="F5267">
            <v>39089819.939999998</v>
          </cell>
          <cell r="G5267">
            <v>0</v>
          </cell>
          <cell r="H5267">
            <v>0</v>
          </cell>
          <cell r="I5267">
            <v>0</v>
          </cell>
          <cell r="J5267">
            <v>0</v>
          </cell>
          <cell r="K5267">
            <v>0</v>
          </cell>
          <cell r="L5267">
            <v>4831080.79</v>
          </cell>
          <cell r="M5267">
            <v>3956669.673</v>
          </cell>
          <cell r="N5267">
            <v>6935950.6399999997</v>
          </cell>
          <cell r="O5267">
            <v>7948570.3130000001</v>
          </cell>
        </row>
        <row r="5268">
          <cell r="A5268" t="str">
            <v>Japan - GECCF780 FR Recovery</v>
          </cell>
          <cell r="B5268">
            <v>0.69</v>
          </cell>
          <cell r="C5268">
            <v>-0.69</v>
          </cell>
          <cell r="D5268">
            <v>0</v>
          </cell>
          <cell r="E5268">
            <v>0</v>
          </cell>
          <cell r="F5268">
            <v>0</v>
          </cell>
          <cell r="G5268">
            <v>9783430.1627900004</v>
          </cell>
          <cell r="H5268">
            <v>13079529.567718999</v>
          </cell>
          <cell r="I5268">
            <v>6964295.4445240004</v>
          </cell>
          <cell r="J5268">
            <v>16353032.726731</v>
          </cell>
          <cell r="K5268">
            <v>46180287.901763</v>
          </cell>
          <cell r="L5268">
            <v>0</v>
          </cell>
          <cell r="M5268">
            <v>50531346.965999998</v>
          </cell>
          <cell r="N5268">
            <v>55651897.993000001</v>
          </cell>
          <cell r="O5268">
            <v>62427935.934</v>
          </cell>
        </row>
        <row r="5269">
          <cell r="A5269" t="str">
            <v>Japan - GECCF781 LL Provision</v>
          </cell>
          <cell r="B5269">
            <v>0</v>
          </cell>
          <cell r="C5269">
            <v>0</v>
          </cell>
          <cell r="D5269">
            <v>0</v>
          </cell>
          <cell r="E5269">
            <v>0</v>
          </cell>
          <cell r="F5269">
            <v>0</v>
          </cell>
          <cell r="G5269">
            <v>0</v>
          </cell>
          <cell r="H5269">
            <v>0</v>
          </cell>
          <cell r="I5269">
            <v>0</v>
          </cell>
          <cell r="J5269">
            <v>0</v>
          </cell>
          <cell r="K5269">
            <v>0</v>
          </cell>
          <cell r="L5269">
            <v>0</v>
          </cell>
          <cell r="M5269">
            <v>0</v>
          </cell>
          <cell r="N5269">
            <v>0</v>
          </cell>
          <cell r="O5269">
            <v>0</v>
          </cell>
        </row>
        <row r="5270">
          <cell r="A5270" t="str">
            <v>Japan - GECCF781 LL Recovery</v>
          </cell>
          <cell r="B5270">
            <v>0</v>
          </cell>
          <cell r="C5270">
            <v>0</v>
          </cell>
          <cell r="D5270">
            <v>0</v>
          </cell>
          <cell r="E5270">
            <v>0</v>
          </cell>
          <cell r="F5270">
            <v>0</v>
          </cell>
          <cell r="G5270">
            <v>0</v>
          </cell>
          <cell r="H5270">
            <v>0</v>
          </cell>
          <cell r="I5270">
            <v>0</v>
          </cell>
          <cell r="J5270">
            <v>0</v>
          </cell>
          <cell r="K5270">
            <v>0</v>
          </cell>
          <cell r="L5270">
            <v>0</v>
          </cell>
          <cell r="M5270">
            <v>0</v>
          </cell>
          <cell r="N5270">
            <v>0</v>
          </cell>
          <cell r="O5270">
            <v>0</v>
          </cell>
        </row>
        <row r="5271">
          <cell r="A5271" t="str">
            <v>Japan - GECCF782 DF Provision</v>
          </cell>
          <cell r="B5271">
            <v>0</v>
          </cell>
          <cell r="C5271">
            <v>0</v>
          </cell>
          <cell r="D5271">
            <v>0</v>
          </cell>
          <cell r="E5271">
            <v>0</v>
          </cell>
          <cell r="F5271">
            <v>0</v>
          </cell>
          <cell r="G5271">
            <v>0</v>
          </cell>
          <cell r="H5271">
            <v>0</v>
          </cell>
          <cell r="I5271">
            <v>0</v>
          </cell>
          <cell r="J5271">
            <v>0</v>
          </cell>
          <cell r="K5271">
            <v>0</v>
          </cell>
          <cell r="L5271">
            <v>0</v>
          </cell>
          <cell r="M5271">
            <v>0</v>
          </cell>
          <cell r="N5271">
            <v>0</v>
          </cell>
          <cell r="O5271">
            <v>0</v>
          </cell>
        </row>
        <row r="5272">
          <cell r="A5272" t="str">
            <v>Japan - GECCF782 DF Recovery</v>
          </cell>
          <cell r="B5272">
            <v>0</v>
          </cell>
          <cell r="C5272">
            <v>0</v>
          </cell>
          <cell r="D5272">
            <v>0</v>
          </cell>
          <cell r="E5272">
            <v>0</v>
          </cell>
          <cell r="F5272">
            <v>0</v>
          </cell>
          <cell r="G5272">
            <v>0</v>
          </cell>
          <cell r="H5272">
            <v>0</v>
          </cell>
          <cell r="I5272">
            <v>0</v>
          </cell>
          <cell r="J5272">
            <v>0</v>
          </cell>
          <cell r="K5272">
            <v>0</v>
          </cell>
          <cell r="L5272">
            <v>0</v>
          </cell>
          <cell r="M5272">
            <v>0</v>
          </cell>
          <cell r="N5272">
            <v>0</v>
          </cell>
          <cell r="O5272">
            <v>0</v>
          </cell>
        </row>
        <row r="5273">
          <cell r="A5273" t="str">
            <v>Japan - GECCF783 Corp Level Provision</v>
          </cell>
          <cell r="B5273">
            <v>0</v>
          </cell>
          <cell r="C5273">
            <v>0</v>
          </cell>
          <cell r="D5273">
            <v>0</v>
          </cell>
          <cell r="E5273">
            <v>0</v>
          </cell>
          <cell r="F5273">
            <v>0</v>
          </cell>
          <cell r="G5273">
            <v>0</v>
          </cell>
          <cell r="H5273">
            <v>0</v>
          </cell>
          <cell r="I5273">
            <v>0</v>
          </cell>
          <cell r="J5273">
            <v>0</v>
          </cell>
          <cell r="K5273">
            <v>0</v>
          </cell>
          <cell r="L5273">
            <v>0</v>
          </cell>
          <cell r="M5273">
            <v>0</v>
          </cell>
          <cell r="N5273">
            <v>0</v>
          </cell>
          <cell r="O5273">
            <v>0</v>
          </cell>
        </row>
        <row r="5274">
          <cell r="A5274" t="str">
            <v>Japan - GECCF783 Corp Level Recovery</v>
          </cell>
          <cell r="B5274">
            <v>0</v>
          </cell>
          <cell r="C5274">
            <v>0</v>
          </cell>
          <cell r="D5274">
            <v>0</v>
          </cell>
          <cell r="E5274">
            <v>0</v>
          </cell>
          <cell r="F5274">
            <v>0</v>
          </cell>
          <cell r="G5274">
            <v>0</v>
          </cell>
          <cell r="H5274">
            <v>0</v>
          </cell>
          <cell r="I5274">
            <v>0</v>
          </cell>
          <cell r="J5274">
            <v>0</v>
          </cell>
          <cell r="K5274">
            <v>0</v>
          </cell>
          <cell r="L5274">
            <v>0</v>
          </cell>
          <cell r="M5274">
            <v>0</v>
          </cell>
          <cell r="N5274">
            <v>0</v>
          </cell>
          <cell r="O5274">
            <v>0</v>
          </cell>
        </row>
        <row r="5275">
          <cell r="A5275" t="str">
            <v>Japan - GECCF784 Business Share Provision</v>
          </cell>
          <cell r="B5275">
            <v>0</v>
          </cell>
          <cell r="C5275">
            <v>0</v>
          </cell>
          <cell r="D5275">
            <v>0</v>
          </cell>
          <cell r="E5275">
            <v>0</v>
          </cell>
          <cell r="F5275">
            <v>0</v>
          </cell>
          <cell r="G5275">
            <v>0</v>
          </cell>
          <cell r="H5275">
            <v>0</v>
          </cell>
          <cell r="I5275">
            <v>0</v>
          </cell>
          <cell r="J5275">
            <v>0</v>
          </cell>
          <cell r="K5275">
            <v>0</v>
          </cell>
          <cell r="L5275">
            <v>0</v>
          </cell>
          <cell r="M5275">
            <v>0</v>
          </cell>
          <cell r="N5275">
            <v>0</v>
          </cell>
          <cell r="O5275">
            <v>0</v>
          </cell>
        </row>
        <row r="5276">
          <cell r="A5276" t="str">
            <v>Japan - GECCFReserves - Business Sharing</v>
          </cell>
          <cell r="B5276">
            <v>0</v>
          </cell>
          <cell r="C5276">
            <v>0</v>
          </cell>
          <cell r="D5276">
            <v>0</v>
          </cell>
          <cell r="E5276">
            <v>0</v>
          </cell>
          <cell r="F5276">
            <v>0</v>
          </cell>
          <cell r="G5276">
            <v>0</v>
          </cell>
          <cell r="H5276">
            <v>0</v>
          </cell>
          <cell r="I5276">
            <v>0</v>
          </cell>
          <cell r="J5276">
            <v>0</v>
          </cell>
          <cell r="K5276">
            <v>0</v>
          </cell>
          <cell r="L5276">
            <v>0</v>
          </cell>
          <cell r="M5276">
            <v>0</v>
          </cell>
          <cell r="N5276">
            <v>0</v>
          </cell>
          <cell r="O5276">
            <v>0</v>
          </cell>
        </row>
        <row r="5277">
          <cell r="A5277" t="str">
            <v>KoreaNEA - Fixed Rate</v>
          </cell>
          <cell r="B5277">
            <v>0</v>
          </cell>
          <cell r="C5277">
            <v>0</v>
          </cell>
          <cell r="D5277">
            <v>0</v>
          </cell>
          <cell r="E5277">
            <v>0</v>
          </cell>
          <cell r="F5277">
            <v>0</v>
          </cell>
          <cell r="G5277">
            <v>0</v>
          </cell>
          <cell r="H5277">
            <v>0</v>
          </cell>
          <cell r="I5277">
            <v>0</v>
          </cell>
          <cell r="J5277">
            <v>0</v>
          </cell>
          <cell r="K5277">
            <v>0</v>
          </cell>
          <cell r="L5277">
            <v>0</v>
          </cell>
          <cell r="M5277">
            <v>0</v>
          </cell>
          <cell r="N5277">
            <v>0</v>
          </cell>
          <cell r="O5277">
            <v>0</v>
          </cell>
        </row>
        <row r="5278">
          <cell r="A5278" t="str">
            <v>KoreaNEA - Floating Rate</v>
          </cell>
          <cell r="B5278">
            <v>0</v>
          </cell>
          <cell r="C5278">
            <v>0</v>
          </cell>
          <cell r="D5278">
            <v>0</v>
          </cell>
          <cell r="E5278">
            <v>0</v>
          </cell>
          <cell r="F5278">
            <v>0</v>
          </cell>
          <cell r="G5278">
            <v>0</v>
          </cell>
          <cell r="H5278">
            <v>0</v>
          </cell>
          <cell r="I5278">
            <v>0</v>
          </cell>
          <cell r="J5278">
            <v>0</v>
          </cell>
          <cell r="K5278">
            <v>0</v>
          </cell>
          <cell r="L5278">
            <v>0</v>
          </cell>
          <cell r="M5278">
            <v>0</v>
          </cell>
          <cell r="N5278">
            <v>0</v>
          </cell>
          <cell r="O5278">
            <v>0</v>
          </cell>
        </row>
        <row r="5279">
          <cell r="A5279" t="str">
            <v>KoreaReserves - FX Gain / Loss</v>
          </cell>
          <cell r="B5279">
            <v>123312.82</v>
          </cell>
          <cell r="C5279">
            <v>127678.6</v>
          </cell>
          <cell r="D5279">
            <v>132773.65</v>
          </cell>
          <cell r="E5279">
            <v>99007.61</v>
          </cell>
          <cell r="F5279">
            <v>99007.61</v>
          </cell>
          <cell r="G5279">
            <v>0</v>
          </cell>
          <cell r="H5279">
            <v>0</v>
          </cell>
          <cell r="I5279">
            <v>0</v>
          </cell>
          <cell r="J5279">
            <v>0</v>
          </cell>
          <cell r="K5279">
            <v>0</v>
          </cell>
          <cell r="L5279">
            <v>171890.16</v>
          </cell>
          <cell r="M5279">
            <v>0</v>
          </cell>
          <cell r="N5279">
            <v>0</v>
          </cell>
          <cell r="O5279">
            <v>0</v>
          </cell>
        </row>
        <row r="5280">
          <cell r="A5280" t="str">
            <v>KoreaReserves - Provisons</v>
          </cell>
          <cell r="B5280">
            <v>-290412.13</v>
          </cell>
          <cell r="C5280">
            <v>-789915.03</v>
          </cell>
          <cell r="D5280">
            <v>-1237619.97</v>
          </cell>
          <cell r="E5280">
            <v>-2331799.7000000002</v>
          </cell>
          <cell r="F5280">
            <v>-2331799.7000000002</v>
          </cell>
          <cell r="G5280">
            <v>0</v>
          </cell>
          <cell r="H5280">
            <v>0</v>
          </cell>
          <cell r="I5280">
            <v>0</v>
          </cell>
          <cell r="J5280">
            <v>0</v>
          </cell>
          <cell r="K5280">
            <v>0</v>
          </cell>
          <cell r="L5280">
            <v>-941632.26</v>
          </cell>
          <cell r="M5280">
            <v>0</v>
          </cell>
          <cell r="N5280">
            <v>0</v>
          </cell>
          <cell r="O5280">
            <v>0</v>
          </cell>
        </row>
        <row r="5281">
          <cell r="A5281" t="str">
            <v>KoreaReserves - Recoveries</v>
          </cell>
          <cell r="B5281">
            <v>0</v>
          </cell>
          <cell r="C5281">
            <v>0</v>
          </cell>
          <cell r="D5281">
            <v>-7838.89</v>
          </cell>
          <cell r="E5281">
            <v>-23752.92</v>
          </cell>
          <cell r="F5281">
            <v>-23752.92</v>
          </cell>
          <cell r="G5281">
            <v>0</v>
          </cell>
          <cell r="H5281">
            <v>0</v>
          </cell>
          <cell r="I5281">
            <v>0</v>
          </cell>
          <cell r="J5281">
            <v>0</v>
          </cell>
          <cell r="K5281">
            <v>0</v>
          </cell>
          <cell r="L5281">
            <v>-2320.13</v>
          </cell>
          <cell r="M5281">
            <v>0</v>
          </cell>
          <cell r="N5281">
            <v>0</v>
          </cell>
          <cell r="O5281">
            <v>0</v>
          </cell>
        </row>
        <row r="5282">
          <cell r="A5282" t="str">
            <v>KoreaReserves - BOP</v>
          </cell>
          <cell r="B5282">
            <v>-1002615.32</v>
          </cell>
          <cell r="C5282">
            <v>-1002615.32</v>
          </cell>
          <cell r="D5282">
            <v>-1002615.32</v>
          </cell>
          <cell r="E5282">
            <v>-1002615.32</v>
          </cell>
          <cell r="F5282">
            <v>-1002615.32</v>
          </cell>
          <cell r="G5282">
            <v>-3722016.9432250001</v>
          </cell>
          <cell r="H5282">
            <v>-5451035.4746409999</v>
          </cell>
          <cell r="I5282">
            <v>-7276879.844815</v>
          </cell>
          <cell r="J5282">
            <v>-9047711.6336109992</v>
          </cell>
          <cell r="K5282">
            <v>-9047711.6336109992</v>
          </cell>
          <cell r="L5282">
            <v>-2422068.19</v>
          </cell>
          <cell r="M5282">
            <v>-4371476.4412850002</v>
          </cell>
          <cell r="N5282">
            <v>-7207286.7842229996</v>
          </cell>
          <cell r="O5282">
            <v>-14566103.626522999</v>
          </cell>
        </row>
        <row r="5283">
          <cell r="A5283" t="str">
            <v>KoreaReserves - Transfers &amp; Others</v>
          </cell>
          <cell r="B5283">
            <v>0</v>
          </cell>
          <cell r="C5283">
            <v>0</v>
          </cell>
          <cell r="D5283">
            <v>0</v>
          </cell>
          <cell r="E5283">
            <v>0</v>
          </cell>
          <cell r="F5283">
            <v>0</v>
          </cell>
          <cell r="G5283">
            <v>0</v>
          </cell>
          <cell r="H5283">
            <v>0</v>
          </cell>
          <cell r="I5283">
            <v>0</v>
          </cell>
          <cell r="J5283">
            <v>0</v>
          </cell>
          <cell r="K5283">
            <v>0</v>
          </cell>
          <cell r="L5283">
            <v>0</v>
          </cell>
          <cell r="M5283">
            <v>0</v>
          </cell>
          <cell r="N5283">
            <v>0</v>
          </cell>
          <cell r="O5283">
            <v>0</v>
          </cell>
        </row>
        <row r="5284">
          <cell r="A5284" t="str">
            <v>KoreaReserves - Write-Offs</v>
          </cell>
          <cell r="B5284">
            <v>-8138.44</v>
          </cell>
          <cell r="C5284">
            <v>186331.02</v>
          </cell>
          <cell r="D5284">
            <v>470940.29</v>
          </cell>
          <cell r="E5284">
            <v>936099.75</v>
          </cell>
          <cell r="F5284">
            <v>936099.75</v>
          </cell>
          <cell r="G5284">
            <v>355683.22785800003</v>
          </cell>
          <cell r="H5284">
            <v>831604.54882699996</v>
          </cell>
          <cell r="I5284">
            <v>1434393.208176</v>
          </cell>
          <cell r="J5284">
            <v>2151538.7464040001</v>
          </cell>
          <cell r="K5284">
            <v>2151538.7464040001</v>
          </cell>
          <cell r="L5284">
            <v>437845.96</v>
          </cell>
          <cell r="M5284">
            <v>451000</v>
          </cell>
          <cell r="N5284">
            <v>1232000</v>
          </cell>
          <cell r="O5284">
            <v>5695000</v>
          </cell>
        </row>
        <row r="5285">
          <cell r="A5285" t="str">
            <v>Korea780 FR Provision</v>
          </cell>
          <cell r="B5285">
            <v>290412.13</v>
          </cell>
          <cell r="C5285">
            <v>499502.9</v>
          </cell>
          <cell r="D5285">
            <v>447704.94</v>
          </cell>
          <cell r="E5285">
            <v>1094179.73</v>
          </cell>
          <cell r="F5285">
            <v>2331799.7000000002</v>
          </cell>
          <cell r="G5285">
            <v>0</v>
          </cell>
          <cell r="H5285">
            <v>0</v>
          </cell>
          <cell r="I5285">
            <v>0</v>
          </cell>
          <cell r="J5285">
            <v>0</v>
          </cell>
          <cell r="K5285">
            <v>0</v>
          </cell>
          <cell r="L5285">
            <v>941632.26</v>
          </cell>
          <cell r="M5285">
            <v>0</v>
          </cell>
          <cell r="N5285">
            <v>0</v>
          </cell>
          <cell r="O5285">
            <v>0</v>
          </cell>
        </row>
        <row r="5286">
          <cell r="A5286" t="str">
            <v>Korea780 FR Recovery</v>
          </cell>
          <cell r="B5286">
            <v>0</v>
          </cell>
          <cell r="C5286">
            <v>0</v>
          </cell>
          <cell r="D5286">
            <v>0</v>
          </cell>
          <cell r="E5286">
            <v>0</v>
          </cell>
          <cell r="F5286">
            <v>0</v>
          </cell>
          <cell r="G5286">
            <v>938683.677517</v>
          </cell>
          <cell r="H5286">
            <v>1253097.2112040001</v>
          </cell>
          <cell r="I5286">
            <v>1223055.710825</v>
          </cell>
          <cell r="J5286">
            <v>1053686.2505679999</v>
          </cell>
          <cell r="K5286">
            <v>4468522.850114</v>
          </cell>
          <cell r="L5286">
            <v>0</v>
          </cell>
          <cell r="M5286">
            <v>2221823.8984619998</v>
          </cell>
          <cell r="N5286">
            <v>8286810.3429309996</v>
          </cell>
          <cell r="O5286">
            <v>10090816.8423</v>
          </cell>
        </row>
        <row r="5287">
          <cell r="A5287" t="str">
            <v>Korea781 LL Provision</v>
          </cell>
          <cell r="B5287">
            <v>0</v>
          </cell>
          <cell r="C5287">
            <v>0</v>
          </cell>
          <cell r="D5287">
            <v>0</v>
          </cell>
          <cell r="E5287">
            <v>0</v>
          </cell>
          <cell r="F5287">
            <v>0</v>
          </cell>
          <cell r="G5287">
            <v>0</v>
          </cell>
          <cell r="H5287">
            <v>0</v>
          </cell>
          <cell r="I5287">
            <v>0</v>
          </cell>
          <cell r="J5287">
            <v>0</v>
          </cell>
          <cell r="K5287">
            <v>0</v>
          </cell>
          <cell r="L5287">
            <v>0</v>
          </cell>
          <cell r="M5287">
            <v>0</v>
          </cell>
          <cell r="N5287">
            <v>0</v>
          </cell>
          <cell r="O5287">
            <v>0</v>
          </cell>
        </row>
        <row r="5288">
          <cell r="A5288" t="str">
            <v>Korea781 LL Recovery</v>
          </cell>
          <cell r="B5288">
            <v>0</v>
          </cell>
          <cell r="C5288">
            <v>0</v>
          </cell>
          <cell r="D5288">
            <v>0</v>
          </cell>
          <cell r="E5288">
            <v>0</v>
          </cell>
          <cell r="F5288">
            <v>0</v>
          </cell>
          <cell r="G5288">
            <v>0</v>
          </cell>
          <cell r="H5288">
            <v>0</v>
          </cell>
          <cell r="I5288">
            <v>0</v>
          </cell>
          <cell r="J5288">
            <v>0</v>
          </cell>
          <cell r="K5288">
            <v>0</v>
          </cell>
          <cell r="L5288">
            <v>0</v>
          </cell>
          <cell r="M5288">
            <v>0</v>
          </cell>
          <cell r="N5288">
            <v>0</v>
          </cell>
          <cell r="O5288">
            <v>0</v>
          </cell>
        </row>
        <row r="5289">
          <cell r="A5289" t="str">
            <v>Korea782 DF Provision</v>
          </cell>
          <cell r="B5289">
            <v>0</v>
          </cell>
          <cell r="C5289">
            <v>0</v>
          </cell>
          <cell r="D5289">
            <v>0</v>
          </cell>
          <cell r="E5289">
            <v>0</v>
          </cell>
          <cell r="F5289">
            <v>0</v>
          </cell>
          <cell r="G5289">
            <v>0</v>
          </cell>
          <cell r="H5289">
            <v>0</v>
          </cell>
          <cell r="I5289">
            <v>0</v>
          </cell>
          <cell r="J5289">
            <v>0</v>
          </cell>
          <cell r="K5289">
            <v>0</v>
          </cell>
          <cell r="L5289">
            <v>0</v>
          </cell>
          <cell r="M5289">
            <v>0</v>
          </cell>
          <cell r="N5289">
            <v>0</v>
          </cell>
          <cell r="O5289">
            <v>0</v>
          </cell>
        </row>
        <row r="5290">
          <cell r="A5290" t="str">
            <v>Korea782 DF Recovery</v>
          </cell>
          <cell r="B5290">
            <v>0</v>
          </cell>
          <cell r="C5290">
            <v>0</v>
          </cell>
          <cell r="D5290">
            <v>0</v>
          </cell>
          <cell r="E5290">
            <v>0</v>
          </cell>
          <cell r="F5290">
            <v>0</v>
          </cell>
          <cell r="G5290">
            <v>0</v>
          </cell>
          <cell r="H5290">
            <v>0</v>
          </cell>
          <cell r="I5290">
            <v>0</v>
          </cell>
          <cell r="J5290">
            <v>0</v>
          </cell>
          <cell r="K5290">
            <v>0</v>
          </cell>
          <cell r="L5290">
            <v>0</v>
          </cell>
          <cell r="M5290">
            <v>0</v>
          </cell>
          <cell r="N5290">
            <v>0</v>
          </cell>
          <cell r="O5290">
            <v>0</v>
          </cell>
        </row>
        <row r="5291">
          <cell r="A5291" t="str">
            <v>Korea783 Corp Level Provision</v>
          </cell>
          <cell r="B5291">
            <v>0</v>
          </cell>
          <cell r="C5291">
            <v>0</v>
          </cell>
          <cell r="D5291">
            <v>0</v>
          </cell>
          <cell r="E5291">
            <v>0</v>
          </cell>
          <cell r="F5291">
            <v>0</v>
          </cell>
          <cell r="G5291">
            <v>0</v>
          </cell>
          <cell r="H5291">
            <v>0</v>
          </cell>
          <cell r="I5291">
            <v>0</v>
          </cell>
          <cell r="J5291">
            <v>0</v>
          </cell>
          <cell r="K5291">
            <v>0</v>
          </cell>
          <cell r="L5291">
            <v>0</v>
          </cell>
          <cell r="M5291">
            <v>0</v>
          </cell>
          <cell r="N5291">
            <v>0</v>
          </cell>
          <cell r="O5291">
            <v>0</v>
          </cell>
        </row>
        <row r="5292">
          <cell r="A5292" t="str">
            <v>Korea783 Corp Level Recovery</v>
          </cell>
          <cell r="B5292">
            <v>0</v>
          </cell>
          <cell r="C5292">
            <v>0</v>
          </cell>
          <cell r="D5292">
            <v>0</v>
          </cell>
          <cell r="E5292">
            <v>0</v>
          </cell>
          <cell r="F5292">
            <v>0</v>
          </cell>
          <cell r="G5292">
            <v>0</v>
          </cell>
          <cell r="H5292">
            <v>0</v>
          </cell>
          <cell r="I5292">
            <v>0</v>
          </cell>
          <cell r="J5292">
            <v>0</v>
          </cell>
          <cell r="K5292">
            <v>0</v>
          </cell>
          <cell r="L5292">
            <v>0</v>
          </cell>
          <cell r="M5292">
            <v>0</v>
          </cell>
          <cell r="N5292">
            <v>0</v>
          </cell>
          <cell r="O5292">
            <v>0</v>
          </cell>
        </row>
        <row r="5293">
          <cell r="A5293" t="str">
            <v>Korea784 Business Share Provision</v>
          </cell>
          <cell r="B5293">
            <v>0</v>
          </cell>
          <cell r="C5293">
            <v>0</v>
          </cell>
          <cell r="D5293">
            <v>0</v>
          </cell>
          <cell r="E5293">
            <v>0</v>
          </cell>
          <cell r="F5293">
            <v>0</v>
          </cell>
          <cell r="G5293">
            <v>0</v>
          </cell>
          <cell r="H5293">
            <v>0</v>
          </cell>
          <cell r="I5293">
            <v>0</v>
          </cell>
          <cell r="J5293">
            <v>0</v>
          </cell>
          <cell r="K5293">
            <v>0</v>
          </cell>
          <cell r="L5293">
            <v>0</v>
          </cell>
          <cell r="M5293">
            <v>0</v>
          </cell>
          <cell r="N5293">
            <v>0</v>
          </cell>
          <cell r="O5293">
            <v>0</v>
          </cell>
        </row>
        <row r="5294">
          <cell r="A5294" t="str">
            <v>KoreaReserves - Business Sharing</v>
          </cell>
          <cell r="B5294">
            <v>0</v>
          </cell>
          <cell r="C5294">
            <v>0</v>
          </cell>
          <cell r="D5294">
            <v>0</v>
          </cell>
          <cell r="E5294">
            <v>0</v>
          </cell>
          <cell r="F5294">
            <v>0</v>
          </cell>
          <cell r="G5294">
            <v>0</v>
          </cell>
          <cell r="H5294">
            <v>0</v>
          </cell>
          <cell r="I5294">
            <v>0</v>
          </cell>
          <cell r="J5294">
            <v>0</v>
          </cell>
          <cell r="K5294">
            <v>0</v>
          </cell>
          <cell r="L5294">
            <v>0</v>
          </cell>
          <cell r="M5294">
            <v>0</v>
          </cell>
          <cell r="N5294">
            <v>0</v>
          </cell>
          <cell r="O5294">
            <v>0</v>
          </cell>
        </row>
        <row r="5295">
          <cell r="A5295" t="str">
            <v>Mail ServicesNEA - Fixed Rate</v>
          </cell>
          <cell r="B5295">
            <v>0</v>
          </cell>
          <cell r="C5295">
            <v>0</v>
          </cell>
          <cell r="D5295">
            <v>0</v>
          </cell>
          <cell r="E5295">
            <v>0</v>
          </cell>
          <cell r="F5295">
            <v>0</v>
          </cell>
          <cell r="G5295">
            <v>0</v>
          </cell>
          <cell r="H5295">
            <v>0</v>
          </cell>
          <cell r="I5295">
            <v>0</v>
          </cell>
          <cell r="J5295">
            <v>0</v>
          </cell>
          <cell r="K5295">
            <v>0</v>
          </cell>
          <cell r="L5295">
            <v>0</v>
          </cell>
          <cell r="M5295">
            <v>0</v>
          </cell>
          <cell r="N5295">
            <v>0</v>
          </cell>
          <cell r="O5295">
            <v>0</v>
          </cell>
        </row>
        <row r="5296">
          <cell r="A5296" t="str">
            <v>Mail ServicesNEA - Floating Rate</v>
          </cell>
          <cell r="B5296">
            <v>0</v>
          </cell>
          <cell r="C5296">
            <v>0</v>
          </cell>
          <cell r="D5296">
            <v>0</v>
          </cell>
          <cell r="E5296">
            <v>0</v>
          </cell>
          <cell r="F5296">
            <v>0</v>
          </cell>
          <cell r="G5296">
            <v>0</v>
          </cell>
          <cell r="H5296">
            <v>0</v>
          </cell>
          <cell r="I5296">
            <v>0</v>
          </cell>
          <cell r="J5296">
            <v>0</v>
          </cell>
          <cell r="K5296">
            <v>0</v>
          </cell>
          <cell r="L5296">
            <v>0</v>
          </cell>
          <cell r="M5296">
            <v>0</v>
          </cell>
          <cell r="N5296">
            <v>0</v>
          </cell>
          <cell r="O5296">
            <v>0</v>
          </cell>
        </row>
        <row r="5297">
          <cell r="A5297" t="str">
            <v>Mail ServicesReserves - FX Gain / Loss</v>
          </cell>
          <cell r="B5297">
            <v>0</v>
          </cell>
          <cell r="C5297">
            <v>0</v>
          </cell>
          <cell r="D5297">
            <v>0</v>
          </cell>
          <cell r="E5297">
            <v>0</v>
          </cell>
          <cell r="F5297">
            <v>0</v>
          </cell>
          <cell r="G5297">
            <v>0</v>
          </cell>
          <cell r="H5297">
            <v>0</v>
          </cell>
          <cell r="I5297">
            <v>0</v>
          </cell>
          <cell r="J5297">
            <v>0</v>
          </cell>
          <cell r="K5297">
            <v>0</v>
          </cell>
          <cell r="L5297">
            <v>0</v>
          </cell>
          <cell r="M5297">
            <v>0</v>
          </cell>
          <cell r="N5297">
            <v>0</v>
          </cell>
          <cell r="O5297">
            <v>0</v>
          </cell>
        </row>
        <row r="5298">
          <cell r="A5298" t="str">
            <v>Mail ServicesReserves - Provisons</v>
          </cell>
          <cell r="B5298">
            <v>0</v>
          </cell>
          <cell r="C5298">
            <v>0</v>
          </cell>
          <cell r="D5298">
            <v>0</v>
          </cell>
          <cell r="E5298">
            <v>0</v>
          </cell>
          <cell r="F5298">
            <v>0</v>
          </cell>
          <cell r="G5298">
            <v>0</v>
          </cell>
          <cell r="H5298">
            <v>0</v>
          </cell>
          <cell r="I5298">
            <v>0</v>
          </cell>
          <cell r="J5298">
            <v>0</v>
          </cell>
          <cell r="K5298">
            <v>0</v>
          </cell>
          <cell r="L5298">
            <v>0</v>
          </cell>
          <cell r="M5298">
            <v>0</v>
          </cell>
          <cell r="N5298">
            <v>0</v>
          </cell>
          <cell r="O5298">
            <v>0</v>
          </cell>
        </row>
        <row r="5299">
          <cell r="A5299" t="str">
            <v>Mail ServicesReserves - Recoveries</v>
          </cell>
          <cell r="B5299">
            <v>0</v>
          </cell>
          <cell r="C5299">
            <v>0</v>
          </cell>
          <cell r="D5299">
            <v>0</v>
          </cell>
          <cell r="E5299">
            <v>0</v>
          </cell>
          <cell r="F5299">
            <v>0</v>
          </cell>
          <cell r="G5299">
            <v>0</v>
          </cell>
          <cell r="H5299">
            <v>0</v>
          </cell>
          <cell r="I5299">
            <v>0</v>
          </cell>
          <cell r="J5299">
            <v>0</v>
          </cell>
          <cell r="K5299">
            <v>0</v>
          </cell>
          <cell r="L5299">
            <v>0</v>
          </cell>
          <cell r="M5299">
            <v>0</v>
          </cell>
          <cell r="N5299">
            <v>0</v>
          </cell>
          <cell r="O5299">
            <v>0</v>
          </cell>
        </row>
        <row r="5300">
          <cell r="A5300" t="str">
            <v>Mail ServicesReserves - BOP</v>
          </cell>
          <cell r="B5300">
            <v>0</v>
          </cell>
          <cell r="C5300">
            <v>0</v>
          </cell>
          <cell r="D5300">
            <v>0</v>
          </cell>
          <cell r="E5300">
            <v>0</v>
          </cell>
          <cell r="F5300">
            <v>0</v>
          </cell>
          <cell r="G5300">
            <v>0</v>
          </cell>
          <cell r="H5300">
            <v>0</v>
          </cell>
          <cell r="I5300">
            <v>0</v>
          </cell>
          <cell r="J5300">
            <v>0</v>
          </cell>
          <cell r="K5300">
            <v>0</v>
          </cell>
          <cell r="L5300">
            <v>0</v>
          </cell>
          <cell r="M5300">
            <v>0</v>
          </cell>
          <cell r="N5300">
            <v>0</v>
          </cell>
          <cell r="O5300">
            <v>0</v>
          </cell>
        </row>
        <row r="5301">
          <cell r="A5301" t="str">
            <v>Mail ServicesReserves - Transfers &amp; Others</v>
          </cell>
          <cell r="B5301">
            <v>0</v>
          </cell>
          <cell r="C5301">
            <v>0</v>
          </cell>
          <cell r="D5301">
            <v>0</v>
          </cell>
          <cell r="E5301">
            <v>0</v>
          </cell>
          <cell r="F5301">
            <v>0</v>
          </cell>
          <cell r="G5301">
            <v>0</v>
          </cell>
          <cell r="H5301">
            <v>0</v>
          </cell>
          <cell r="I5301">
            <v>0</v>
          </cell>
          <cell r="J5301">
            <v>0</v>
          </cell>
          <cell r="K5301">
            <v>0</v>
          </cell>
          <cell r="L5301">
            <v>0</v>
          </cell>
          <cell r="M5301">
            <v>0</v>
          </cell>
          <cell r="N5301">
            <v>0</v>
          </cell>
          <cell r="O5301">
            <v>0</v>
          </cell>
        </row>
        <row r="5302">
          <cell r="A5302" t="str">
            <v>Mail ServicesReserves - Write-Offs</v>
          </cell>
          <cell r="B5302">
            <v>0</v>
          </cell>
          <cell r="C5302">
            <v>0</v>
          </cell>
          <cell r="D5302">
            <v>0</v>
          </cell>
          <cell r="E5302">
            <v>0</v>
          </cell>
          <cell r="F5302">
            <v>0</v>
          </cell>
          <cell r="G5302">
            <v>0</v>
          </cell>
          <cell r="H5302">
            <v>0</v>
          </cell>
          <cell r="I5302">
            <v>0</v>
          </cell>
          <cell r="J5302">
            <v>0</v>
          </cell>
          <cell r="K5302">
            <v>0</v>
          </cell>
          <cell r="L5302">
            <v>0</v>
          </cell>
          <cell r="M5302">
            <v>0</v>
          </cell>
          <cell r="N5302">
            <v>0</v>
          </cell>
          <cell r="O5302">
            <v>0</v>
          </cell>
        </row>
        <row r="5303">
          <cell r="A5303" t="str">
            <v>Mail Services780 FR Provision</v>
          </cell>
          <cell r="B5303">
            <v>0</v>
          </cell>
          <cell r="C5303">
            <v>0</v>
          </cell>
          <cell r="D5303">
            <v>-20.02</v>
          </cell>
          <cell r="E5303">
            <v>0</v>
          </cell>
          <cell r="F5303">
            <v>-20.02</v>
          </cell>
          <cell r="G5303">
            <v>0</v>
          </cell>
          <cell r="H5303">
            <v>0</v>
          </cell>
          <cell r="I5303">
            <v>0</v>
          </cell>
          <cell r="J5303">
            <v>0</v>
          </cell>
          <cell r="K5303">
            <v>0</v>
          </cell>
          <cell r="L5303">
            <v>0</v>
          </cell>
          <cell r="M5303">
            <v>0</v>
          </cell>
          <cell r="N5303">
            <v>0</v>
          </cell>
          <cell r="O5303">
            <v>0</v>
          </cell>
        </row>
        <row r="5304">
          <cell r="A5304" t="str">
            <v>Mail Services780 FR Recovery</v>
          </cell>
          <cell r="B5304">
            <v>0</v>
          </cell>
          <cell r="C5304">
            <v>0</v>
          </cell>
          <cell r="D5304">
            <v>0</v>
          </cell>
          <cell r="E5304">
            <v>0</v>
          </cell>
          <cell r="F5304">
            <v>0</v>
          </cell>
          <cell r="G5304">
            <v>0</v>
          </cell>
          <cell r="H5304">
            <v>0</v>
          </cell>
          <cell r="I5304">
            <v>0</v>
          </cell>
          <cell r="J5304">
            <v>0</v>
          </cell>
          <cell r="K5304">
            <v>0</v>
          </cell>
          <cell r="L5304">
            <v>0</v>
          </cell>
          <cell r="M5304">
            <v>0</v>
          </cell>
          <cell r="N5304">
            <v>0</v>
          </cell>
          <cell r="O5304">
            <v>0</v>
          </cell>
        </row>
        <row r="5305">
          <cell r="A5305" t="str">
            <v>Mail Services781 LL Provision</v>
          </cell>
          <cell r="B5305">
            <v>0</v>
          </cell>
          <cell r="C5305">
            <v>0</v>
          </cell>
          <cell r="D5305">
            <v>0</v>
          </cell>
          <cell r="E5305">
            <v>0</v>
          </cell>
          <cell r="F5305">
            <v>0</v>
          </cell>
          <cell r="G5305">
            <v>0</v>
          </cell>
          <cell r="H5305">
            <v>0</v>
          </cell>
          <cell r="I5305">
            <v>0</v>
          </cell>
          <cell r="J5305">
            <v>0</v>
          </cell>
          <cell r="K5305">
            <v>0</v>
          </cell>
          <cell r="L5305">
            <v>0</v>
          </cell>
          <cell r="M5305">
            <v>0</v>
          </cell>
          <cell r="N5305">
            <v>0</v>
          </cell>
          <cell r="O5305">
            <v>0</v>
          </cell>
        </row>
        <row r="5306">
          <cell r="A5306" t="str">
            <v>Mail Services781 LL Recovery</v>
          </cell>
          <cell r="B5306">
            <v>0</v>
          </cell>
          <cell r="C5306">
            <v>0</v>
          </cell>
          <cell r="D5306">
            <v>0</v>
          </cell>
          <cell r="E5306">
            <v>0</v>
          </cell>
          <cell r="F5306">
            <v>0</v>
          </cell>
          <cell r="G5306">
            <v>0</v>
          </cell>
          <cell r="H5306">
            <v>0</v>
          </cell>
          <cell r="I5306">
            <v>0</v>
          </cell>
          <cell r="J5306">
            <v>0</v>
          </cell>
          <cell r="K5306">
            <v>0</v>
          </cell>
          <cell r="L5306">
            <v>0</v>
          </cell>
          <cell r="M5306">
            <v>0</v>
          </cell>
          <cell r="N5306">
            <v>0</v>
          </cell>
          <cell r="O5306">
            <v>0</v>
          </cell>
        </row>
        <row r="5307">
          <cell r="A5307" t="str">
            <v>Mail Services782 DF Provision</v>
          </cell>
          <cell r="B5307">
            <v>0</v>
          </cell>
          <cell r="C5307">
            <v>0</v>
          </cell>
          <cell r="D5307">
            <v>0</v>
          </cell>
          <cell r="E5307">
            <v>0</v>
          </cell>
          <cell r="F5307">
            <v>0</v>
          </cell>
          <cell r="G5307">
            <v>0</v>
          </cell>
          <cell r="H5307">
            <v>0</v>
          </cell>
          <cell r="I5307">
            <v>0</v>
          </cell>
          <cell r="J5307">
            <v>0</v>
          </cell>
          <cell r="K5307">
            <v>0</v>
          </cell>
          <cell r="L5307">
            <v>0</v>
          </cell>
          <cell r="M5307">
            <v>0</v>
          </cell>
          <cell r="N5307">
            <v>0</v>
          </cell>
          <cell r="O5307">
            <v>0</v>
          </cell>
        </row>
        <row r="5308">
          <cell r="A5308" t="str">
            <v>Mail Services782 DF Recovery</v>
          </cell>
          <cell r="B5308">
            <v>0</v>
          </cell>
          <cell r="C5308">
            <v>0</v>
          </cell>
          <cell r="D5308">
            <v>0</v>
          </cell>
          <cell r="E5308">
            <v>0</v>
          </cell>
          <cell r="F5308">
            <v>0</v>
          </cell>
          <cell r="G5308">
            <v>0</v>
          </cell>
          <cell r="H5308">
            <v>0</v>
          </cell>
          <cell r="I5308">
            <v>0</v>
          </cell>
          <cell r="J5308">
            <v>0</v>
          </cell>
          <cell r="K5308">
            <v>0</v>
          </cell>
          <cell r="L5308">
            <v>0</v>
          </cell>
          <cell r="M5308">
            <v>0</v>
          </cell>
          <cell r="N5308">
            <v>0</v>
          </cell>
          <cell r="O5308">
            <v>0</v>
          </cell>
        </row>
        <row r="5309">
          <cell r="A5309" t="str">
            <v>Mail Services783 Corp Level Provision</v>
          </cell>
          <cell r="B5309">
            <v>0</v>
          </cell>
          <cell r="C5309">
            <v>0</v>
          </cell>
          <cell r="D5309">
            <v>0</v>
          </cell>
          <cell r="E5309">
            <v>0</v>
          </cell>
          <cell r="F5309">
            <v>0</v>
          </cell>
          <cell r="G5309">
            <v>0</v>
          </cell>
          <cell r="H5309">
            <v>0</v>
          </cell>
          <cell r="I5309">
            <v>0</v>
          </cell>
          <cell r="J5309">
            <v>0</v>
          </cell>
          <cell r="K5309">
            <v>0</v>
          </cell>
          <cell r="L5309">
            <v>0</v>
          </cell>
          <cell r="M5309">
            <v>0</v>
          </cell>
          <cell r="N5309">
            <v>0</v>
          </cell>
          <cell r="O5309">
            <v>0</v>
          </cell>
        </row>
        <row r="5310">
          <cell r="A5310" t="str">
            <v>Mail Services783 Corp Level Recovery</v>
          </cell>
          <cell r="B5310">
            <v>0</v>
          </cell>
          <cell r="C5310">
            <v>0</v>
          </cell>
          <cell r="D5310">
            <v>0</v>
          </cell>
          <cell r="E5310">
            <v>0</v>
          </cell>
          <cell r="F5310">
            <v>0</v>
          </cell>
          <cell r="G5310">
            <v>0</v>
          </cell>
          <cell r="H5310">
            <v>0</v>
          </cell>
          <cell r="I5310">
            <v>0</v>
          </cell>
          <cell r="J5310">
            <v>0</v>
          </cell>
          <cell r="K5310">
            <v>0</v>
          </cell>
          <cell r="L5310">
            <v>0</v>
          </cell>
          <cell r="M5310">
            <v>0</v>
          </cell>
          <cell r="N5310">
            <v>0</v>
          </cell>
          <cell r="O5310">
            <v>0</v>
          </cell>
        </row>
        <row r="5311">
          <cell r="A5311" t="str">
            <v>Mail Services784 Business Share Provision</v>
          </cell>
          <cell r="B5311">
            <v>0</v>
          </cell>
          <cell r="C5311">
            <v>0</v>
          </cell>
          <cell r="D5311">
            <v>0</v>
          </cell>
          <cell r="E5311">
            <v>0</v>
          </cell>
          <cell r="F5311">
            <v>0</v>
          </cell>
          <cell r="G5311">
            <v>0</v>
          </cell>
          <cell r="H5311">
            <v>0</v>
          </cell>
          <cell r="I5311">
            <v>0</v>
          </cell>
          <cell r="J5311">
            <v>0</v>
          </cell>
          <cell r="K5311">
            <v>0</v>
          </cell>
          <cell r="L5311">
            <v>0</v>
          </cell>
          <cell r="M5311">
            <v>0</v>
          </cell>
          <cell r="N5311">
            <v>0</v>
          </cell>
          <cell r="O5311">
            <v>0</v>
          </cell>
        </row>
        <row r="5312">
          <cell r="A5312" t="str">
            <v>Mail ServicesReserves - Business Sharing</v>
          </cell>
          <cell r="B5312">
            <v>0</v>
          </cell>
          <cell r="C5312">
            <v>0</v>
          </cell>
          <cell r="D5312">
            <v>0</v>
          </cell>
          <cell r="E5312">
            <v>0</v>
          </cell>
          <cell r="F5312">
            <v>0</v>
          </cell>
          <cell r="G5312">
            <v>0</v>
          </cell>
          <cell r="H5312">
            <v>0</v>
          </cell>
          <cell r="I5312">
            <v>0</v>
          </cell>
          <cell r="J5312">
            <v>0</v>
          </cell>
          <cell r="K5312">
            <v>0</v>
          </cell>
          <cell r="L5312">
            <v>0</v>
          </cell>
          <cell r="M5312">
            <v>0</v>
          </cell>
          <cell r="N5312">
            <v>0</v>
          </cell>
          <cell r="O5312">
            <v>0</v>
          </cell>
        </row>
        <row r="5313">
          <cell r="A5313" t="str">
            <v>MalaysiaNEA - Fixed Rate</v>
          </cell>
          <cell r="B5313">
            <v>0</v>
          </cell>
          <cell r="C5313">
            <v>0</v>
          </cell>
          <cell r="D5313">
            <v>0</v>
          </cell>
          <cell r="E5313">
            <v>0</v>
          </cell>
          <cell r="F5313">
            <v>0</v>
          </cell>
          <cell r="G5313">
            <v>0</v>
          </cell>
          <cell r="H5313">
            <v>0</v>
          </cell>
          <cell r="I5313">
            <v>0</v>
          </cell>
          <cell r="J5313">
            <v>0</v>
          </cell>
          <cell r="K5313">
            <v>0</v>
          </cell>
          <cell r="L5313">
            <v>0</v>
          </cell>
          <cell r="M5313">
            <v>0</v>
          </cell>
          <cell r="N5313">
            <v>0</v>
          </cell>
          <cell r="O5313">
            <v>0</v>
          </cell>
        </row>
        <row r="5314">
          <cell r="A5314" t="str">
            <v>MalaysiaNEA - Floating Rate</v>
          </cell>
          <cell r="B5314">
            <v>0</v>
          </cell>
          <cell r="C5314">
            <v>0</v>
          </cell>
          <cell r="D5314">
            <v>0</v>
          </cell>
          <cell r="E5314">
            <v>0</v>
          </cell>
          <cell r="F5314">
            <v>0</v>
          </cell>
          <cell r="G5314">
            <v>0</v>
          </cell>
          <cell r="H5314">
            <v>0</v>
          </cell>
          <cell r="I5314">
            <v>0</v>
          </cell>
          <cell r="J5314">
            <v>0</v>
          </cell>
          <cell r="K5314">
            <v>0</v>
          </cell>
          <cell r="L5314">
            <v>0</v>
          </cell>
          <cell r="M5314">
            <v>0</v>
          </cell>
          <cell r="N5314">
            <v>0</v>
          </cell>
          <cell r="O5314">
            <v>0</v>
          </cell>
        </row>
        <row r="5315">
          <cell r="A5315" t="str">
            <v>MalaysiaReserves - FX Gain / Loss</v>
          </cell>
          <cell r="B5315">
            <v>0</v>
          </cell>
          <cell r="C5315">
            <v>0</v>
          </cell>
          <cell r="D5315">
            <v>0</v>
          </cell>
          <cell r="E5315">
            <v>0</v>
          </cell>
          <cell r="F5315">
            <v>0</v>
          </cell>
          <cell r="G5315">
            <v>0</v>
          </cell>
          <cell r="H5315">
            <v>0</v>
          </cell>
          <cell r="I5315">
            <v>0</v>
          </cell>
          <cell r="J5315">
            <v>0</v>
          </cell>
          <cell r="K5315">
            <v>0</v>
          </cell>
          <cell r="L5315">
            <v>0</v>
          </cell>
          <cell r="M5315">
            <v>0</v>
          </cell>
          <cell r="N5315">
            <v>0</v>
          </cell>
          <cell r="O5315">
            <v>0</v>
          </cell>
        </row>
        <row r="5316">
          <cell r="A5316" t="str">
            <v>MalaysiaReserves - Provisons</v>
          </cell>
          <cell r="B5316">
            <v>0</v>
          </cell>
          <cell r="C5316">
            <v>0</v>
          </cell>
          <cell r="D5316">
            <v>0</v>
          </cell>
          <cell r="E5316">
            <v>0</v>
          </cell>
          <cell r="F5316">
            <v>0</v>
          </cell>
          <cell r="G5316">
            <v>0</v>
          </cell>
          <cell r="H5316">
            <v>0</v>
          </cell>
          <cell r="I5316">
            <v>0</v>
          </cell>
          <cell r="J5316">
            <v>0</v>
          </cell>
          <cell r="K5316">
            <v>0</v>
          </cell>
          <cell r="L5316">
            <v>0</v>
          </cell>
          <cell r="M5316">
            <v>0</v>
          </cell>
          <cell r="N5316">
            <v>0</v>
          </cell>
          <cell r="O5316">
            <v>0</v>
          </cell>
        </row>
        <row r="5317">
          <cell r="A5317" t="str">
            <v>MalaysiaReserves - Recoveries</v>
          </cell>
          <cell r="B5317">
            <v>0</v>
          </cell>
          <cell r="C5317">
            <v>0</v>
          </cell>
          <cell r="D5317">
            <v>0</v>
          </cell>
          <cell r="E5317">
            <v>0</v>
          </cell>
          <cell r="F5317">
            <v>0</v>
          </cell>
          <cell r="G5317">
            <v>0</v>
          </cell>
          <cell r="H5317">
            <v>0</v>
          </cell>
          <cell r="I5317">
            <v>0</v>
          </cell>
          <cell r="J5317">
            <v>0</v>
          </cell>
          <cell r="K5317">
            <v>0</v>
          </cell>
          <cell r="L5317">
            <v>0</v>
          </cell>
          <cell r="M5317">
            <v>0</v>
          </cell>
          <cell r="N5317">
            <v>0</v>
          </cell>
          <cell r="O5317">
            <v>0</v>
          </cell>
        </row>
        <row r="5318">
          <cell r="A5318" t="str">
            <v>MalaysiaReserves - BOP</v>
          </cell>
          <cell r="B5318">
            <v>0</v>
          </cell>
          <cell r="C5318">
            <v>0</v>
          </cell>
          <cell r="D5318">
            <v>0</v>
          </cell>
          <cell r="E5318">
            <v>0</v>
          </cell>
          <cell r="F5318">
            <v>0</v>
          </cell>
          <cell r="G5318">
            <v>0</v>
          </cell>
          <cell r="H5318">
            <v>0</v>
          </cell>
          <cell r="I5318">
            <v>0</v>
          </cell>
          <cell r="J5318">
            <v>0</v>
          </cell>
          <cell r="K5318">
            <v>0</v>
          </cell>
          <cell r="L5318">
            <v>0</v>
          </cell>
          <cell r="M5318">
            <v>0</v>
          </cell>
          <cell r="N5318">
            <v>0</v>
          </cell>
          <cell r="O5318">
            <v>0</v>
          </cell>
        </row>
        <row r="5319">
          <cell r="A5319" t="str">
            <v>MalaysiaReserves - Transfers &amp; Others</v>
          </cell>
          <cell r="B5319">
            <v>0</v>
          </cell>
          <cell r="C5319">
            <v>0</v>
          </cell>
          <cell r="D5319">
            <v>0</v>
          </cell>
          <cell r="E5319">
            <v>0</v>
          </cell>
          <cell r="F5319">
            <v>0</v>
          </cell>
          <cell r="G5319">
            <v>0</v>
          </cell>
          <cell r="H5319">
            <v>0</v>
          </cell>
          <cell r="I5319">
            <v>0</v>
          </cell>
          <cell r="J5319">
            <v>0</v>
          </cell>
          <cell r="K5319">
            <v>0</v>
          </cell>
          <cell r="L5319">
            <v>0</v>
          </cell>
          <cell r="M5319">
            <v>0</v>
          </cell>
          <cell r="N5319">
            <v>0</v>
          </cell>
          <cell r="O5319">
            <v>0</v>
          </cell>
        </row>
        <row r="5320">
          <cell r="A5320" t="str">
            <v>MalaysiaReserves - Write-Offs</v>
          </cell>
          <cell r="B5320">
            <v>0</v>
          </cell>
          <cell r="C5320">
            <v>0</v>
          </cell>
          <cell r="D5320">
            <v>0</v>
          </cell>
          <cell r="E5320">
            <v>0</v>
          </cell>
          <cell r="F5320">
            <v>0</v>
          </cell>
          <cell r="G5320">
            <v>0</v>
          </cell>
          <cell r="H5320">
            <v>0</v>
          </cell>
          <cell r="I5320">
            <v>0</v>
          </cell>
          <cell r="J5320">
            <v>0</v>
          </cell>
          <cell r="K5320">
            <v>0</v>
          </cell>
          <cell r="L5320">
            <v>0</v>
          </cell>
          <cell r="M5320">
            <v>0</v>
          </cell>
          <cell r="N5320">
            <v>0</v>
          </cell>
          <cell r="O5320">
            <v>0</v>
          </cell>
        </row>
        <row r="5321">
          <cell r="A5321" t="str">
            <v>Malaysia780 FR Provision</v>
          </cell>
          <cell r="B5321">
            <v>0</v>
          </cell>
          <cell r="C5321">
            <v>0</v>
          </cell>
          <cell r="D5321">
            <v>0</v>
          </cell>
          <cell r="E5321">
            <v>0</v>
          </cell>
          <cell r="F5321">
            <v>0</v>
          </cell>
          <cell r="G5321">
            <v>0</v>
          </cell>
          <cell r="H5321">
            <v>0</v>
          </cell>
          <cell r="I5321">
            <v>0</v>
          </cell>
          <cell r="J5321">
            <v>0</v>
          </cell>
          <cell r="K5321">
            <v>0</v>
          </cell>
          <cell r="L5321">
            <v>0</v>
          </cell>
          <cell r="M5321">
            <v>0</v>
          </cell>
          <cell r="N5321">
            <v>0</v>
          </cell>
          <cell r="O5321">
            <v>0</v>
          </cell>
        </row>
        <row r="5322">
          <cell r="A5322" t="str">
            <v>Malaysia780 FR Recovery</v>
          </cell>
          <cell r="B5322">
            <v>0</v>
          </cell>
          <cell r="C5322">
            <v>0</v>
          </cell>
          <cell r="D5322">
            <v>0</v>
          </cell>
          <cell r="E5322">
            <v>0</v>
          </cell>
          <cell r="F5322">
            <v>0</v>
          </cell>
          <cell r="G5322">
            <v>0</v>
          </cell>
          <cell r="H5322">
            <v>0</v>
          </cell>
          <cell r="I5322">
            <v>0</v>
          </cell>
          <cell r="J5322">
            <v>0</v>
          </cell>
          <cell r="K5322">
            <v>0</v>
          </cell>
          <cell r="L5322">
            <v>0</v>
          </cell>
          <cell r="M5322">
            <v>0</v>
          </cell>
          <cell r="N5322">
            <v>0</v>
          </cell>
          <cell r="O5322">
            <v>0</v>
          </cell>
        </row>
        <row r="5323">
          <cell r="A5323" t="str">
            <v>Malaysia781 LL Provision</v>
          </cell>
          <cell r="B5323">
            <v>0</v>
          </cell>
          <cell r="C5323">
            <v>0</v>
          </cell>
          <cell r="D5323">
            <v>0</v>
          </cell>
          <cell r="E5323">
            <v>0</v>
          </cell>
          <cell r="F5323">
            <v>0</v>
          </cell>
          <cell r="G5323">
            <v>0</v>
          </cell>
          <cell r="H5323">
            <v>0</v>
          </cell>
          <cell r="I5323">
            <v>0</v>
          </cell>
          <cell r="J5323">
            <v>0</v>
          </cell>
          <cell r="K5323">
            <v>0</v>
          </cell>
          <cell r="L5323">
            <v>0</v>
          </cell>
          <cell r="M5323">
            <v>0</v>
          </cell>
          <cell r="N5323">
            <v>0</v>
          </cell>
          <cell r="O5323">
            <v>0</v>
          </cell>
        </row>
        <row r="5324">
          <cell r="A5324" t="str">
            <v>Malaysia781 LL Recovery</v>
          </cell>
          <cell r="B5324">
            <v>0</v>
          </cell>
          <cell r="C5324">
            <v>0</v>
          </cell>
          <cell r="D5324">
            <v>0</v>
          </cell>
          <cell r="E5324">
            <v>0</v>
          </cell>
          <cell r="F5324">
            <v>0</v>
          </cell>
          <cell r="G5324">
            <v>0</v>
          </cell>
          <cell r="H5324">
            <v>0</v>
          </cell>
          <cell r="I5324">
            <v>0</v>
          </cell>
          <cell r="J5324">
            <v>0</v>
          </cell>
          <cell r="K5324">
            <v>0</v>
          </cell>
          <cell r="L5324">
            <v>0</v>
          </cell>
          <cell r="M5324">
            <v>0</v>
          </cell>
          <cell r="N5324">
            <v>0</v>
          </cell>
          <cell r="O5324">
            <v>0</v>
          </cell>
        </row>
        <row r="5325">
          <cell r="A5325" t="str">
            <v>Malaysia782 DF Provision</v>
          </cell>
          <cell r="B5325">
            <v>0</v>
          </cell>
          <cell r="C5325">
            <v>0</v>
          </cell>
          <cell r="D5325">
            <v>0</v>
          </cell>
          <cell r="E5325">
            <v>0</v>
          </cell>
          <cell r="F5325">
            <v>0</v>
          </cell>
          <cell r="G5325">
            <v>0</v>
          </cell>
          <cell r="H5325">
            <v>0</v>
          </cell>
          <cell r="I5325">
            <v>0</v>
          </cell>
          <cell r="J5325">
            <v>0</v>
          </cell>
          <cell r="K5325">
            <v>0</v>
          </cell>
          <cell r="L5325">
            <v>0</v>
          </cell>
          <cell r="M5325">
            <v>0</v>
          </cell>
          <cell r="N5325">
            <v>0</v>
          </cell>
          <cell r="O5325">
            <v>0</v>
          </cell>
        </row>
        <row r="5326">
          <cell r="A5326" t="str">
            <v>Malaysia782 DF Recovery</v>
          </cell>
          <cell r="B5326">
            <v>0</v>
          </cell>
          <cell r="C5326">
            <v>0</v>
          </cell>
          <cell r="D5326">
            <v>0</v>
          </cell>
          <cell r="E5326">
            <v>0</v>
          </cell>
          <cell r="F5326">
            <v>0</v>
          </cell>
          <cell r="G5326">
            <v>0</v>
          </cell>
          <cell r="H5326">
            <v>0</v>
          </cell>
          <cell r="I5326">
            <v>0</v>
          </cell>
          <cell r="J5326">
            <v>0</v>
          </cell>
          <cell r="K5326">
            <v>0</v>
          </cell>
          <cell r="L5326">
            <v>0</v>
          </cell>
          <cell r="M5326">
            <v>0</v>
          </cell>
          <cell r="N5326">
            <v>0</v>
          </cell>
          <cell r="O5326">
            <v>0</v>
          </cell>
        </row>
        <row r="5327">
          <cell r="A5327" t="str">
            <v>Malaysia783 Corp Level Provision</v>
          </cell>
          <cell r="B5327">
            <v>0</v>
          </cell>
          <cell r="C5327">
            <v>0</v>
          </cell>
          <cell r="D5327">
            <v>0</v>
          </cell>
          <cell r="E5327">
            <v>0</v>
          </cell>
          <cell r="F5327">
            <v>0</v>
          </cell>
          <cell r="G5327">
            <v>0</v>
          </cell>
          <cell r="H5327">
            <v>0</v>
          </cell>
          <cell r="I5327">
            <v>0</v>
          </cell>
          <cell r="J5327">
            <v>0</v>
          </cell>
          <cell r="K5327">
            <v>0</v>
          </cell>
          <cell r="L5327">
            <v>0</v>
          </cell>
          <cell r="M5327">
            <v>0</v>
          </cell>
          <cell r="N5327">
            <v>0</v>
          </cell>
          <cell r="O5327">
            <v>0</v>
          </cell>
        </row>
        <row r="5328">
          <cell r="A5328" t="str">
            <v>Malaysia783 Corp Level Recovery</v>
          </cell>
          <cell r="B5328">
            <v>0</v>
          </cell>
          <cell r="C5328">
            <v>0</v>
          </cell>
          <cell r="D5328">
            <v>0</v>
          </cell>
          <cell r="E5328">
            <v>0</v>
          </cell>
          <cell r="F5328">
            <v>0</v>
          </cell>
          <cell r="G5328">
            <v>0</v>
          </cell>
          <cell r="H5328">
            <v>0</v>
          </cell>
          <cell r="I5328">
            <v>0</v>
          </cell>
          <cell r="J5328">
            <v>0</v>
          </cell>
          <cell r="K5328">
            <v>0</v>
          </cell>
          <cell r="L5328">
            <v>0</v>
          </cell>
          <cell r="M5328">
            <v>0</v>
          </cell>
          <cell r="N5328">
            <v>0</v>
          </cell>
          <cell r="O5328">
            <v>0</v>
          </cell>
        </row>
        <row r="5329">
          <cell r="A5329" t="str">
            <v>Malaysia784 Business Share Provision</v>
          </cell>
          <cell r="B5329">
            <v>0</v>
          </cell>
          <cell r="C5329">
            <v>0</v>
          </cell>
          <cell r="D5329">
            <v>0</v>
          </cell>
          <cell r="E5329">
            <v>0</v>
          </cell>
          <cell r="F5329">
            <v>0</v>
          </cell>
          <cell r="G5329">
            <v>0</v>
          </cell>
          <cell r="H5329">
            <v>0</v>
          </cell>
          <cell r="I5329">
            <v>0</v>
          </cell>
          <cell r="J5329">
            <v>0</v>
          </cell>
          <cell r="K5329">
            <v>0</v>
          </cell>
          <cell r="L5329">
            <v>0</v>
          </cell>
          <cell r="M5329">
            <v>0</v>
          </cell>
          <cell r="N5329">
            <v>0</v>
          </cell>
          <cell r="O5329">
            <v>0</v>
          </cell>
        </row>
        <row r="5330">
          <cell r="A5330" t="str">
            <v>MalaysiaReserves - Business Sharing</v>
          </cell>
          <cell r="B5330">
            <v>0</v>
          </cell>
          <cell r="C5330">
            <v>0</v>
          </cell>
          <cell r="D5330">
            <v>0</v>
          </cell>
          <cell r="E5330">
            <v>0</v>
          </cell>
          <cell r="F5330">
            <v>0</v>
          </cell>
          <cell r="G5330">
            <v>0</v>
          </cell>
          <cell r="H5330">
            <v>0</v>
          </cell>
          <cell r="I5330">
            <v>0</v>
          </cell>
          <cell r="J5330">
            <v>0</v>
          </cell>
          <cell r="K5330">
            <v>0</v>
          </cell>
          <cell r="L5330">
            <v>0</v>
          </cell>
          <cell r="M5330">
            <v>0</v>
          </cell>
          <cell r="N5330">
            <v>0</v>
          </cell>
          <cell r="O5330">
            <v>0</v>
          </cell>
        </row>
        <row r="5331">
          <cell r="A5331" t="str">
            <v>MexicoNEA - Fixed Rate</v>
          </cell>
          <cell r="B5331">
            <v>0</v>
          </cell>
          <cell r="C5331">
            <v>0</v>
          </cell>
          <cell r="D5331">
            <v>0</v>
          </cell>
          <cell r="E5331">
            <v>0</v>
          </cell>
          <cell r="F5331">
            <v>0</v>
          </cell>
          <cell r="G5331">
            <v>0</v>
          </cell>
          <cell r="H5331">
            <v>0</v>
          </cell>
          <cell r="I5331">
            <v>0</v>
          </cell>
          <cell r="J5331">
            <v>0</v>
          </cell>
          <cell r="K5331">
            <v>0</v>
          </cell>
          <cell r="L5331">
            <v>0</v>
          </cell>
          <cell r="M5331">
            <v>0</v>
          </cell>
          <cell r="N5331">
            <v>0</v>
          </cell>
          <cell r="O5331">
            <v>0</v>
          </cell>
        </row>
        <row r="5332">
          <cell r="A5332" t="str">
            <v>MexicoNEA - Floating Rate</v>
          </cell>
          <cell r="B5332">
            <v>0</v>
          </cell>
          <cell r="C5332">
            <v>0</v>
          </cell>
          <cell r="D5332">
            <v>0</v>
          </cell>
          <cell r="E5332">
            <v>0</v>
          </cell>
          <cell r="F5332">
            <v>0</v>
          </cell>
          <cell r="G5332">
            <v>0</v>
          </cell>
          <cell r="H5332">
            <v>0</v>
          </cell>
          <cell r="I5332">
            <v>0</v>
          </cell>
          <cell r="J5332">
            <v>0</v>
          </cell>
          <cell r="K5332">
            <v>0</v>
          </cell>
          <cell r="L5332">
            <v>0</v>
          </cell>
          <cell r="M5332">
            <v>0</v>
          </cell>
          <cell r="N5332">
            <v>0</v>
          </cell>
          <cell r="O5332">
            <v>0</v>
          </cell>
        </row>
        <row r="5333">
          <cell r="A5333" t="str">
            <v>MexicoReserves - FX Gain / Loss</v>
          </cell>
          <cell r="B5333">
            <v>0</v>
          </cell>
          <cell r="C5333">
            <v>-1976.45</v>
          </cell>
          <cell r="D5333">
            <v>3806.57</v>
          </cell>
          <cell r="E5333">
            <v>90.61</v>
          </cell>
          <cell r="F5333">
            <v>90.61</v>
          </cell>
          <cell r="G5333">
            <v>0</v>
          </cell>
          <cell r="H5333">
            <v>0</v>
          </cell>
          <cell r="I5333">
            <v>0</v>
          </cell>
          <cell r="J5333">
            <v>0</v>
          </cell>
          <cell r="K5333">
            <v>0</v>
          </cell>
          <cell r="L5333">
            <v>-7708.64</v>
          </cell>
          <cell r="M5333">
            <v>0</v>
          </cell>
          <cell r="N5333">
            <v>0</v>
          </cell>
          <cell r="O5333">
            <v>0</v>
          </cell>
        </row>
        <row r="5334">
          <cell r="A5334" t="str">
            <v>MexicoReserves - Provisons</v>
          </cell>
          <cell r="B5334">
            <v>0</v>
          </cell>
          <cell r="C5334">
            <v>-73128.56</v>
          </cell>
          <cell r="D5334">
            <v>-75105.009999999995</v>
          </cell>
          <cell r="E5334">
            <v>-101757.64</v>
          </cell>
          <cell r="F5334">
            <v>-101757.64</v>
          </cell>
          <cell r="G5334">
            <v>0</v>
          </cell>
          <cell r="H5334">
            <v>0</v>
          </cell>
          <cell r="I5334">
            <v>0</v>
          </cell>
          <cell r="J5334">
            <v>0</v>
          </cell>
          <cell r="K5334">
            <v>0</v>
          </cell>
          <cell r="L5334">
            <v>-738842.21</v>
          </cell>
          <cell r="M5334">
            <v>0</v>
          </cell>
          <cell r="N5334">
            <v>0</v>
          </cell>
          <cell r="O5334">
            <v>0</v>
          </cell>
        </row>
        <row r="5335">
          <cell r="A5335" t="str">
            <v>MexicoReserves - Recoveries</v>
          </cell>
          <cell r="B5335">
            <v>0</v>
          </cell>
          <cell r="C5335">
            <v>0</v>
          </cell>
          <cell r="D5335">
            <v>0</v>
          </cell>
          <cell r="E5335">
            <v>0</v>
          </cell>
          <cell r="F5335">
            <v>0</v>
          </cell>
          <cell r="G5335">
            <v>0</v>
          </cell>
          <cell r="H5335">
            <v>0</v>
          </cell>
          <cell r="I5335">
            <v>0</v>
          </cell>
          <cell r="J5335">
            <v>0</v>
          </cell>
          <cell r="K5335">
            <v>0</v>
          </cell>
          <cell r="L5335">
            <v>0</v>
          </cell>
          <cell r="M5335">
            <v>0</v>
          </cell>
          <cell r="N5335">
            <v>0</v>
          </cell>
          <cell r="O5335">
            <v>0</v>
          </cell>
        </row>
        <row r="5336">
          <cell r="A5336" t="str">
            <v>MexicoReserves - BOP</v>
          </cell>
          <cell r="B5336">
            <v>0</v>
          </cell>
          <cell r="C5336">
            <v>0</v>
          </cell>
          <cell r="D5336">
            <v>0</v>
          </cell>
          <cell r="E5336">
            <v>0</v>
          </cell>
          <cell r="F5336">
            <v>0</v>
          </cell>
          <cell r="G5336">
            <v>-2207739.8046940002</v>
          </cell>
          <cell r="H5336">
            <v>-4278405.0985960001</v>
          </cell>
          <cell r="I5336">
            <v>-6184462.3149429997</v>
          </cell>
          <cell r="J5336">
            <v>-7598762.0709199999</v>
          </cell>
          <cell r="K5336">
            <v>-7598762.0709199999</v>
          </cell>
          <cell r="L5336">
            <v>-101757.64</v>
          </cell>
          <cell r="M5336">
            <v>-10213280.136104001</v>
          </cell>
          <cell r="N5336">
            <v>-20521216.001598001</v>
          </cell>
          <cell r="O5336">
            <v>-22349416.001598001</v>
          </cell>
        </row>
        <row r="5337">
          <cell r="A5337" t="str">
            <v>MexicoReserves - Transfers &amp; Others</v>
          </cell>
          <cell r="B5337">
            <v>0</v>
          </cell>
          <cell r="C5337">
            <v>0</v>
          </cell>
          <cell r="D5337">
            <v>0</v>
          </cell>
          <cell r="E5337">
            <v>0</v>
          </cell>
          <cell r="F5337">
            <v>0</v>
          </cell>
          <cell r="G5337">
            <v>0</v>
          </cell>
          <cell r="H5337">
            <v>0</v>
          </cell>
          <cell r="I5337">
            <v>0</v>
          </cell>
          <cell r="J5337">
            <v>0</v>
          </cell>
          <cell r="K5337">
            <v>0</v>
          </cell>
          <cell r="L5337">
            <v>0</v>
          </cell>
          <cell r="M5337">
            <v>0</v>
          </cell>
          <cell r="N5337">
            <v>0</v>
          </cell>
          <cell r="O5337">
            <v>0</v>
          </cell>
        </row>
        <row r="5338">
          <cell r="A5338" t="str">
            <v>MexicoReserves - Write-Offs</v>
          </cell>
          <cell r="B5338">
            <v>0</v>
          </cell>
          <cell r="C5338">
            <v>0</v>
          </cell>
          <cell r="D5338">
            <v>0</v>
          </cell>
          <cell r="E5338">
            <v>0</v>
          </cell>
          <cell r="F5338">
            <v>0</v>
          </cell>
          <cell r="G5338">
            <v>0</v>
          </cell>
          <cell r="H5338">
            <v>223000</v>
          </cell>
          <cell r="I5338">
            <v>730000</v>
          </cell>
          <cell r="J5338">
            <v>1423000</v>
          </cell>
          <cell r="K5338">
            <v>1423000</v>
          </cell>
          <cell r="L5338">
            <v>0</v>
          </cell>
          <cell r="M5338">
            <v>3219094.134505</v>
          </cell>
          <cell r="N5338">
            <v>10420647.836134</v>
          </cell>
          <cell r="O5338">
            <v>11052488.99443</v>
          </cell>
        </row>
        <row r="5339">
          <cell r="A5339" t="str">
            <v>Mexico780 FR Provision</v>
          </cell>
          <cell r="B5339">
            <v>0</v>
          </cell>
          <cell r="C5339">
            <v>73128.56</v>
          </cell>
          <cell r="D5339">
            <v>1958.15</v>
          </cell>
          <cell r="E5339">
            <v>24694.47</v>
          </cell>
          <cell r="F5339">
            <v>99781.18</v>
          </cell>
          <cell r="G5339">
            <v>0</v>
          </cell>
          <cell r="H5339">
            <v>0</v>
          </cell>
          <cell r="I5339">
            <v>0</v>
          </cell>
          <cell r="J5339">
            <v>0</v>
          </cell>
          <cell r="K5339">
            <v>0</v>
          </cell>
          <cell r="L5339">
            <v>738835</v>
          </cell>
          <cell r="M5339">
            <v>0</v>
          </cell>
          <cell r="N5339">
            <v>0</v>
          </cell>
          <cell r="O5339">
            <v>0</v>
          </cell>
        </row>
        <row r="5340">
          <cell r="A5340" t="str">
            <v>Mexico780 FR Recovery</v>
          </cell>
          <cell r="B5340">
            <v>0</v>
          </cell>
          <cell r="C5340">
            <v>0</v>
          </cell>
          <cell r="D5340">
            <v>0</v>
          </cell>
          <cell r="E5340">
            <v>0</v>
          </cell>
          <cell r="F5340">
            <v>0</v>
          </cell>
          <cell r="G5340">
            <v>1990557.8517169999</v>
          </cell>
          <cell r="H5340">
            <v>2069556.0781930001</v>
          </cell>
          <cell r="I5340">
            <v>2129228.9727179999</v>
          </cell>
          <cell r="J5340">
            <v>2145090.9837290002</v>
          </cell>
          <cell r="K5340">
            <v>8334433.8863570001</v>
          </cell>
          <cell r="L5340">
            <v>0</v>
          </cell>
          <cell r="M5340">
            <v>9498280</v>
          </cell>
          <cell r="N5340">
            <v>13527030</v>
          </cell>
          <cell r="O5340">
            <v>15355230</v>
          </cell>
        </row>
        <row r="5341">
          <cell r="A5341" t="str">
            <v>Mexico781 LL Provision</v>
          </cell>
          <cell r="B5341">
            <v>0</v>
          </cell>
          <cell r="C5341">
            <v>0</v>
          </cell>
          <cell r="D5341">
            <v>0</v>
          </cell>
          <cell r="E5341">
            <v>0</v>
          </cell>
          <cell r="F5341">
            <v>0</v>
          </cell>
          <cell r="G5341">
            <v>0</v>
          </cell>
          <cell r="H5341">
            <v>0</v>
          </cell>
          <cell r="I5341">
            <v>0</v>
          </cell>
          <cell r="J5341">
            <v>0</v>
          </cell>
          <cell r="K5341">
            <v>0</v>
          </cell>
          <cell r="L5341">
            <v>0</v>
          </cell>
          <cell r="M5341">
            <v>0</v>
          </cell>
          <cell r="N5341">
            <v>0</v>
          </cell>
          <cell r="O5341">
            <v>0</v>
          </cell>
        </row>
        <row r="5342">
          <cell r="A5342" t="str">
            <v>Mexico781 LL Recovery</v>
          </cell>
          <cell r="B5342">
            <v>0</v>
          </cell>
          <cell r="C5342">
            <v>0</v>
          </cell>
          <cell r="D5342">
            <v>0</v>
          </cell>
          <cell r="E5342">
            <v>0</v>
          </cell>
          <cell r="F5342">
            <v>0</v>
          </cell>
          <cell r="G5342">
            <v>0</v>
          </cell>
          <cell r="H5342">
            <v>0</v>
          </cell>
          <cell r="I5342">
            <v>0</v>
          </cell>
          <cell r="J5342">
            <v>0</v>
          </cell>
          <cell r="K5342">
            <v>0</v>
          </cell>
          <cell r="L5342">
            <v>0</v>
          </cell>
          <cell r="M5342">
            <v>0</v>
          </cell>
          <cell r="N5342">
            <v>0</v>
          </cell>
          <cell r="O5342">
            <v>0</v>
          </cell>
        </row>
        <row r="5343">
          <cell r="A5343" t="str">
            <v>Mexico782 DF Provision</v>
          </cell>
          <cell r="B5343">
            <v>0</v>
          </cell>
          <cell r="C5343">
            <v>0</v>
          </cell>
          <cell r="D5343">
            <v>0</v>
          </cell>
          <cell r="E5343">
            <v>0</v>
          </cell>
          <cell r="F5343">
            <v>0</v>
          </cell>
          <cell r="G5343">
            <v>0</v>
          </cell>
          <cell r="H5343">
            <v>0</v>
          </cell>
          <cell r="I5343">
            <v>0</v>
          </cell>
          <cell r="J5343">
            <v>0</v>
          </cell>
          <cell r="K5343">
            <v>0</v>
          </cell>
          <cell r="L5343">
            <v>0</v>
          </cell>
          <cell r="M5343">
            <v>0</v>
          </cell>
          <cell r="N5343">
            <v>0</v>
          </cell>
          <cell r="O5343">
            <v>0</v>
          </cell>
        </row>
        <row r="5344">
          <cell r="A5344" t="str">
            <v>Mexico782 DF Recovery</v>
          </cell>
          <cell r="B5344">
            <v>0</v>
          </cell>
          <cell r="C5344">
            <v>0</v>
          </cell>
          <cell r="D5344">
            <v>0</v>
          </cell>
          <cell r="E5344">
            <v>0</v>
          </cell>
          <cell r="F5344">
            <v>0</v>
          </cell>
          <cell r="G5344">
            <v>0</v>
          </cell>
          <cell r="H5344">
            <v>0</v>
          </cell>
          <cell r="I5344">
            <v>0</v>
          </cell>
          <cell r="J5344">
            <v>0</v>
          </cell>
          <cell r="K5344">
            <v>0</v>
          </cell>
          <cell r="L5344">
            <v>0</v>
          </cell>
          <cell r="M5344">
            <v>0</v>
          </cell>
          <cell r="N5344">
            <v>0</v>
          </cell>
          <cell r="O5344">
            <v>0</v>
          </cell>
        </row>
        <row r="5345">
          <cell r="A5345" t="str">
            <v>Mexico783 Corp Level Provision</v>
          </cell>
          <cell r="B5345">
            <v>0</v>
          </cell>
          <cell r="C5345">
            <v>0</v>
          </cell>
          <cell r="D5345">
            <v>0</v>
          </cell>
          <cell r="E5345">
            <v>0</v>
          </cell>
          <cell r="F5345">
            <v>0</v>
          </cell>
          <cell r="G5345">
            <v>0</v>
          </cell>
          <cell r="H5345">
            <v>0</v>
          </cell>
          <cell r="I5345">
            <v>0</v>
          </cell>
          <cell r="J5345">
            <v>0</v>
          </cell>
          <cell r="K5345">
            <v>0</v>
          </cell>
          <cell r="L5345">
            <v>0</v>
          </cell>
          <cell r="M5345">
            <v>0</v>
          </cell>
          <cell r="N5345">
            <v>0</v>
          </cell>
          <cell r="O5345">
            <v>0</v>
          </cell>
        </row>
        <row r="5346">
          <cell r="A5346" t="str">
            <v>Mexico783 Corp Level Recovery</v>
          </cell>
          <cell r="B5346">
            <v>0</v>
          </cell>
          <cell r="C5346">
            <v>0</v>
          </cell>
          <cell r="D5346">
            <v>0</v>
          </cell>
          <cell r="E5346">
            <v>0</v>
          </cell>
          <cell r="F5346">
            <v>0</v>
          </cell>
          <cell r="G5346">
            <v>0</v>
          </cell>
          <cell r="H5346">
            <v>0</v>
          </cell>
          <cell r="I5346">
            <v>0</v>
          </cell>
          <cell r="J5346">
            <v>0</v>
          </cell>
          <cell r="K5346">
            <v>0</v>
          </cell>
          <cell r="L5346">
            <v>0</v>
          </cell>
          <cell r="M5346">
            <v>0</v>
          </cell>
          <cell r="N5346">
            <v>0</v>
          </cell>
          <cell r="O5346">
            <v>0</v>
          </cell>
        </row>
        <row r="5347">
          <cell r="A5347" t="str">
            <v>Mexico784 Business Share Provision</v>
          </cell>
          <cell r="B5347">
            <v>0</v>
          </cell>
          <cell r="C5347">
            <v>0</v>
          </cell>
          <cell r="D5347">
            <v>0</v>
          </cell>
          <cell r="E5347">
            <v>0</v>
          </cell>
          <cell r="F5347">
            <v>0</v>
          </cell>
          <cell r="G5347">
            <v>0</v>
          </cell>
          <cell r="H5347">
            <v>0</v>
          </cell>
          <cell r="I5347">
            <v>0</v>
          </cell>
          <cell r="J5347">
            <v>0</v>
          </cell>
          <cell r="K5347">
            <v>0</v>
          </cell>
          <cell r="L5347">
            <v>0</v>
          </cell>
          <cell r="M5347">
            <v>0</v>
          </cell>
          <cell r="N5347">
            <v>0</v>
          </cell>
          <cell r="O5347">
            <v>0</v>
          </cell>
        </row>
        <row r="5348">
          <cell r="A5348" t="str">
            <v>MexicoReserves - Business Sharing</v>
          </cell>
          <cell r="B5348">
            <v>0</v>
          </cell>
          <cell r="C5348">
            <v>0</v>
          </cell>
          <cell r="D5348">
            <v>0</v>
          </cell>
          <cell r="E5348">
            <v>0</v>
          </cell>
          <cell r="F5348">
            <v>0</v>
          </cell>
          <cell r="G5348">
            <v>0</v>
          </cell>
          <cell r="H5348">
            <v>0</v>
          </cell>
          <cell r="I5348">
            <v>0</v>
          </cell>
          <cell r="J5348">
            <v>0</v>
          </cell>
          <cell r="K5348">
            <v>0</v>
          </cell>
          <cell r="L5348">
            <v>0</v>
          </cell>
          <cell r="M5348">
            <v>0</v>
          </cell>
          <cell r="N5348">
            <v>0</v>
          </cell>
          <cell r="O5348">
            <v>0</v>
          </cell>
        </row>
        <row r="5349">
          <cell r="A5349" t="str">
            <v>NorwayNEA - Fixed Rate</v>
          </cell>
          <cell r="B5349">
            <v>0</v>
          </cell>
          <cell r="C5349">
            <v>0</v>
          </cell>
          <cell r="D5349">
            <v>0</v>
          </cell>
          <cell r="E5349">
            <v>0</v>
          </cell>
          <cell r="F5349">
            <v>0</v>
          </cell>
          <cell r="G5349">
            <v>0</v>
          </cell>
          <cell r="H5349">
            <v>0</v>
          </cell>
          <cell r="I5349">
            <v>0</v>
          </cell>
          <cell r="J5349">
            <v>0</v>
          </cell>
          <cell r="K5349">
            <v>0</v>
          </cell>
          <cell r="L5349">
            <v>0</v>
          </cell>
          <cell r="M5349">
            <v>0</v>
          </cell>
          <cell r="N5349">
            <v>0</v>
          </cell>
          <cell r="O5349">
            <v>0</v>
          </cell>
        </row>
        <row r="5350">
          <cell r="A5350" t="str">
            <v>NorwayNEA - Floating Rate</v>
          </cell>
          <cell r="B5350">
            <v>0</v>
          </cell>
          <cell r="C5350">
            <v>0</v>
          </cell>
          <cell r="D5350">
            <v>0</v>
          </cell>
          <cell r="E5350">
            <v>0</v>
          </cell>
          <cell r="F5350">
            <v>0</v>
          </cell>
          <cell r="G5350">
            <v>0</v>
          </cell>
          <cell r="H5350">
            <v>0</v>
          </cell>
          <cell r="I5350">
            <v>0</v>
          </cell>
          <cell r="J5350">
            <v>0</v>
          </cell>
          <cell r="K5350">
            <v>0</v>
          </cell>
          <cell r="L5350">
            <v>0</v>
          </cell>
          <cell r="M5350">
            <v>0</v>
          </cell>
          <cell r="N5350">
            <v>0</v>
          </cell>
          <cell r="O5350">
            <v>0</v>
          </cell>
        </row>
        <row r="5351">
          <cell r="A5351" t="str">
            <v>NorwayReserves - FX Gain / Loss</v>
          </cell>
          <cell r="B5351">
            <v>6521831.3399999999</v>
          </cell>
          <cell r="C5351">
            <v>6879499.5999999996</v>
          </cell>
          <cell r="D5351">
            <v>5334717.96</v>
          </cell>
          <cell r="E5351">
            <v>5830647.1600000001</v>
          </cell>
          <cell r="F5351">
            <v>5830647.1600000001</v>
          </cell>
          <cell r="G5351">
            <v>0</v>
          </cell>
          <cell r="H5351">
            <v>0</v>
          </cell>
          <cell r="I5351">
            <v>0</v>
          </cell>
          <cell r="J5351">
            <v>0</v>
          </cell>
          <cell r="K5351">
            <v>0</v>
          </cell>
          <cell r="L5351">
            <v>5589398.6399999997</v>
          </cell>
          <cell r="M5351">
            <v>0</v>
          </cell>
          <cell r="N5351">
            <v>0</v>
          </cell>
          <cell r="O5351">
            <v>0</v>
          </cell>
        </row>
        <row r="5352">
          <cell r="A5352" t="str">
            <v>NorwayReserves - Provisons</v>
          </cell>
          <cell r="B5352">
            <v>3069231.08</v>
          </cell>
          <cell r="C5352">
            <v>-1888811.22</v>
          </cell>
          <cell r="D5352">
            <v>-4093427.3</v>
          </cell>
          <cell r="E5352">
            <v>-6495863.0700000003</v>
          </cell>
          <cell r="F5352">
            <v>-6495863.0700000003</v>
          </cell>
          <cell r="G5352">
            <v>0</v>
          </cell>
          <cell r="H5352">
            <v>0</v>
          </cell>
          <cell r="I5352">
            <v>0</v>
          </cell>
          <cell r="J5352">
            <v>0</v>
          </cell>
          <cell r="K5352">
            <v>0</v>
          </cell>
          <cell r="L5352">
            <v>-3492035.49</v>
          </cell>
          <cell r="M5352">
            <v>0</v>
          </cell>
          <cell r="N5352">
            <v>0</v>
          </cell>
          <cell r="O5352">
            <v>0</v>
          </cell>
        </row>
        <row r="5353">
          <cell r="A5353" t="str">
            <v>NorwayReserves - Recoveries</v>
          </cell>
          <cell r="B5353">
            <v>-1445906.86</v>
          </cell>
          <cell r="C5353">
            <v>-3093907.82</v>
          </cell>
          <cell r="D5353">
            <v>-4891565.1500000004</v>
          </cell>
          <cell r="E5353">
            <v>-6954021.2000000002</v>
          </cell>
          <cell r="F5353">
            <v>-6954021.2000000002</v>
          </cell>
          <cell r="G5353">
            <v>0</v>
          </cell>
          <cell r="H5353">
            <v>0</v>
          </cell>
          <cell r="I5353">
            <v>0</v>
          </cell>
          <cell r="J5353">
            <v>0</v>
          </cell>
          <cell r="K5353">
            <v>0</v>
          </cell>
          <cell r="L5353">
            <v>-3194066.47</v>
          </cell>
          <cell r="M5353">
            <v>0</v>
          </cell>
          <cell r="N5353">
            <v>0</v>
          </cell>
          <cell r="O5353">
            <v>0</v>
          </cell>
        </row>
        <row r="5354">
          <cell r="A5354" t="str">
            <v>NorwayReserves - BOP</v>
          </cell>
          <cell r="B5354">
            <v>-35583255.939999998</v>
          </cell>
          <cell r="C5354">
            <v>-35583255.939999998</v>
          </cell>
          <cell r="D5354">
            <v>-35583255.939999998</v>
          </cell>
          <cell r="E5354">
            <v>-35583255.939999998</v>
          </cell>
          <cell r="F5354">
            <v>-35583255.939999998</v>
          </cell>
          <cell r="G5354">
            <v>-26497573.809175</v>
          </cell>
          <cell r="H5354">
            <v>-31177391.946800001</v>
          </cell>
          <cell r="I5354">
            <v>-35086935.683362998</v>
          </cell>
          <cell r="J5354">
            <v>-38083759.222006999</v>
          </cell>
          <cell r="K5354">
            <v>-38083759.222006999</v>
          </cell>
          <cell r="L5354">
            <v>-30153896.289999999</v>
          </cell>
          <cell r="M5354">
            <v>-44223245.460101999</v>
          </cell>
          <cell r="N5354">
            <v>-53614658.085698999</v>
          </cell>
          <cell r="O5354">
            <v>-63352223.822985001</v>
          </cell>
        </row>
        <row r="5355">
          <cell r="A5355" t="str">
            <v>NorwayReserves - Transfers &amp; Others</v>
          </cell>
          <cell r="B5355">
            <v>0</v>
          </cell>
          <cell r="C5355">
            <v>0</v>
          </cell>
          <cell r="D5355">
            <v>0</v>
          </cell>
          <cell r="E5355">
            <v>0</v>
          </cell>
          <cell r="F5355">
            <v>0</v>
          </cell>
          <cell r="G5355">
            <v>0</v>
          </cell>
          <cell r="H5355">
            <v>0</v>
          </cell>
          <cell r="I5355">
            <v>0</v>
          </cell>
          <cell r="J5355">
            <v>0</v>
          </cell>
          <cell r="K5355">
            <v>0</v>
          </cell>
          <cell r="L5355">
            <v>0</v>
          </cell>
          <cell r="M5355">
            <v>0</v>
          </cell>
          <cell r="N5355">
            <v>0</v>
          </cell>
          <cell r="O5355">
            <v>0</v>
          </cell>
        </row>
        <row r="5356">
          <cell r="A5356" t="str">
            <v>NorwayReserves - Write-Offs</v>
          </cell>
          <cell r="B5356">
            <v>3358868.98</v>
          </cell>
          <cell r="C5356">
            <v>8404919.5500000007</v>
          </cell>
          <cell r="D5356">
            <v>13377085.800000001</v>
          </cell>
          <cell r="E5356">
            <v>18879243.920000002</v>
          </cell>
          <cell r="F5356">
            <v>18879243.920000002</v>
          </cell>
          <cell r="G5356">
            <v>2051276.3573720001</v>
          </cell>
          <cell r="H5356">
            <v>5483931.5403000005</v>
          </cell>
          <cell r="I5356">
            <v>8916267.8821750004</v>
          </cell>
          <cell r="J5356">
            <v>10280702.681646001</v>
          </cell>
          <cell r="K5356">
            <v>10280702.681646001</v>
          </cell>
          <cell r="L5356">
            <v>5744465.7800000003</v>
          </cell>
          <cell r="M5356">
            <v>10880914.656787001</v>
          </cell>
          <cell r="N5356">
            <v>13560183.951351</v>
          </cell>
          <cell r="O5356">
            <v>15966501.025792001</v>
          </cell>
        </row>
        <row r="5357">
          <cell r="A5357" t="str">
            <v>Norway780 FR Provision</v>
          </cell>
          <cell r="B5357">
            <v>-3069231.04</v>
          </cell>
          <cell r="C5357">
            <v>4958042.3</v>
          </cell>
          <cell r="D5357">
            <v>2204616.08</v>
          </cell>
          <cell r="E5357">
            <v>2402435.77</v>
          </cell>
          <cell r="F5357">
            <v>6495863.1100000003</v>
          </cell>
          <cell r="G5357">
            <v>0</v>
          </cell>
          <cell r="H5357">
            <v>0</v>
          </cell>
          <cell r="I5357">
            <v>0</v>
          </cell>
          <cell r="J5357">
            <v>0</v>
          </cell>
          <cell r="K5357">
            <v>0</v>
          </cell>
          <cell r="L5357">
            <v>3492035.53</v>
          </cell>
          <cell r="M5357">
            <v>0</v>
          </cell>
          <cell r="N5357">
            <v>0</v>
          </cell>
          <cell r="O5357">
            <v>0</v>
          </cell>
        </row>
        <row r="5358">
          <cell r="A5358" t="str">
            <v>Norway780 FR Recovery</v>
          </cell>
          <cell r="B5358">
            <v>0</v>
          </cell>
          <cell r="C5358">
            <v>0</v>
          </cell>
          <cell r="D5358">
            <v>0</v>
          </cell>
          <cell r="E5358">
            <v>0</v>
          </cell>
          <cell r="F5358">
            <v>0</v>
          </cell>
          <cell r="G5358">
            <v>2810109.478627</v>
          </cell>
          <cell r="H5358">
            <v>4679817.6125689996</v>
          </cell>
          <cell r="I5358">
            <v>3909543.5356589998</v>
          </cell>
          <cell r="J5358">
            <v>2996822.8514080001</v>
          </cell>
          <cell r="K5358">
            <v>14396293.478263</v>
          </cell>
          <cell r="L5358">
            <v>0</v>
          </cell>
          <cell r="M5358">
            <v>16487730.482688</v>
          </cell>
          <cell r="N5358">
            <v>20272327.283475</v>
          </cell>
          <cell r="O5358">
            <v>23297749.688637</v>
          </cell>
        </row>
        <row r="5359">
          <cell r="A5359" t="str">
            <v>Norway781 LL Provision</v>
          </cell>
          <cell r="B5359">
            <v>0</v>
          </cell>
          <cell r="C5359">
            <v>0</v>
          </cell>
          <cell r="D5359">
            <v>0</v>
          </cell>
          <cell r="E5359">
            <v>0</v>
          </cell>
          <cell r="F5359">
            <v>0</v>
          </cell>
          <cell r="G5359">
            <v>0</v>
          </cell>
          <cell r="H5359">
            <v>0</v>
          </cell>
          <cell r="I5359">
            <v>0</v>
          </cell>
          <cell r="J5359">
            <v>0</v>
          </cell>
          <cell r="K5359">
            <v>0</v>
          </cell>
          <cell r="L5359">
            <v>0</v>
          </cell>
          <cell r="M5359">
            <v>0</v>
          </cell>
          <cell r="N5359">
            <v>0</v>
          </cell>
          <cell r="O5359">
            <v>0</v>
          </cell>
        </row>
        <row r="5360">
          <cell r="A5360" t="str">
            <v>Norway781 LL Recovery</v>
          </cell>
          <cell r="B5360">
            <v>0</v>
          </cell>
          <cell r="C5360">
            <v>0</v>
          </cell>
          <cell r="D5360">
            <v>0</v>
          </cell>
          <cell r="E5360">
            <v>0</v>
          </cell>
          <cell r="F5360">
            <v>0</v>
          </cell>
          <cell r="G5360">
            <v>0</v>
          </cell>
          <cell r="H5360">
            <v>0</v>
          </cell>
          <cell r="I5360">
            <v>0</v>
          </cell>
          <cell r="J5360">
            <v>0</v>
          </cell>
          <cell r="K5360">
            <v>0</v>
          </cell>
          <cell r="L5360">
            <v>0</v>
          </cell>
          <cell r="M5360">
            <v>0</v>
          </cell>
          <cell r="N5360">
            <v>0</v>
          </cell>
          <cell r="O5360">
            <v>0</v>
          </cell>
        </row>
        <row r="5361">
          <cell r="A5361" t="str">
            <v>Norway782 DF Provision</v>
          </cell>
          <cell r="B5361">
            <v>0</v>
          </cell>
          <cell r="C5361">
            <v>0</v>
          </cell>
          <cell r="D5361">
            <v>0</v>
          </cell>
          <cell r="E5361">
            <v>0</v>
          </cell>
          <cell r="F5361">
            <v>0</v>
          </cell>
          <cell r="G5361">
            <v>0</v>
          </cell>
          <cell r="H5361">
            <v>0</v>
          </cell>
          <cell r="I5361">
            <v>0</v>
          </cell>
          <cell r="J5361">
            <v>0</v>
          </cell>
          <cell r="K5361">
            <v>0</v>
          </cell>
          <cell r="L5361">
            <v>0</v>
          </cell>
          <cell r="M5361">
            <v>0</v>
          </cell>
          <cell r="N5361">
            <v>0</v>
          </cell>
          <cell r="O5361">
            <v>0</v>
          </cell>
        </row>
        <row r="5362">
          <cell r="A5362" t="str">
            <v>Norway782 DF Recovery</v>
          </cell>
          <cell r="B5362">
            <v>0</v>
          </cell>
          <cell r="C5362">
            <v>0</v>
          </cell>
          <cell r="D5362">
            <v>0</v>
          </cell>
          <cell r="E5362">
            <v>0</v>
          </cell>
          <cell r="F5362">
            <v>0</v>
          </cell>
          <cell r="G5362">
            <v>0</v>
          </cell>
          <cell r="H5362">
            <v>0</v>
          </cell>
          <cell r="I5362">
            <v>0</v>
          </cell>
          <cell r="J5362">
            <v>0</v>
          </cell>
          <cell r="K5362">
            <v>0</v>
          </cell>
          <cell r="L5362">
            <v>0</v>
          </cell>
          <cell r="M5362">
            <v>0</v>
          </cell>
          <cell r="N5362">
            <v>0</v>
          </cell>
          <cell r="O5362">
            <v>0</v>
          </cell>
        </row>
        <row r="5363">
          <cell r="A5363" t="str">
            <v>Norway783 Corp Level Provision</v>
          </cell>
          <cell r="B5363">
            <v>0</v>
          </cell>
          <cell r="C5363">
            <v>0</v>
          </cell>
          <cell r="D5363">
            <v>0</v>
          </cell>
          <cell r="E5363">
            <v>0</v>
          </cell>
          <cell r="F5363">
            <v>0</v>
          </cell>
          <cell r="G5363">
            <v>0</v>
          </cell>
          <cell r="H5363">
            <v>0</v>
          </cell>
          <cell r="I5363">
            <v>0</v>
          </cell>
          <cell r="J5363">
            <v>0</v>
          </cell>
          <cell r="K5363">
            <v>0</v>
          </cell>
          <cell r="L5363">
            <v>0</v>
          </cell>
          <cell r="M5363">
            <v>0</v>
          </cell>
          <cell r="N5363">
            <v>0</v>
          </cell>
          <cell r="O5363">
            <v>0</v>
          </cell>
        </row>
        <row r="5364">
          <cell r="A5364" t="str">
            <v>Norway783 Corp Level Recovery</v>
          </cell>
          <cell r="B5364">
            <v>0</v>
          </cell>
          <cell r="C5364">
            <v>0</v>
          </cell>
          <cell r="D5364">
            <v>0</v>
          </cell>
          <cell r="E5364">
            <v>0</v>
          </cell>
          <cell r="F5364">
            <v>0</v>
          </cell>
          <cell r="G5364">
            <v>0</v>
          </cell>
          <cell r="H5364">
            <v>0</v>
          </cell>
          <cell r="I5364">
            <v>0</v>
          </cell>
          <cell r="J5364">
            <v>0</v>
          </cell>
          <cell r="K5364">
            <v>0</v>
          </cell>
          <cell r="L5364">
            <v>0</v>
          </cell>
          <cell r="M5364">
            <v>0</v>
          </cell>
          <cell r="N5364">
            <v>0</v>
          </cell>
          <cell r="O5364">
            <v>0</v>
          </cell>
        </row>
        <row r="5365">
          <cell r="A5365" t="str">
            <v>Norway784 Business Share Provision</v>
          </cell>
          <cell r="B5365">
            <v>0</v>
          </cell>
          <cell r="C5365">
            <v>0</v>
          </cell>
          <cell r="D5365">
            <v>0</v>
          </cell>
          <cell r="E5365">
            <v>0</v>
          </cell>
          <cell r="F5365">
            <v>0</v>
          </cell>
          <cell r="G5365">
            <v>0</v>
          </cell>
          <cell r="H5365">
            <v>0</v>
          </cell>
          <cell r="I5365">
            <v>0</v>
          </cell>
          <cell r="J5365">
            <v>0</v>
          </cell>
          <cell r="K5365">
            <v>0</v>
          </cell>
          <cell r="L5365">
            <v>0</v>
          </cell>
          <cell r="M5365">
            <v>0</v>
          </cell>
          <cell r="N5365">
            <v>0</v>
          </cell>
          <cell r="O5365">
            <v>0</v>
          </cell>
        </row>
        <row r="5366">
          <cell r="A5366" t="str">
            <v>NorwayReserves - Business Sharing</v>
          </cell>
          <cell r="B5366">
            <v>0</v>
          </cell>
          <cell r="C5366">
            <v>0</v>
          </cell>
          <cell r="D5366">
            <v>0</v>
          </cell>
          <cell r="E5366">
            <v>0</v>
          </cell>
          <cell r="F5366">
            <v>0</v>
          </cell>
          <cell r="G5366">
            <v>0</v>
          </cell>
          <cell r="H5366">
            <v>0</v>
          </cell>
          <cell r="I5366">
            <v>0</v>
          </cell>
          <cell r="J5366">
            <v>0</v>
          </cell>
          <cell r="K5366">
            <v>0</v>
          </cell>
          <cell r="L5366">
            <v>0</v>
          </cell>
          <cell r="M5366">
            <v>0</v>
          </cell>
          <cell r="N5366">
            <v>0</v>
          </cell>
          <cell r="O5366">
            <v>0</v>
          </cell>
        </row>
        <row r="5367">
          <cell r="A5367" t="str">
            <v>Poland GECBNEA - Fixed Rate</v>
          </cell>
          <cell r="B5367">
            <v>0</v>
          </cell>
          <cell r="C5367">
            <v>0</v>
          </cell>
          <cell r="D5367">
            <v>0</v>
          </cell>
          <cell r="E5367">
            <v>0</v>
          </cell>
          <cell r="F5367">
            <v>0</v>
          </cell>
          <cell r="G5367">
            <v>0</v>
          </cell>
          <cell r="H5367">
            <v>0</v>
          </cell>
          <cell r="I5367">
            <v>0</v>
          </cell>
          <cell r="J5367">
            <v>0</v>
          </cell>
          <cell r="K5367">
            <v>0</v>
          </cell>
          <cell r="L5367">
            <v>0</v>
          </cell>
          <cell r="M5367">
            <v>0</v>
          </cell>
          <cell r="N5367">
            <v>0</v>
          </cell>
          <cell r="O5367">
            <v>0</v>
          </cell>
        </row>
        <row r="5368">
          <cell r="A5368" t="str">
            <v>Poland GECBNEA - Floating Rate</v>
          </cell>
          <cell r="B5368">
            <v>0</v>
          </cell>
          <cell r="C5368">
            <v>0</v>
          </cell>
          <cell r="D5368">
            <v>0</v>
          </cell>
          <cell r="E5368">
            <v>0</v>
          </cell>
          <cell r="F5368">
            <v>0</v>
          </cell>
          <cell r="G5368">
            <v>0</v>
          </cell>
          <cell r="H5368">
            <v>0</v>
          </cell>
          <cell r="I5368">
            <v>0</v>
          </cell>
          <cell r="J5368">
            <v>0</v>
          </cell>
          <cell r="K5368">
            <v>0</v>
          </cell>
          <cell r="L5368">
            <v>0</v>
          </cell>
          <cell r="M5368">
            <v>0</v>
          </cell>
          <cell r="N5368">
            <v>0</v>
          </cell>
          <cell r="O5368">
            <v>0</v>
          </cell>
        </row>
        <row r="5369">
          <cell r="A5369" t="str">
            <v>Poland GECBReserves - FX Gain / Loss</v>
          </cell>
          <cell r="B5369">
            <v>2506073.38</v>
          </cell>
          <cell r="C5369">
            <v>1380481.13</v>
          </cell>
          <cell r="D5369">
            <v>3629469.89</v>
          </cell>
          <cell r="E5369">
            <v>1793754.55</v>
          </cell>
          <cell r="F5369">
            <v>1793754.55</v>
          </cell>
          <cell r="G5369">
            <v>0</v>
          </cell>
          <cell r="H5369">
            <v>0</v>
          </cell>
          <cell r="I5369">
            <v>0</v>
          </cell>
          <cell r="J5369">
            <v>0</v>
          </cell>
          <cell r="K5369">
            <v>0</v>
          </cell>
          <cell r="L5369">
            <v>2737908.24</v>
          </cell>
          <cell r="M5369">
            <v>0</v>
          </cell>
          <cell r="N5369">
            <v>0</v>
          </cell>
          <cell r="O5369">
            <v>0</v>
          </cell>
        </row>
        <row r="5370">
          <cell r="A5370" t="str">
            <v>Poland GECBReserves - Provisons</v>
          </cell>
          <cell r="B5370">
            <v>-6726549.6699999999</v>
          </cell>
          <cell r="C5370">
            <v>-14070448.34</v>
          </cell>
          <cell r="D5370">
            <v>-21638601.670000002</v>
          </cell>
          <cell r="E5370">
            <v>-29076361.219999999</v>
          </cell>
          <cell r="F5370">
            <v>-29076361.219999999</v>
          </cell>
          <cell r="G5370">
            <v>0</v>
          </cell>
          <cell r="H5370">
            <v>0</v>
          </cell>
          <cell r="I5370">
            <v>0</v>
          </cell>
          <cell r="J5370">
            <v>0</v>
          </cell>
          <cell r="K5370">
            <v>0</v>
          </cell>
          <cell r="L5370">
            <v>-11244068.73</v>
          </cell>
          <cell r="M5370">
            <v>0</v>
          </cell>
          <cell r="N5370">
            <v>0</v>
          </cell>
          <cell r="O5370">
            <v>0</v>
          </cell>
        </row>
        <row r="5371">
          <cell r="A5371" t="str">
            <v>Poland GECBReserves - Recoveries</v>
          </cell>
          <cell r="B5371">
            <v>0</v>
          </cell>
          <cell r="C5371">
            <v>0</v>
          </cell>
          <cell r="D5371">
            <v>0</v>
          </cell>
          <cell r="E5371">
            <v>0</v>
          </cell>
          <cell r="F5371">
            <v>0</v>
          </cell>
          <cell r="G5371">
            <v>0</v>
          </cell>
          <cell r="H5371">
            <v>0</v>
          </cell>
          <cell r="I5371">
            <v>0</v>
          </cell>
          <cell r="J5371">
            <v>0</v>
          </cell>
          <cell r="K5371">
            <v>0</v>
          </cell>
          <cell r="L5371">
            <v>0</v>
          </cell>
          <cell r="M5371">
            <v>0</v>
          </cell>
          <cell r="N5371">
            <v>0</v>
          </cell>
          <cell r="O5371">
            <v>0</v>
          </cell>
        </row>
        <row r="5372">
          <cell r="A5372" t="str">
            <v>Poland GECBReserves - BOP</v>
          </cell>
          <cell r="B5372">
            <v>-25000268.170000002</v>
          </cell>
          <cell r="C5372">
            <v>-25000268.170000002</v>
          </cell>
          <cell r="D5372">
            <v>-25000268.170000002</v>
          </cell>
          <cell r="E5372">
            <v>-25000268.170000002</v>
          </cell>
          <cell r="F5372">
            <v>-25000268.170000002</v>
          </cell>
          <cell r="G5372">
            <v>-32083279.285151999</v>
          </cell>
          <cell r="H5372">
            <v>-37590669.834068</v>
          </cell>
          <cell r="I5372">
            <v>-45154081.878884003</v>
          </cell>
          <cell r="J5372">
            <v>-56747507.166768</v>
          </cell>
          <cell r="K5372">
            <v>-56747507.166768</v>
          </cell>
          <cell r="L5372">
            <v>-30592036.129999999</v>
          </cell>
          <cell r="M5372">
            <v>-66888469.592565998</v>
          </cell>
          <cell r="N5372">
            <v>-87500036.166899994</v>
          </cell>
          <cell r="O5372">
            <v>-103985252.097302</v>
          </cell>
        </row>
        <row r="5373">
          <cell r="A5373" t="str">
            <v>Poland GECBReserves - Transfers &amp; Others</v>
          </cell>
          <cell r="B5373">
            <v>0</v>
          </cell>
          <cell r="C5373">
            <v>0</v>
          </cell>
          <cell r="D5373">
            <v>0</v>
          </cell>
          <cell r="E5373">
            <v>0</v>
          </cell>
          <cell r="F5373">
            <v>0</v>
          </cell>
          <cell r="G5373">
            <v>0</v>
          </cell>
          <cell r="H5373">
            <v>0</v>
          </cell>
          <cell r="I5373">
            <v>0</v>
          </cell>
          <cell r="J5373">
            <v>0</v>
          </cell>
          <cell r="K5373">
            <v>0</v>
          </cell>
          <cell r="L5373">
            <v>0</v>
          </cell>
          <cell r="M5373">
            <v>0</v>
          </cell>
          <cell r="N5373">
            <v>0</v>
          </cell>
          <cell r="O5373">
            <v>0</v>
          </cell>
        </row>
        <row r="5374">
          <cell r="A5374" t="str">
            <v>Poland GECBReserves - Write-Offs</v>
          </cell>
          <cell r="B5374">
            <v>3018456.94</v>
          </cell>
          <cell r="C5374">
            <v>8571765.5700000003</v>
          </cell>
          <cell r="D5374">
            <v>14974714.23</v>
          </cell>
          <cell r="E5374">
            <v>23484593.260000002</v>
          </cell>
          <cell r="F5374">
            <v>23484593.260000002</v>
          </cell>
          <cell r="G5374">
            <v>3313422.6534640002</v>
          </cell>
          <cell r="H5374">
            <v>8234258.0924310004</v>
          </cell>
          <cell r="I5374">
            <v>14783327.299011</v>
          </cell>
          <cell r="J5374">
            <v>23418575.109351002</v>
          </cell>
          <cell r="K5374">
            <v>23418575.109351002</v>
          </cell>
          <cell r="L5374">
            <v>7977787.5999999996</v>
          </cell>
          <cell r="M5374">
            <v>20927680.07172</v>
          </cell>
          <cell r="N5374">
            <v>30034103.287445001</v>
          </cell>
          <cell r="O5374">
            <v>36316935.363260999</v>
          </cell>
        </row>
        <row r="5375">
          <cell r="A5375" t="str">
            <v>Poland GECB780 FR Provision</v>
          </cell>
          <cell r="B5375">
            <v>6726549.6600000001</v>
          </cell>
          <cell r="C5375">
            <v>7343898.6799999997</v>
          </cell>
          <cell r="D5375">
            <v>7568153.3300000001</v>
          </cell>
          <cell r="E5375">
            <v>7437759.5499999998</v>
          </cell>
          <cell r="F5375">
            <v>29076361.219999999</v>
          </cell>
          <cell r="G5375">
            <v>0</v>
          </cell>
          <cell r="H5375">
            <v>0</v>
          </cell>
          <cell r="I5375">
            <v>0</v>
          </cell>
          <cell r="J5375">
            <v>0</v>
          </cell>
          <cell r="K5375">
            <v>0</v>
          </cell>
          <cell r="L5375">
            <v>11244068.73</v>
          </cell>
          <cell r="M5375">
            <v>13989739.325948</v>
          </cell>
          <cell r="N5375">
            <v>11505143.35861</v>
          </cell>
          <cell r="O5375">
            <v>10203000</v>
          </cell>
        </row>
        <row r="5376">
          <cell r="A5376" t="str">
            <v>Poland GECB780 FR Recovery</v>
          </cell>
          <cell r="B5376">
            <v>0</v>
          </cell>
          <cell r="C5376">
            <v>0</v>
          </cell>
          <cell r="D5376">
            <v>0</v>
          </cell>
          <cell r="E5376">
            <v>0</v>
          </cell>
          <cell r="F5376">
            <v>0</v>
          </cell>
          <cell r="G5376">
            <v>7592014.2947650002</v>
          </cell>
          <cell r="H5376">
            <v>6602389.9394659996</v>
          </cell>
          <cell r="I5376">
            <v>8196617.5248180004</v>
          </cell>
          <cell r="J5376">
            <v>9632195.8343400005</v>
          </cell>
          <cell r="K5376">
            <v>32023217.593389999</v>
          </cell>
          <cell r="L5376">
            <v>0</v>
          </cell>
          <cell r="M5376">
            <v>20927680.07172</v>
          </cell>
          <cell r="N5376">
            <v>30034103.287445001</v>
          </cell>
          <cell r="O5376">
            <v>36318000</v>
          </cell>
        </row>
        <row r="5377">
          <cell r="A5377" t="str">
            <v>Poland GECB781 LL Provision</v>
          </cell>
          <cell r="B5377">
            <v>0</v>
          </cell>
          <cell r="C5377">
            <v>0</v>
          </cell>
          <cell r="D5377">
            <v>0</v>
          </cell>
          <cell r="E5377">
            <v>0</v>
          </cell>
          <cell r="F5377">
            <v>0</v>
          </cell>
          <cell r="G5377">
            <v>0</v>
          </cell>
          <cell r="H5377">
            <v>0</v>
          </cell>
          <cell r="I5377">
            <v>0</v>
          </cell>
          <cell r="J5377">
            <v>0</v>
          </cell>
          <cell r="K5377">
            <v>0</v>
          </cell>
          <cell r="L5377">
            <v>0</v>
          </cell>
          <cell r="M5377">
            <v>0</v>
          </cell>
          <cell r="N5377">
            <v>0</v>
          </cell>
          <cell r="O5377">
            <v>0</v>
          </cell>
        </row>
        <row r="5378">
          <cell r="A5378" t="str">
            <v>Poland GECB781 LL Recovery</v>
          </cell>
          <cell r="B5378">
            <v>0</v>
          </cell>
          <cell r="C5378">
            <v>0</v>
          </cell>
          <cell r="D5378">
            <v>0</v>
          </cell>
          <cell r="E5378">
            <v>0</v>
          </cell>
          <cell r="F5378">
            <v>0</v>
          </cell>
          <cell r="G5378">
            <v>0</v>
          </cell>
          <cell r="H5378">
            <v>0</v>
          </cell>
          <cell r="I5378">
            <v>0</v>
          </cell>
          <cell r="J5378">
            <v>0</v>
          </cell>
          <cell r="K5378">
            <v>0</v>
          </cell>
          <cell r="L5378">
            <v>0</v>
          </cell>
          <cell r="M5378">
            <v>0</v>
          </cell>
          <cell r="N5378">
            <v>0</v>
          </cell>
          <cell r="O5378">
            <v>0</v>
          </cell>
        </row>
        <row r="5379">
          <cell r="A5379" t="str">
            <v>Poland GECB782 DF Provision</v>
          </cell>
          <cell r="B5379">
            <v>0</v>
          </cell>
          <cell r="C5379">
            <v>0</v>
          </cell>
          <cell r="D5379">
            <v>0</v>
          </cell>
          <cell r="E5379">
            <v>0</v>
          </cell>
          <cell r="F5379">
            <v>0</v>
          </cell>
          <cell r="G5379">
            <v>0</v>
          </cell>
          <cell r="H5379">
            <v>0</v>
          </cell>
          <cell r="I5379">
            <v>0</v>
          </cell>
          <cell r="J5379">
            <v>0</v>
          </cell>
          <cell r="K5379">
            <v>0</v>
          </cell>
          <cell r="L5379">
            <v>0</v>
          </cell>
          <cell r="M5379">
            <v>0</v>
          </cell>
          <cell r="N5379">
            <v>0</v>
          </cell>
          <cell r="O5379">
            <v>0</v>
          </cell>
        </row>
        <row r="5380">
          <cell r="A5380" t="str">
            <v>Poland GECB782 DF Recovery</v>
          </cell>
          <cell r="B5380">
            <v>0</v>
          </cell>
          <cell r="C5380">
            <v>0</v>
          </cell>
          <cell r="D5380">
            <v>0</v>
          </cell>
          <cell r="E5380">
            <v>0</v>
          </cell>
          <cell r="F5380">
            <v>0</v>
          </cell>
          <cell r="G5380">
            <v>0</v>
          </cell>
          <cell r="H5380">
            <v>0</v>
          </cell>
          <cell r="I5380">
            <v>0</v>
          </cell>
          <cell r="J5380">
            <v>0</v>
          </cell>
          <cell r="K5380">
            <v>0</v>
          </cell>
          <cell r="L5380">
            <v>0</v>
          </cell>
          <cell r="M5380">
            <v>0</v>
          </cell>
          <cell r="N5380">
            <v>0</v>
          </cell>
          <cell r="O5380">
            <v>0</v>
          </cell>
        </row>
        <row r="5381">
          <cell r="A5381" t="str">
            <v>Poland GECB783 Corp Level Provision</v>
          </cell>
          <cell r="B5381">
            <v>0</v>
          </cell>
          <cell r="C5381">
            <v>0</v>
          </cell>
          <cell r="D5381">
            <v>0</v>
          </cell>
          <cell r="E5381">
            <v>0</v>
          </cell>
          <cell r="F5381">
            <v>0</v>
          </cell>
          <cell r="G5381">
            <v>0</v>
          </cell>
          <cell r="H5381">
            <v>0</v>
          </cell>
          <cell r="I5381">
            <v>0</v>
          </cell>
          <cell r="J5381">
            <v>0</v>
          </cell>
          <cell r="K5381">
            <v>0</v>
          </cell>
          <cell r="L5381">
            <v>0</v>
          </cell>
          <cell r="M5381">
            <v>0</v>
          </cell>
          <cell r="N5381">
            <v>0</v>
          </cell>
          <cell r="O5381">
            <v>0</v>
          </cell>
        </row>
        <row r="5382">
          <cell r="A5382" t="str">
            <v>Poland GECB783 Corp Level Recovery</v>
          </cell>
          <cell r="B5382">
            <v>0</v>
          </cell>
          <cell r="C5382">
            <v>0</v>
          </cell>
          <cell r="D5382">
            <v>0</v>
          </cell>
          <cell r="E5382">
            <v>0</v>
          </cell>
          <cell r="F5382">
            <v>0</v>
          </cell>
          <cell r="G5382">
            <v>0</v>
          </cell>
          <cell r="H5382">
            <v>0</v>
          </cell>
          <cell r="I5382">
            <v>0</v>
          </cell>
          <cell r="J5382">
            <v>0</v>
          </cell>
          <cell r="K5382">
            <v>0</v>
          </cell>
          <cell r="L5382">
            <v>0</v>
          </cell>
          <cell r="M5382">
            <v>0</v>
          </cell>
          <cell r="N5382">
            <v>0</v>
          </cell>
          <cell r="O5382">
            <v>0</v>
          </cell>
        </row>
        <row r="5383">
          <cell r="A5383" t="str">
            <v>Poland GECB784 Business Share Provision</v>
          </cell>
          <cell r="B5383">
            <v>0</v>
          </cell>
          <cell r="C5383">
            <v>0</v>
          </cell>
          <cell r="D5383">
            <v>0</v>
          </cell>
          <cell r="E5383">
            <v>0</v>
          </cell>
          <cell r="F5383">
            <v>0</v>
          </cell>
          <cell r="G5383">
            <v>0</v>
          </cell>
          <cell r="H5383">
            <v>0</v>
          </cell>
          <cell r="I5383">
            <v>0</v>
          </cell>
          <cell r="J5383">
            <v>0</v>
          </cell>
          <cell r="K5383">
            <v>0</v>
          </cell>
          <cell r="L5383">
            <v>0</v>
          </cell>
          <cell r="M5383">
            <v>0</v>
          </cell>
          <cell r="N5383">
            <v>0</v>
          </cell>
          <cell r="O5383">
            <v>0</v>
          </cell>
        </row>
        <row r="5384">
          <cell r="A5384" t="str">
            <v>Poland GECBReserves - Business Sharing</v>
          </cell>
          <cell r="B5384">
            <v>0</v>
          </cell>
          <cell r="C5384">
            <v>0</v>
          </cell>
          <cell r="D5384">
            <v>0</v>
          </cell>
          <cell r="E5384">
            <v>0</v>
          </cell>
          <cell r="F5384">
            <v>0</v>
          </cell>
          <cell r="G5384">
            <v>0</v>
          </cell>
          <cell r="H5384">
            <v>0</v>
          </cell>
          <cell r="I5384">
            <v>0</v>
          </cell>
          <cell r="J5384">
            <v>0</v>
          </cell>
          <cell r="K5384">
            <v>0</v>
          </cell>
          <cell r="L5384">
            <v>0</v>
          </cell>
          <cell r="M5384">
            <v>0</v>
          </cell>
          <cell r="N5384">
            <v>0</v>
          </cell>
          <cell r="O5384">
            <v>0</v>
          </cell>
        </row>
        <row r="5385">
          <cell r="A5385" t="str">
            <v>Poland CorporateNEA - Fixed Rate</v>
          </cell>
          <cell r="B5385">
            <v>0</v>
          </cell>
          <cell r="C5385">
            <v>0</v>
          </cell>
          <cell r="D5385">
            <v>0</v>
          </cell>
          <cell r="E5385">
            <v>0</v>
          </cell>
          <cell r="F5385">
            <v>0</v>
          </cell>
          <cell r="G5385">
            <v>0</v>
          </cell>
          <cell r="H5385">
            <v>0</v>
          </cell>
          <cell r="I5385">
            <v>0</v>
          </cell>
          <cell r="J5385">
            <v>0</v>
          </cell>
          <cell r="K5385">
            <v>0</v>
          </cell>
          <cell r="L5385">
            <v>0</v>
          </cell>
          <cell r="M5385">
            <v>0</v>
          </cell>
          <cell r="N5385">
            <v>0</v>
          </cell>
          <cell r="O5385">
            <v>0</v>
          </cell>
        </row>
        <row r="5386">
          <cell r="A5386" t="str">
            <v>Poland CorporateNEA - Floating Rate</v>
          </cell>
          <cell r="B5386">
            <v>0</v>
          </cell>
          <cell r="C5386">
            <v>0</v>
          </cell>
          <cell r="D5386">
            <v>0</v>
          </cell>
          <cell r="E5386">
            <v>0</v>
          </cell>
          <cell r="F5386">
            <v>0</v>
          </cell>
          <cell r="G5386">
            <v>0</v>
          </cell>
          <cell r="H5386">
            <v>0</v>
          </cell>
          <cell r="I5386">
            <v>0</v>
          </cell>
          <cell r="J5386">
            <v>0</v>
          </cell>
          <cell r="K5386">
            <v>0</v>
          </cell>
          <cell r="L5386">
            <v>0</v>
          </cell>
          <cell r="M5386">
            <v>0</v>
          </cell>
          <cell r="N5386">
            <v>0</v>
          </cell>
          <cell r="O5386">
            <v>0</v>
          </cell>
        </row>
        <row r="5387">
          <cell r="A5387" t="str">
            <v>Poland CorporateReserves - FX Gain / Loss</v>
          </cell>
          <cell r="B5387">
            <v>0</v>
          </cell>
          <cell r="C5387">
            <v>0</v>
          </cell>
          <cell r="D5387">
            <v>0</v>
          </cell>
          <cell r="E5387">
            <v>0</v>
          </cell>
          <cell r="F5387">
            <v>0</v>
          </cell>
          <cell r="G5387">
            <v>0</v>
          </cell>
          <cell r="H5387">
            <v>0</v>
          </cell>
          <cell r="I5387">
            <v>0</v>
          </cell>
          <cell r="J5387">
            <v>0</v>
          </cell>
          <cell r="K5387">
            <v>0</v>
          </cell>
          <cell r="L5387">
            <v>0</v>
          </cell>
          <cell r="M5387">
            <v>0</v>
          </cell>
          <cell r="N5387">
            <v>0</v>
          </cell>
          <cell r="O5387">
            <v>0</v>
          </cell>
        </row>
        <row r="5388">
          <cell r="A5388" t="str">
            <v>Poland CorporateReserves - Provisons</v>
          </cell>
          <cell r="B5388">
            <v>0</v>
          </cell>
          <cell r="C5388">
            <v>0</v>
          </cell>
          <cell r="D5388">
            <v>0</v>
          </cell>
          <cell r="E5388">
            <v>0</v>
          </cell>
          <cell r="F5388">
            <v>0</v>
          </cell>
          <cell r="G5388">
            <v>0</v>
          </cell>
          <cell r="H5388">
            <v>0</v>
          </cell>
          <cell r="I5388">
            <v>0</v>
          </cell>
          <cell r="J5388">
            <v>0</v>
          </cell>
          <cell r="K5388">
            <v>0</v>
          </cell>
          <cell r="L5388">
            <v>0</v>
          </cell>
          <cell r="M5388">
            <v>0</v>
          </cell>
          <cell r="N5388">
            <v>0</v>
          </cell>
          <cell r="O5388">
            <v>0</v>
          </cell>
        </row>
        <row r="5389">
          <cell r="A5389" t="str">
            <v>Poland CorporateReserves - Recoveries</v>
          </cell>
          <cell r="B5389">
            <v>0</v>
          </cell>
          <cell r="C5389">
            <v>0</v>
          </cell>
          <cell r="D5389">
            <v>0</v>
          </cell>
          <cell r="E5389">
            <v>0</v>
          </cell>
          <cell r="F5389">
            <v>0</v>
          </cell>
          <cell r="G5389">
            <v>0</v>
          </cell>
          <cell r="H5389">
            <v>0</v>
          </cell>
          <cell r="I5389">
            <v>0</v>
          </cell>
          <cell r="J5389">
            <v>0</v>
          </cell>
          <cell r="K5389">
            <v>0</v>
          </cell>
          <cell r="L5389">
            <v>0</v>
          </cell>
          <cell r="M5389">
            <v>0</v>
          </cell>
          <cell r="N5389">
            <v>0</v>
          </cell>
          <cell r="O5389">
            <v>0</v>
          </cell>
        </row>
        <row r="5390">
          <cell r="A5390" t="str">
            <v>Poland CorporateReserves - BOP</v>
          </cell>
          <cell r="B5390">
            <v>0</v>
          </cell>
          <cell r="C5390">
            <v>0</v>
          </cell>
          <cell r="D5390">
            <v>0</v>
          </cell>
          <cell r="E5390">
            <v>0</v>
          </cell>
          <cell r="F5390">
            <v>0</v>
          </cell>
          <cell r="G5390">
            <v>0</v>
          </cell>
          <cell r="H5390">
            <v>0</v>
          </cell>
          <cell r="I5390">
            <v>0</v>
          </cell>
          <cell r="J5390">
            <v>0</v>
          </cell>
          <cell r="K5390">
            <v>0</v>
          </cell>
          <cell r="L5390">
            <v>0</v>
          </cell>
          <cell r="M5390">
            <v>0</v>
          </cell>
          <cell r="N5390">
            <v>0</v>
          </cell>
          <cell r="O5390">
            <v>0</v>
          </cell>
        </row>
        <row r="5391">
          <cell r="A5391" t="str">
            <v>Poland CorporateReserves - Transfers &amp; Others</v>
          </cell>
          <cell r="B5391">
            <v>0</v>
          </cell>
          <cell r="C5391">
            <v>0</v>
          </cell>
          <cell r="D5391">
            <v>0</v>
          </cell>
          <cell r="E5391">
            <v>0</v>
          </cell>
          <cell r="F5391">
            <v>0</v>
          </cell>
          <cell r="G5391">
            <v>0</v>
          </cell>
          <cell r="H5391">
            <v>0</v>
          </cell>
          <cell r="I5391">
            <v>0</v>
          </cell>
          <cell r="J5391">
            <v>0</v>
          </cell>
          <cell r="K5391">
            <v>0</v>
          </cell>
          <cell r="L5391">
            <v>0</v>
          </cell>
          <cell r="M5391">
            <v>0</v>
          </cell>
          <cell r="N5391">
            <v>0</v>
          </cell>
          <cell r="O5391">
            <v>0</v>
          </cell>
        </row>
        <row r="5392">
          <cell r="A5392" t="str">
            <v>Poland CorporateReserves - Write-Offs</v>
          </cell>
          <cell r="B5392">
            <v>0</v>
          </cell>
          <cell r="C5392">
            <v>0</v>
          </cell>
          <cell r="D5392">
            <v>0</v>
          </cell>
          <cell r="E5392">
            <v>0</v>
          </cell>
          <cell r="F5392">
            <v>0</v>
          </cell>
          <cell r="G5392">
            <v>0</v>
          </cell>
          <cell r="H5392">
            <v>0</v>
          </cell>
          <cell r="I5392">
            <v>0</v>
          </cell>
          <cell r="J5392">
            <v>0</v>
          </cell>
          <cell r="K5392">
            <v>0</v>
          </cell>
          <cell r="L5392">
            <v>0</v>
          </cell>
          <cell r="M5392">
            <v>0</v>
          </cell>
          <cell r="N5392">
            <v>0</v>
          </cell>
          <cell r="O5392">
            <v>0</v>
          </cell>
        </row>
        <row r="5393">
          <cell r="A5393" t="str">
            <v>Poland Corporate780 FR Provision</v>
          </cell>
          <cell r="B5393">
            <v>0</v>
          </cell>
          <cell r="C5393">
            <v>0</v>
          </cell>
          <cell r="D5393">
            <v>0</v>
          </cell>
          <cell r="E5393">
            <v>0</v>
          </cell>
          <cell r="F5393">
            <v>0</v>
          </cell>
          <cell r="G5393">
            <v>0</v>
          </cell>
          <cell r="H5393">
            <v>0</v>
          </cell>
          <cell r="I5393">
            <v>0</v>
          </cell>
          <cell r="J5393">
            <v>0</v>
          </cell>
          <cell r="K5393">
            <v>0</v>
          </cell>
          <cell r="L5393">
            <v>0</v>
          </cell>
          <cell r="M5393">
            <v>0</v>
          </cell>
          <cell r="N5393">
            <v>0</v>
          </cell>
          <cell r="O5393">
            <v>0</v>
          </cell>
        </row>
        <row r="5394">
          <cell r="A5394" t="str">
            <v>Poland Corporate780 FR Recovery</v>
          </cell>
          <cell r="B5394">
            <v>0</v>
          </cell>
          <cell r="C5394">
            <v>0</v>
          </cell>
          <cell r="D5394">
            <v>0</v>
          </cell>
          <cell r="E5394">
            <v>0</v>
          </cell>
          <cell r="F5394">
            <v>0</v>
          </cell>
          <cell r="G5394">
            <v>0</v>
          </cell>
          <cell r="H5394">
            <v>0</v>
          </cell>
          <cell r="I5394">
            <v>0</v>
          </cell>
          <cell r="J5394">
            <v>0</v>
          </cell>
          <cell r="K5394">
            <v>0</v>
          </cell>
          <cell r="L5394">
            <v>0</v>
          </cell>
          <cell r="M5394">
            <v>0</v>
          </cell>
          <cell r="N5394">
            <v>0</v>
          </cell>
          <cell r="O5394">
            <v>0</v>
          </cell>
        </row>
        <row r="5395">
          <cell r="A5395" t="str">
            <v>Poland Corporate781 LL Provision</v>
          </cell>
          <cell r="B5395">
            <v>0</v>
          </cell>
          <cell r="C5395">
            <v>0</v>
          </cell>
          <cell r="D5395">
            <v>0</v>
          </cell>
          <cell r="E5395">
            <v>0</v>
          </cell>
          <cell r="F5395">
            <v>0</v>
          </cell>
          <cell r="G5395">
            <v>0</v>
          </cell>
          <cell r="H5395">
            <v>0</v>
          </cell>
          <cell r="I5395">
            <v>0</v>
          </cell>
          <cell r="J5395">
            <v>0</v>
          </cell>
          <cell r="K5395">
            <v>0</v>
          </cell>
          <cell r="L5395">
            <v>0</v>
          </cell>
          <cell r="M5395">
            <v>0</v>
          </cell>
          <cell r="N5395">
            <v>0</v>
          </cell>
          <cell r="O5395">
            <v>0</v>
          </cell>
        </row>
        <row r="5396">
          <cell r="A5396" t="str">
            <v>Poland Corporate781 LL Recovery</v>
          </cell>
          <cell r="B5396">
            <v>0</v>
          </cell>
          <cell r="C5396">
            <v>0</v>
          </cell>
          <cell r="D5396">
            <v>0</v>
          </cell>
          <cell r="E5396">
            <v>0</v>
          </cell>
          <cell r="F5396">
            <v>0</v>
          </cell>
          <cell r="G5396">
            <v>0</v>
          </cell>
          <cell r="H5396">
            <v>0</v>
          </cell>
          <cell r="I5396">
            <v>0</v>
          </cell>
          <cell r="J5396">
            <v>0</v>
          </cell>
          <cell r="K5396">
            <v>0</v>
          </cell>
          <cell r="L5396">
            <v>0</v>
          </cell>
          <cell r="M5396">
            <v>0</v>
          </cell>
          <cell r="N5396">
            <v>0</v>
          </cell>
          <cell r="O5396">
            <v>0</v>
          </cell>
        </row>
        <row r="5397">
          <cell r="A5397" t="str">
            <v>Poland Corporate782 DF Provision</v>
          </cell>
          <cell r="B5397">
            <v>0</v>
          </cell>
          <cell r="C5397">
            <v>0</v>
          </cell>
          <cell r="D5397">
            <v>0</v>
          </cell>
          <cell r="E5397">
            <v>0</v>
          </cell>
          <cell r="F5397">
            <v>0</v>
          </cell>
          <cell r="G5397">
            <v>0</v>
          </cell>
          <cell r="H5397">
            <v>0</v>
          </cell>
          <cell r="I5397">
            <v>0</v>
          </cell>
          <cell r="J5397">
            <v>0</v>
          </cell>
          <cell r="K5397">
            <v>0</v>
          </cell>
          <cell r="L5397">
            <v>0</v>
          </cell>
          <cell r="M5397">
            <v>0</v>
          </cell>
          <cell r="N5397">
            <v>0</v>
          </cell>
          <cell r="O5397">
            <v>0</v>
          </cell>
        </row>
        <row r="5398">
          <cell r="A5398" t="str">
            <v>Poland Corporate782 DF Recovery</v>
          </cell>
          <cell r="B5398">
            <v>0</v>
          </cell>
          <cell r="C5398">
            <v>0</v>
          </cell>
          <cell r="D5398">
            <v>0</v>
          </cell>
          <cell r="E5398">
            <v>0</v>
          </cell>
          <cell r="F5398">
            <v>0</v>
          </cell>
          <cell r="G5398">
            <v>0</v>
          </cell>
          <cell r="H5398">
            <v>0</v>
          </cell>
          <cell r="I5398">
            <v>0</v>
          </cell>
          <cell r="J5398">
            <v>0</v>
          </cell>
          <cell r="K5398">
            <v>0</v>
          </cell>
          <cell r="L5398">
            <v>0</v>
          </cell>
          <cell r="M5398">
            <v>0</v>
          </cell>
          <cell r="N5398">
            <v>0</v>
          </cell>
          <cell r="O5398">
            <v>0</v>
          </cell>
        </row>
        <row r="5399">
          <cell r="A5399" t="str">
            <v>Poland Corporate783 Corp Level Provision</v>
          </cell>
          <cell r="B5399">
            <v>0</v>
          </cell>
          <cell r="C5399">
            <v>0</v>
          </cell>
          <cell r="D5399">
            <v>0</v>
          </cell>
          <cell r="E5399">
            <v>0</v>
          </cell>
          <cell r="F5399">
            <v>0</v>
          </cell>
          <cell r="G5399">
            <v>0</v>
          </cell>
          <cell r="H5399">
            <v>0</v>
          </cell>
          <cell r="I5399">
            <v>0</v>
          </cell>
          <cell r="J5399">
            <v>0</v>
          </cell>
          <cell r="K5399">
            <v>0</v>
          </cell>
          <cell r="L5399">
            <v>0</v>
          </cell>
          <cell r="M5399">
            <v>0</v>
          </cell>
          <cell r="N5399">
            <v>0</v>
          </cell>
          <cell r="O5399">
            <v>0</v>
          </cell>
        </row>
        <row r="5400">
          <cell r="A5400" t="str">
            <v>Poland Corporate783 Corp Level Recovery</v>
          </cell>
          <cell r="B5400">
            <v>0</v>
          </cell>
          <cell r="C5400">
            <v>0</v>
          </cell>
          <cell r="D5400">
            <v>0</v>
          </cell>
          <cell r="E5400">
            <v>0</v>
          </cell>
          <cell r="F5400">
            <v>0</v>
          </cell>
          <cell r="G5400">
            <v>0</v>
          </cell>
          <cell r="H5400">
            <v>0</v>
          </cell>
          <cell r="I5400">
            <v>0</v>
          </cell>
          <cell r="J5400">
            <v>0</v>
          </cell>
          <cell r="K5400">
            <v>0</v>
          </cell>
          <cell r="L5400">
            <v>0</v>
          </cell>
          <cell r="M5400">
            <v>0</v>
          </cell>
          <cell r="N5400">
            <v>0</v>
          </cell>
          <cell r="O5400">
            <v>0</v>
          </cell>
        </row>
        <row r="5401">
          <cell r="A5401" t="str">
            <v>Poland Corporate784 Business Share Provision</v>
          </cell>
          <cell r="B5401">
            <v>0</v>
          </cell>
          <cell r="C5401">
            <v>0</v>
          </cell>
          <cell r="D5401">
            <v>0</v>
          </cell>
          <cell r="E5401">
            <v>0</v>
          </cell>
          <cell r="F5401">
            <v>0</v>
          </cell>
          <cell r="G5401">
            <v>0</v>
          </cell>
          <cell r="H5401">
            <v>0</v>
          </cell>
          <cell r="I5401">
            <v>0</v>
          </cell>
          <cell r="J5401">
            <v>0</v>
          </cell>
          <cell r="K5401">
            <v>0</v>
          </cell>
          <cell r="L5401">
            <v>0</v>
          </cell>
          <cell r="M5401">
            <v>0</v>
          </cell>
          <cell r="N5401">
            <v>0</v>
          </cell>
          <cell r="O5401">
            <v>0</v>
          </cell>
        </row>
        <row r="5402">
          <cell r="A5402" t="str">
            <v>Poland CorporateReserves - Business Sharing</v>
          </cell>
          <cell r="B5402">
            <v>0</v>
          </cell>
          <cell r="C5402">
            <v>0</v>
          </cell>
          <cell r="D5402">
            <v>0</v>
          </cell>
          <cell r="E5402">
            <v>0</v>
          </cell>
          <cell r="F5402">
            <v>0</v>
          </cell>
          <cell r="G5402">
            <v>0</v>
          </cell>
          <cell r="H5402">
            <v>0</v>
          </cell>
          <cell r="I5402">
            <v>0</v>
          </cell>
          <cell r="J5402">
            <v>0</v>
          </cell>
          <cell r="K5402">
            <v>0</v>
          </cell>
          <cell r="L5402">
            <v>0</v>
          </cell>
          <cell r="M5402">
            <v>0</v>
          </cell>
          <cell r="N5402">
            <v>0</v>
          </cell>
          <cell r="O5402">
            <v>0</v>
          </cell>
        </row>
        <row r="5403">
          <cell r="A5403" t="str">
            <v>Project ProphetNEA - Fixed Rate</v>
          </cell>
          <cell r="B5403">
            <v>0</v>
          </cell>
          <cell r="C5403">
            <v>0</v>
          </cell>
          <cell r="D5403">
            <v>0</v>
          </cell>
          <cell r="E5403">
            <v>0</v>
          </cell>
          <cell r="F5403">
            <v>0</v>
          </cell>
          <cell r="G5403">
            <v>0</v>
          </cell>
          <cell r="H5403">
            <v>0</v>
          </cell>
          <cell r="I5403">
            <v>0</v>
          </cell>
          <cell r="J5403">
            <v>0</v>
          </cell>
          <cell r="K5403">
            <v>0</v>
          </cell>
          <cell r="L5403">
            <v>0</v>
          </cell>
          <cell r="M5403">
            <v>0</v>
          </cell>
          <cell r="N5403">
            <v>0</v>
          </cell>
          <cell r="O5403">
            <v>0</v>
          </cell>
        </row>
        <row r="5404">
          <cell r="A5404" t="str">
            <v>Project ProphetNEA - Floating Rate</v>
          </cell>
          <cell r="B5404">
            <v>0</v>
          </cell>
          <cell r="C5404">
            <v>0</v>
          </cell>
          <cell r="D5404">
            <v>0</v>
          </cell>
          <cell r="E5404">
            <v>0</v>
          </cell>
          <cell r="F5404">
            <v>0</v>
          </cell>
          <cell r="G5404">
            <v>0</v>
          </cell>
          <cell r="H5404">
            <v>0</v>
          </cell>
          <cell r="I5404">
            <v>0</v>
          </cell>
          <cell r="J5404">
            <v>0</v>
          </cell>
          <cell r="K5404">
            <v>0</v>
          </cell>
          <cell r="L5404">
            <v>0</v>
          </cell>
          <cell r="M5404">
            <v>0</v>
          </cell>
          <cell r="N5404">
            <v>0</v>
          </cell>
          <cell r="O5404">
            <v>0</v>
          </cell>
        </row>
        <row r="5405">
          <cell r="A5405" t="str">
            <v>Project ProphetReserves - FX Gain / Loss</v>
          </cell>
          <cell r="B5405">
            <v>0</v>
          </cell>
          <cell r="C5405">
            <v>0</v>
          </cell>
          <cell r="D5405">
            <v>0</v>
          </cell>
          <cell r="E5405">
            <v>0</v>
          </cell>
          <cell r="F5405">
            <v>0</v>
          </cell>
          <cell r="G5405">
            <v>0</v>
          </cell>
          <cell r="H5405">
            <v>0</v>
          </cell>
          <cell r="I5405">
            <v>0</v>
          </cell>
          <cell r="J5405">
            <v>0</v>
          </cell>
          <cell r="K5405">
            <v>0</v>
          </cell>
          <cell r="L5405">
            <v>0</v>
          </cell>
          <cell r="M5405">
            <v>0</v>
          </cell>
          <cell r="N5405">
            <v>0</v>
          </cell>
          <cell r="O5405">
            <v>0</v>
          </cell>
        </row>
        <row r="5406">
          <cell r="A5406" t="str">
            <v>Project ProphetReserves - Provisons</v>
          </cell>
          <cell r="B5406">
            <v>0</v>
          </cell>
          <cell r="C5406">
            <v>0</v>
          </cell>
          <cell r="D5406">
            <v>0</v>
          </cell>
          <cell r="E5406">
            <v>0</v>
          </cell>
          <cell r="F5406">
            <v>0</v>
          </cell>
          <cell r="G5406">
            <v>0</v>
          </cell>
          <cell r="H5406">
            <v>0</v>
          </cell>
          <cell r="I5406">
            <v>0</v>
          </cell>
          <cell r="J5406">
            <v>0</v>
          </cell>
          <cell r="K5406">
            <v>0</v>
          </cell>
          <cell r="L5406">
            <v>0</v>
          </cell>
          <cell r="M5406">
            <v>0</v>
          </cell>
          <cell r="N5406">
            <v>0</v>
          </cell>
          <cell r="O5406">
            <v>0</v>
          </cell>
        </row>
        <row r="5407">
          <cell r="A5407" t="str">
            <v>Project ProphetReserves - Recoveries</v>
          </cell>
          <cell r="B5407">
            <v>0</v>
          </cell>
          <cell r="C5407">
            <v>0</v>
          </cell>
          <cell r="D5407">
            <v>0</v>
          </cell>
          <cell r="E5407">
            <v>0</v>
          </cell>
          <cell r="F5407">
            <v>0</v>
          </cell>
          <cell r="G5407">
            <v>0</v>
          </cell>
          <cell r="H5407">
            <v>0</v>
          </cell>
          <cell r="I5407">
            <v>0</v>
          </cell>
          <cell r="J5407">
            <v>0</v>
          </cell>
          <cell r="K5407">
            <v>0</v>
          </cell>
          <cell r="L5407">
            <v>0</v>
          </cell>
          <cell r="M5407">
            <v>0</v>
          </cell>
          <cell r="N5407">
            <v>0</v>
          </cell>
          <cell r="O5407">
            <v>0</v>
          </cell>
        </row>
        <row r="5408">
          <cell r="A5408" t="str">
            <v>Project ProphetReserves - BOP</v>
          </cell>
          <cell r="B5408">
            <v>0</v>
          </cell>
          <cell r="C5408">
            <v>0</v>
          </cell>
          <cell r="D5408">
            <v>0</v>
          </cell>
          <cell r="E5408">
            <v>0</v>
          </cell>
          <cell r="F5408">
            <v>0</v>
          </cell>
          <cell r="G5408">
            <v>0</v>
          </cell>
          <cell r="H5408">
            <v>0</v>
          </cell>
          <cell r="I5408">
            <v>0</v>
          </cell>
          <cell r="J5408">
            <v>0</v>
          </cell>
          <cell r="K5408">
            <v>0</v>
          </cell>
          <cell r="L5408">
            <v>0</v>
          </cell>
          <cell r="M5408">
            <v>0</v>
          </cell>
          <cell r="N5408">
            <v>0</v>
          </cell>
          <cell r="O5408">
            <v>0</v>
          </cell>
        </row>
        <row r="5409">
          <cell r="A5409" t="str">
            <v>Project ProphetReserves - Transfers &amp; Others</v>
          </cell>
          <cell r="B5409">
            <v>0</v>
          </cell>
          <cell r="C5409">
            <v>0</v>
          </cell>
          <cell r="D5409">
            <v>0</v>
          </cell>
          <cell r="E5409">
            <v>0</v>
          </cell>
          <cell r="F5409">
            <v>0</v>
          </cell>
          <cell r="G5409">
            <v>0</v>
          </cell>
          <cell r="H5409">
            <v>0</v>
          </cell>
          <cell r="I5409">
            <v>0</v>
          </cell>
          <cell r="J5409">
            <v>0</v>
          </cell>
          <cell r="K5409">
            <v>0</v>
          </cell>
          <cell r="L5409">
            <v>0</v>
          </cell>
          <cell r="M5409">
            <v>0</v>
          </cell>
          <cell r="N5409">
            <v>0</v>
          </cell>
          <cell r="O5409">
            <v>0</v>
          </cell>
        </row>
        <row r="5410">
          <cell r="A5410" t="str">
            <v>Project ProphetReserves - Write-Offs</v>
          </cell>
          <cell r="B5410">
            <v>0</v>
          </cell>
          <cell r="C5410">
            <v>0</v>
          </cell>
          <cell r="D5410">
            <v>0</v>
          </cell>
          <cell r="E5410">
            <v>0</v>
          </cell>
          <cell r="F5410">
            <v>0</v>
          </cell>
          <cell r="G5410">
            <v>0</v>
          </cell>
          <cell r="H5410">
            <v>0</v>
          </cell>
          <cell r="I5410">
            <v>0</v>
          </cell>
          <cell r="J5410">
            <v>0</v>
          </cell>
          <cell r="K5410">
            <v>0</v>
          </cell>
          <cell r="L5410">
            <v>0</v>
          </cell>
          <cell r="M5410">
            <v>0</v>
          </cell>
          <cell r="N5410">
            <v>0</v>
          </cell>
          <cell r="O5410">
            <v>0</v>
          </cell>
        </row>
        <row r="5411">
          <cell r="A5411" t="str">
            <v>Project Prophet780 FR Provision</v>
          </cell>
          <cell r="B5411">
            <v>0</v>
          </cell>
          <cell r="C5411">
            <v>0</v>
          </cell>
          <cell r="D5411">
            <v>0</v>
          </cell>
          <cell r="E5411">
            <v>0</v>
          </cell>
          <cell r="F5411">
            <v>0</v>
          </cell>
          <cell r="G5411">
            <v>0</v>
          </cell>
          <cell r="H5411">
            <v>0</v>
          </cell>
          <cell r="I5411">
            <v>0</v>
          </cell>
          <cell r="J5411">
            <v>0</v>
          </cell>
          <cell r="K5411">
            <v>0</v>
          </cell>
          <cell r="L5411">
            <v>0</v>
          </cell>
          <cell r="M5411">
            <v>0</v>
          </cell>
          <cell r="N5411">
            <v>0</v>
          </cell>
          <cell r="O5411">
            <v>0</v>
          </cell>
        </row>
        <row r="5412">
          <cell r="A5412" t="str">
            <v>Project Prophet780 FR Recovery</v>
          </cell>
          <cell r="B5412">
            <v>0</v>
          </cell>
          <cell r="C5412">
            <v>0</v>
          </cell>
          <cell r="D5412">
            <v>0</v>
          </cell>
          <cell r="E5412">
            <v>0</v>
          </cell>
          <cell r="F5412">
            <v>0</v>
          </cell>
          <cell r="G5412">
            <v>0</v>
          </cell>
          <cell r="H5412">
            <v>0</v>
          </cell>
          <cell r="I5412">
            <v>0</v>
          </cell>
          <cell r="J5412">
            <v>0</v>
          </cell>
          <cell r="K5412">
            <v>0</v>
          </cell>
          <cell r="L5412">
            <v>0</v>
          </cell>
          <cell r="M5412">
            <v>0</v>
          </cell>
          <cell r="N5412">
            <v>0</v>
          </cell>
          <cell r="O5412">
            <v>0</v>
          </cell>
        </row>
        <row r="5413">
          <cell r="A5413" t="str">
            <v>Project Prophet781 LL Provision</v>
          </cell>
          <cell r="B5413">
            <v>0</v>
          </cell>
          <cell r="C5413">
            <v>0</v>
          </cell>
          <cell r="D5413">
            <v>0</v>
          </cell>
          <cell r="E5413">
            <v>0</v>
          </cell>
          <cell r="F5413">
            <v>0</v>
          </cell>
          <cell r="G5413">
            <v>0</v>
          </cell>
          <cell r="H5413">
            <v>0</v>
          </cell>
          <cell r="I5413">
            <v>0</v>
          </cell>
          <cell r="J5413">
            <v>0</v>
          </cell>
          <cell r="K5413">
            <v>0</v>
          </cell>
          <cell r="L5413">
            <v>0</v>
          </cell>
          <cell r="M5413">
            <v>0</v>
          </cell>
          <cell r="N5413">
            <v>0</v>
          </cell>
          <cell r="O5413">
            <v>0</v>
          </cell>
        </row>
        <row r="5414">
          <cell r="A5414" t="str">
            <v>Project Prophet781 LL Recovery</v>
          </cell>
          <cell r="B5414">
            <v>0</v>
          </cell>
          <cell r="C5414">
            <v>0</v>
          </cell>
          <cell r="D5414">
            <v>0</v>
          </cell>
          <cell r="E5414">
            <v>0</v>
          </cell>
          <cell r="F5414">
            <v>0</v>
          </cell>
          <cell r="G5414">
            <v>0</v>
          </cell>
          <cell r="H5414">
            <v>0</v>
          </cell>
          <cell r="I5414">
            <v>0</v>
          </cell>
          <cell r="J5414">
            <v>0</v>
          </cell>
          <cell r="K5414">
            <v>0</v>
          </cell>
          <cell r="L5414">
            <v>0</v>
          </cell>
          <cell r="M5414">
            <v>0</v>
          </cell>
          <cell r="N5414">
            <v>0</v>
          </cell>
          <cell r="O5414">
            <v>0</v>
          </cell>
        </row>
        <row r="5415">
          <cell r="A5415" t="str">
            <v>Project Prophet782 DF Provision</v>
          </cell>
          <cell r="B5415">
            <v>0</v>
          </cell>
          <cell r="C5415">
            <v>0</v>
          </cell>
          <cell r="D5415">
            <v>0</v>
          </cell>
          <cell r="E5415">
            <v>0</v>
          </cell>
          <cell r="F5415">
            <v>0</v>
          </cell>
          <cell r="G5415">
            <v>0</v>
          </cell>
          <cell r="H5415">
            <v>0</v>
          </cell>
          <cell r="I5415">
            <v>0</v>
          </cell>
          <cell r="J5415">
            <v>0</v>
          </cell>
          <cell r="K5415">
            <v>0</v>
          </cell>
          <cell r="L5415">
            <v>0</v>
          </cell>
          <cell r="M5415">
            <v>0</v>
          </cell>
          <cell r="N5415">
            <v>0</v>
          </cell>
          <cell r="O5415">
            <v>0</v>
          </cell>
        </row>
        <row r="5416">
          <cell r="A5416" t="str">
            <v>Project Prophet782 DF Recovery</v>
          </cell>
          <cell r="B5416">
            <v>0</v>
          </cell>
          <cell r="C5416">
            <v>0</v>
          </cell>
          <cell r="D5416">
            <v>0</v>
          </cell>
          <cell r="E5416">
            <v>0</v>
          </cell>
          <cell r="F5416">
            <v>0</v>
          </cell>
          <cell r="G5416">
            <v>0</v>
          </cell>
          <cell r="H5416">
            <v>0</v>
          </cell>
          <cell r="I5416">
            <v>0</v>
          </cell>
          <cell r="J5416">
            <v>0</v>
          </cell>
          <cell r="K5416">
            <v>0</v>
          </cell>
          <cell r="L5416">
            <v>0</v>
          </cell>
          <cell r="M5416">
            <v>0</v>
          </cell>
          <cell r="N5416">
            <v>0</v>
          </cell>
          <cell r="O5416">
            <v>0</v>
          </cell>
        </row>
        <row r="5417">
          <cell r="A5417" t="str">
            <v>Project Prophet783 Corp Level Provision</v>
          </cell>
          <cell r="B5417">
            <v>0</v>
          </cell>
          <cell r="C5417">
            <v>0</v>
          </cell>
          <cell r="D5417">
            <v>0</v>
          </cell>
          <cell r="E5417">
            <v>0</v>
          </cell>
          <cell r="F5417">
            <v>0</v>
          </cell>
          <cell r="G5417">
            <v>0</v>
          </cell>
          <cell r="H5417">
            <v>0</v>
          </cell>
          <cell r="I5417">
            <v>0</v>
          </cell>
          <cell r="J5417">
            <v>0</v>
          </cell>
          <cell r="K5417">
            <v>0</v>
          </cell>
          <cell r="L5417">
            <v>0</v>
          </cell>
          <cell r="M5417">
            <v>0</v>
          </cell>
          <cell r="N5417">
            <v>0</v>
          </cell>
          <cell r="O5417">
            <v>0</v>
          </cell>
        </row>
        <row r="5418">
          <cell r="A5418" t="str">
            <v>Project Prophet783 Corp Level Recovery</v>
          </cell>
          <cell r="B5418">
            <v>0</v>
          </cell>
          <cell r="C5418">
            <v>0</v>
          </cell>
          <cell r="D5418">
            <v>0</v>
          </cell>
          <cell r="E5418">
            <v>0</v>
          </cell>
          <cell r="F5418">
            <v>0</v>
          </cell>
          <cell r="G5418">
            <v>0</v>
          </cell>
          <cell r="H5418">
            <v>0</v>
          </cell>
          <cell r="I5418">
            <v>0</v>
          </cell>
          <cell r="J5418">
            <v>0</v>
          </cell>
          <cell r="K5418">
            <v>0</v>
          </cell>
          <cell r="L5418">
            <v>0</v>
          </cell>
          <cell r="M5418">
            <v>0</v>
          </cell>
          <cell r="N5418">
            <v>0</v>
          </cell>
          <cell r="O5418">
            <v>0</v>
          </cell>
        </row>
        <row r="5419">
          <cell r="A5419" t="str">
            <v>Project Prophet784 Business Share Provision</v>
          </cell>
          <cell r="B5419">
            <v>0</v>
          </cell>
          <cell r="C5419">
            <v>0</v>
          </cell>
          <cell r="D5419">
            <v>0</v>
          </cell>
          <cell r="E5419">
            <v>0</v>
          </cell>
          <cell r="F5419">
            <v>0</v>
          </cell>
          <cell r="G5419">
            <v>0</v>
          </cell>
          <cell r="H5419">
            <v>0</v>
          </cell>
          <cell r="I5419">
            <v>0</v>
          </cell>
          <cell r="J5419">
            <v>0</v>
          </cell>
          <cell r="K5419">
            <v>0</v>
          </cell>
          <cell r="L5419">
            <v>0</v>
          </cell>
          <cell r="M5419">
            <v>0</v>
          </cell>
          <cell r="N5419">
            <v>0</v>
          </cell>
          <cell r="O5419">
            <v>0</v>
          </cell>
        </row>
        <row r="5420">
          <cell r="A5420" t="str">
            <v>Project ProphetReserves - Business Sharing</v>
          </cell>
          <cell r="B5420">
            <v>0</v>
          </cell>
          <cell r="C5420">
            <v>0</v>
          </cell>
          <cell r="D5420">
            <v>0</v>
          </cell>
          <cell r="E5420">
            <v>0</v>
          </cell>
          <cell r="F5420">
            <v>0</v>
          </cell>
          <cell r="G5420">
            <v>0</v>
          </cell>
          <cell r="H5420">
            <v>0</v>
          </cell>
          <cell r="I5420">
            <v>0</v>
          </cell>
          <cell r="J5420">
            <v>0</v>
          </cell>
          <cell r="K5420">
            <v>0</v>
          </cell>
          <cell r="L5420">
            <v>0</v>
          </cell>
          <cell r="M5420">
            <v>0</v>
          </cell>
          <cell r="N5420">
            <v>0</v>
          </cell>
          <cell r="O5420">
            <v>0</v>
          </cell>
        </row>
        <row r="5421">
          <cell r="A5421" t="str">
            <v>RomaniaNEA - Fixed Rate</v>
          </cell>
          <cell r="B5421">
            <v>0</v>
          </cell>
          <cell r="C5421">
            <v>0</v>
          </cell>
          <cell r="D5421">
            <v>0</v>
          </cell>
          <cell r="E5421">
            <v>0</v>
          </cell>
          <cell r="F5421">
            <v>0</v>
          </cell>
          <cell r="G5421">
            <v>0</v>
          </cell>
          <cell r="H5421">
            <v>0</v>
          </cell>
          <cell r="I5421">
            <v>0</v>
          </cell>
          <cell r="J5421">
            <v>0</v>
          </cell>
          <cell r="K5421">
            <v>0</v>
          </cell>
          <cell r="L5421">
            <v>0</v>
          </cell>
          <cell r="M5421">
            <v>0</v>
          </cell>
          <cell r="N5421">
            <v>0</v>
          </cell>
          <cell r="O5421">
            <v>0</v>
          </cell>
        </row>
        <row r="5422">
          <cell r="A5422" t="str">
            <v>RomaniaNEA - Floating Rate</v>
          </cell>
          <cell r="B5422">
            <v>0</v>
          </cell>
          <cell r="C5422">
            <v>0</v>
          </cell>
          <cell r="D5422">
            <v>0</v>
          </cell>
          <cell r="E5422">
            <v>0</v>
          </cell>
          <cell r="F5422">
            <v>0</v>
          </cell>
          <cell r="G5422">
            <v>0</v>
          </cell>
          <cell r="H5422">
            <v>0</v>
          </cell>
          <cell r="I5422">
            <v>0</v>
          </cell>
          <cell r="J5422">
            <v>0</v>
          </cell>
          <cell r="K5422">
            <v>0</v>
          </cell>
          <cell r="L5422">
            <v>0</v>
          </cell>
          <cell r="M5422">
            <v>0</v>
          </cell>
          <cell r="N5422">
            <v>0</v>
          </cell>
          <cell r="O5422">
            <v>0</v>
          </cell>
        </row>
        <row r="5423">
          <cell r="A5423" t="str">
            <v>RomaniaReserves - FX Gain / Loss</v>
          </cell>
          <cell r="B5423">
            <v>0</v>
          </cell>
          <cell r="C5423">
            <v>0</v>
          </cell>
          <cell r="D5423">
            <v>0</v>
          </cell>
          <cell r="E5423">
            <v>0</v>
          </cell>
          <cell r="F5423">
            <v>0</v>
          </cell>
          <cell r="G5423">
            <v>0</v>
          </cell>
          <cell r="H5423">
            <v>0</v>
          </cell>
          <cell r="I5423">
            <v>0</v>
          </cell>
          <cell r="J5423">
            <v>0</v>
          </cell>
          <cell r="K5423">
            <v>0</v>
          </cell>
          <cell r="L5423">
            <v>0</v>
          </cell>
          <cell r="M5423">
            <v>0</v>
          </cell>
          <cell r="N5423">
            <v>0</v>
          </cell>
          <cell r="O5423">
            <v>0</v>
          </cell>
        </row>
        <row r="5424">
          <cell r="A5424" t="str">
            <v>RomaniaReserves - Provisons</v>
          </cell>
          <cell r="B5424">
            <v>0</v>
          </cell>
          <cell r="C5424">
            <v>0</v>
          </cell>
          <cell r="D5424">
            <v>0</v>
          </cell>
          <cell r="E5424">
            <v>0</v>
          </cell>
          <cell r="F5424">
            <v>0</v>
          </cell>
          <cell r="G5424">
            <v>0</v>
          </cell>
          <cell r="H5424">
            <v>0</v>
          </cell>
          <cell r="I5424">
            <v>0</v>
          </cell>
          <cell r="J5424">
            <v>0</v>
          </cell>
          <cell r="K5424">
            <v>0</v>
          </cell>
          <cell r="L5424">
            <v>0</v>
          </cell>
          <cell r="M5424">
            <v>0</v>
          </cell>
          <cell r="N5424">
            <v>0</v>
          </cell>
          <cell r="O5424">
            <v>0</v>
          </cell>
        </row>
        <row r="5425">
          <cell r="A5425" t="str">
            <v>RomaniaReserves - Recoveries</v>
          </cell>
          <cell r="B5425">
            <v>0</v>
          </cell>
          <cell r="C5425">
            <v>0</v>
          </cell>
          <cell r="D5425">
            <v>0</v>
          </cell>
          <cell r="E5425">
            <v>0</v>
          </cell>
          <cell r="F5425">
            <v>0</v>
          </cell>
          <cell r="G5425">
            <v>0</v>
          </cell>
          <cell r="H5425">
            <v>0</v>
          </cell>
          <cell r="I5425">
            <v>0</v>
          </cell>
          <cell r="J5425">
            <v>0</v>
          </cell>
          <cell r="K5425">
            <v>0</v>
          </cell>
          <cell r="L5425">
            <v>0</v>
          </cell>
          <cell r="M5425">
            <v>0</v>
          </cell>
          <cell r="N5425">
            <v>0</v>
          </cell>
          <cell r="O5425">
            <v>0</v>
          </cell>
        </row>
        <row r="5426">
          <cell r="A5426" t="str">
            <v>RomaniaReserves - BOP</v>
          </cell>
          <cell r="B5426">
            <v>0</v>
          </cell>
          <cell r="C5426">
            <v>0</v>
          </cell>
          <cell r="D5426">
            <v>0</v>
          </cell>
          <cell r="E5426">
            <v>0</v>
          </cell>
          <cell r="F5426">
            <v>0</v>
          </cell>
          <cell r="G5426">
            <v>0</v>
          </cell>
          <cell r="H5426">
            <v>0</v>
          </cell>
          <cell r="I5426">
            <v>0</v>
          </cell>
          <cell r="J5426">
            <v>0</v>
          </cell>
          <cell r="K5426">
            <v>0</v>
          </cell>
          <cell r="L5426">
            <v>0</v>
          </cell>
          <cell r="M5426">
            <v>0</v>
          </cell>
          <cell r="N5426">
            <v>0</v>
          </cell>
          <cell r="O5426">
            <v>0</v>
          </cell>
        </row>
        <row r="5427">
          <cell r="A5427" t="str">
            <v>RomaniaReserves - Transfers &amp; Others</v>
          </cell>
          <cell r="B5427">
            <v>0</v>
          </cell>
          <cell r="C5427">
            <v>0</v>
          </cell>
          <cell r="D5427">
            <v>0</v>
          </cell>
          <cell r="E5427">
            <v>0</v>
          </cell>
          <cell r="F5427">
            <v>0</v>
          </cell>
          <cell r="G5427">
            <v>0</v>
          </cell>
          <cell r="H5427">
            <v>0</v>
          </cell>
          <cell r="I5427">
            <v>0</v>
          </cell>
          <cell r="J5427">
            <v>0</v>
          </cell>
          <cell r="K5427">
            <v>0</v>
          </cell>
          <cell r="L5427">
            <v>0</v>
          </cell>
          <cell r="M5427">
            <v>0</v>
          </cell>
          <cell r="N5427">
            <v>0</v>
          </cell>
          <cell r="O5427">
            <v>0</v>
          </cell>
        </row>
        <row r="5428">
          <cell r="A5428" t="str">
            <v>RomaniaReserves - Write-Offs</v>
          </cell>
          <cell r="B5428">
            <v>0</v>
          </cell>
          <cell r="C5428">
            <v>0</v>
          </cell>
          <cell r="D5428">
            <v>0</v>
          </cell>
          <cell r="E5428">
            <v>0</v>
          </cell>
          <cell r="F5428">
            <v>0</v>
          </cell>
          <cell r="G5428">
            <v>0</v>
          </cell>
          <cell r="H5428">
            <v>0</v>
          </cell>
          <cell r="I5428">
            <v>0</v>
          </cell>
          <cell r="J5428">
            <v>0</v>
          </cell>
          <cell r="K5428">
            <v>0</v>
          </cell>
          <cell r="L5428">
            <v>0</v>
          </cell>
          <cell r="M5428">
            <v>0</v>
          </cell>
          <cell r="N5428">
            <v>0</v>
          </cell>
          <cell r="O5428">
            <v>0</v>
          </cell>
        </row>
        <row r="5429">
          <cell r="A5429" t="str">
            <v>Romania780 FR Provision</v>
          </cell>
          <cell r="B5429">
            <v>0</v>
          </cell>
          <cell r="C5429">
            <v>0</v>
          </cell>
          <cell r="D5429">
            <v>0</v>
          </cell>
          <cell r="E5429">
            <v>0</v>
          </cell>
          <cell r="F5429">
            <v>0</v>
          </cell>
          <cell r="G5429">
            <v>0</v>
          </cell>
          <cell r="H5429">
            <v>0</v>
          </cell>
          <cell r="I5429">
            <v>0</v>
          </cell>
          <cell r="J5429">
            <v>0</v>
          </cell>
          <cell r="K5429">
            <v>0</v>
          </cell>
          <cell r="L5429">
            <v>0</v>
          </cell>
          <cell r="M5429">
            <v>0</v>
          </cell>
          <cell r="N5429">
            <v>0</v>
          </cell>
          <cell r="O5429">
            <v>0</v>
          </cell>
        </row>
        <row r="5430">
          <cell r="A5430" t="str">
            <v>Romania780 FR Recovery</v>
          </cell>
          <cell r="B5430">
            <v>0</v>
          </cell>
          <cell r="C5430">
            <v>0</v>
          </cell>
          <cell r="D5430">
            <v>0</v>
          </cell>
          <cell r="E5430">
            <v>0</v>
          </cell>
          <cell r="F5430">
            <v>0</v>
          </cell>
          <cell r="G5430">
            <v>0</v>
          </cell>
          <cell r="H5430">
            <v>0</v>
          </cell>
          <cell r="I5430">
            <v>0</v>
          </cell>
          <cell r="J5430">
            <v>0</v>
          </cell>
          <cell r="K5430">
            <v>0</v>
          </cell>
          <cell r="L5430">
            <v>0</v>
          </cell>
          <cell r="M5430">
            <v>0</v>
          </cell>
          <cell r="N5430">
            <v>0</v>
          </cell>
          <cell r="O5430">
            <v>0</v>
          </cell>
        </row>
        <row r="5431">
          <cell r="A5431" t="str">
            <v>Romania781 LL Provision</v>
          </cell>
          <cell r="B5431">
            <v>0</v>
          </cell>
          <cell r="C5431">
            <v>0</v>
          </cell>
          <cell r="D5431">
            <v>0</v>
          </cell>
          <cell r="E5431">
            <v>0</v>
          </cell>
          <cell r="F5431">
            <v>0</v>
          </cell>
          <cell r="G5431">
            <v>0</v>
          </cell>
          <cell r="H5431">
            <v>0</v>
          </cell>
          <cell r="I5431">
            <v>0</v>
          </cell>
          <cell r="J5431">
            <v>0</v>
          </cell>
          <cell r="K5431">
            <v>0</v>
          </cell>
          <cell r="L5431">
            <v>0</v>
          </cell>
          <cell r="M5431">
            <v>0</v>
          </cell>
          <cell r="N5431">
            <v>0</v>
          </cell>
          <cell r="O5431">
            <v>0</v>
          </cell>
        </row>
        <row r="5432">
          <cell r="A5432" t="str">
            <v>Romania781 LL Recovery</v>
          </cell>
          <cell r="B5432">
            <v>0</v>
          </cell>
          <cell r="C5432">
            <v>0</v>
          </cell>
          <cell r="D5432">
            <v>0</v>
          </cell>
          <cell r="E5432">
            <v>0</v>
          </cell>
          <cell r="F5432">
            <v>0</v>
          </cell>
          <cell r="G5432">
            <v>0</v>
          </cell>
          <cell r="H5432">
            <v>0</v>
          </cell>
          <cell r="I5432">
            <v>0</v>
          </cell>
          <cell r="J5432">
            <v>0</v>
          </cell>
          <cell r="K5432">
            <v>0</v>
          </cell>
          <cell r="L5432">
            <v>0</v>
          </cell>
          <cell r="M5432">
            <v>0</v>
          </cell>
          <cell r="N5432">
            <v>0</v>
          </cell>
          <cell r="O5432">
            <v>0</v>
          </cell>
        </row>
        <row r="5433">
          <cell r="A5433" t="str">
            <v>Romania782 DF Provision</v>
          </cell>
          <cell r="B5433">
            <v>0</v>
          </cell>
          <cell r="C5433">
            <v>0</v>
          </cell>
          <cell r="D5433">
            <v>0</v>
          </cell>
          <cell r="E5433">
            <v>0</v>
          </cell>
          <cell r="F5433">
            <v>0</v>
          </cell>
          <cell r="G5433">
            <v>0</v>
          </cell>
          <cell r="H5433">
            <v>0</v>
          </cell>
          <cell r="I5433">
            <v>0</v>
          </cell>
          <cell r="J5433">
            <v>0</v>
          </cell>
          <cell r="K5433">
            <v>0</v>
          </cell>
          <cell r="L5433">
            <v>0</v>
          </cell>
          <cell r="M5433">
            <v>0</v>
          </cell>
          <cell r="N5433">
            <v>0</v>
          </cell>
          <cell r="O5433">
            <v>0</v>
          </cell>
        </row>
        <row r="5434">
          <cell r="A5434" t="str">
            <v>Romania782 DF Recovery</v>
          </cell>
          <cell r="B5434">
            <v>0</v>
          </cell>
          <cell r="C5434">
            <v>0</v>
          </cell>
          <cell r="D5434">
            <v>0</v>
          </cell>
          <cell r="E5434">
            <v>0</v>
          </cell>
          <cell r="F5434">
            <v>0</v>
          </cell>
          <cell r="G5434">
            <v>0</v>
          </cell>
          <cell r="H5434">
            <v>0</v>
          </cell>
          <cell r="I5434">
            <v>0</v>
          </cell>
          <cell r="J5434">
            <v>0</v>
          </cell>
          <cell r="K5434">
            <v>0</v>
          </cell>
          <cell r="L5434">
            <v>0</v>
          </cell>
          <cell r="M5434">
            <v>0</v>
          </cell>
          <cell r="N5434">
            <v>0</v>
          </cell>
          <cell r="O5434">
            <v>0</v>
          </cell>
        </row>
        <row r="5435">
          <cell r="A5435" t="str">
            <v>Romania783 Corp Level Provision</v>
          </cell>
          <cell r="B5435">
            <v>0</v>
          </cell>
          <cell r="C5435">
            <v>0</v>
          </cell>
          <cell r="D5435">
            <v>0</v>
          </cell>
          <cell r="E5435">
            <v>0</v>
          </cell>
          <cell r="F5435">
            <v>0</v>
          </cell>
          <cell r="G5435">
            <v>0</v>
          </cell>
          <cell r="H5435">
            <v>0</v>
          </cell>
          <cell r="I5435">
            <v>0</v>
          </cell>
          <cell r="J5435">
            <v>0</v>
          </cell>
          <cell r="K5435">
            <v>0</v>
          </cell>
          <cell r="L5435">
            <v>0</v>
          </cell>
          <cell r="M5435">
            <v>0</v>
          </cell>
          <cell r="N5435">
            <v>0</v>
          </cell>
          <cell r="O5435">
            <v>0</v>
          </cell>
        </row>
        <row r="5436">
          <cell r="A5436" t="str">
            <v>Romania783 Corp Level Recovery</v>
          </cell>
          <cell r="B5436">
            <v>0</v>
          </cell>
          <cell r="C5436">
            <v>0</v>
          </cell>
          <cell r="D5436">
            <v>0</v>
          </cell>
          <cell r="E5436">
            <v>0</v>
          </cell>
          <cell r="F5436">
            <v>0</v>
          </cell>
          <cell r="G5436">
            <v>0</v>
          </cell>
          <cell r="H5436">
            <v>0</v>
          </cell>
          <cell r="I5436">
            <v>0</v>
          </cell>
          <cell r="J5436">
            <v>0</v>
          </cell>
          <cell r="K5436">
            <v>0</v>
          </cell>
          <cell r="L5436">
            <v>0</v>
          </cell>
          <cell r="M5436">
            <v>0</v>
          </cell>
          <cell r="N5436">
            <v>0</v>
          </cell>
          <cell r="O5436">
            <v>0</v>
          </cell>
        </row>
        <row r="5437">
          <cell r="A5437" t="str">
            <v>Romania784 Business Share Provision</v>
          </cell>
          <cell r="B5437">
            <v>0</v>
          </cell>
          <cell r="C5437">
            <v>0</v>
          </cell>
          <cell r="D5437">
            <v>0</v>
          </cell>
          <cell r="E5437">
            <v>0</v>
          </cell>
          <cell r="F5437">
            <v>0</v>
          </cell>
          <cell r="G5437">
            <v>0</v>
          </cell>
          <cell r="H5437">
            <v>0</v>
          </cell>
          <cell r="I5437">
            <v>0</v>
          </cell>
          <cell r="J5437">
            <v>0</v>
          </cell>
          <cell r="K5437">
            <v>0</v>
          </cell>
          <cell r="L5437">
            <v>0</v>
          </cell>
          <cell r="M5437">
            <v>0</v>
          </cell>
          <cell r="N5437">
            <v>0</v>
          </cell>
          <cell r="O5437">
            <v>0</v>
          </cell>
        </row>
        <row r="5438">
          <cell r="A5438" t="str">
            <v>RomaniaReserves - Business Sharing</v>
          </cell>
          <cell r="B5438">
            <v>0</v>
          </cell>
          <cell r="C5438">
            <v>0</v>
          </cell>
          <cell r="D5438">
            <v>0</v>
          </cell>
          <cell r="E5438">
            <v>0</v>
          </cell>
          <cell r="F5438">
            <v>0</v>
          </cell>
          <cell r="G5438">
            <v>0</v>
          </cell>
          <cell r="H5438">
            <v>0</v>
          </cell>
          <cell r="I5438">
            <v>0</v>
          </cell>
          <cell r="J5438">
            <v>0</v>
          </cell>
          <cell r="K5438">
            <v>0</v>
          </cell>
          <cell r="L5438">
            <v>0</v>
          </cell>
          <cell r="M5438">
            <v>0</v>
          </cell>
          <cell r="N5438">
            <v>0</v>
          </cell>
          <cell r="O5438">
            <v>0</v>
          </cell>
        </row>
        <row r="5439">
          <cell r="A5439" t="str">
            <v>SBI India JVNEA - Fixed Rate</v>
          </cell>
          <cell r="B5439">
            <v>0</v>
          </cell>
          <cell r="C5439">
            <v>0</v>
          </cell>
          <cell r="D5439">
            <v>0</v>
          </cell>
          <cell r="E5439">
            <v>0</v>
          </cell>
          <cell r="F5439">
            <v>0</v>
          </cell>
          <cell r="G5439">
            <v>0</v>
          </cell>
          <cell r="H5439">
            <v>0</v>
          </cell>
          <cell r="I5439">
            <v>0</v>
          </cell>
          <cell r="J5439">
            <v>0</v>
          </cell>
          <cell r="K5439">
            <v>0</v>
          </cell>
          <cell r="L5439">
            <v>0</v>
          </cell>
          <cell r="M5439">
            <v>0</v>
          </cell>
          <cell r="N5439">
            <v>0</v>
          </cell>
          <cell r="O5439">
            <v>0</v>
          </cell>
        </row>
        <row r="5440">
          <cell r="A5440" t="str">
            <v>SBI India JVNEA - Floating Rate</v>
          </cell>
          <cell r="B5440">
            <v>0</v>
          </cell>
          <cell r="C5440">
            <v>0</v>
          </cell>
          <cell r="D5440">
            <v>0</v>
          </cell>
          <cell r="E5440">
            <v>0</v>
          </cell>
          <cell r="F5440">
            <v>0</v>
          </cell>
          <cell r="G5440">
            <v>0</v>
          </cell>
          <cell r="H5440">
            <v>0</v>
          </cell>
          <cell r="I5440">
            <v>0</v>
          </cell>
          <cell r="J5440">
            <v>0</v>
          </cell>
          <cell r="K5440">
            <v>0</v>
          </cell>
          <cell r="L5440">
            <v>0</v>
          </cell>
          <cell r="M5440">
            <v>0</v>
          </cell>
          <cell r="N5440">
            <v>0</v>
          </cell>
          <cell r="O5440">
            <v>0</v>
          </cell>
        </row>
        <row r="5441">
          <cell r="A5441" t="str">
            <v>SBI India JVReserves - FX Gain / Loss</v>
          </cell>
          <cell r="B5441">
            <v>0</v>
          </cell>
          <cell r="C5441">
            <v>0</v>
          </cell>
          <cell r="D5441">
            <v>0</v>
          </cell>
          <cell r="E5441">
            <v>0</v>
          </cell>
          <cell r="F5441">
            <v>0</v>
          </cell>
          <cell r="G5441">
            <v>0</v>
          </cell>
          <cell r="H5441">
            <v>0</v>
          </cell>
          <cell r="I5441">
            <v>0</v>
          </cell>
          <cell r="J5441">
            <v>0</v>
          </cell>
          <cell r="K5441">
            <v>0</v>
          </cell>
          <cell r="L5441">
            <v>0</v>
          </cell>
          <cell r="M5441">
            <v>0</v>
          </cell>
          <cell r="N5441">
            <v>0</v>
          </cell>
          <cell r="O5441">
            <v>0</v>
          </cell>
        </row>
        <row r="5442">
          <cell r="A5442" t="str">
            <v>SBI India JVReserves - Provisons</v>
          </cell>
          <cell r="B5442">
            <v>0</v>
          </cell>
          <cell r="C5442">
            <v>0</v>
          </cell>
          <cell r="D5442">
            <v>0</v>
          </cell>
          <cell r="E5442">
            <v>0</v>
          </cell>
          <cell r="F5442">
            <v>0</v>
          </cell>
          <cell r="G5442">
            <v>0</v>
          </cell>
          <cell r="H5442">
            <v>0</v>
          </cell>
          <cell r="I5442">
            <v>0</v>
          </cell>
          <cell r="J5442">
            <v>0</v>
          </cell>
          <cell r="K5442">
            <v>0</v>
          </cell>
          <cell r="L5442">
            <v>0</v>
          </cell>
          <cell r="M5442">
            <v>0</v>
          </cell>
          <cell r="N5442">
            <v>0</v>
          </cell>
          <cell r="O5442">
            <v>0</v>
          </cell>
        </row>
        <row r="5443">
          <cell r="A5443" t="str">
            <v>SBI India JVReserves - Recoveries</v>
          </cell>
          <cell r="B5443">
            <v>0</v>
          </cell>
          <cell r="C5443">
            <v>0</v>
          </cell>
          <cell r="D5443">
            <v>0</v>
          </cell>
          <cell r="E5443">
            <v>0</v>
          </cell>
          <cell r="F5443">
            <v>0</v>
          </cell>
          <cell r="G5443">
            <v>0</v>
          </cell>
          <cell r="H5443">
            <v>0</v>
          </cell>
          <cell r="I5443">
            <v>0</v>
          </cell>
          <cell r="J5443">
            <v>0</v>
          </cell>
          <cell r="K5443">
            <v>0</v>
          </cell>
          <cell r="L5443">
            <v>0</v>
          </cell>
          <cell r="M5443">
            <v>0</v>
          </cell>
          <cell r="N5443">
            <v>0</v>
          </cell>
          <cell r="O5443">
            <v>0</v>
          </cell>
        </row>
        <row r="5444">
          <cell r="A5444" t="str">
            <v>SBI India JVReserves - BOP</v>
          </cell>
          <cell r="B5444">
            <v>0</v>
          </cell>
          <cell r="C5444">
            <v>0</v>
          </cell>
          <cell r="D5444">
            <v>0</v>
          </cell>
          <cell r="E5444">
            <v>0</v>
          </cell>
          <cell r="F5444">
            <v>0</v>
          </cell>
          <cell r="G5444">
            <v>0</v>
          </cell>
          <cell r="H5444">
            <v>0</v>
          </cell>
          <cell r="I5444">
            <v>0</v>
          </cell>
          <cell r="J5444">
            <v>0</v>
          </cell>
          <cell r="K5444">
            <v>0</v>
          </cell>
          <cell r="L5444">
            <v>0</v>
          </cell>
          <cell r="M5444">
            <v>0</v>
          </cell>
          <cell r="N5444">
            <v>0</v>
          </cell>
          <cell r="O5444">
            <v>0</v>
          </cell>
        </row>
        <row r="5445">
          <cell r="A5445" t="str">
            <v>SBI India JVReserves - Transfers &amp; Others</v>
          </cell>
          <cell r="B5445">
            <v>0</v>
          </cell>
          <cell r="C5445">
            <v>0</v>
          </cell>
          <cell r="D5445">
            <v>0</v>
          </cell>
          <cell r="E5445">
            <v>0</v>
          </cell>
          <cell r="F5445">
            <v>0</v>
          </cell>
          <cell r="G5445">
            <v>0</v>
          </cell>
          <cell r="H5445">
            <v>0</v>
          </cell>
          <cell r="I5445">
            <v>0</v>
          </cell>
          <cell r="J5445">
            <v>0</v>
          </cell>
          <cell r="K5445">
            <v>0</v>
          </cell>
          <cell r="L5445">
            <v>0</v>
          </cell>
          <cell r="M5445">
            <v>0</v>
          </cell>
          <cell r="N5445">
            <v>0</v>
          </cell>
          <cell r="O5445">
            <v>0</v>
          </cell>
        </row>
        <row r="5446">
          <cell r="A5446" t="str">
            <v>SBI India JVReserves - Write-Offs</v>
          </cell>
          <cell r="B5446">
            <v>0</v>
          </cell>
          <cell r="C5446">
            <v>0</v>
          </cell>
          <cell r="D5446">
            <v>0</v>
          </cell>
          <cell r="E5446">
            <v>0</v>
          </cell>
          <cell r="F5446">
            <v>0</v>
          </cell>
          <cell r="G5446">
            <v>0</v>
          </cell>
          <cell r="H5446">
            <v>0</v>
          </cell>
          <cell r="I5446">
            <v>0</v>
          </cell>
          <cell r="J5446">
            <v>0</v>
          </cell>
          <cell r="K5446">
            <v>0</v>
          </cell>
          <cell r="L5446">
            <v>0</v>
          </cell>
          <cell r="M5446">
            <v>0</v>
          </cell>
          <cell r="N5446">
            <v>0</v>
          </cell>
          <cell r="O5446">
            <v>0</v>
          </cell>
        </row>
        <row r="5447">
          <cell r="A5447" t="str">
            <v>SBI India JV780 FR Provision</v>
          </cell>
          <cell r="B5447">
            <v>0</v>
          </cell>
          <cell r="C5447">
            <v>0</v>
          </cell>
          <cell r="D5447">
            <v>0</v>
          </cell>
          <cell r="E5447">
            <v>0</v>
          </cell>
          <cell r="F5447">
            <v>0</v>
          </cell>
          <cell r="G5447">
            <v>0</v>
          </cell>
          <cell r="H5447">
            <v>0</v>
          </cell>
          <cell r="I5447">
            <v>0</v>
          </cell>
          <cell r="J5447">
            <v>0</v>
          </cell>
          <cell r="K5447">
            <v>0</v>
          </cell>
          <cell r="L5447">
            <v>0</v>
          </cell>
          <cell r="M5447">
            <v>0</v>
          </cell>
          <cell r="N5447">
            <v>0</v>
          </cell>
          <cell r="O5447">
            <v>0</v>
          </cell>
        </row>
        <row r="5448">
          <cell r="A5448" t="str">
            <v>SBI India JV780 FR Recovery</v>
          </cell>
          <cell r="B5448">
            <v>0</v>
          </cell>
          <cell r="C5448">
            <v>0</v>
          </cell>
          <cell r="D5448">
            <v>0</v>
          </cell>
          <cell r="E5448">
            <v>0</v>
          </cell>
          <cell r="F5448">
            <v>0</v>
          </cell>
          <cell r="G5448">
            <v>0</v>
          </cell>
          <cell r="H5448">
            <v>0</v>
          </cell>
          <cell r="I5448">
            <v>0</v>
          </cell>
          <cell r="J5448">
            <v>0</v>
          </cell>
          <cell r="K5448">
            <v>0</v>
          </cell>
          <cell r="L5448">
            <v>0</v>
          </cell>
          <cell r="M5448">
            <v>0</v>
          </cell>
          <cell r="N5448">
            <v>0</v>
          </cell>
          <cell r="O5448">
            <v>0</v>
          </cell>
        </row>
        <row r="5449">
          <cell r="A5449" t="str">
            <v>SBI India JV781 LL Provision</v>
          </cell>
          <cell r="B5449">
            <v>0</v>
          </cell>
          <cell r="C5449">
            <v>0</v>
          </cell>
          <cell r="D5449">
            <v>0</v>
          </cell>
          <cell r="E5449">
            <v>0</v>
          </cell>
          <cell r="F5449">
            <v>0</v>
          </cell>
          <cell r="G5449">
            <v>0</v>
          </cell>
          <cell r="H5449">
            <v>0</v>
          </cell>
          <cell r="I5449">
            <v>0</v>
          </cell>
          <cell r="J5449">
            <v>0</v>
          </cell>
          <cell r="K5449">
            <v>0</v>
          </cell>
          <cell r="L5449">
            <v>0</v>
          </cell>
          <cell r="M5449">
            <v>0</v>
          </cell>
          <cell r="N5449">
            <v>0</v>
          </cell>
          <cell r="O5449">
            <v>0</v>
          </cell>
        </row>
        <row r="5450">
          <cell r="A5450" t="str">
            <v>SBI India JV781 LL Recovery</v>
          </cell>
          <cell r="B5450">
            <v>0</v>
          </cell>
          <cell r="C5450">
            <v>0</v>
          </cell>
          <cell r="D5450">
            <v>0</v>
          </cell>
          <cell r="E5450">
            <v>0</v>
          </cell>
          <cell r="F5450">
            <v>0</v>
          </cell>
          <cell r="G5450">
            <v>0</v>
          </cell>
          <cell r="H5450">
            <v>0</v>
          </cell>
          <cell r="I5450">
            <v>0</v>
          </cell>
          <cell r="J5450">
            <v>0</v>
          </cell>
          <cell r="K5450">
            <v>0</v>
          </cell>
          <cell r="L5450">
            <v>0</v>
          </cell>
          <cell r="M5450">
            <v>0</v>
          </cell>
          <cell r="N5450">
            <v>0</v>
          </cell>
          <cell r="O5450">
            <v>0</v>
          </cell>
        </row>
        <row r="5451">
          <cell r="A5451" t="str">
            <v>SBI India JV782 DF Provision</v>
          </cell>
          <cell r="B5451">
            <v>0</v>
          </cell>
          <cell r="C5451">
            <v>0</v>
          </cell>
          <cell r="D5451">
            <v>0</v>
          </cell>
          <cell r="E5451">
            <v>0</v>
          </cell>
          <cell r="F5451">
            <v>0</v>
          </cell>
          <cell r="G5451">
            <v>0</v>
          </cell>
          <cell r="H5451">
            <v>0</v>
          </cell>
          <cell r="I5451">
            <v>0</v>
          </cell>
          <cell r="J5451">
            <v>0</v>
          </cell>
          <cell r="K5451">
            <v>0</v>
          </cell>
          <cell r="L5451">
            <v>0</v>
          </cell>
          <cell r="M5451">
            <v>0</v>
          </cell>
          <cell r="N5451">
            <v>0</v>
          </cell>
          <cell r="O5451">
            <v>0</v>
          </cell>
        </row>
        <row r="5452">
          <cell r="A5452" t="str">
            <v>SBI India JV782 DF Recovery</v>
          </cell>
          <cell r="B5452">
            <v>0</v>
          </cell>
          <cell r="C5452">
            <v>0</v>
          </cell>
          <cell r="D5452">
            <v>0</v>
          </cell>
          <cell r="E5452">
            <v>0</v>
          </cell>
          <cell r="F5452">
            <v>0</v>
          </cell>
          <cell r="G5452">
            <v>0</v>
          </cell>
          <cell r="H5452">
            <v>0</v>
          </cell>
          <cell r="I5452">
            <v>0</v>
          </cell>
          <cell r="J5452">
            <v>0</v>
          </cell>
          <cell r="K5452">
            <v>0</v>
          </cell>
          <cell r="L5452">
            <v>0</v>
          </cell>
          <cell r="M5452">
            <v>0</v>
          </cell>
          <cell r="N5452">
            <v>0</v>
          </cell>
          <cell r="O5452">
            <v>0</v>
          </cell>
        </row>
        <row r="5453">
          <cell r="A5453" t="str">
            <v>SBI India JV783 Corp Level Provision</v>
          </cell>
          <cell r="B5453">
            <v>0</v>
          </cell>
          <cell r="C5453">
            <v>0</v>
          </cell>
          <cell r="D5453">
            <v>0</v>
          </cell>
          <cell r="E5453">
            <v>0</v>
          </cell>
          <cell r="F5453">
            <v>0</v>
          </cell>
          <cell r="G5453">
            <v>0</v>
          </cell>
          <cell r="H5453">
            <v>0</v>
          </cell>
          <cell r="I5453">
            <v>0</v>
          </cell>
          <cell r="J5453">
            <v>0</v>
          </cell>
          <cell r="K5453">
            <v>0</v>
          </cell>
          <cell r="L5453">
            <v>0</v>
          </cell>
          <cell r="M5453">
            <v>0</v>
          </cell>
          <cell r="N5453">
            <v>0</v>
          </cell>
          <cell r="O5453">
            <v>0</v>
          </cell>
        </row>
        <row r="5454">
          <cell r="A5454" t="str">
            <v>SBI India JV783 Corp Level Recovery</v>
          </cell>
          <cell r="B5454">
            <v>0</v>
          </cell>
          <cell r="C5454">
            <v>0</v>
          </cell>
          <cell r="D5454">
            <v>0</v>
          </cell>
          <cell r="E5454">
            <v>0</v>
          </cell>
          <cell r="F5454">
            <v>0</v>
          </cell>
          <cell r="G5454">
            <v>0</v>
          </cell>
          <cell r="H5454">
            <v>0</v>
          </cell>
          <cell r="I5454">
            <v>0</v>
          </cell>
          <cell r="J5454">
            <v>0</v>
          </cell>
          <cell r="K5454">
            <v>0</v>
          </cell>
          <cell r="L5454">
            <v>0</v>
          </cell>
          <cell r="M5454">
            <v>0</v>
          </cell>
          <cell r="N5454">
            <v>0</v>
          </cell>
          <cell r="O5454">
            <v>0</v>
          </cell>
        </row>
        <row r="5455">
          <cell r="A5455" t="str">
            <v>SBI India JV784 Business Share Provision</v>
          </cell>
          <cell r="B5455">
            <v>0</v>
          </cell>
          <cell r="C5455">
            <v>0</v>
          </cell>
          <cell r="D5455">
            <v>0</v>
          </cell>
          <cell r="E5455">
            <v>0</v>
          </cell>
          <cell r="F5455">
            <v>0</v>
          </cell>
          <cell r="G5455">
            <v>0</v>
          </cell>
          <cell r="H5455">
            <v>0</v>
          </cell>
          <cell r="I5455">
            <v>0</v>
          </cell>
          <cell r="J5455">
            <v>0</v>
          </cell>
          <cell r="K5455">
            <v>0</v>
          </cell>
          <cell r="L5455">
            <v>0</v>
          </cell>
          <cell r="M5455">
            <v>0</v>
          </cell>
          <cell r="N5455">
            <v>0</v>
          </cell>
          <cell r="O5455">
            <v>0</v>
          </cell>
        </row>
        <row r="5456">
          <cell r="A5456" t="str">
            <v>SBI India JVReserves - Business Sharing</v>
          </cell>
          <cell r="B5456">
            <v>0</v>
          </cell>
          <cell r="C5456">
            <v>0</v>
          </cell>
          <cell r="D5456">
            <v>0</v>
          </cell>
          <cell r="E5456">
            <v>0</v>
          </cell>
          <cell r="F5456">
            <v>0</v>
          </cell>
          <cell r="G5456">
            <v>0</v>
          </cell>
          <cell r="H5456">
            <v>0</v>
          </cell>
          <cell r="I5456">
            <v>0</v>
          </cell>
          <cell r="J5456">
            <v>0</v>
          </cell>
          <cell r="K5456">
            <v>0</v>
          </cell>
          <cell r="L5456">
            <v>0</v>
          </cell>
          <cell r="M5456">
            <v>0</v>
          </cell>
          <cell r="N5456">
            <v>0</v>
          </cell>
          <cell r="O5456">
            <v>0</v>
          </cell>
        </row>
        <row r="5457">
          <cell r="A5457" t="str">
            <v>SingaporeNEA - Fixed Rate</v>
          </cell>
          <cell r="B5457">
            <v>0</v>
          </cell>
          <cell r="C5457">
            <v>0</v>
          </cell>
          <cell r="D5457">
            <v>0</v>
          </cell>
          <cell r="E5457">
            <v>0</v>
          </cell>
          <cell r="F5457">
            <v>0</v>
          </cell>
          <cell r="G5457">
            <v>0</v>
          </cell>
          <cell r="H5457">
            <v>0</v>
          </cell>
          <cell r="I5457">
            <v>0</v>
          </cell>
          <cell r="J5457">
            <v>0</v>
          </cell>
          <cell r="K5457">
            <v>0</v>
          </cell>
          <cell r="L5457">
            <v>0</v>
          </cell>
          <cell r="M5457">
            <v>0</v>
          </cell>
          <cell r="N5457">
            <v>0</v>
          </cell>
          <cell r="O5457">
            <v>0</v>
          </cell>
        </row>
        <row r="5458">
          <cell r="A5458" t="str">
            <v>SingaporeNEA - Floating Rate</v>
          </cell>
          <cell r="B5458">
            <v>0</v>
          </cell>
          <cell r="C5458">
            <v>0</v>
          </cell>
          <cell r="D5458">
            <v>0</v>
          </cell>
          <cell r="E5458">
            <v>0</v>
          </cell>
          <cell r="F5458">
            <v>0</v>
          </cell>
          <cell r="G5458">
            <v>0</v>
          </cell>
          <cell r="H5458">
            <v>0</v>
          </cell>
          <cell r="I5458">
            <v>0</v>
          </cell>
          <cell r="J5458">
            <v>0</v>
          </cell>
          <cell r="K5458">
            <v>0</v>
          </cell>
          <cell r="L5458">
            <v>0</v>
          </cell>
          <cell r="M5458">
            <v>0</v>
          </cell>
          <cell r="N5458">
            <v>0</v>
          </cell>
          <cell r="O5458">
            <v>0</v>
          </cell>
        </row>
        <row r="5459">
          <cell r="A5459" t="str">
            <v>SingaporeReserves - FX Gain / Loss</v>
          </cell>
          <cell r="B5459">
            <v>0</v>
          </cell>
          <cell r="C5459">
            <v>0</v>
          </cell>
          <cell r="D5459">
            <v>0</v>
          </cell>
          <cell r="E5459">
            <v>0</v>
          </cell>
          <cell r="F5459">
            <v>0</v>
          </cell>
          <cell r="G5459">
            <v>0</v>
          </cell>
          <cell r="H5459">
            <v>0</v>
          </cell>
          <cell r="I5459">
            <v>0</v>
          </cell>
          <cell r="J5459">
            <v>0</v>
          </cell>
          <cell r="K5459">
            <v>0</v>
          </cell>
          <cell r="L5459">
            <v>0</v>
          </cell>
          <cell r="M5459">
            <v>0</v>
          </cell>
          <cell r="N5459">
            <v>0</v>
          </cell>
          <cell r="O5459">
            <v>0</v>
          </cell>
        </row>
        <row r="5460">
          <cell r="A5460" t="str">
            <v>SingaporeReserves - Provisons</v>
          </cell>
          <cell r="B5460">
            <v>0</v>
          </cell>
          <cell r="C5460">
            <v>0</v>
          </cell>
          <cell r="D5460">
            <v>0</v>
          </cell>
          <cell r="E5460">
            <v>0</v>
          </cell>
          <cell r="F5460">
            <v>0</v>
          </cell>
          <cell r="G5460">
            <v>0</v>
          </cell>
          <cell r="H5460">
            <v>0</v>
          </cell>
          <cell r="I5460">
            <v>0</v>
          </cell>
          <cell r="J5460">
            <v>0</v>
          </cell>
          <cell r="K5460">
            <v>0</v>
          </cell>
          <cell r="L5460">
            <v>0</v>
          </cell>
          <cell r="M5460">
            <v>0</v>
          </cell>
          <cell r="N5460">
            <v>0</v>
          </cell>
          <cell r="O5460">
            <v>0</v>
          </cell>
        </row>
        <row r="5461">
          <cell r="A5461" t="str">
            <v>SingaporeReserves - Recoveries</v>
          </cell>
          <cell r="B5461">
            <v>0</v>
          </cell>
          <cell r="C5461">
            <v>0</v>
          </cell>
          <cell r="D5461">
            <v>0</v>
          </cell>
          <cell r="E5461">
            <v>0</v>
          </cell>
          <cell r="F5461">
            <v>0</v>
          </cell>
          <cell r="G5461">
            <v>0</v>
          </cell>
          <cell r="H5461">
            <v>0</v>
          </cell>
          <cell r="I5461">
            <v>0</v>
          </cell>
          <cell r="J5461">
            <v>0</v>
          </cell>
          <cell r="K5461">
            <v>0</v>
          </cell>
          <cell r="L5461">
            <v>0</v>
          </cell>
          <cell r="M5461">
            <v>0</v>
          </cell>
          <cell r="N5461">
            <v>0</v>
          </cell>
          <cell r="O5461">
            <v>0</v>
          </cell>
        </row>
        <row r="5462">
          <cell r="A5462" t="str">
            <v>SingaporeReserves - BOP</v>
          </cell>
          <cell r="B5462">
            <v>0</v>
          </cell>
          <cell r="C5462">
            <v>0</v>
          </cell>
          <cell r="D5462">
            <v>0</v>
          </cell>
          <cell r="E5462">
            <v>0</v>
          </cell>
          <cell r="F5462">
            <v>0</v>
          </cell>
          <cell r="G5462">
            <v>0</v>
          </cell>
          <cell r="H5462">
            <v>0</v>
          </cell>
          <cell r="I5462">
            <v>0</v>
          </cell>
          <cell r="J5462">
            <v>0</v>
          </cell>
          <cell r="K5462">
            <v>0</v>
          </cell>
          <cell r="L5462">
            <v>0</v>
          </cell>
          <cell r="M5462">
            <v>0</v>
          </cell>
          <cell r="N5462">
            <v>0</v>
          </cell>
          <cell r="O5462">
            <v>0</v>
          </cell>
        </row>
        <row r="5463">
          <cell r="A5463" t="str">
            <v>SingaporeReserves - Transfers &amp; Others</v>
          </cell>
          <cell r="B5463">
            <v>0</v>
          </cell>
          <cell r="C5463">
            <v>0</v>
          </cell>
          <cell r="D5463">
            <v>0</v>
          </cell>
          <cell r="E5463">
            <v>0</v>
          </cell>
          <cell r="F5463">
            <v>0</v>
          </cell>
          <cell r="G5463">
            <v>0</v>
          </cell>
          <cell r="H5463">
            <v>0</v>
          </cell>
          <cell r="I5463">
            <v>0</v>
          </cell>
          <cell r="J5463">
            <v>0</v>
          </cell>
          <cell r="K5463">
            <v>0</v>
          </cell>
          <cell r="L5463">
            <v>0</v>
          </cell>
          <cell r="M5463">
            <v>0</v>
          </cell>
          <cell r="N5463">
            <v>0</v>
          </cell>
          <cell r="O5463">
            <v>0</v>
          </cell>
        </row>
        <row r="5464">
          <cell r="A5464" t="str">
            <v>SingaporeReserves - Write-Offs</v>
          </cell>
          <cell r="B5464">
            <v>0</v>
          </cell>
          <cell r="C5464">
            <v>0</v>
          </cell>
          <cell r="D5464">
            <v>0</v>
          </cell>
          <cell r="E5464">
            <v>0</v>
          </cell>
          <cell r="F5464">
            <v>0</v>
          </cell>
          <cell r="G5464">
            <v>0</v>
          </cell>
          <cell r="H5464">
            <v>0</v>
          </cell>
          <cell r="I5464">
            <v>0</v>
          </cell>
          <cell r="J5464">
            <v>0</v>
          </cell>
          <cell r="K5464">
            <v>0</v>
          </cell>
          <cell r="L5464">
            <v>0</v>
          </cell>
          <cell r="M5464">
            <v>0</v>
          </cell>
          <cell r="N5464">
            <v>0</v>
          </cell>
          <cell r="O5464">
            <v>0</v>
          </cell>
        </row>
        <row r="5465">
          <cell r="A5465" t="str">
            <v>Singapore780 FR Provision</v>
          </cell>
          <cell r="B5465">
            <v>0</v>
          </cell>
          <cell r="C5465">
            <v>0</v>
          </cell>
          <cell r="D5465">
            <v>0</v>
          </cell>
          <cell r="E5465">
            <v>0</v>
          </cell>
          <cell r="F5465">
            <v>0</v>
          </cell>
          <cell r="G5465">
            <v>0</v>
          </cell>
          <cell r="H5465">
            <v>0</v>
          </cell>
          <cell r="I5465">
            <v>0</v>
          </cell>
          <cell r="J5465">
            <v>0</v>
          </cell>
          <cell r="K5465">
            <v>0</v>
          </cell>
          <cell r="L5465">
            <v>0</v>
          </cell>
          <cell r="M5465">
            <v>0</v>
          </cell>
          <cell r="N5465">
            <v>0</v>
          </cell>
          <cell r="O5465">
            <v>0</v>
          </cell>
        </row>
        <row r="5466">
          <cell r="A5466" t="str">
            <v>Singapore780 FR Recovery</v>
          </cell>
          <cell r="B5466">
            <v>0</v>
          </cell>
          <cell r="C5466">
            <v>0</v>
          </cell>
          <cell r="D5466">
            <v>0</v>
          </cell>
          <cell r="E5466">
            <v>0</v>
          </cell>
          <cell r="F5466">
            <v>0</v>
          </cell>
          <cell r="G5466">
            <v>0</v>
          </cell>
          <cell r="H5466">
            <v>0</v>
          </cell>
          <cell r="I5466">
            <v>0</v>
          </cell>
          <cell r="J5466">
            <v>0</v>
          </cell>
          <cell r="K5466">
            <v>0</v>
          </cell>
          <cell r="L5466">
            <v>0</v>
          </cell>
          <cell r="M5466">
            <v>0</v>
          </cell>
          <cell r="N5466">
            <v>0</v>
          </cell>
          <cell r="O5466">
            <v>0</v>
          </cell>
        </row>
        <row r="5467">
          <cell r="A5467" t="str">
            <v>Singapore781 LL Provision</v>
          </cell>
          <cell r="B5467">
            <v>0</v>
          </cell>
          <cell r="C5467">
            <v>0</v>
          </cell>
          <cell r="D5467">
            <v>0</v>
          </cell>
          <cell r="E5467">
            <v>0</v>
          </cell>
          <cell r="F5467">
            <v>0</v>
          </cell>
          <cell r="G5467">
            <v>0</v>
          </cell>
          <cell r="H5467">
            <v>0</v>
          </cell>
          <cell r="I5467">
            <v>0</v>
          </cell>
          <cell r="J5467">
            <v>0</v>
          </cell>
          <cell r="K5467">
            <v>0</v>
          </cell>
          <cell r="L5467">
            <v>0</v>
          </cell>
          <cell r="M5467">
            <v>0</v>
          </cell>
          <cell r="N5467">
            <v>0</v>
          </cell>
          <cell r="O5467">
            <v>0</v>
          </cell>
        </row>
        <row r="5468">
          <cell r="A5468" t="str">
            <v>Singapore781 LL Recovery</v>
          </cell>
          <cell r="B5468">
            <v>0</v>
          </cell>
          <cell r="C5468">
            <v>0</v>
          </cell>
          <cell r="D5468">
            <v>0</v>
          </cell>
          <cell r="E5468">
            <v>0</v>
          </cell>
          <cell r="F5468">
            <v>0</v>
          </cell>
          <cell r="G5468">
            <v>0</v>
          </cell>
          <cell r="H5468">
            <v>0</v>
          </cell>
          <cell r="I5468">
            <v>0</v>
          </cell>
          <cell r="J5468">
            <v>0</v>
          </cell>
          <cell r="K5468">
            <v>0</v>
          </cell>
          <cell r="L5468">
            <v>0</v>
          </cell>
          <cell r="M5468">
            <v>0</v>
          </cell>
          <cell r="N5468">
            <v>0</v>
          </cell>
          <cell r="O5468">
            <v>0</v>
          </cell>
        </row>
        <row r="5469">
          <cell r="A5469" t="str">
            <v>Singapore782 DF Provision</v>
          </cell>
          <cell r="B5469">
            <v>0</v>
          </cell>
          <cell r="C5469">
            <v>0</v>
          </cell>
          <cell r="D5469">
            <v>0</v>
          </cell>
          <cell r="E5469">
            <v>0</v>
          </cell>
          <cell r="F5469">
            <v>0</v>
          </cell>
          <cell r="G5469">
            <v>0</v>
          </cell>
          <cell r="H5469">
            <v>0</v>
          </cell>
          <cell r="I5469">
            <v>0</v>
          </cell>
          <cell r="J5469">
            <v>0</v>
          </cell>
          <cell r="K5469">
            <v>0</v>
          </cell>
          <cell r="L5469">
            <v>0</v>
          </cell>
          <cell r="M5469">
            <v>0</v>
          </cell>
          <cell r="N5469">
            <v>0</v>
          </cell>
          <cell r="O5469">
            <v>0</v>
          </cell>
        </row>
        <row r="5470">
          <cell r="A5470" t="str">
            <v>Singapore782 DF Recovery</v>
          </cell>
          <cell r="B5470">
            <v>0</v>
          </cell>
          <cell r="C5470">
            <v>0</v>
          </cell>
          <cell r="D5470">
            <v>0</v>
          </cell>
          <cell r="E5470">
            <v>0</v>
          </cell>
          <cell r="F5470">
            <v>0</v>
          </cell>
          <cell r="G5470">
            <v>0</v>
          </cell>
          <cell r="H5470">
            <v>0</v>
          </cell>
          <cell r="I5470">
            <v>0</v>
          </cell>
          <cell r="J5470">
            <v>0</v>
          </cell>
          <cell r="K5470">
            <v>0</v>
          </cell>
          <cell r="L5470">
            <v>0</v>
          </cell>
          <cell r="M5470">
            <v>0</v>
          </cell>
          <cell r="N5470">
            <v>0</v>
          </cell>
          <cell r="O5470">
            <v>0</v>
          </cell>
        </row>
        <row r="5471">
          <cell r="A5471" t="str">
            <v>Singapore783 Corp Level Provision</v>
          </cell>
          <cell r="B5471">
            <v>0</v>
          </cell>
          <cell r="C5471">
            <v>0</v>
          </cell>
          <cell r="D5471">
            <v>0</v>
          </cell>
          <cell r="E5471">
            <v>0</v>
          </cell>
          <cell r="F5471">
            <v>0</v>
          </cell>
          <cell r="G5471">
            <v>0</v>
          </cell>
          <cell r="H5471">
            <v>0</v>
          </cell>
          <cell r="I5471">
            <v>0</v>
          </cell>
          <cell r="J5471">
            <v>0</v>
          </cell>
          <cell r="K5471">
            <v>0</v>
          </cell>
          <cell r="L5471">
            <v>0</v>
          </cell>
          <cell r="M5471">
            <v>0</v>
          </cell>
          <cell r="N5471">
            <v>0</v>
          </cell>
          <cell r="O5471">
            <v>0</v>
          </cell>
        </row>
        <row r="5472">
          <cell r="A5472" t="str">
            <v>Singapore783 Corp Level Recovery</v>
          </cell>
          <cell r="B5472">
            <v>0</v>
          </cell>
          <cell r="C5472">
            <v>0</v>
          </cell>
          <cell r="D5472">
            <v>0</v>
          </cell>
          <cell r="E5472">
            <v>0</v>
          </cell>
          <cell r="F5472">
            <v>0</v>
          </cell>
          <cell r="G5472">
            <v>0</v>
          </cell>
          <cell r="H5472">
            <v>0</v>
          </cell>
          <cell r="I5472">
            <v>0</v>
          </cell>
          <cell r="J5472">
            <v>0</v>
          </cell>
          <cell r="K5472">
            <v>0</v>
          </cell>
          <cell r="L5472">
            <v>0</v>
          </cell>
          <cell r="M5472">
            <v>0</v>
          </cell>
          <cell r="N5472">
            <v>0</v>
          </cell>
          <cell r="O5472">
            <v>0</v>
          </cell>
        </row>
        <row r="5473">
          <cell r="A5473" t="str">
            <v>Singapore784 Business Share Provision</v>
          </cell>
          <cell r="B5473">
            <v>0</v>
          </cell>
          <cell r="C5473">
            <v>0</v>
          </cell>
          <cell r="D5473">
            <v>0</v>
          </cell>
          <cell r="E5473">
            <v>0</v>
          </cell>
          <cell r="F5473">
            <v>0</v>
          </cell>
          <cell r="G5473">
            <v>0</v>
          </cell>
          <cell r="H5473">
            <v>0</v>
          </cell>
          <cell r="I5473">
            <v>0</v>
          </cell>
          <cell r="J5473">
            <v>0</v>
          </cell>
          <cell r="K5473">
            <v>0</v>
          </cell>
          <cell r="L5473">
            <v>0</v>
          </cell>
          <cell r="M5473">
            <v>0</v>
          </cell>
          <cell r="N5473">
            <v>0</v>
          </cell>
          <cell r="O5473">
            <v>0</v>
          </cell>
        </row>
        <row r="5474">
          <cell r="A5474" t="str">
            <v>SingaporeReserves - Business Sharing</v>
          </cell>
          <cell r="B5474">
            <v>0</v>
          </cell>
          <cell r="C5474">
            <v>0</v>
          </cell>
          <cell r="D5474">
            <v>0</v>
          </cell>
          <cell r="E5474">
            <v>0</v>
          </cell>
          <cell r="F5474">
            <v>0</v>
          </cell>
          <cell r="G5474">
            <v>0</v>
          </cell>
          <cell r="H5474">
            <v>0</v>
          </cell>
          <cell r="I5474">
            <v>0</v>
          </cell>
          <cell r="J5474">
            <v>0</v>
          </cell>
          <cell r="K5474">
            <v>0</v>
          </cell>
          <cell r="L5474">
            <v>0</v>
          </cell>
          <cell r="M5474">
            <v>0</v>
          </cell>
          <cell r="N5474">
            <v>0</v>
          </cell>
          <cell r="O5474">
            <v>0</v>
          </cell>
        </row>
        <row r="5475">
          <cell r="A5475" t="str">
            <v>SwedenNEA - Fixed Rate</v>
          </cell>
          <cell r="B5475">
            <v>0</v>
          </cell>
          <cell r="C5475">
            <v>0</v>
          </cell>
          <cell r="D5475">
            <v>0</v>
          </cell>
          <cell r="E5475">
            <v>0</v>
          </cell>
          <cell r="F5475">
            <v>0</v>
          </cell>
          <cell r="G5475">
            <v>0</v>
          </cell>
          <cell r="H5475">
            <v>0</v>
          </cell>
          <cell r="I5475">
            <v>0</v>
          </cell>
          <cell r="J5475">
            <v>0</v>
          </cell>
          <cell r="K5475">
            <v>0</v>
          </cell>
          <cell r="L5475">
            <v>0</v>
          </cell>
          <cell r="M5475">
            <v>0</v>
          </cell>
          <cell r="N5475">
            <v>0</v>
          </cell>
          <cell r="O5475">
            <v>0</v>
          </cell>
        </row>
        <row r="5476">
          <cell r="A5476" t="str">
            <v>SwedenNEA - Floating Rate</v>
          </cell>
          <cell r="B5476">
            <v>0</v>
          </cell>
          <cell r="C5476">
            <v>0</v>
          </cell>
          <cell r="D5476">
            <v>0</v>
          </cell>
          <cell r="E5476">
            <v>0</v>
          </cell>
          <cell r="F5476">
            <v>0</v>
          </cell>
          <cell r="G5476">
            <v>0</v>
          </cell>
          <cell r="H5476">
            <v>0</v>
          </cell>
          <cell r="I5476">
            <v>0</v>
          </cell>
          <cell r="J5476">
            <v>0</v>
          </cell>
          <cell r="K5476">
            <v>0</v>
          </cell>
          <cell r="L5476">
            <v>0</v>
          </cell>
          <cell r="M5476">
            <v>0</v>
          </cell>
          <cell r="N5476">
            <v>0</v>
          </cell>
          <cell r="O5476">
            <v>0</v>
          </cell>
        </row>
        <row r="5477">
          <cell r="A5477" t="str">
            <v>SwedenReserves - FX Gain / Loss</v>
          </cell>
          <cell r="B5477">
            <v>16891515.329999998</v>
          </cell>
          <cell r="C5477">
            <v>18537306.239999998</v>
          </cell>
          <cell r="D5477">
            <v>18080333.530000001</v>
          </cell>
          <cell r="E5477">
            <v>18265935.399999999</v>
          </cell>
          <cell r="F5477">
            <v>18265935.399999999</v>
          </cell>
          <cell r="G5477">
            <v>0</v>
          </cell>
          <cell r="H5477">
            <v>0</v>
          </cell>
          <cell r="I5477">
            <v>0</v>
          </cell>
          <cell r="J5477">
            <v>0</v>
          </cell>
          <cell r="K5477">
            <v>0</v>
          </cell>
          <cell r="L5477">
            <v>17775276.940000001</v>
          </cell>
          <cell r="M5477">
            <v>0</v>
          </cell>
          <cell r="N5477">
            <v>0</v>
          </cell>
          <cell r="O5477">
            <v>0</v>
          </cell>
        </row>
        <row r="5478">
          <cell r="A5478" t="str">
            <v>SwedenReserves - Provisons</v>
          </cell>
          <cell r="B5478">
            <v>4720900.33</v>
          </cell>
          <cell r="C5478">
            <v>6564370.1100000003</v>
          </cell>
          <cell r="D5478">
            <v>21487644.73</v>
          </cell>
          <cell r="E5478">
            <v>20958101.710000001</v>
          </cell>
          <cell r="F5478">
            <v>20958101.710000001</v>
          </cell>
          <cell r="G5478">
            <v>0</v>
          </cell>
          <cell r="H5478">
            <v>0</v>
          </cell>
          <cell r="I5478">
            <v>0</v>
          </cell>
          <cell r="J5478">
            <v>0</v>
          </cell>
          <cell r="K5478">
            <v>0</v>
          </cell>
          <cell r="L5478">
            <v>1183748.1200000001</v>
          </cell>
          <cell r="M5478">
            <v>0</v>
          </cell>
          <cell r="N5478">
            <v>0</v>
          </cell>
          <cell r="O5478">
            <v>0</v>
          </cell>
        </row>
        <row r="5479">
          <cell r="A5479" t="str">
            <v>SwedenReserves - Recoveries</v>
          </cell>
          <cell r="B5479">
            <v>-2455495.14</v>
          </cell>
          <cell r="C5479">
            <v>-4846088.1900000004</v>
          </cell>
          <cell r="D5479">
            <v>-7340330.6299999999</v>
          </cell>
          <cell r="E5479">
            <v>-11766292.130000001</v>
          </cell>
          <cell r="F5479">
            <v>-11766292.130000001</v>
          </cell>
          <cell r="G5479">
            <v>0</v>
          </cell>
          <cell r="H5479">
            <v>0</v>
          </cell>
          <cell r="I5479">
            <v>0</v>
          </cell>
          <cell r="J5479">
            <v>0</v>
          </cell>
          <cell r="K5479">
            <v>0</v>
          </cell>
          <cell r="L5479">
            <v>-2235476.7799999998</v>
          </cell>
          <cell r="M5479">
            <v>0</v>
          </cell>
          <cell r="N5479">
            <v>0</v>
          </cell>
          <cell r="O5479">
            <v>0</v>
          </cell>
        </row>
        <row r="5480">
          <cell r="A5480" t="str">
            <v>SwedenReserves - BOP</v>
          </cell>
          <cell r="B5480">
            <v>-66816619.25</v>
          </cell>
          <cell r="C5480">
            <v>-66816619.25</v>
          </cell>
          <cell r="D5480">
            <v>-66816619.25</v>
          </cell>
          <cell r="E5480">
            <v>-66816619.25</v>
          </cell>
          <cell r="F5480">
            <v>-66816619.25</v>
          </cell>
          <cell r="G5480">
            <v>-30663129.367401998</v>
          </cell>
          <cell r="H5480">
            <v>-32785162.209665</v>
          </cell>
          <cell r="I5480">
            <v>-33362217.315095</v>
          </cell>
          <cell r="J5480">
            <v>-34377701.979447998</v>
          </cell>
          <cell r="K5480">
            <v>-34377701.979447998</v>
          </cell>
          <cell r="L5480">
            <v>-45610623.07</v>
          </cell>
          <cell r="M5480">
            <v>-57207947.926026002</v>
          </cell>
          <cell r="N5480">
            <v>-62455736.693838999</v>
          </cell>
          <cell r="O5480">
            <v>-68655674.945629999</v>
          </cell>
        </row>
        <row r="5481">
          <cell r="A5481" t="str">
            <v>SwedenReserves - Transfers &amp; Others</v>
          </cell>
          <cell r="B5481">
            <v>1492.32</v>
          </cell>
          <cell r="C5481">
            <v>1492.32</v>
          </cell>
          <cell r="D5481">
            <v>-88463.59</v>
          </cell>
          <cell r="E5481">
            <v>-88463.59</v>
          </cell>
          <cell r="F5481">
            <v>-88463.59</v>
          </cell>
          <cell r="G5481">
            <v>0</v>
          </cell>
          <cell r="H5481">
            <v>0</v>
          </cell>
          <cell r="I5481">
            <v>0</v>
          </cell>
          <cell r="J5481">
            <v>0</v>
          </cell>
          <cell r="K5481">
            <v>0</v>
          </cell>
          <cell r="L5481">
            <v>0</v>
          </cell>
          <cell r="M5481">
            <v>0</v>
          </cell>
          <cell r="N5481">
            <v>0</v>
          </cell>
          <cell r="O5481">
            <v>0</v>
          </cell>
        </row>
        <row r="5482">
          <cell r="A5482" t="str">
            <v>SwedenReserves - Write-Offs</v>
          </cell>
          <cell r="B5482">
            <v>3346917.16</v>
          </cell>
          <cell r="C5482">
            <v>6296819.5800000001</v>
          </cell>
          <cell r="D5482">
            <v>9073321.4199999999</v>
          </cell>
          <cell r="E5482">
            <v>12102650.189999999</v>
          </cell>
          <cell r="F5482">
            <v>12102650.189999999</v>
          </cell>
          <cell r="G5482">
            <v>1263000</v>
          </cell>
          <cell r="H5482">
            <v>2756000</v>
          </cell>
          <cell r="I5482">
            <v>3435000</v>
          </cell>
          <cell r="J5482">
            <v>3661000</v>
          </cell>
          <cell r="K5482">
            <v>3661000</v>
          </cell>
          <cell r="L5482">
            <v>3348093.55</v>
          </cell>
          <cell r="M5482">
            <v>5445928.202544</v>
          </cell>
          <cell r="N5482">
            <v>6572798.5876010004</v>
          </cell>
          <cell r="O5482">
            <v>7742426.8306780001</v>
          </cell>
        </row>
        <row r="5483">
          <cell r="A5483" t="str">
            <v>Sweden780 FR Provision</v>
          </cell>
          <cell r="B5483">
            <v>-4720900.33</v>
          </cell>
          <cell r="C5483">
            <v>-1843469.78</v>
          </cell>
          <cell r="D5483">
            <v>-14923274.630000001</v>
          </cell>
          <cell r="E5483">
            <v>529542.99</v>
          </cell>
          <cell r="F5483">
            <v>-20958101.75</v>
          </cell>
          <cell r="G5483">
            <v>0</v>
          </cell>
          <cell r="H5483">
            <v>0</v>
          </cell>
          <cell r="I5483">
            <v>0</v>
          </cell>
          <cell r="J5483">
            <v>0</v>
          </cell>
          <cell r="K5483">
            <v>0</v>
          </cell>
          <cell r="L5483">
            <v>-1183748.03</v>
          </cell>
          <cell r="M5483">
            <v>0</v>
          </cell>
          <cell r="N5483">
            <v>3000</v>
          </cell>
          <cell r="O5483">
            <v>1000</v>
          </cell>
        </row>
        <row r="5484">
          <cell r="A5484" t="str">
            <v>Sweden780 FR Recovery</v>
          </cell>
          <cell r="B5484">
            <v>0</v>
          </cell>
          <cell r="C5484">
            <v>0</v>
          </cell>
          <cell r="D5484">
            <v>0</v>
          </cell>
          <cell r="E5484">
            <v>0</v>
          </cell>
          <cell r="F5484">
            <v>0</v>
          </cell>
          <cell r="G5484">
            <v>2218086.937219</v>
          </cell>
          <cell r="H5484">
            <v>2307410.4230280002</v>
          </cell>
          <cell r="I5484">
            <v>730762.50910999998</v>
          </cell>
          <cell r="J5484">
            <v>1253802.024182</v>
          </cell>
          <cell r="K5484">
            <v>6510061.8935390003</v>
          </cell>
          <cell r="L5484">
            <v>0</v>
          </cell>
          <cell r="M5484">
            <v>8444169.2281250004</v>
          </cell>
          <cell r="N5484">
            <v>10729716.970357001</v>
          </cell>
          <cell r="O5484">
            <v>12808736.839392001</v>
          </cell>
        </row>
        <row r="5485">
          <cell r="A5485" t="str">
            <v>Sweden781 LL Provision</v>
          </cell>
          <cell r="B5485">
            <v>0</v>
          </cell>
          <cell r="C5485">
            <v>0</v>
          </cell>
          <cell r="D5485">
            <v>0</v>
          </cell>
          <cell r="E5485">
            <v>0</v>
          </cell>
          <cell r="F5485">
            <v>0</v>
          </cell>
          <cell r="G5485">
            <v>0</v>
          </cell>
          <cell r="H5485">
            <v>0</v>
          </cell>
          <cell r="I5485">
            <v>0</v>
          </cell>
          <cell r="J5485">
            <v>0</v>
          </cell>
          <cell r="K5485">
            <v>0</v>
          </cell>
          <cell r="L5485">
            <v>0</v>
          </cell>
          <cell r="M5485">
            <v>0</v>
          </cell>
          <cell r="N5485">
            <v>0</v>
          </cell>
          <cell r="O5485">
            <v>0</v>
          </cell>
        </row>
        <row r="5486">
          <cell r="A5486" t="str">
            <v>Sweden781 LL Recovery</v>
          </cell>
          <cell r="B5486">
            <v>0</v>
          </cell>
          <cell r="C5486">
            <v>0</v>
          </cell>
          <cell r="D5486">
            <v>0</v>
          </cell>
          <cell r="E5486">
            <v>0</v>
          </cell>
          <cell r="F5486">
            <v>0</v>
          </cell>
          <cell r="G5486">
            <v>0</v>
          </cell>
          <cell r="H5486">
            <v>0</v>
          </cell>
          <cell r="I5486">
            <v>0</v>
          </cell>
          <cell r="J5486">
            <v>0</v>
          </cell>
          <cell r="K5486">
            <v>0</v>
          </cell>
          <cell r="L5486">
            <v>0</v>
          </cell>
          <cell r="M5486">
            <v>0</v>
          </cell>
          <cell r="N5486">
            <v>0</v>
          </cell>
          <cell r="O5486">
            <v>0</v>
          </cell>
        </row>
        <row r="5487">
          <cell r="A5487" t="str">
            <v>Sweden782 DF Provision</v>
          </cell>
          <cell r="B5487">
            <v>0</v>
          </cell>
          <cell r="C5487">
            <v>0</v>
          </cell>
          <cell r="D5487">
            <v>0</v>
          </cell>
          <cell r="E5487">
            <v>0</v>
          </cell>
          <cell r="F5487">
            <v>0</v>
          </cell>
          <cell r="G5487">
            <v>0</v>
          </cell>
          <cell r="H5487">
            <v>0</v>
          </cell>
          <cell r="I5487">
            <v>0</v>
          </cell>
          <cell r="J5487">
            <v>0</v>
          </cell>
          <cell r="K5487">
            <v>0</v>
          </cell>
          <cell r="L5487">
            <v>0</v>
          </cell>
          <cell r="M5487">
            <v>0</v>
          </cell>
          <cell r="N5487">
            <v>0</v>
          </cell>
          <cell r="O5487">
            <v>0</v>
          </cell>
        </row>
        <row r="5488">
          <cell r="A5488" t="str">
            <v>Sweden782 DF Recovery</v>
          </cell>
          <cell r="B5488">
            <v>0</v>
          </cell>
          <cell r="C5488">
            <v>0</v>
          </cell>
          <cell r="D5488">
            <v>0</v>
          </cell>
          <cell r="E5488">
            <v>0</v>
          </cell>
          <cell r="F5488">
            <v>0</v>
          </cell>
          <cell r="G5488">
            <v>0</v>
          </cell>
          <cell r="H5488">
            <v>0</v>
          </cell>
          <cell r="I5488">
            <v>0</v>
          </cell>
          <cell r="J5488">
            <v>0</v>
          </cell>
          <cell r="K5488">
            <v>0</v>
          </cell>
          <cell r="L5488">
            <v>0</v>
          </cell>
          <cell r="M5488">
            <v>0</v>
          </cell>
          <cell r="N5488">
            <v>0</v>
          </cell>
          <cell r="O5488">
            <v>0</v>
          </cell>
        </row>
        <row r="5489">
          <cell r="A5489" t="str">
            <v>Sweden783 Corp Level Provision</v>
          </cell>
          <cell r="B5489">
            <v>0</v>
          </cell>
          <cell r="C5489">
            <v>0</v>
          </cell>
          <cell r="D5489">
            <v>0</v>
          </cell>
          <cell r="E5489">
            <v>0</v>
          </cell>
          <cell r="F5489">
            <v>0</v>
          </cell>
          <cell r="G5489">
            <v>0</v>
          </cell>
          <cell r="H5489">
            <v>0</v>
          </cell>
          <cell r="I5489">
            <v>0</v>
          </cell>
          <cell r="J5489">
            <v>0</v>
          </cell>
          <cell r="K5489">
            <v>0</v>
          </cell>
          <cell r="L5489">
            <v>0</v>
          </cell>
          <cell r="M5489">
            <v>0</v>
          </cell>
          <cell r="N5489">
            <v>0</v>
          </cell>
          <cell r="O5489">
            <v>0</v>
          </cell>
        </row>
        <row r="5490">
          <cell r="A5490" t="str">
            <v>Sweden783 Corp Level Recovery</v>
          </cell>
          <cell r="B5490">
            <v>0</v>
          </cell>
          <cell r="C5490">
            <v>0</v>
          </cell>
          <cell r="D5490">
            <v>0</v>
          </cell>
          <cell r="E5490">
            <v>0</v>
          </cell>
          <cell r="F5490">
            <v>0</v>
          </cell>
          <cell r="G5490">
            <v>0</v>
          </cell>
          <cell r="H5490">
            <v>0</v>
          </cell>
          <cell r="I5490">
            <v>0</v>
          </cell>
          <cell r="J5490">
            <v>0</v>
          </cell>
          <cell r="K5490">
            <v>0</v>
          </cell>
          <cell r="L5490">
            <v>0</v>
          </cell>
          <cell r="M5490">
            <v>0</v>
          </cell>
          <cell r="N5490">
            <v>0</v>
          </cell>
          <cell r="O5490">
            <v>0</v>
          </cell>
        </row>
        <row r="5491">
          <cell r="A5491" t="str">
            <v>Sweden784 Business Share Provision</v>
          </cell>
          <cell r="B5491">
            <v>0</v>
          </cell>
          <cell r="C5491">
            <v>0</v>
          </cell>
          <cell r="D5491">
            <v>0</v>
          </cell>
          <cell r="E5491">
            <v>0</v>
          </cell>
          <cell r="F5491">
            <v>0</v>
          </cell>
          <cell r="G5491">
            <v>0</v>
          </cell>
          <cell r="H5491">
            <v>0</v>
          </cell>
          <cell r="I5491">
            <v>0</v>
          </cell>
          <cell r="J5491">
            <v>0</v>
          </cell>
          <cell r="K5491">
            <v>0</v>
          </cell>
          <cell r="L5491">
            <v>0</v>
          </cell>
          <cell r="M5491">
            <v>0</v>
          </cell>
          <cell r="N5491">
            <v>0</v>
          </cell>
          <cell r="O5491">
            <v>0</v>
          </cell>
        </row>
        <row r="5492">
          <cell r="A5492" t="str">
            <v>SwedenReserves - Business Sharing</v>
          </cell>
          <cell r="B5492">
            <v>0</v>
          </cell>
          <cell r="C5492">
            <v>0</v>
          </cell>
          <cell r="D5492">
            <v>0</v>
          </cell>
          <cell r="E5492">
            <v>0</v>
          </cell>
          <cell r="F5492">
            <v>0</v>
          </cell>
          <cell r="G5492">
            <v>0</v>
          </cell>
          <cell r="H5492">
            <v>0</v>
          </cell>
          <cell r="I5492">
            <v>0</v>
          </cell>
          <cell r="J5492">
            <v>0</v>
          </cell>
          <cell r="K5492">
            <v>0</v>
          </cell>
          <cell r="L5492">
            <v>0</v>
          </cell>
          <cell r="M5492">
            <v>0</v>
          </cell>
          <cell r="N5492">
            <v>0</v>
          </cell>
          <cell r="O5492">
            <v>0</v>
          </cell>
        </row>
        <row r="5493">
          <cell r="A5493" t="str">
            <v>Sweden AutoNEA - Fixed Rate</v>
          </cell>
          <cell r="B5493">
            <v>0</v>
          </cell>
          <cell r="C5493">
            <v>0</v>
          </cell>
          <cell r="D5493">
            <v>0</v>
          </cell>
          <cell r="E5493">
            <v>0</v>
          </cell>
          <cell r="F5493">
            <v>0</v>
          </cell>
          <cell r="G5493">
            <v>0</v>
          </cell>
          <cell r="H5493">
            <v>0</v>
          </cell>
          <cell r="I5493">
            <v>0</v>
          </cell>
          <cell r="J5493">
            <v>0</v>
          </cell>
          <cell r="K5493">
            <v>0</v>
          </cell>
          <cell r="L5493">
            <v>0</v>
          </cell>
          <cell r="M5493">
            <v>0</v>
          </cell>
          <cell r="N5493">
            <v>0</v>
          </cell>
          <cell r="O5493">
            <v>0</v>
          </cell>
        </row>
        <row r="5494">
          <cell r="A5494" t="str">
            <v>Sweden AutoNEA - Floating Rate</v>
          </cell>
          <cell r="B5494">
            <v>0</v>
          </cell>
          <cell r="C5494">
            <v>0</v>
          </cell>
          <cell r="D5494">
            <v>0</v>
          </cell>
          <cell r="E5494">
            <v>0</v>
          </cell>
          <cell r="F5494">
            <v>0</v>
          </cell>
          <cell r="G5494">
            <v>0</v>
          </cell>
          <cell r="H5494">
            <v>0</v>
          </cell>
          <cell r="I5494">
            <v>0</v>
          </cell>
          <cell r="J5494">
            <v>0</v>
          </cell>
          <cell r="K5494">
            <v>0</v>
          </cell>
          <cell r="L5494">
            <v>0</v>
          </cell>
          <cell r="M5494">
            <v>0</v>
          </cell>
          <cell r="N5494">
            <v>0</v>
          </cell>
          <cell r="O5494">
            <v>0</v>
          </cell>
        </row>
        <row r="5495">
          <cell r="A5495" t="str">
            <v>Sweden AutoReserves - FX Gain / Loss</v>
          </cell>
          <cell r="B5495">
            <v>0</v>
          </cell>
          <cell r="C5495">
            <v>0</v>
          </cell>
          <cell r="D5495">
            <v>0</v>
          </cell>
          <cell r="E5495">
            <v>0</v>
          </cell>
          <cell r="F5495">
            <v>0</v>
          </cell>
          <cell r="G5495">
            <v>0</v>
          </cell>
          <cell r="H5495">
            <v>0</v>
          </cell>
          <cell r="I5495">
            <v>0</v>
          </cell>
          <cell r="J5495">
            <v>0</v>
          </cell>
          <cell r="K5495">
            <v>0</v>
          </cell>
          <cell r="L5495">
            <v>0</v>
          </cell>
          <cell r="M5495">
            <v>0</v>
          </cell>
          <cell r="N5495">
            <v>0</v>
          </cell>
          <cell r="O5495">
            <v>0</v>
          </cell>
        </row>
        <row r="5496">
          <cell r="A5496" t="str">
            <v>Sweden AutoReserves - Provisons</v>
          </cell>
          <cell r="B5496">
            <v>0</v>
          </cell>
          <cell r="C5496">
            <v>0</v>
          </cell>
          <cell r="D5496">
            <v>0</v>
          </cell>
          <cell r="E5496">
            <v>0</v>
          </cell>
          <cell r="F5496">
            <v>0</v>
          </cell>
          <cell r="G5496">
            <v>0</v>
          </cell>
          <cell r="H5496">
            <v>0</v>
          </cell>
          <cell r="I5496">
            <v>0</v>
          </cell>
          <cell r="J5496">
            <v>0</v>
          </cell>
          <cell r="K5496">
            <v>0</v>
          </cell>
          <cell r="L5496">
            <v>0</v>
          </cell>
          <cell r="M5496">
            <v>0</v>
          </cell>
          <cell r="N5496">
            <v>0</v>
          </cell>
          <cell r="O5496">
            <v>0</v>
          </cell>
        </row>
        <row r="5497">
          <cell r="A5497" t="str">
            <v>Sweden AutoReserves - Recoveries</v>
          </cell>
          <cell r="B5497">
            <v>0</v>
          </cell>
          <cell r="C5497">
            <v>0</v>
          </cell>
          <cell r="D5497">
            <v>0</v>
          </cell>
          <cell r="E5497">
            <v>0</v>
          </cell>
          <cell r="F5497">
            <v>0</v>
          </cell>
          <cell r="G5497">
            <v>0</v>
          </cell>
          <cell r="H5497">
            <v>0</v>
          </cell>
          <cell r="I5497">
            <v>0</v>
          </cell>
          <cell r="J5497">
            <v>0</v>
          </cell>
          <cell r="K5497">
            <v>0</v>
          </cell>
          <cell r="L5497">
            <v>0</v>
          </cell>
          <cell r="M5497">
            <v>0</v>
          </cell>
          <cell r="N5497">
            <v>0</v>
          </cell>
          <cell r="O5497">
            <v>0</v>
          </cell>
        </row>
        <row r="5498">
          <cell r="A5498" t="str">
            <v>Sweden AutoReserves - BOP</v>
          </cell>
          <cell r="B5498">
            <v>0</v>
          </cell>
          <cell r="C5498">
            <v>0</v>
          </cell>
          <cell r="D5498">
            <v>0</v>
          </cell>
          <cell r="E5498">
            <v>0</v>
          </cell>
          <cell r="F5498">
            <v>0</v>
          </cell>
          <cell r="G5498">
            <v>-2910000</v>
          </cell>
          <cell r="H5498">
            <v>-2870000</v>
          </cell>
          <cell r="I5498">
            <v>-2890000</v>
          </cell>
          <cell r="J5498">
            <v>-2850000</v>
          </cell>
          <cell r="K5498">
            <v>-2850000</v>
          </cell>
          <cell r="L5498">
            <v>0</v>
          </cell>
          <cell r="M5498">
            <v>-3090000</v>
          </cell>
          <cell r="N5498">
            <v>-3220000</v>
          </cell>
          <cell r="O5498">
            <v>-3440000</v>
          </cell>
        </row>
        <row r="5499">
          <cell r="A5499" t="str">
            <v>Sweden AutoReserves - Transfers &amp; Others</v>
          </cell>
          <cell r="B5499">
            <v>0</v>
          </cell>
          <cell r="C5499">
            <v>0</v>
          </cell>
          <cell r="D5499">
            <v>0</v>
          </cell>
          <cell r="E5499">
            <v>0</v>
          </cell>
          <cell r="F5499">
            <v>0</v>
          </cell>
          <cell r="G5499">
            <v>0</v>
          </cell>
          <cell r="H5499">
            <v>0</v>
          </cell>
          <cell r="I5499">
            <v>0</v>
          </cell>
          <cell r="J5499">
            <v>0</v>
          </cell>
          <cell r="K5499">
            <v>0</v>
          </cell>
          <cell r="L5499">
            <v>0</v>
          </cell>
          <cell r="M5499">
            <v>0</v>
          </cell>
          <cell r="N5499">
            <v>0</v>
          </cell>
          <cell r="O5499">
            <v>0</v>
          </cell>
        </row>
        <row r="5500">
          <cell r="A5500" t="str">
            <v>Sweden AutoReserves - Write-Offs</v>
          </cell>
          <cell r="B5500">
            <v>0</v>
          </cell>
          <cell r="C5500">
            <v>0</v>
          </cell>
          <cell r="D5500">
            <v>0</v>
          </cell>
          <cell r="E5500">
            <v>0</v>
          </cell>
          <cell r="F5500">
            <v>0</v>
          </cell>
          <cell r="G5500">
            <v>0</v>
          </cell>
          <cell r="H5500">
            <v>0</v>
          </cell>
          <cell r="I5500">
            <v>0</v>
          </cell>
          <cell r="J5500">
            <v>0</v>
          </cell>
          <cell r="K5500">
            <v>0</v>
          </cell>
          <cell r="L5500">
            <v>0</v>
          </cell>
          <cell r="M5500">
            <v>0</v>
          </cell>
          <cell r="N5500">
            <v>0</v>
          </cell>
          <cell r="O5500">
            <v>0</v>
          </cell>
        </row>
        <row r="5501">
          <cell r="A5501" t="str">
            <v>Sweden Auto780 FR Provision</v>
          </cell>
          <cell r="B5501">
            <v>0</v>
          </cell>
          <cell r="C5501">
            <v>0</v>
          </cell>
          <cell r="D5501">
            <v>0</v>
          </cell>
          <cell r="E5501">
            <v>0</v>
          </cell>
          <cell r="F5501">
            <v>0</v>
          </cell>
          <cell r="G5501">
            <v>0</v>
          </cell>
          <cell r="H5501">
            <v>0</v>
          </cell>
          <cell r="I5501">
            <v>0</v>
          </cell>
          <cell r="J5501">
            <v>0</v>
          </cell>
          <cell r="K5501">
            <v>0</v>
          </cell>
          <cell r="L5501">
            <v>0</v>
          </cell>
          <cell r="M5501">
            <v>0</v>
          </cell>
          <cell r="N5501">
            <v>0</v>
          </cell>
          <cell r="O5501">
            <v>0</v>
          </cell>
        </row>
        <row r="5502">
          <cell r="A5502" t="str">
            <v>Sweden Auto780 FR Recovery</v>
          </cell>
          <cell r="B5502">
            <v>0</v>
          </cell>
          <cell r="C5502">
            <v>0</v>
          </cell>
          <cell r="D5502">
            <v>0</v>
          </cell>
          <cell r="E5502">
            <v>0</v>
          </cell>
          <cell r="F5502">
            <v>0</v>
          </cell>
          <cell r="G5502">
            <v>120000</v>
          </cell>
          <cell r="H5502">
            <v>220000</v>
          </cell>
          <cell r="I5502">
            <v>200000</v>
          </cell>
          <cell r="J5502">
            <v>110000</v>
          </cell>
          <cell r="K5502">
            <v>650000</v>
          </cell>
          <cell r="L5502">
            <v>0</v>
          </cell>
          <cell r="M5502">
            <v>780000</v>
          </cell>
          <cell r="N5502">
            <v>1160000</v>
          </cell>
          <cell r="O5502">
            <v>1210000</v>
          </cell>
        </row>
        <row r="5503">
          <cell r="A5503" t="str">
            <v>Sweden Auto781 LL Provision</v>
          </cell>
          <cell r="B5503">
            <v>0</v>
          </cell>
          <cell r="C5503">
            <v>0</v>
          </cell>
          <cell r="D5503">
            <v>0</v>
          </cell>
          <cell r="E5503">
            <v>0</v>
          </cell>
          <cell r="F5503">
            <v>0</v>
          </cell>
          <cell r="G5503">
            <v>0</v>
          </cell>
          <cell r="H5503">
            <v>0</v>
          </cell>
          <cell r="I5503">
            <v>0</v>
          </cell>
          <cell r="J5503">
            <v>0</v>
          </cell>
          <cell r="K5503">
            <v>0</v>
          </cell>
          <cell r="L5503">
            <v>0</v>
          </cell>
          <cell r="M5503">
            <v>0</v>
          </cell>
          <cell r="N5503">
            <v>0</v>
          </cell>
          <cell r="O5503">
            <v>0</v>
          </cell>
        </row>
        <row r="5504">
          <cell r="A5504" t="str">
            <v>Sweden Auto781 LL Recovery</v>
          </cell>
          <cell r="B5504">
            <v>0</v>
          </cell>
          <cell r="C5504">
            <v>0</v>
          </cell>
          <cell r="D5504">
            <v>0</v>
          </cell>
          <cell r="E5504">
            <v>0</v>
          </cell>
          <cell r="F5504">
            <v>0</v>
          </cell>
          <cell r="G5504">
            <v>0</v>
          </cell>
          <cell r="H5504">
            <v>0</v>
          </cell>
          <cell r="I5504">
            <v>0</v>
          </cell>
          <cell r="J5504">
            <v>0</v>
          </cell>
          <cell r="K5504">
            <v>0</v>
          </cell>
          <cell r="L5504">
            <v>0</v>
          </cell>
          <cell r="M5504">
            <v>0</v>
          </cell>
          <cell r="N5504">
            <v>0</v>
          </cell>
          <cell r="O5504">
            <v>0</v>
          </cell>
        </row>
        <row r="5505">
          <cell r="A5505" t="str">
            <v>Sweden Auto782 DF Provision</v>
          </cell>
          <cell r="B5505">
            <v>0</v>
          </cell>
          <cell r="C5505">
            <v>0</v>
          </cell>
          <cell r="D5505">
            <v>0</v>
          </cell>
          <cell r="E5505">
            <v>0</v>
          </cell>
          <cell r="F5505">
            <v>0</v>
          </cell>
          <cell r="G5505">
            <v>0</v>
          </cell>
          <cell r="H5505">
            <v>0</v>
          </cell>
          <cell r="I5505">
            <v>0</v>
          </cell>
          <cell r="J5505">
            <v>0</v>
          </cell>
          <cell r="K5505">
            <v>0</v>
          </cell>
          <cell r="L5505">
            <v>0</v>
          </cell>
          <cell r="M5505">
            <v>0</v>
          </cell>
          <cell r="N5505">
            <v>0</v>
          </cell>
          <cell r="O5505">
            <v>0</v>
          </cell>
        </row>
        <row r="5506">
          <cell r="A5506" t="str">
            <v>Sweden Auto782 DF Recovery</v>
          </cell>
          <cell r="B5506">
            <v>0</v>
          </cell>
          <cell r="C5506">
            <v>0</v>
          </cell>
          <cell r="D5506">
            <v>0</v>
          </cell>
          <cell r="E5506">
            <v>0</v>
          </cell>
          <cell r="F5506">
            <v>0</v>
          </cell>
          <cell r="G5506">
            <v>0</v>
          </cell>
          <cell r="H5506">
            <v>0</v>
          </cell>
          <cell r="I5506">
            <v>0</v>
          </cell>
          <cell r="J5506">
            <v>0</v>
          </cell>
          <cell r="K5506">
            <v>0</v>
          </cell>
          <cell r="L5506">
            <v>0</v>
          </cell>
          <cell r="M5506">
            <v>0</v>
          </cell>
          <cell r="N5506">
            <v>0</v>
          </cell>
          <cell r="O5506">
            <v>0</v>
          </cell>
        </row>
        <row r="5507">
          <cell r="A5507" t="str">
            <v>Sweden Auto783 Corp Level Provision</v>
          </cell>
          <cell r="B5507">
            <v>0</v>
          </cell>
          <cell r="C5507">
            <v>0</v>
          </cell>
          <cell r="D5507">
            <v>0</v>
          </cell>
          <cell r="E5507">
            <v>0</v>
          </cell>
          <cell r="F5507">
            <v>0</v>
          </cell>
          <cell r="G5507">
            <v>0</v>
          </cell>
          <cell r="H5507">
            <v>0</v>
          </cell>
          <cell r="I5507">
            <v>0</v>
          </cell>
          <cell r="J5507">
            <v>0</v>
          </cell>
          <cell r="K5507">
            <v>0</v>
          </cell>
          <cell r="L5507">
            <v>0</v>
          </cell>
          <cell r="M5507">
            <v>0</v>
          </cell>
          <cell r="N5507">
            <v>0</v>
          </cell>
          <cell r="O5507">
            <v>0</v>
          </cell>
        </row>
        <row r="5508">
          <cell r="A5508" t="str">
            <v>Sweden Auto783 Corp Level Recovery</v>
          </cell>
          <cell r="B5508">
            <v>0</v>
          </cell>
          <cell r="C5508">
            <v>0</v>
          </cell>
          <cell r="D5508">
            <v>0</v>
          </cell>
          <cell r="E5508">
            <v>0</v>
          </cell>
          <cell r="F5508">
            <v>0</v>
          </cell>
          <cell r="G5508">
            <v>0</v>
          </cell>
          <cell r="H5508">
            <v>0</v>
          </cell>
          <cell r="I5508">
            <v>0</v>
          </cell>
          <cell r="J5508">
            <v>0</v>
          </cell>
          <cell r="K5508">
            <v>0</v>
          </cell>
          <cell r="L5508">
            <v>0</v>
          </cell>
          <cell r="M5508">
            <v>0</v>
          </cell>
          <cell r="N5508">
            <v>0</v>
          </cell>
          <cell r="O5508">
            <v>0</v>
          </cell>
        </row>
        <row r="5509">
          <cell r="A5509" t="str">
            <v>Sweden Auto784 Business Share Provision</v>
          </cell>
          <cell r="B5509">
            <v>-54071</v>
          </cell>
          <cell r="C5509">
            <v>-23031</v>
          </cell>
          <cell r="D5509">
            <v>169463</v>
          </cell>
          <cell r="E5509">
            <v>278972</v>
          </cell>
          <cell r="F5509">
            <v>371333</v>
          </cell>
          <cell r="G5509">
            <v>0</v>
          </cell>
          <cell r="H5509">
            <v>0</v>
          </cell>
          <cell r="I5509">
            <v>0</v>
          </cell>
          <cell r="J5509">
            <v>0</v>
          </cell>
          <cell r="K5509">
            <v>0</v>
          </cell>
          <cell r="L5509">
            <v>75842.17</v>
          </cell>
          <cell r="M5509">
            <v>0</v>
          </cell>
          <cell r="N5509">
            <v>0</v>
          </cell>
          <cell r="O5509">
            <v>0</v>
          </cell>
        </row>
        <row r="5510">
          <cell r="A5510" t="str">
            <v>Sweden AutoReserves - Business Sharing</v>
          </cell>
          <cell r="B5510">
            <v>-3393358</v>
          </cell>
          <cell r="C5510">
            <v>-3372031</v>
          </cell>
          <cell r="D5510">
            <v>-3264915</v>
          </cell>
          <cell r="E5510">
            <v>-3034154</v>
          </cell>
          <cell r="F5510">
            <v>-3034154</v>
          </cell>
          <cell r="G5510">
            <v>0</v>
          </cell>
          <cell r="H5510">
            <v>0</v>
          </cell>
          <cell r="I5510">
            <v>0</v>
          </cell>
          <cell r="J5510">
            <v>0</v>
          </cell>
          <cell r="K5510">
            <v>0</v>
          </cell>
          <cell r="L5510">
            <v>-3393359.48</v>
          </cell>
          <cell r="M5510">
            <v>0</v>
          </cell>
          <cell r="N5510">
            <v>0</v>
          </cell>
          <cell r="O5510">
            <v>0</v>
          </cell>
        </row>
        <row r="5511">
          <cell r="A5511" t="str">
            <v>SwitzerlandNEA - Fixed Rate</v>
          </cell>
          <cell r="B5511">
            <v>0</v>
          </cell>
          <cell r="C5511">
            <v>0</v>
          </cell>
          <cell r="D5511">
            <v>0</v>
          </cell>
          <cell r="E5511">
            <v>0</v>
          </cell>
          <cell r="F5511">
            <v>0</v>
          </cell>
          <cell r="G5511">
            <v>0</v>
          </cell>
          <cell r="H5511">
            <v>0</v>
          </cell>
          <cell r="I5511">
            <v>0</v>
          </cell>
          <cell r="J5511">
            <v>0</v>
          </cell>
          <cell r="K5511">
            <v>0</v>
          </cell>
          <cell r="L5511">
            <v>0</v>
          </cell>
          <cell r="M5511">
            <v>0</v>
          </cell>
          <cell r="N5511">
            <v>0</v>
          </cell>
          <cell r="O5511">
            <v>0</v>
          </cell>
        </row>
        <row r="5512">
          <cell r="A5512" t="str">
            <v>SwitzerlandNEA - Floating Rate</v>
          </cell>
          <cell r="B5512">
            <v>0</v>
          </cell>
          <cell r="C5512">
            <v>0</v>
          </cell>
          <cell r="D5512">
            <v>0</v>
          </cell>
          <cell r="E5512">
            <v>0</v>
          </cell>
          <cell r="F5512">
            <v>0</v>
          </cell>
          <cell r="G5512">
            <v>0</v>
          </cell>
          <cell r="H5512">
            <v>0</v>
          </cell>
          <cell r="I5512">
            <v>0</v>
          </cell>
          <cell r="J5512">
            <v>0</v>
          </cell>
          <cell r="K5512">
            <v>0</v>
          </cell>
          <cell r="L5512">
            <v>0</v>
          </cell>
          <cell r="M5512">
            <v>0</v>
          </cell>
          <cell r="N5512">
            <v>0</v>
          </cell>
          <cell r="O5512">
            <v>0</v>
          </cell>
        </row>
        <row r="5513">
          <cell r="A5513" t="str">
            <v>SwitzerlandReserves - FX Gain / Loss</v>
          </cell>
          <cell r="B5513">
            <v>17102299.989999998</v>
          </cell>
          <cell r="C5513">
            <v>21771019.93</v>
          </cell>
          <cell r="D5513">
            <v>9748333.5500000007</v>
          </cell>
          <cell r="E5513">
            <v>10449390.49</v>
          </cell>
          <cell r="F5513">
            <v>10449390.49</v>
          </cell>
          <cell r="G5513">
            <v>0</v>
          </cell>
          <cell r="H5513">
            <v>0</v>
          </cell>
          <cell r="I5513">
            <v>0</v>
          </cell>
          <cell r="J5513">
            <v>0</v>
          </cell>
          <cell r="K5513">
            <v>0</v>
          </cell>
          <cell r="L5513">
            <v>12392678.390000001</v>
          </cell>
          <cell r="M5513">
            <v>0</v>
          </cell>
          <cell r="N5513">
            <v>0</v>
          </cell>
          <cell r="O5513">
            <v>0</v>
          </cell>
        </row>
        <row r="5514">
          <cell r="A5514" t="str">
            <v>SwitzerlandReserves - Provisons</v>
          </cell>
          <cell r="B5514">
            <v>-7260600.4800000004</v>
          </cell>
          <cell r="C5514">
            <v>-11421773.67</v>
          </cell>
          <cell r="D5514">
            <v>-10749523.77</v>
          </cell>
          <cell r="E5514">
            <v>-4716480.5</v>
          </cell>
          <cell r="F5514">
            <v>-4716480.5</v>
          </cell>
          <cell r="G5514">
            <v>0</v>
          </cell>
          <cell r="H5514">
            <v>0</v>
          </cell>
          <cell r="I5514">
            <v>0</v>
          </cell>
          <cell r="J5514">
            <v>0</v>
          </cell>
          <cell r="K5514">
            <v>0</v>
          </cell>
          <cell r="L5514">
            <v>12213400.949999999</v>
          </cell>
          <cell r="M5514">
            <v>0</v>
          </cell>
          <cell r="N5514">
            <v>0</v>
          </cell>
          <cell r="O5514">
            <v>0</v>
          </cell>
        </row>
        <row r="5515">
          <cell r="A5515" t="str">
            <v>SwitzerlandReserves - Recoveries</v>
          </cell>
          <cell r="B5515">
            <v>-9887660.0700000003</v>
          </cell>
          <cell r="C5515">
            <v>-21496851.379999999</v>
          </cell>
          <cell r="D5515">
            <v>-31228424.920000002</v>
          </cell>
          <cell r="E5515">
            <v>-42977967.450000003</v>
          </cell>
          <cell r="F5515">
            <v>-42977967.450000003</v>
          </cell>
          <cell r="G5515">
            <v>0</v>
          </cell>
          <cell r="H5515">
            <v>0</v>
          </cell>
          <cell r="I5515">
            <v>0</v>
          </cell>
          <cell r="J5515">
            <v>0</v>
          </cell>
          <cell r="K5515">
            <v>0</v>
          </cell>
          <cell r="L5515">
            <v>-27405161.23</v>
          </cell>
          <cell r="M5515">
            <v>0</v>
          </cell>
          <cell r="N5515">
            <v>0</v>
          </cell>
          <cell r="O5515">
            <v>0</v>
          </cell>
        </row>
        <row r="5516">
          <cell r="A5516" t="str">
            <v>SwitzerlandReserves - BOP</v>
          </cell>
          <cell r="B5516">
            <v>-142332097.06</v>
          </cell>
          <cell r="C5516">
            <v>-142332097.06</v>
          </cell>
          <cell r="D5516">
            <v>-142332097.06</v>
          </cell>
          <cell r="E5516">
            <v>-142332097.06</v>
          </cell>
          <cell r="F5516">
            <v>-142332097.06</v>
          </cell>
          <cell r="G5516">
            <v>-107831087.11046401</v>
          </cell>
          <cell r="H5516">
            <v>-120248296.374051</v>
          </cell>
          <cell r="I5516">
            <v>-129570422.845181</v>
          </cell>
          <cell r="J5516">
            <v>-133979426.401191</v>
          </cell>
          <cell r="K5516">
            <v>-133979426.401191</v>
          </cell>
          <cell r="L5516">
            <v>-135455728.16</v>
          </cell>
          <cell r="M5516">
            <v>-153935606</v>
          </cell>
          <cell r="N5516">
            <v>-159612350</v>
          </cell>
          <cell r="O5516">
            <v>-163314088</v>
          </cell>
        </row>
        <row r="5517">
          <cell r="A5517" t="str">
            <v>SwitzerlandReserves - Transfers &amp; Others</v>
          </cell>
          <cell r="B5517">
            <v>0</v>
          </cell>
          <cell r="C5517">
            <v>0</v>
          </cell>
          <cell r="D5517">
            <v>0</v>
          </cell>
          <cell r="E5517">
            <v>0</v>
          </cell>
          <cell r="F5517">
            <v>0</v>
          </cell>
          <cell r="G5517">
            <v>0</v>
          </cell>
          <cell r="H5517">
            <v>0</v>
          </cell>
          <cell r="I5517">
            <v>0</v>
          </cell>
          <cell r="J5517">
            <v>0</v>
          </cell>
          <cell r="K5517">
            <v>0</v>
          </cell>
          <cell r="L5517">
            <v>0</v>
          </cell>
          <cell r="M5517">
            <v>0</v>
          </cell>
          <cell r="N5517">
            <v>0</v>
          </cell>
          <cell r="O5517">
            <v>0</v>
          </cell>
        </row>
        <row r="5518">
          <cell r="A5518" t="str">
            <v>SwitzerlandReserves - Write-Offs</v>
          </cell>
          <cell r="B5518">
            <v>8895336.7599999998</v>
          </cell>
          <cell r="C5518">
            <v>20599280.559999999</v>
          </cell>
          <cell r="D5518">
            <v>38727858.82</v>
          </cell>
          <cell r="E5518">
            <v>54570816.859999999</v>
          </cell>
          <cell r="F5518">
            <v>54570816.859999999</v>
          </cell>
          <cell r="G5518">
            <v>-13546480.967706</v>
          </cell>
          <cell r="H5518">
            <v>-4870075.3451469997</v>
          </cell>
          <cell r="I5518">
            <v>2879751.9216729999</v>
          </cell>
          <cell r="J5518">
            <v>6802787.0785670001</v>
          </cell>
          <cell r="K5518">
            <v>6802787.0785670001</v>
          </cell>
          <cell r="L5518">
            <v>12293771.24</v>
          </cell>
          <cell r="M5518">
            <v>10666146</v>
          </cell>
          <cell r="N5518">
            <v>8506913</v>
          </cell>
          <cell r="O5518">
            <v>7544040</v>
          </cell>
        </row>
        <row r="5519">
          <cell r="A5519" t="str">
            <v>Switzerland780 FR Provision</v>
          </cell>
          <cell r="B5519">
            <v>623221.30000000005</v>
          </cell>
          <cell r="C5519">
            <v>7924045.5300000003</v>
          </cell>
          <cell r="D5519">
            <v>3164433.16</v>
          </cell>
          <cell r="E5519">
            <v>-2573906.0499999998</v>
          </cell>
          <cell r="F5519">
            <v>9137793.9399999995</v>
          </cell>
          <cell r="G5519">
            <v>0</v>
          </cell>
          <cell r="H5519">
            <v>0</v>
          </cell>
          <cell r="I5519">
            <v>0</v>
          </cell>
          <cell r="J5519">
            <v>0</v>
          </cell>
          <cell r="K5519">
            <v>0</v>
          </cell>
          <cell r="L5519">
            <v>-14138103.310000001</v>
          </cell>
          <cell r="M5519">
            <v>7602047</v>
          </cell>
          <cell r="N5519">
            <v>7835978</v>
          </cell>
          <cell r="O5519">
            <v>4664610</v>
          </cell>
        </row>
        <row r="5520">
          <cell r="A5520" t="str">
            <v>Switzerland780 FR Recovery</v>
          </cell>
          <cell r="B5520">
            <v>0</v>
          </cell>
          <cell r="C5520">
            <v>0</v>
          </cell>
          <cell r="D5520">
            <v>0</v>
          </cell>
          <cell r="E5520">
            <v>-0.03</v>
          </cell>
          <cell r="F5520">
            <v>-0.03</v>
          </cell>
          <cell r="G5520">
            <v>-13546480.967706</v>
          </cell>
          <cell r="H5520">
            <v>8676405.6225589998</v>
          </cell>
          <cell r="I5520">
            <v>7749827.2668199996</v>
          </cell>
          <cell r="J5520">
            <v>3923035.1568939998</v>
          </cell>
          <cell r="K5520">
            <v>6802787.0785670001</v>
          </cell>
          <cell r="L5520">
            <v>-0.01</v>
          </cell>
          <cell r="M5520">
            <v>10666146</v>
          </cell>
          <cell r="N5520">
            <v>8506913</v>
          </cell>
          <cell r="O5520">
            <v>7544040</v>
          </cell>
        </row>
        <row r="5521">
          <cell r="A5521" t="str">
            <v>Switzerland781 LL Provision</v>
          </cell>
          <cell r="B5521">
            <v>0</v>
          </cell>
          <cell r="C5521">
            <v>0</v>
          </cell>
          <cell r="D5521">
            <v>0</v>
          </cell>
          <cell r="E5521">
            <v>0</v>
          </cell>
          <cell r="F5521">
            <v>0</v>
          </cell>
          <cell r="G5521">
            <v>0</v>
          </cell>
          <cell r="H5521">
            <v>0</v>
          </cell>
          <cell r="I5521">
            <v>0</v>
          </cell>
          <cell r="J5521">
            <v>0</v>
          </cell>
          <cell r="K5521">
            <v>0</v>
          </cell>
          <cell r="L5521">
            <v>0</v>
          </cell>
          <cell r="M5521">
            <v>0</v>
          </cell>
          <cell r="N5521">
            <v>0</v>
          </cell>
          <cell r="O5521">
            <v>0</v>
          </cell>
        </row>
        <row r="5522">
          <cell r="A5522" t="str">
            <v>Switzerland781 LL Recovery</v>
          </cell>
          <cell r="B5522">
            <v>0</v>
          </cell>
          <cell r="C5522">
            <v>0</v>
          </cell>
          <cell r="D5522">
            <v>0</v>
          </cell>
          <cell r="E5522">
            <v>0</v>
          </cell>
          <cell r="F5522">
            <v>0</v>
          </cell>
          <cell r="G5522">
            <v>0</v>
          </cell>
          <cell r="H5522">
            <v>0</v>
          </cell>
          <cell r="I5522">
            <v>0</v>
          </cell>
          <cell r="J5522">
            <v>0</v>
          </cell>
          <cell r="K5522">
            <v>0</v>
          </cell>
          <cell r="L5522">
            <v>0</v>
          </cell>
          <cell r="M5522">
            <v>0</v>
          </cell>
          <cell r="N5522">
            <v>0</v>
          </cell>
          <cell r="O5522">
            <v>0</v>
          </cell>
        </row>
        <row r="5523">
          <cell r="A5523" t="str">
            <v>Switzerland782 DF Provision</v>
          </cell>
          <cell r="B5523">
            <v>6637379.1799999997</v>
          </cell>
          <cell r="C5523">
            <v>-3762872.34</v>
          </cell>
          <cell r="D5523">
            <v>-3836683.06</v>
          </cell>
          <cell r="E5523">
            <v>-3459137.22</v>
          </cell>
          <cell r="F5523">
            <v>-4421313.4400000004</v>
          </cell>
          <cell r="G5523">
            <v>0</v>
          </cell>
          <cell r="H5523">
            <v>0</v>
          </cell>
          <cell r="I5523">
            <v>0</v>
          </cell>
          <cell r="J5523">
            <v>0</v>
          </cell>
          <cell r="K5523">
            <v>0</v>
          </cell>
          <cell r="L5523">
            <v>1924702.35</v>
          </cell>
          <cell r="M5523">
            <v>0</v>
          </cell>
          <cell r="N5523">
            <v>0</v>
          </cell>
          <cell r="O5523">
            <v>0</v>
          </cell>
        </row>
        <row r="5524">
          <cell r="A5524" t="str">
            <v>Switzerland782 DF Recovery</v>
          </cell>
          <cell r="B5524">
            <v>-0.01</v>
          </cell>
          <cell r="C5524">
            <v>0</v>
          </cell>
          <cell r="D5524">
            <v>0</v>
          </cell>
          <cell r="E5524">
            <v>0</v>
          </cell>
          <cell r="F5524">
            <v>-0.01</v>
          </cell>
          <cell r="G5524">
            <v>0</v>
          </cell>
          <cell r="H5524">
            <v>0</v>
          </cell>
          <cell r="I5524">
            <v>0</v>
          </cell>
          <cell r="J5524">
            <v>0</v>
          </cell>
          <cell r="K5524">
            <v>0</v>
          </cell>
          <cell r="L5524">
            <v>0</v>
          </cell>
          <cell r="M5524">
            <v>0</v>
          </cell>
          <cell r="N5524">
            <v>0</v>
          </cell>
          <cell r="O5524">
            <v>0</v>
          </cell>
        </row>
        <row r="5525">
          <cell r="A5525" t="str">
            <v>Switzerland783 Corp Level Provision</v>
          </cell>
          <cell r="B5525">
            <v>0</v>
          </cell>
          <cell r="C5525">
            <v>0</v>
          </cell>
          <cell r="D5525">
            <v>0</v>
          </cell>
          <cell r="E5525">
            <v>0</v>
          </cell>
          <cell r="F5525">
            <v>0</v>
          </cell>
          <cell r="G5525">
            <v>0</v>
          </cell>
          <cell r="H5525">
            <v>0</v>
          </cell>
          <cell r="I5525">
            <v>0</v>
          </cell>
          <cell r="J5525">
            <v>0</v>
          </cell>
          <cell r="K5525">
            <v>0</v>
          </cell>
          <cell r="L5525">
            <v>0</v>
          </cell>
          <cell r="M5525">
            <v>0</v>
          </cell>
          <cell r="N5525">
            <v>0</v>
          </cell>
          <cell r="O5525">
            <v>0</v>
          </cell>
        </row>
        <row r="5526">
          <cell r="A5526" t="str">
            <v>Switzerland783 Corp Level Recovery</v>
          </cell>
          <cell r="B5526">
            <v>0</v>
          </cell>
          <cell r="C5526">
            <v>0</v>
          </cell>
          <cell r="D5526">
            <v>0</v>
          </cell>
          <cell r="E5526">
            <v>0</v>
          </cell>
          <cell r="F5526">
            <v>0</v>
          </cell>
          <cell r="G5526">
            <v>0</v>
          </cell>
          <cell r="H5526">
            <v>0</v>
          </cell>
          <cell r="I5526">
            <v>0</v>
          </cell>
          <cell r="J5526">
            <v>0</v>
          </cell>
          <cell r="K5526">
            <v>0</v>
          </cell>
          <cell r="L5526">
            <v>0</v>
          </cell>
          <cell r="M5526">
            <v>0</v>
          </cell>
          <cell r="N5526">
            <v>0</v>
          </cell>
          <cell r="O5526">
            <v>0</v>
          </cell>
        </row>
        <row r="5527">
          <cell r="A5527" t="str">
            <v>Switzerland784 Business Share Provision</v>
          </cell>
          <cell r="B5527">
            <v>0</v>
          </cell>
          <cell r="C5527">
            <v>0</v>
          </cell>
          <cell r="D5527">
            <v>0</v>
          </cell>
          <cell r="E5527">
            <v>0</v>
          </cell>
          <cell r="F5527">
            <v>0</v>
          </cell>
          <cell r="G5527">
            <v>0</v>
          </cell>
          <cell r="H5527">
            <v>0</v>
          </cell>
          <cell r="I5527">
            <v>0</v>
          </cell>
          <cell r="J5527">
            <v>0</v>
          </cell>
          <cell r="K5527">
            <v>0</v>
          </cell>
          <cell r="L5527">
            <v>0</v>
          </cell>
          <cell r="M5527">
            <v>0</v>
          </cell>
          <cell r="N5527">
            <v>0</v>
          </cell>
          <cell r="O5527">
            <v>0</v>
          </cell>
        </row>
        <row r="5528">
          <cell r="A5528" t="str">
            <v>SwitzerlandReserves - Business Sharing</v>
          </cell>
          <cell r="B5528">
            <v>0</v>
          </cell>
          <cell r="C5528">
            <v>0</v>
          </cell>
          <cell r="D5528">
            <v>0</v>
          </cell>
          <cell r="E5528">
            <v>0</v>
          </cell>
          <cell r="F5528">
            <v>0</v>
          </cell>
          <cell r="G5528">
            <v>0</v>
          </cell>
          <cell r="H5528">
            <v>0</v>
          </cell>
          <cell r="I5528">
            <v>0</v>
          </cell>
          <cell r="J5528">
            <v>0</v>
          </cell>
          <cell r="K5528">
            <v>0</v>
          </cell>
          <cell r="L5528">
            <v>0</v>
          </cell>
          <cell r="M5528">
            <v>0</v>
          </cell>
          <cell r="N5528">
            <v>0</v>
          </cell>
          <cell r="O5528">
            <v>0</v>
          </cell>
        </row>
        <row r="5529">
          <cell r="A5529" t="str">
            <v>TaiwanNEA - Fixed Rate</v>
          </cell>
          <cell r="B5529">
            <v>0</v>
          </cell>
          <cell r="C5529">
            <v>0</v>
          </cell>
          <cell r="D5529">
            <v>0</v>
          </cell>
          <cell r="E5529">
            <v>0</v>
          </cell>
          <cell r="F5529">
            <v>0</v>
          </cell>
          <cell r="G5529">
            <v>0</v>
          </cell>
          <cell r="H5529">
            <v>0</v>
          </cell>
          <cell r="I5529">
            <v>0</v>
          </cell>
          <cell r="J5529">
            <v>0</v>
          </cell>
          <cell r="K5529">
            <v>0</v>
          </cell>
          <cell r="L5529">
            <v>0</v>
          </cell>
          <cell r="M5529">
            <v>0</v>
          </cell>
          <cell r="N5529">
            <v>0</v>
          </cell>
          <cell r="O5529">
            <v>0</v>
          </cell>
        </row>
        <row r="5530">
          <cell r="A5530" t="str">
            <v>TaiwanNEA - Floating Rate</v>
          </cell>
          <cell r="B5530">
            <v>0</v>
          </cell>
          <cell r="C5530">
            <v>0</v>
          </cell>
          <cell r="D5530">
            <v>0</v>
          </cell>
          <cell r="E5530">
            <v>0</v>
          </cell>
          <cell r="F5530">
            <v>0</v>
          </cell>
          <cell r="G5530">
            <v>0</v>
          </cell>
          <cell r="H5530">
            <v>0</v>
          </cell>
          <cell r="I5530">
            <v>0</v>
          </cell>
          <cell r="J5530">
            <v>0</v>
          </cell>
          <cell r="K5530">
            <v>0</v>
          </cell>
          <cell r="L5530">
            <v>0</v>
          </cell>
          <cell r="M5530">
            <v>0</v>
          </cell>
          <cell r="N5530">
            <v>0</v>
          </cell>
          <cell r="O5530">
            <v>0</v>
          </cell>
        </row>
        <row r="5531">
          <cell r="A5531" t="str">
            <v>TaiwanReserves - FX Gain / Loss</v>
          </cell>
          <cell r="B5531">
            <v>522679.43</v>
          </cell>
          <cell r="C5531">
            <v>673547.31</v>
          </cell>
          <cell r="D5531">
            <v>697926.19</v>
          </cell>
          <cell r="E5531">
            <v>690629.29</v>
          </cell>
          <cell r="F5531">
            <v>690629.29</v>
          </cell>
          <cell r="G5531">
            <v>0</v>
          </cell>
          <cell r="H5531">
            <v>0</v>
          </cell>
          <cell r="I5531">
            <v>0</v>
          </cell>
          <cell r="J5531">
            <v>0</v>
          </cell>
          <cell r="K5531">
            <v>0</v>
          </cell>
          <cell r="L5531">
            <v>730335.38</v>
          </cell>
          <cell r="M5531">
            <v>0</v>
          </cell>
          <cell r="N5531">
            <v>0</v>
          </cell>
          <cell r="O5531">
            <v>0</v>
          </cell>
        </row>
        <row r="5532">
          <cell r="A5532" t="str">
            <v>TaiwanReserves - Provisons</v>
          </cell>
          <cell r="B5532">
            <v>232367.37</v>
          </cell>
          <cell r="C5532">
            <v>36486.480000000003</v>
          </cell>
          <cell r="D5532">
            <v>-943178.86</v>
          </cell>
          <cell r="E5532">
            <v>-474099.43</v>
          </cell>
          <cell r="F5532">
            <v>-474099.43</v>
          </cell>
          <cell r="G5532">
            <v>0</v>
          </cell>
          <cell r="H5532">
            <v>0</v>
          </cell>
          <cell r="I5532">
            <v>0</v>
          </cell>
          <cell r="J5532">
            <v>0</v>
          </cell>
          <cell r="K5532">
            <v>0</v>
          </cell>
          <cell r="L5532">
            <v>-520166.13</v>
          </cell>
          <cell r="M5532">
            <v>0</v>
          </cell>
          <cell r="N5532">
            <v>0</v>
          </cell>
          <cell r="O5532">
            <v>0</v>
          </cell>
        </row>
        <row r="5533">
          <cell r="A5533" t="str">
            <v>TaiwanReserves - Recoveries</v>
          </cell>
          <cell r="B5533">
            <v>-526228.77</v>
          </cell>
          <cell r="C5533">
            <v>-1140968.6599999999</v>
          </cell>
          <cell r="D5533">
            <v>-1707190.22</v>
          </cell>
          <cell r="E5533">
            <v>-2309389.08</v>
          </cell>
          <cell r="F5533">
            <v>-2309389.08</v>
          </cell>
          <cell r="G5533">
            <v>0</v>
          </cell>
          <cell r="H5533">
            <v>0</v>
          </cell>
          <cell r="I5533">
            <v>0</v>
          </cell>
          <cell r="J5533">
            <v>0</v>
          </cell>
          <cell r="K5533">
            <v>0</v>
          </cell>
          <cell r="L5533">
            <v>-606203.48</v>
          </cell>
          <cell r="M5533">
            <v>0</v>
          </cell>
          <cell r="N5533">
            <v>0</v>
          </cell>
          <cell r="O5533">
            <v>0</v>
          </cell>
        </row>
        <row r="5534">
          <cell r="A5534" t="str">
            <v>TaiwanReserves - BOP</v>
          </cell>
          <cell r="B5534">
            <v>-3883188.62</v>
          </cell>
          <cell r="C5534">
            <v>-3883188.62</v>
          </cell>
          <cell r="D5534">
            <v>-3883188.62</v>
          </cell>
          <cell r="E5534">
            <v>-3883188.62</v>
          </cell>
          <cell r="F5534">
            <v>-3883188.62</v>
          </cell>
          <cell r="G5534">
            <v>-3226202.428572</v>
          </cell>
          <cell r="H5534">
            <v>-3778386.7142850002</v>
          </cell>
          <cell r="I5534">
            <v>-4224241.3142860001</v>
          </cell>
          <cell r="J5534">
            <v>-4276813.3428570004</v>
          </cell>
          <cell r="K5534">
            <v>-4276813.3428570004</v>
          </cell>
          <cell r="L5534">
            <v>-3419655.05</v>
          </cell>
          <cell r="M5534">
            <v>-6042311.3030300001</v>
          </cell>
          <cell r="N5534">
            <v>-6607377.3030300001</v>
          </cell>
          <cell r="O5534">
            <v>-8131198.6666670004</v>
          </cell>
        </row>
        <row r="5535">
          <cell r="A5535" t="str">
            <v>TaiwanReserves - Transfers &amp; Others</v>
          </cell>
          <cell r="B5535">
            <v>0</v>
          </cell>
          <cell r="C5535">
            <v>25845.08</v>
          </cell>
          <cell r="D5535">
            <v>8676.08</v>
          </cell>
          <cell r="E5535">
            <v>-16851.41</v>
          </cell>
          <cell r="F5535">
            <v>-16851.41</v>
          </cell>
          <cell r="G5535">
            <v>0</v>
          </cell>
          <cell r="H5535">
            <v>0</v>
          </cell>
          <cell r="I5535">
            <v>0</v>
          </cell>
          <cell r="J5535">
            <v>0</v>
          </cell>
          <cell r="K5535">
            <v>0</v>
          </cell>
          <cell r="L5535">
            <v>0</v>
          </cell>
          <cell r="M5535">
            <v>0</v>
          </cell>
          <cell r="N5535">
            <v>0</v>
          </cell>
          <cell r="O5535">
            <v>0</v>
          </cell>
        </row>
        <row r="5536">
          <cell r="A5536" t="str">
            <v>TaiwanReserves - Write-Offs</v>
          </cell>
          <cell r="B5536">
            <v>757118.43</v>
          </cell>
          <cell r="C5536">
            <v>1652255.44</v>
          </cell>
          <cell r="D5536">
            <v>2148286.7400000002</v>
          </cell>
          <cell r="E5536">
            <v>3263873.49</v>
          </cell>
          <cell r="F5536">
            <v>3263873.49</v>
          </cell>
          <cell r="G5536">
            <v>614709.17142899998</v>
          </cell>
          <cell r="H5536">
            <v>862993.88571399997</v>
          </cell>
          <cell r="I5536">
            <v>1159583.5428569999</v>
          </cell>
          <cell r="J5536">
            <v>1371375.8857140001</v>
          </cell>
          <cell r="K5536">
            <v>1371375.8857140001</v>
          </cell>
          <cell r="L5536">
            <v>935209.54</v>
          </cell>
          <cell r="M5536">
            <v>1417239</v>
          </cell>
          <cell r="N5536">
            <v>1632776</v>
          </cell>
          <cell r="O5536">
            <v>1699364</v>
          </cell>
        </row>
        <row r="5537">
          <cell r="A5537" t="str">
            <v>Taiwan780 FR Provision</v>
          </cell>
          <cell r="B5537">
            <v>-505182.48</v>
          </cell>
          <cell r="C5537">
            <v>170035.81</v>
          </cell>
          <cell r="D5537">
            <v>966439.44</v>
          </cell>
          <cell r="E5537">
            <v>-477329.72</v>
          </cell>
          <cell r="F5537">
            <v>153963.04999999999</v>
          </cell>
          <cell r="G5537">
            <v>0</v>
          </cell>
          <cell r="H5537">
            <v>0</v>
          </cell>
          <cell r="I5537">
            <v>0</v>
          </cell>
          <cell r="J5537">
            <v>0</v>
          </cell>
          <cell r="K5537">
            <v>0</v>
          </cell>
          <cell r="L5537">
            <v>520166.13</v>
          </cell>
          <cell r="M5537">
            <v>0</v>
          </cell>
          <cell r="N5537">
            <v>0</v>
          </cell>
          <cell r="O5537">
            <v>0</v>
          </cell>
        </row>
        <row r="5538">
          <cell r="A5538" t="str">
            <v>Taiwan780 FR Recovery</v>
          </cell>
          <cell r="B5538">
            <v>267549.40999999997</v>
          </cell>
          <cell r="C5538">
            <v>25845.08</v>
          </cell>
          <cell r="D5538">
            <v>13225.9</v>
          </cell>
          <cell r="E5538">
            <v>8250.2900000000009</v>
          </cell>
          <cell r="F5538">
            <v>314870.68</v>
          </cell>
          <cell r="G5538">
            <v>532337.48571399995</v>
          </cell>
          <cell r="H5538">
            <v>552184.25714300002</v>
          </cell>
          <cell r="I5538">
            <v>445854.62857100001</v>
          </cell>
          <cell r="J5538">
            <v>52572.085714000001</v>
          </cell>
          <cell r="K5538">
            <v>1582948.4571420001</v>
          </cell>
          <cell r="L5538">
            <v>0</v>
          </cell>
          <cell r="M5538">
            <v>2912813.2727270001</v>
          </cell>
          <cell r="N5538">
            <v>3812166.5151519999</v>
          </cell>
          <cell r="O5538">
            <v>4672237.9696970005</v>
          </cell>
        </row>
        <row r="5539">
          <cell r="A5539" t="str">
            <v>Taiwan781 LL Provision</v>
          </cell>
          <cell r="B5539">
            <v>0</v>
          </cell>
          <cell r="C5539">
            <v>0</v>
          </cell>
          <cell r="D5539">
            <v>0</v>
          </cell>
          <cell r="E5539">
            <v>0</v>
          </cell>
          <cell r="F5539">
            <v>0</v>
          </cell>
          <cell r="G5539">
            <v>0</v>
          </cell>
          <cell r="H5539">
            <v>0</v>
          </cell>
          <cell r="I5539">
            <v>0</v>
          </cell>
          <cell r="J5539">
            <v>0</v>
          </cell>
          <cell r="K5539">
            <v>0</v>
          </cell>
          <cell r="L5539">
            <v>0</v>
          </cell>
          <cell r="M5539">
            <v>0</v>
          </cell>
          <cell r="N5539">
            <v>0</v>
          </cell>
          <cell r="O5539">
            <v>0</v>
          </cell>
        </row>
        <row r="5540">
          <cell r="A5540" t="str">
            <v>Taiwan781 LL Recovery</v>
          </cell>
          <cell r="B5540">
            <v>0</v>
          </cell>
          <cell r="C5540">
            <v>0</v>
          </cell>
          <cell r="D5540">
            <v>0</v>
          </cell>
          <cell r="E5540">
            <v>0</v>
          </cell>
          <cell r="F5540">
            <v>0</v>
          </cell>
          <cell r="G5540">
            <v>0</v>
          </cell>
          <cell r="H5540">
            <v>0</v>
          </cell>
          <cell r="I5540">
            <v>0</v>
          </cell>
          <cell r="J5540">
            <v>0</v>
          </cell>
          <cell r="K5540">
            <v>0</v>
          </cell>
          <cell r="L5540">
            <v>0</v>
          </cell>
          <cell r="M5540">
            <v>0</v>
          </cell>
          <cell r="N5540">
            <v>0</v>
          </cell>
          <cell r="O5540">
            <v>0</v>
          </cell>
        </row>
        <row r="5541">
          <cell r="A5541" t="str">
            <v>Taiwan782 DF Provision</v>
          </cell>
          <cell r="B5541">
            <v>0</v>
          </cell>
          <cell r="C5541">
            <v>0</v>
          </cell>
          <cell r="D5541">
            <v>0</v>
          </cell>
          <cell r="E5541">
            <v>0</v>
          </cell>
          <cell r="F5541">
            <v>0</v>
          </cell>
          <cell r="G5541">
            <v>0</v>
          </cell>
          <cell r="H5541">
            <v>0</v>
          </cell>
          <cell r="I5541">
            <v>0</v>
          </cell>
          <cell r="J5541">
            <v>0</v>
          </cell>
          <cell r="K5541">
            <v>0</v>
          </cell>
          <cell r="L5541">
            <v>0</v>
          </cell>
          <cell r="M5541">
            <v>0</v>
          </cell>
          <cell r="N5541">
            <v>0</v>
          </cell>
          <cell r="O5541">
            <v>0</v>
          </cell>
        </row>
        <row r="5542">
          <cell r="A5542" t="str">
            <v>Taiwan782 DF Recovery</v>
          </cell>
          <cell r="B5542">
            <v>0</v>
          </cell>
          <cell r="C5542">
            <v>0</v>
          </cell>
          <cell r="D5542">
            <v>0</v>
          </cell>
          <cell r="E5542">
            <v>0</v>
          </cell>
          <cell r="F5542">
            <v>0</v>
          </cell>
          <cell r="G5542">
            <v>0</v>
          </cell>
          <cell r="H5542">
            <v>0</v>
          </cell>
          <cell r="I5542">
            <v>0</v>
          </cell>
          <cell r="J5542">
            <v>0</v>
          </cell>
          <cell r="K5542">
            <v>0</v>
          </cell>
          <cell r="L5542">
            <v>0</v>
          </cell>
          <cell r="M5542">
            <v>0</v>
          </cell>
          <cell r="N5542">
            <v>0</v>
          </cell>
          <cell r="O5542">
            <v>0</v>
          </cell>
        </row>
        <row r="5543">
          <cell r="A5543" t="str">
            <v>Taiwan783 Corp Level Provision</v>
          </cell>
          <cell r="B5543">
            <v>0</v>
          </cell>
          <cell r="C5543">
            <v>0</v>
          </cell>
          <cell r="D5543">
            <v>0</v>
          </cell>
          <cell r="E5543">
            <v>0</v>
          </cell>
          <cell r="F5543">
            <v>0</v>
          </cell>
          <cell r="G5543">
            <v>0</v>
          </cell>
          <cell r="H5543">
            <v>0</v>
          </cell>
          <cell r="I5543">
            <v>0</v>
          </cell>
          <cell r="J5543">
            <v>0</v>
          </cell>
          <cell r="K5543">
            <v>0</v>
          </cell>
          <cell r="L5543">
            <v>0</v>
          </cell>
          <cell r="M5543">
            <v>0</v>
          </cell>
          <cell r="N5543">
            <v>0</v>
          </cell>
          <cell r="O5543">
            <v>0</v>
          </cell>
        </row>
        <row r="5544">
          <cell r="A5544" t="str">
            <v>Taiwan783 Corp Level Recovery</v>
          </cell>
          <cell r="B5544">
            <v>0</v>
          </cell>
          <cell r="C5544">
            <v>0</v>
          </cell>
          <cell r="D5544">
            <v>0</v>
          </cell>
          <cell r="E5544">
            <v>0</v>
          </cell>
          <cell r="F5544">
            <v>0</v>
          </cell>
          <cell r="G5544">
            <v>0</v>
          </cell>
          <cell r="H5544">
            <v>0</v>
          </cell>
          <cell r="I5544">
            <v>0</v>
          </cell>
          <cell r="J5544">
            <v>0</v>
          </cell>
          <cell r="K5544">
            <v>0</v>
          </cell>
          <cell r="L5544">
            <v>0</v>
          </cell>
          <cell r="M5544">
            <v>0</v>
          </cell>
          <cell r="N5544">
            <v>0</v>
          </cell>
          <cell r="O5544">
            <v>0</v>
          </cell>
        </row>
        <row r="5545">
          <cell r="A5545" t="str">
            <v>Taiwan784 Business Share Provision</v>
          </cell>
          <cell r="B5545">
            <v>0</v>
          </cell>
          <cell r="C5545">
            <v>0</v>
          </cell>
          <cell r="D5545">
            <v>0</v>
          </cell>
          <cell r="E5545">
            <v>0</v>
          </cell>
          <cell r="F5545">
            <v>0</v>
          </cell>
          <cell r="G5545">
            <v>0</v>
          </cell>
          <cell r="H5545">
            <v>0</v>
          </cell>
          <cell r="I5545">
            <v>0</v>
          </cell>
          <cell r="J5545">
            <v>0</v>
          </cell>
          <cell r="K5545">
            <v>0</v>
          </cell>
          <cell r="L5545">
            <v>0</v>
          </cell>
          <cell r="M5545">
            <v>0</v>
          </cell>
          <cell r="N5545">
            <v>0</v>
          </cell>
          <cell r="O5545">
            <v>0</v>
          </cell>
        </row>
        <row r="5546">
          <cell r="A5546" t="str">
            <v>TaiwanReserves - Business Sharing</v>
          </cell>
          <cell r="B5546">
            <v>0</v>
          </cell>
          <cell r="C5546">
            <v>0</v>
          </cell>
          <cell r="D5546">
            <v>0</v>
          </cell>
          <cell r="E5546">
            <v>0</v>
          </cell>
          <cell r="F5546">
            <v>0</v>
          </cell>
          <cell r="G5546">
            <v>0</v>
          </cell>
          <cell r="H5546">
            <v>0</v>
          </cell>
          <cell r="I5546">
            <v>0</v>
          </cell>
          <cell r="J5546">
            <v>0</v>
          </cell>
          <cell r="K5546">
            <v>0</v>
          </cell>
          <cell r="L5546">
            <v>0</v>
          </cell>
          <cell r="M5546">
            <v>0</v>
          </cell>
          <cell r="N5546">
            <v>0</v>
          </cell>
          <cell r="O5546">
            <v>0</v>
          </cell>
        </row>
        <row r="5547">
          <cell r="A5547" t="str">
            <v>ThailandNEA - Fixed Rate</v>
          </cell>
          <cell r="B5547">
            <v>0</v>
          </cell>
          <cell r="C5547">
            <v>0</v>
          </cell>
          <cell r="D5547">
            <v>0</v>
          </cell>
          <cell r="E5547">
            <v>0</v>
          </cell>
          <cell r="F5547">
            <v>0</v>
          </cell>
          <cell r="G5547">
            <v>0</v>
          </cell>
          <cell r="H5547">
            <v>0</v>
          </cell>
          <cell r="I5547">
            <v>0</v>
          </cell>
          <cell r="J5547">
            <v>0</v>
          </cell>
          <cell r="K5547">
            <v>0</v>
          </cell>
          <cell r="L5547">
            <v>0</v>
          </cell>
          <cell r="M5547">
            <v>0</v>
          </cell>
          <cell r="N5547">
            <v>0</v>
          </cell>
          <cell r="O5547">
            <v>0</v>
          </cell>
        </row>
        <row r="5548">
          <cell r="A5548" t="str">
            <v>ThailandNEA - Floating Rate</v>
          </cell>
          <cell r="B5548">
            <v>0</v>
          </cell>
          <cell r="C5548">
            <v>0</v>
          </cell>
          <cell r="D5548">
            <v>0</v>
          </cell>
          <cell r="E5548">
            <v>0</v>
          </cell>
          <cell r="F5548">
            <v>0</v>
          </cell>
          <cell r="G5548">
            <v>0</v>
          </cell>
          <cell r="H5548">
            <v>0</v>
          </cell>
          <cell r="I5548">
            <v>0</v>
          </cell>
          <cell r="J5548">
            <v>0</v>
          </cell>
          <cell r="K5548">
            <v>0</v>
          </cell>
          <cell r="L5548">
            <v>0</v>
          </cell>
          <cell r="M5548">
            <v>0</v>
          </cell>
          <cell r="N5548">
            <v>0</v>
          </cell>
          <cell r="O5548">
            <v>0</v>
          </cell>
        </row>
        <row r="5549">
          <cell r="A5549" t="str">
            <v>ThailandReserves - FX Gain / Loss</v>
          </cell>
          <cell r="B5549">
            <v>7676921.6299999999</v>
          </cell>
          <cell r="C5549">
            <v>8637199.8900000006</v>
          </cell>
          <cell r="D5549">
            <v>7534461.6500000004</v>
          </cell>
          <cell r="E5549">
            <v>7045232.9199999999</v>
          </cell>
          <cell r="F5549">
            <v>7045232.9199999999</v>
          </cell>
          <cell r="G5549">
            <v>0</v>
          </cell>
          <cell r="H5549">
            <v>0</v>
          </cell>
          <cell r="I5549">
            <v>0</v>
          </cell>
          <cell r="J5549">
            <v>0</v>
          </cell>
          <cell r="K5549">
            <v>0</v>
          </cell>
          <cell r="L5549">
            <v>6276475.0700000003</v>
          </cell>
          <cell r="M5549">
            <v>0</v>
          </cell>
          <cell r="N5549">
            <v>0</v>
          </cell>
          <cell r="O5549">
            <v>0</v>
          </cell>
        </row>
        <row r="5550">
          <cell r="A5550" t="str">
            <v>ThailandReserves - Provisons</v>
          </cell>
          <cell r="B5550">
            <v>-3939364.66</v>
          </cell>
          <cell r="C5550">
            <v>-11020729.02</v>
          </cell>
          <cell r="D5550">
            <v>-16544356.380000001</v>
          </cell>
          <cell r="E5550">
            <v>-26326370.09</v>
          </cell>
          <cell r="F5550">
            <v>-26326370.09</v>
          </cell>
          <cell r="G5550">
            <v>0</v>
          </cell>
          <cell r="H5550">
            <v>0</v>
          </cell>
          <cell r="I5550">
            <v>0</v>
          </cell>
          <cell r="J5550">
            <v>0</v>
          </cell>
          <cell r="K5550">
            <v>0</v>
          </cell>
          <cell r="L5550">
            <v>-10308962.390000001</v>
          </cell>
          <cell r="M5550">
            <v>0</v>
          </cell>
          <cell r="N5550">
            <v>0</v>
          </cell>
          <cell r="O5550">
            <v>0</v>
          </cell>
        </row>
        <row r="5551">
          <cell r="A5551" t="str">
            <v>ThailandReserves - Recoveries</v>
          </cell>
          <cell r="B5551">
            <v>-207568.03</v>
          </cell>
          <cell r="C5551">
            <v>-639582.62</v>
          </cell>
          <cell r="D5551">
            <v>-527676.25</v>
          </cell>
          <cell r="E5551">
            <v>-1572919.85</v>
          </cell>
          <cell r="F5551">
            <v>-1572919.85</v>
          </cell>
          <cell r="G5551">
            <v>0</v>
          </cell>
          <cell r="H5551">
            <v>0</v>
          </cell>
          <cell r="I5551">
            <v>0</v>
          </cell>
          <cell r="J5551">
            <v>0</v>
          </cell>
          <cell r="K5551">
            <v>0</v>
          </cell>
          <cell r="L5551">
            <v>-384140.06</v>
          </cell>
          <cell r="M5551">
            <v>0</v>
          </cell>
          <cell r="N5551">
            <v>0</v>
          </cell>
          <cell r="O5551">
            <v>0</v>
          </cell>
        </row>
        <row r="5552">
          <cell r="A5552" t="str">
            <v>ThailandReserves - BOP</v>
          </cell>
          <cell r="B5552">
            <v>-39307334.280000001</v>
          </cell>
          <cell r="C5552">
            <v>-39307334.280000001</v>
          </cell>
          <cell r="D5552">
            <v>-39307334.280000001</v>
          </cell>
          <cell r="E5552">
            <v>-39307334.280000001</v>
          </cell>
          <cell r="F5552">
            <v>-39307334.280000001</v>
          </cell>
          <cell r="G5552">
            <v>-54602225.417410001</v>
          </cell>
          <cell r="H5552">
            <v>-62881835.503609002</v>
          </cell>
          <cell r="I5552">
            <v>-71357435.939343005</v>
          </cell>
          <cell r="J5552">
            <v>-80853455.938264996</v>
          </cell>
          <cell r="K5552">
            <v>-80853455.938264996</v>
          </cell>
          <cell r="L5552">
            <v>-57390612.579999998</v>
          </cell>
          <cell r="M5552">
            <v>-69336685.933772996</v>
          </cell>
          <cell r="N5552">
            <v>-94417635.952474996</v>
          </cell>
          <cell r="O5552">
            <v>-128304525.634323</v>
          </cell>
        </row>
        <row r="5553">
          <cell r="A5553" t="str">
            <v>ThailandReserves - Transfers &amp; Others</v>
          </cell>
          <cell r="B5553">
            <v>-284500.62</v>
          </cell>
          <cell r="C5553">
            <v>92111.4</v>
          </cell>
          <cell r="D5553">
            <v>118098.7</v>
          </cell>
          <cell r="E5553">
            <v>564998.12</v>
          </cell>
          <cell r="F5553">
            <v>564998.12</v>
          </cell>
          <cell r="G5553">
            <v>0</v>
          </cell>
          <cell r="H5553">
            <v>0</v>
          </cell>
          <cell r="I5553">
            <v>0</v>
          </cell>
          <cell r="J5553">
            <v>0</v>
          </cell>
          <cell r="K5553">
            <v>0</v>
          </cell>
          <cell r="L5553">
            <v>0</v>
          </cell>
          <cell r="M5553">
            <v>0</v>
          </cell>
          <cell r="N5553">
            <v>0</v>
          </cell>
          <cell r="O5553">
            <v>0</v>
          </cell>
        </row>
        <row r="5554">
          <cell r="A5554" t="str">
            <v>ThailandReserves - Write-Offs</v>
          </cell>
          <cell r="B5554">
            <v>2322878.46</v>
          </cell>
          <cell r="C5554">
            <v>4610898.45</v>
          </cell>
          <cell r="D5554">
            <v>7452642.5700000003</v>
          </cell>
          <cell r="E5554">
            <v>9251013.5199999996</v>
          </cell>
          <cell r="F5554">
            <v>9251013.5199999996</v>
          </cell>
          <cell r="G5554">
            <v>3413953.3753789999</v>
          </cell>
          <cell r="H5554">
            <v>7729486.6716019996</v>
          </cell>
          <cell r="I5554">
            <v>13717534.462882999</v>
          </cell>
          <cell r="J5554">
            <v>19742607.517763</v>
          </cell>
          <cell r="K5554">
            <v>19742607.517763</v>
          </cell>
          <cell r="L5554">
            <v>2682495.44</v>
          </cell>
          <cell r="M5554">
            <v>12473419</v>
          </cell>
          <cell r="N5554">
            <v>15969704</v>
          </cell>
          <cell r="O5554">
            <v>21241327</v>
          </cell>
        </row>
        <row r="5555">
          <cell r="A5555" t="str">
            <v>Thailand780 FR Provision</v>
          </cell>
          <cell r="B5555">
            <v>5154516.26</v>
          </cell>
          <cell r="C5555">
            <v>7081381.5499999998</v>
          </cell>
          <cell r="D5555">
            <v>5523626.9699999997</v>
          </cell>
          <cell r="E5555">
            <v>9781996.9100000001</v>
          </cell>
          <cell r="F5555">
            <v>27541521.690000001</v>
          </cell>
          <cell r="G5555">
            <v>0</v>
          </cell>
          <cell r="H5555">
            <v>0</v>
          </cell>
          <cell r="I5555">
            <v>0</v>
          </cell>
          <cell r="J5555">
            <v>0</v>
          </cell>
          <cell r="K5555">
            <v>0</v>
          </cell>
          <cell r="L5555">
            <v>10308961.76</v>
          </cell>
          <cell r="M5555">
            <v>0</v>
          </cell>
          <cell r="N5555">
            <v>0</v>
          </cell>
          <cell r="O5555">
            <v>0</v>
          </cell>
        </row>
        <row r="5556">
          <cell r="A5556" t="str">
            <v>Thailand780 FR Recovery</v>
          </cell>
          <cell r="B5556">
            <v>-1215151.6000000001</v>
          </cell>
          <cell r="C5556">
            <v>0</v>
          </cell>
          <cell r="D5556">
            <v>0</v>
          </cell>
          <cell r="E5556">
            <v>0</v>
          </cell>
          <cell r="F5556">
            <v>-1215151.6000000001</v>
          </cell>
          <cell r="G5556">
            <v>6853807.8178040003</v>
          </cell>
          <cell r="H5556">
            <v>7806804.7574370001</v>
          </cell>
          <cell r="I5556">
            <v>8004746.3865</v>
          </cell>
          <cell r="J5556">
            <v>9024350.4529570006</v>
          </cell>
          <cell r="K5556">
            <v>31689709.414698001</v>
          </cell>
          <cell r="L5556">
            <v>0</v>
          </cell>
          <cell r="M5556">
            <v>29180861.056325998</v>
          </cell>
          <cell r="N5556">
            <v>39929431.262266003</v>
          </cell>
          <cell r="O5556">
            <v>53095513.154014997</v>
          </cell>
        </row>
        <row r="5557">
          <cell r="A5557" t="str">
            <v>Thailand781 LL Provision</v>
          </cell>
          <cell r="B5557">
            <v>0</v>
          </cell>
          <cell r="C5557">
            <v>0</v>
          </cell>
          <cell r="D5557">
            <v>0</v>
          </cell>
          <cell r="E5557">
            <v>0</v>
          </cell>
          <cell r="F5557">
            <v>0</v>
          </cell>
          <cell r="G5557">
            <v>0</v>
          </cell>
          <cell r="H5557">
            <v>0</v>
          </cell>
          <cell r="I5557">
            <v>0</v>
          </cell>
          <cell r="J5557">
            <v>0</v>
          </cell>
          <cell r="K5557">
            <v>0</v>
          </cell>
          <cell r="L5557">
            <v>0</v>
          </cell>
          <cell r="M5557">
            <v>0</v>
          </cell>
          <cell r="N5557">
            <v>0</v>
          </cell>
          <cell r="O5557">
            <v>0</v>
          </cell>
        </row>
        <row r="5558">
          <cell r="A5558" t="str">
            <v>Thailand781 LL Recovery</v>
          </cell>
          <cell r="B5558">
            <v>0</v>
          </cell>
          <cell r="C5558">
            <v>0</v>
          </cell>
          <cell r="D5558">
            <v>0</v>
          </cell>
          <cell r="E5558">
            <v>0</v>
          </cell>
          <cell r="F5558">
            <v>0</v>
          </cell>
          <cell r="G5558">
            <v>0</v>
          </cell>
          <cell r="H5558">
            <v>0</v>
          </cell>
          <cell r="I5558">
            <v>0</v>
          </cell>
          <cell r="J5558">
            <v>0</v>
          </cell>
          <cell r="K5558">
            <v>0</v>
          </cell>
          <cell r="L5558">
            <v>0</v>
          </cell>
          <cell r="M5558">
            <v>0</v>
          </cell>
          <cell r="N5558">
            <v>0</v>
          </cell>
          <cell r="O5558">
            <v>0</v>
          </cell>
        </row>
        <row r="5559">
          <cell r="A5559" t="str">
            <v>Thailand782 DF Provision</v>
          </cell>
          <cell r="B5559">
            <v>0</v>
          </cell>
          <cell r="C5559">
            <v>0</v>
          </cell>
          <cell r="D5559">
            <v>0</v>
          </cell>
          <cell r="E5559">
            <v>0</v>
          </cell>
          <cell r="F5559">
            <v>0</v>
          </cell>
          <cell r="G5559">
            <v>0</v>
          </cell>
          <cell r="H5559">
            <v>0</v>
          </cell>
          <cell r="I5559">
            <v>0</v>
          </cell>
          <cell r="J5559">
            <v>0</v>
          </cell>
          <cell r="K5559">
            <v>0</v>
          </cell>
          <cell r="L5559">
            <v>0</v>
          </cell>
          <cell r="M5559">
            <v>0</v>
          </cell>
          <cell r="N5559">
            <v>0</v>
          </cell>
          <cell r="O5559">
            <v>0</v>
          </cell>
        </row>
        <row r="5560">
          <cell r="A5560" t="str">
            <v>Thailand782 DF Recovery</v>
          </cell>
          <cell r="B5560">
            <v>0</v>
          </cell>
          <cell r="C5560">
            <v>0</v>
          </cell>
          <cell r="D5560">
            <v>0</v>
          </cell>
          <cell r="E5560">
            <v>0</v>
          </cell>
          <cell r="F5560">
            <v>0</v>
          </cell>
          <cell r="G5560">
            <v>0</v>
          </cell>
          <cell r="H5560">
            <v>0</v>
          </cell>
          <cell r="I5560">
            <v>0</v>
          </cell>
          <cell r="J5560">
            <v>0</v>
          </cell>
          <cell r="K5560">
            <v>0</v>
          </cell>
          <cell r="L5560">
            <v>0</v>
          </cell>
          <cell r="M5560">
            <v>0</v>
          </cell>
          <cell r="N5560">
            <v>0</v>
          </cell>
          <cell r="O5560">
            <v>0</v>
          </cell>
        </row>
        <row r="5561">
          <cell r="A5561" t="str">
            <v>Thailand783 Corp Level Provision</v>
          </cell>
          <cell r="B5561">
            <v>0</v>
          </cell>
          <cell r="C5561">
            <v>0</v>
          </cell>
          <cell r="D5561">
            <v>0</v>
          </cell>
          <cell r="E5561">
            <v>0</v>
          </cell>
          <cell r="F5561">
            <v>0</v>
          </cell>
          <cell r="G5561">
            <v>0</v>
          </cell>
          <cell r="H5561">
            <v>0</v>
          </cell>
          <cell r="I5561">
            <v>0</v>
          </cell>
          <cell r="J5561">
            <v>0</v>
          </cell>
          <cell r="K5561">
            <v>0</v>
          </cell>
          <cell r="L5561">
            <v>0</v>
          </cell>
          <cell r="M5561">
            <v>0</v>
          </cell>
          <cell r="N5561">
            <v>0</v>
          </cell>
          <cell r="O5561">
            <v>0</v>
          </cell>
        </row>
        <row r="5562">
          <cell r="A5562" t="str">
            <v>Thailand783 Corp Level Recovery</v>
          </cell>
          <cell r="B5562">
            <v>0</v>
          </cell>
          <cell r="C5562">
            <v>0</v>
          </cell>
          <cell r="D5562">
            <v>0</v>
          </cell>
          <cell r="E5562">
            <v>0</v>
          </cell>
          <cell r="F5562">
            <v>0</v>
          </cell>
          <cell r="G5562">
            <v>0</v>
          </cell>
          <cell r="H5562">
            <v>0</v>
          </cell>
          <cell r="I5562">
            <v>0</v>
          </cell>
          <cell r="J5562">
            <v>0</v>
          </cell>
          <cell r="K5562">
            <v>0</v>
          </cell>
          <cell r="L5562">
            <v>0</v>
          </cell>
          <cell r="M5562">
            <v>0</v>
          </cell>
          <cell r="N5562">
            <v>0</v>
          </cell>
          <cell r="O5562">
            <v>0</v>
          </cell>
        </row>
        <row r="5563">
          <cell r="A5563" t="str">
            <v>Thailand784 Business Share Provision</v>
          </cell>
          <cell r="B5563">
            <v>0</v>
          </cell>
          <cell r="C5563">
            <v>0</v>
          </cell>
          <cell r="D5563">
            <v>0</v>
          </cell>
          <cell r="E5563">
            <v>0</v>
          </cell>
          <cell r="F5563">
            <v>0</v>
          </cell>
          <cell r="G5563">
            <v>0</v>
          </cell>
          <cell r="H5563">
            <v>0</v>
          </cell>
          <cell r="I5563">
            <v>0</v>
          </cell>
          <cell r="J5563">
            <v>0</v>
          </cell>
          <cell r="K5563">
            <v>0</v>
          </cell>
          <cell r="L5563">
            <v>0</v>
          </cell>
          <cell r="M5563">
            <v>0</v>
          </cell>
          <cell r="N5563">
            <v>0</v>
          </cell>
          <cell r="O5563">
            <v>0</v>
          </cell>
        </row>
        <row r="5564">
          <cell r="A5564" t="str">
            <v>ThailandReserves - Business Sharing</v>
          </cell>
          <cell r="B5564">
            <v>0</v>
          </cell>
          <cell r="C5564">
            <v>0</v>
          </cell>
          <cell r="D5564">
            <v>0</v>
          </cell>
          <cell r="E5564">
            <v>0</v>
          </cell>
          <cell r="F5564">
            <v>0</v>
          </cell>
          <cell r="G5564">
            <v>0</v>
          </cell>
          <cell r="H5564">
            <v>0</v>
          </cell>
          <cell r="I5564">
            <v>0</v>
          </cell>
          <cell r="J5564">
            <v>0</v>
          </cell>
          <cell r="K5564">
            <v>0</v>
          </cell>
          <cell r="L5564">
            <v>0</v>
          </cell>
          <cell r="M5564">
            <v>0</v>
          </cell>
          <cell r="N5564">
            <v>0</v>
          </cell>
          <cell r="O5564">
            <v>0</v>
          </cell>
        </row>
        <row r="5565">
          <cell r="A5565" t="str">
            <v>HQNEA - Fixed Rate</v>
          </cell>
          <cell r="B5565">
            <v>0</v>
          </cell>
          <cell r="C5565">
            <v>0</v>
          </cell>
          <cell r="D5565">
            <v>0</v>
          </cell>
          <cell r="E5565">
            <v>0</v>
          </cell>
          <cell r="F5565">
            <v>0</v>
          </cell>
          <cell r="G5565">
            <v>0</v>
          </cell>
          <cell r="H5565">
            <v>0</v>
          </cell>
          <cell r="I5565">
            <v>0</v>
          </cell>
          <cell r="J5565">
            <v>0</v>
          </cell>
          <cell r="K5565">
            <v>0</v>
          </cell>
          <cell r="L5565">
            <v>0</v>
          </cell>
          <cell r="M5565">
            <v>0</v>
          </cell>
          <cell r="N5565">
            <v>0</v>
          </cell>
          <cell r="O5565">
            <v>0</v>
          </cell>
        </row>
        <row r="5566">
          <cell r="A5566" t="str">
            <v>HQNEA - Floating Rate</v>
          </cell>
          <cell r="B5566">
            <v>0</v>
          </cell>
          <cell r="C5566">
            <v>0</v>
          </cell>
          <cell r="D5566">
            <v>0</v>
          </cell>
          <cell r="E5566">
            <v>0</v>
          </cell>
          <cell r="F5566">
            <v>0</v>
          </cell>
          <cell r="G5566">
            <v>0</v>
          </cell>
          <cell r="H5566">
            <v>0</v>
          </cell>
          <cell r="I5566">
            <v>0</v>
          </cell>
          <cell r="J5566">
            <v>0</v>
          </cell>
          <cell r="K5566">
            <v>0</v>
          </cell>
          <cell r="L5566">
            <v>0</v>
          </cell>
          <cell r="M5566">
            <v>0</v>
          </cell>
          <cell r="N5566">
            <v>0</v>
          </cell>
          <cell r="O5566">
            <v>0</v>
          </cell>
        </row>
        <row r="5567">
          <cell r="A5567" t="str">
            <v>HQReserves - FX Gain / Loss</v>
          </cell>
          <cell r="B5567">
            <v>0</v>
          </cell>
          <cell r="C5567">
            <v>0</v>
          </cell>
          <cell r="D5567">
            <v>0</v>
          </cell>
          <cell r="E5567">
            <v>0</v>
          </cell>
          <cell r="F5567">
            <v>0</v>
          </cell>
          <cell r="G5567">
            <v>0</v>
          </cell>
          <cell r="H5567">
            <v>0</v>
          </cell>
          <cell r="I5567">
            <v>0</v>
          </cell>
          <cell r="J5567">
            <v>0</v>
          </cell>
          <cell r="K5567">
            <v>0</v>
          </cell>
          <cell r="L5567">
            <v>0</v>
          </cell>
          <cell r="M5567">
            <v>0</v>
          </cell>
          <cell r="N5567">
            <v>0</v>
          </cell>
          <cell r="O5567">
            <v>0</v>
          </cell>
        </row>
        <row r="5568">
          <cell r="A5568" t="str">
            <v>HQReserves - Provisons</v>
          </cell>
          <cell r="B5568">
            <v>0</v>
          </cell>
          <cell r="C5568">
            <v>0</v>
          </cell>
          <cell r="D5568">
            <v>0</v>
          </cell>
          <cell r="E5568">
            <v>0</v>
          </cell>
          <cell r="F5568">
            <v>0</v>
          </cell>
          <cell r="G5568">
            <v>0</v>
          </cell>
          <cell r="H5568">
            <v>0</v>
          </cell>
          <cell r="I5568">
            <v>0</v>
          </cell>
          <cell r="J5568">
            <v>0</v>
          </cell>
          <cell r="K5568">
            <v>0</v>
          </cell>
          <cell r="L5568">
            <v>0</v>
          </cell>
          <cell r="M5568">
            <v>0</v>
          </cell>
          <cell r="N5568">
            <v>0</v>
          </cell>
          <cell r="O5568">
            <v>0</v>
          </cell>
        </row>
        <row r="5569">
          <cell r="A5569" t="str">
            <v>HQReserves - Recoveries</v>
          </cell>
          <cell r="B5569">
            <v>0</v>
          </cell>
          <cell r="C5569">
            <v>0</v>
          </cell>
          <cell r="D5569">
            <v>0</v>
          </cell>
          <cell r="E5569">
            <v>0</v>
          </cell>
          <cell r="F5569">
            <v>0</v>
          </cell>
          <cell r="G5569">
            <v>0</v>
          </cell>
          <cell r="H5569">
            <v>0</v>
          </cell>
          <cell r="I5569">
            <v>0</v>
          </cell>
          <cell r="J5569">
            <v>0</v>
          </cell>
          <cell r="K5569">
            <v>0</v>
          </cell>
          <cell r="L5569">
            <v>0</v>
          </cell>
          <cell r="M5569">
            <v>0</v>
          </cell>
          <cell r="N5569">
            <v>0</v>
          </cell>
          <cell r="O5569">
            <v>0</v>
          </cell>
        </row>
        <row r="5570">
          <cell r="A5570" t="str">
            <v>HQReserves - BOP</v>
          </cell>
          <cell r="B5570">
            <v>0</v>
          </cell>
          <cell r="C5570">
            <v>0</v>
          </cell>
          <cell r="D5570">
            <v>0</v>
          </cell>
          <cell r="E5570">
            <v>0</v>
          </cell>
          <cell r="F5570">
            <v>0</v>
          </cell>
          <cell r="G5570">
            <v>0</v>
          </cell>
          <cell r="H5570">
            <v>0</v>
          </cell>
          <cell r="I5570">
            <v>0</v>
          </cell>
          <cell r="J5570">
            <v>0</v>
          </cell>
          <cell r="K5570">
            <v>0</v>
          </cell>
          <cell r="L5570">
            <v>0</v>
          </cell>
          <cell r="M5570">
            <v>0</v>
          </cell>
          <cell r="N5570">
            <v>0</v>
          </cell>
          <cell r="O5570">
            <v>0</v>
          </cell>
        </row>
        <row r="5571">
          <cell r="A5571" t="str">
            <v>HQReserves - Transfers &amp; Others</v>
          </cell>
          <cell r="B5571">
            <v>0</v>
          </cell>
          <cell r="C5571">
            <v>0</v>
          </cell>
          <cell r="D5571">
            <v>0</v>
          </cell>
          <cell r="E5571">
            <v>0</v>
          </cell>
          <cell r="F5571">
            <v>0</v>
          </cell>
          <cell r="G5571">
            <v>0</v>
          </cell>
          <cell r="H5571">
            <v>0</v>
          </cell>
          <cell r="I5571">
            <v>0</v>
          </cell>
          <cell r="J5571">
            <v>0</v>
          </cell>
          <cell r="K5571">
            <v>0</v>
          </cell>
          <cell r="L5571">
            <v>0</v>
          </cell>
          <cell r="M5571">
            <v>0</v>
          </cell>
          <cell r="N5571">
            <v>0</v>
          </cell>
          <cell r="O5571">
            <v>0</v>
          </cell>
        </row>
        <row r="5572">
          <cell r="A5572" t="str">
            <v>HQReserves - Write-Offs</v>
          </cell>
          <cell r="B5572">
            <v>0</v>
          </cell>
          <cell r="C5572">
            <v>0</v>
          </cell>
          <cell r="D5572">
            <v>0</v>
          </cell>
          <cell r="E5572">
            <v>0</v>
          </cell>
          <cell r="F5572">
            <v>0</v>
          </cell>
          <cell r="G5572">
            <v>0</v>
          </cell>
          <cell r="H5572">
            <v>0</v>
          </cell>
          <cell r="I5572">
            <v>0</v>
          </cell>
          <cell r="J5572">
            <v>0</v>
          </cell>
          <cell r="K5572">
            <v>0</v>
          </cell>
          <cell r="L5572">
            <v>0</v>
          </cell>
          <cell r="M5572">
            <v>0</v>
          </cell>
          <cell r="N5572">
            <v>0</v>
          </cell>
          <cell r="O5572">
            <v>0</v>
          </cell>
        </row>
        <row r="5573">
          <cell r="A5573" t="str">
            <v>HQ780 FR Provision</v>
          </cell>
          <cell r="B5573">
            <v>0</v>
          </cell>
          <cell r="C5573">
            <v>0</v>
          </cell>
          <cell r="D5573">
            <v>0</v>
          </cell>
          <cell r="E5573">
            <v>0</v>
          </cell>
          <cell r="F5573">
            <v>0</v>
          </cell>
          <cell r="G5573">
            <v>0</v>
          </cell>
          <cell r="H5573">
            <v>0</v>
          </cell>
          <cell r="I5573">
            <v>0</v>
          </cell>
          <cell r="J5573">
            <v>0</v>
          </cell>
          <cell r="K5573">
            <v>0</v>
          </cell>
          <cell r="L5573">
            <v>0</v>
          </cell>
          <cell r="M5573">
            <v>0</v>
          </cell>
          <cell r="N5573">
            <v>0</v>
          </cell>
          <cell r="O5573">
            <v>0</v>
          </cell>
        </row>
        <row r="5574">
          <cell r="A5574" t="str">
            <v>HQ780 FR Recovery</v>
          </cell>
          <cell r="B5574">
            <v>0</v>
          </cell>
          <cell r="C5574">
            <v>0</v>
          </cell>
          <cell r="D5574">
            <v>0</v>
          </cell>
          <cell r="E5574">
            <v>0</v>
          </cell>
          <cell r="F5574">
            <v>0</v>
          </cell>
          <cell r="G5574">
            <v>0</v>
          </cell>
          <cell r="H5574">
            <v>0</v>
          </cell>
          <cell r="I5574">
            <v>0</v>
          </cell>
          <cell r="J5574">
            <v>0</v>
          </cell>
          <cell r="K5574">
            <v>0</v>
          </cell>
          <cell r="L5574">
            <v>0</v>
          </cell>
          <cell r="M5574">
            <v>0</v>
          </cell>
          <cell r="N5574">
            <v>0</v>
          </cell>
          <cell r="O5574">
            <v>0</v>
          </cell>
        </row>
        <row r="5575">
          <cell r="A5575" t="str">
            <v>HQ781 LL Provision</v>
          </cell>
          <cell r="B5575">
            <v>0</v>
          </cell>
          <cell r="C5575">
            <v>0</v>
          </cell>
          <cell r="D5575">
            <v>0</v>
          </cell>
          <cell r="E5575">
            <v>0</v>
          </cell>
          <cell r="F5575">
            <v>0</v>
          </cell>
          <cell r="G5575">
            <v>0</v>
          </cell>
          <cell r="H5575">
            <v>0</v>
          </cell>
          <cell r="I5575">
            <v>0</v>
          </cell>
          <cell r="J5575">
            <v>0</v>
          </cell>
          <cell r="K5575">
            <v>0</v>
          </cell>
          <cell r="L5575">
            <v>0</v>
          </cell>
          <cell r="M5575">
            <v>0</v>
          </cell>
          <cell r="N5575">
            <v>0</v>
          </cell>
          <cell r="O5575">
            <v>0</v>
          </cell>
        </row>
        <row r="5576">
          <cell r="A5576" t="str">
            <v>HQ781 LL Recovery</v>
          </cell>
          <cell r="B5576">
            <v>0</v>
          </cell>
          <cell r="C5576">
            <v>0</v>
          </cell>
          <cell r="D5576">
            <v>0</v>
          </cell>
          <cell r="E5576">
            <v>0</v>
          </cell>
          <cell r="F5576">
            <v>0</v>
          </cell>
          <cell r="G5576">
            <v>0</v>
          </cell>
          <cell r="H5576">
            <v>0</v>
          </cell>
          <cell r="I5576">
            <v>0</v>
          </cell>
          <cell r="J5576">
            <v>0</v>
          </cell>
          <cell r="K5576">
            <v>0</v>
          </cell>
          <cell r="L5576">
            <v>0</v>
          </cell>
          <cell r="M5576">
            <v>0</v>
          </cell>
          <cell r="N5576">
            <v>0</v>
          </cell>
          <cell r="O5576">
            <v>0</v>
          </cell>
        </row>
        <row r="5577">
          <cell r="A5577" t="str">
            <v>HQ782 DF Provision</v>
          </cell>
          <cell r="B5577">
            <v>0</v>
          </cell>
          <cell r="C5577">
            <v>0</v>
          </cell>
          <cell r="D5577">
            <v>0</v>
          </cell>
          <cell r="E5577">
            <v>0</v>
          </cell>
          <cell r="F5577">
            <v>0</v>
          </cell>
          <cell r="G5577">
            <v>0</v>
          </cell>
          <cell r="H5577">
            <v>0</v>
          </cell>
          <cell r="I5577">
            <v>0</v>
          </cell>
          <cell r="J5577">
            <v>0</v>
          </cell>
          <cell r="K5577">
            <v>0</v>
          </cell>
          <cell r="L5577">
            <v>0</v>
          </cell>
          <cell r="M5577">
            <v>0</v>
          </cell>
          <cell r="N5577">
            <v>0</v>
          </cell>
          <cell r="O5577">
            <v>0</v>
          </cell>
        </row>
        <row r="5578">
          <cell r="A5578" t="str">
            <v>HQ782 DF Recovery</v>
          </cell>
          <cell r="B5578">
            <v>0</v>
          </cell>
          <cell r="C5578">
            <v>0</v>
          </cell>
          <cell r="D5578">
            <v>0</v>
          </cell>
          <cell r="E5578">
            <v>0</v>
          </cell>
          <cell r="F5578">
            <v>0</v>
          </cell>
          <cell r="G5578">
            <v>0</v>
          </cell>
          <cell r="H5578">
            <v>0</v>
          </cell>
          <cell r="I5578">
            <v>0</v>
          </cell>
          <cell r="J5578">
            <v>0</v>
          </cell>
          <cell r="K5578">
            <v>0</v>
          </cell>
          <cell r="L5578">
            <v>0</v>
          </cell>
          <cell r="M5578">
            <v>0</v>
          </cell>
          <cell r="N5578">
            <v>0</v>
          </cell>
          <cell r="O5578">
            <v>0</v>
          </cell>
        </row>
        <row r="5579">
          <cell r="A5579" t="str">
            <v>HQ783 Corp Level Provision</v>
          </cell>
          <cell r="B5579">
            <v>0</v>
          </cell>
          <cell r="C5579">
            <v>0</v>
          </cell>
          <cell r="D5579">
            <v>0</v>
          </cell>
          <cell r="E5579">
            <v>0</v>
          </cell>
          <cell r="F5579">
            <v>0</v>
          </cell>
          <cell r="G5579">
            <v>0</v>
          </cell>
          <cell r="H5579">
            <v>0</v>
          </cell>
          <cell r="I5579">
            <v>0</v>
          </cell>
          <cell r="J5579">
            <v>0</v>
          </cell>
          <cell r="K5579">
            <v>0</v>
          </cell>
          <cell r="L5579">
            <v>0</v>
          </cell>
          <cell r="M5579">
            <v>0</v>
          </cell>
          <cell r="N5579">
            <v>0</v>
          </cell>
          <cell r="O5579">
            <v>0</v>
          </cell>
        </row>
        <row r="5580">
          <cell r="A5580" t="str">
            <v>HQ783 Corp Level Recovery</v>
          </cell>
          <cell r="B5580">
            <v>0</v>
          </cell>
          <cell r="C5580">
            <v>0</v>
          </cell>
          <cell r="D5580">
            <v>0</v>
          </cell>
          <cell r="E5580">
            <v>0</v>
          </cell>
          <cell r="F5580">
            <v>0</v>
          </cell>
          <cell r="G5580">
            <v>0</v>
          </cell>
          <cell r="H5580">
            <v>0</v>
          </cell>
          <cell r="I5580">
            <v>0</v>
          </cell>
          <cell r="J5580">
            <v>0</v>
          </cell>
          <cell r="K5580">
            <v>0</v>
          </cell>
          <cell r="L5580">
            <v>0</v>
          </cell>
          <cell r="M5580">
            <v>0</v>
          </cell>
          <cell r="N5580">
            <v>0</v>
          </cell>
          <cell r="O5580">
            <v>0</v>
          </cell>
        </row>
        <row r="5581">
          <cell r="A5581" t="str">
            <v>HQ784 Business Share Provision</v>
          </cell>
          <cell r="B5581">
            <v>0</v>
          </cell>
          <cell r="C5581">
            <v>0</v>
          </cell>
          <cell r="D5581">
            <v>0</v>
          </cell>
          <cell r="E5581">
            <v>0</v>
          </cell>
          <cell r="F5581">
            <v>0</v>
          </cell>
          <cell r="G5581">
            <v>0</v>
          </cell>
          <cell r="H5581">
            <v>0</v>
          </cell>
          <cell r="I5581">
            <v>0</v>
          </cell>
          <cell r="J5581">
            <v>0</v>
          </cell>
          <cell r="K5581">
            <v>0</v>
          </cell>
          <cell r="L5581">
            <v>0</v>
          </cell>
          <cell r="M5581">
            <v>0</v>
          </cell>
          <cell r="N5581">
            <v>0</v>
          </cell>
          <cell r="O5581">
            <v>0</v>
          </cell>
        </row>
        <row r="5582">
          <cell r="A5582" t="str">
            <v>HQReserves - Business Sharing</v>
          </cell>
          <cell r="B5582">
            <v>0</v>
          </cell>
          <cell r="C5582">
            <v>0</v>
          </cell>
          <cell r="D5582">
            <v>0</v>
          </cell>
          <cell r="E5582">
            <v>0</v>
          </cell>
          <cell r="F5582">
            <v>0</v>
          </cell>
          <cell r="G5582">
            <v>0</v>
          </cell>
          <cell r="H5582">
            <v>0</v>
          </cell>
          <cell r="I5582">
            <v>0</v>
          </cell>
          <cell r="J5582">
            <v>0</v>
          </cell>
          <cell r="K5582">
            <v>0</v>
          </cell>
          <cell r="L5582">
            <v>0</v>
          </cell>
          <cell r="M5582">
            <v>0</v>
          </cell>
          <cell r="N5582">
            <v>0</v>
          </cell>
          <cell r="O5582">
            <v>0</v>
          </cell>
        </row>
        <row r="5583">
          <cell r="A5583" t="str">
            <v>Japan GECF (Business Split)NEA - Fixed Rate</v>
          </cell>
          <cell r="B5583">
            <v>0</v>
          </cell>
          <cell r="C5583">
            <v>0</v>
          </cell>
          <cell r="D5583">
            <v>0</v>
          </cell>
          <cell r="E5583">
            <v>0</v>
          </cell>
          <cell r="F5583">
            <v>0</v>
          </cell>
          <cell r="G5583">
            <v>0</v>
          </cell>
          <cell r="H5583">
            <v>0</v>
          </cell>
          <cell r="I5583">
            <v>0</v>
          </cell>
          <cell r="J5583">
            <v>0</v>
          </cell>
          <cell r="K5583">
            <v>0</v>
          </cell>
          <cell r="L5583">
            <v>0</v>
          </cell>
          <cell r="M5583">
            <v>0</v>
          </cell>
          <cell r="N5583">
            <v>0</v>
          </cell>
          <cell r="O5583">
            <v>0</v>
          </cell>
        </row>
        <row r="5584">
          <cell r="A5584" t="str">
            <v>Japan GECF (Business Split)NEA - Floating Rate</v>
          </cell>
          <cell r="B5584">
            <v>0</v>
          </cell>
          <cell r="C5584">
            <v>0</v>
          </cell>
          <cell r="D5584">
            <v>0</v>
          </cell>
          <cell r="E5584">
            <v>0</v>
          </cell>
          <cell r="F5584">
            <v>0</v>
          </cell>
          <cell r="G5584">
            <v>0</v>
          </cell>
          <cell r="H5584">
            <v>0</v>
          </cell>
          <cell r="I5584">
            <v>0</v>
          </cell>
          <cell r="J5584">
            <v>0</v>
          </cell>
          <cell r="K5584">
            <v>0</v>
          </cell>
          <cell r="L5584">
            <v>0</v>
          </cell>
          <cell r="M5584">
            <v>0</v>
          </cell>
          <cell r="N5584">
            <v>0</v>
          </cell>
          <cell r="O5584">
            <v>0</v>
          </cell>
        </row>
        <row r="5585">
          <cell r="A5585" t="str">
            <v>Japan GECF (Business Split)Reserves - FX Gain / Loss</v>
          </cell>
          <cell r="B5585">
            <v>0</v>
          </cell>
          <cell r="C5585">
            <v>0</v>
          </cell>
          <cell r="D5585">
            <v>0</v>
          </cell>
          <cell r="E5585">
            <v>0</v>
          </cell>
          <cell r="F5585">
            <v>0</v>
          </cell>
          <cell r="G5585">
            <v>0</v>
          </cell>
          <cell r="H5585">
            <v>0</v>
          </cell>
          <cell r="I5585">
            <v>0</v>
          </cell>
          <cell r="J5585">
            <v>0</v>
          </cell>
          <cell r="K5585">
            <v>0</v>
          </cell>
          <cell r="L5585">
            <v>0</v>
          </cell>
          <cell r="M5585">
            <v>0</v>
          </cell>
          <cell r="N5585">
            <v>0</v>
          </cell>
          <cell r="O5585">
            <v>0</v>
          </cell>
        </row>
        <row r="5586">
          <cell r="A5586" t="str">
            <v>Japan GECF (Business Split)Reserves - Provisons</v>
          </cell>
          <cell r="B5586">
            <v>0</v>
          </cell>
          <cell r="C5586">
            <v>0</v>
          </cell>
          <cell r="D5586">
            <v>0</v>
          </cell>
          <cell r="E5586">
            <v>0</v>
          </cell>
          <cell r="F5586">
            <v>0</v>
          </cell>
          <cell r="G5586">
            <v>0</v>
          </cell>
          <cell r="H5586">
            <v>0</v>
          </cell>
          <cell r="I5586">
            <v>0</v>
          </cell>
          <cell r="J5586">
            <v>0</v>
          </cell>
          <cell r="K5586">
            <v>0</v>
          </cell>
          <cell r="L5586">
            <v>0</v>
          </cell>
          <cell r="M5586">
            <v>0</v>
          </cell>
          <cell r="N5586">
            <v>0</v>
          </cell>
          <cell r="O5586">
            <v>0</v>
          </cell>
        </row>
        <row r="5587">
          <cell r="A5587" t="str">
            <v>Japan GECF (Business Split)Reserves - Recoveries</v>
          </cell>
          <cell r="B5587">
            <v>0</v>
          </cell>
          <cell r="C5587">
            <v>0</v>
          </cell>
          <cell r="D5587">
            <v>0</v>
          </cell>
          <cell r="E5587">
            <v>0</v>
          </cell>
          <cell r="F5587">
            <v>0</v>
          </cell>
          <cell r="G5587">
            <v>0</v>
          </cell>
          <cell r="H5587">
            <v>0</v>
          </cell>
          <cell r="I5587">
            <v>0</v>
          </cell>
          <cell r="J5587">
            <v>0</v>
          </cell>
          <cell r="K5587">
            <v>0</v>
          </cell>
          <cell r="L5587">
            <v>0</v>
          </cell>
          <cell r="M5587">
            <v>0</v>
          </cell>
          <cell r="N5587">
            <v>0</v>
          </cell>
          <cell r="O5587">
            <v>0</v>
          </cell>
        </row>
        <row r="5588">
          <cell r="A5588" t="str">
            <v>Japan GECF (Business Split)Reserves - BOP</v>
          </cell>
          <cell r="B5588">
            <v>0</v>
          </cell>
          <cell r="C5588">
            <v>0</v>
          </cell>
          <cell r="D5588">
            <v>0</v>
          </cell>
          <cell r="E5588">
            <v>0</v>
          </cell>
          <cell r="F5588">
            <v>0</v>
          </cell>
          <cell r="G5588">
            <v>0</v>
          </cell>
          <cell r="H5588">
            <v>0</v>
          </cell>
          <cell r="I5588">
            <v>0</v>
          </cell>
          <cell r="J5588">
            <v>0</v>
          </cell>
          <cell r="K5588">
            <v>0</v>
          </cell>
          <cell r="L5588">
            <v>0</v>
          </cell>
          <cell r="M5588">
            <v>0</v>
          </cell>
          <cell r="N5588">
            <v>0</v>
          </cell>
          <cell r="O5588">
            <v>0</v>
          </cell>
        </row>
        <row r="5589">
          <cell r="A5589" t="str">
            <v>Japan GECF (Business Split)Reserves - Transfers &amp; Others</v>
          </cell>
          <cell r="B5589">
            <v>0</v>
          </cell>
          <cell r="C5589">
            <v>0</v>
          </cell>
          <cell r="D5589">
            <v>0</v>
          </cell>
          <cell r="E5589">
            <v>0</v>
          </cell>
          <cell r="F5589">
            <v>0</v>
          </cell>
          <cell r="G5589">
            <v>0</v>
          </cell>
          <cell r="H5589">
            <v>0</v>
          </cell>
          <cell r="I5589">
            <v>0</v>
          </cell>
          <cell r="J5589">
            <v>0</v>
          </cell>
          <cell r="K5589">
            <v>0</v>
          </cell>
          <cell r="L5589">
            <v>0</v>
          </cell>
          <cell r="M5589">
            <v>0</v>
          </cell>
          <cell r="N5589">
            <v>0</v>
          </cell>
          <cell r="O5589">
            <v>0</v>
          </cell>
        </row>
        <row r="5590">
          <cell r="A5590" t="str">
            <v>Japan GECF (Business Split)Reserves - Write-Offs</v>
          </cell>
          <cell r="B5590">
            <v>0</v>
          </cell>
          <cell r="C5590">
            <v>0</v>
          </cell>
          <cell r="D5590">
            <v>0</v>
          </cell>
          <cell r="E5590">
            <v>0</v>
          </cell>
          <cell r="F5590">
            <v>0</v>
          </cell>
          <cell r="G5590">
            <v>0</v>
          </cell>
          <cell r="H5590">
            <v>0</v>
          </cell>
          <cell r="I5590">
            <v>0</v>
          </cell>
          <cell r="J5590">
            <v>0</v>
          </cell>
          <cell r="K5590">
            <v>0</v>
          </cell>
          <cell r="L5590">
            <v>0</v>
          </cell>
          <cell r="M5590">
            <v>0</v>
          </cell>
          <cell r="N5590">
            <v>0</v>
          </cell>
          <cell r="O5590">
            <v>0</v>
          </cell>
        </row>
        <row r="5591">
          <cell r="A5591" t="str">
            <v>Japan GECF (Business Split)780 FR Provision</v>
          </cell>
          <cell r="B5591">
            <v>0</v>
          </cell>
          <cell r="C5591">
            <v>0</v>
          </cell>
          <cell r="D5591">
            <v>0</v>
          </cell>
          <cell r="E5591">
            <v>0</v>
          </cell>
          <cell r="F5591">
            <v>0</v>
          </cell>
          <cell r="G5591">
            <v>0</v>
          </cell>
          <cell r="H5591">
            <v>0</v>
          </cell>
          <cell r="I5591">
            <v>0</v>
          </cell>
          <cell r="J5591">
            <v>0</v>
          </cell>
          <cell r="K5591">
            <v>0</v>
          </cell>
          <cell r="L5591">
            <v>0</v>
          </cell>
          <cell r="M5591">
            <v>0</v>
          </cell>
          <cell r="N5591">
            <v>0</v>
          </cell>
          <cell r="O5591">
            <v>0</v>
          </cell>
        </row>
        <row r="5592">
          <cell r="A5592" t="str">
            <v>Japan GECF (Business Split)780 FR Recovery</v>
          </cell>
          <cell r="B5592">
            <v>0</v>
          </cell>
          <cell r="C5592">
            <v>0</v>
          </cell>
          <cell r="D5592">
            <v>0</v>
          </cell>
          <cell r="E5592">
            <v>0</v>
          </cell>
          <cell r="F5592">
            <v>0</v>
          </cell>
          <cell r="G5592">
            <v>0</v>
          </cell>
          <cell r="H5592">
            <v>0</v>
          </cell>
          <cell r="I5592">
            <v>0</v>
          </cell>
          <cell r="J5592">
            <v>0</v>
          </cell>
          <cell r="K5592">
            <v>0</v>
          </cell>
          <cell r="L5592">
            <v>0</v>
          </cell>
          <cell r="M5592">
            <v>0</v>
          </cell>
          <cell r="N5592">
            <v>0</v>
          </cell>
          <cell r="O5592">
            <v>0</v>
          </cell>
        </row>
        <row r="5593">
          <cell r="A5593" t="str">
            <v>Japan GECF (Business Split)781 LL Provision</v>
          </cell>
          <cell r="B5593">
            <v>0</v>
          </cell>
          <cell r="C5593">
            <v>0</v>
          </cell>
          <cell r="D5593">
            <v>0</v>
          </cell>
          <cell r="E5593">
            <v>0</v>
          </cell>
          <cell r="F5593">
            <v>0</v>
          </cell>
          <cell r="G5593">
            <v>0</v>
          </cell>
          <cell r="H5593">
            <v>0</v>
          </cell>
          <cell r="I5593">
            <v>0</v>
          </cell>
          <cell r="J5593">
            <v>0</v>
          </cell>
          <cell r="K5593">
            <v>0</v>
          </cell>
          <cell r="L5593">
            <v>0</v>
          </cell>
          <cell r="M5593">
            <v>0</v>
          </cell>
          <cell r="N5593">
            <v>0</v>
          </cell>
          <cell r="O5593">
            <v>0</v>
          </cell>
        </row>
        <row r="5594">
          <cell r="A5594" t="str">
            <v>Japan GECF (Business Split)781 LL Recovery</v>
          </cell>
          <cell r="B5594">
            <v>0</v>
          </cell>
          <cell r="C5594">
            <v>0</v>
          </cell>
          <cell r="D5594">
            <v>0</v>
          </cell>
          <cell r="E5594">
            <v>0</v>
          </cell>
          <cell r="F5594">
            <v>0</v>
          </cell>
          <cell r="G5594">
            <v>0</v>
          </cell>
          <cell r="H5594">
            <v>0</v>
          </cell>
          <cell r="I5594">
            <v>0</v>
          </cell>
          <cell r="J5594">
            <v>0</v>
          </cell>
          <cell r="K5594">
            <v>0</v>
          </cell>
          <cell r="L5594">
            <v>0</v>
          </cell>
          <cell r="M5594">
            <v>0</v>
          </cell>
          <cell r="N5594">
            <v>0</v>
          </cell>
          <cell r="O5594">
            <v>0</v>
          </cell>
        </row>
        <row r="5595">
          <cell r="A5595" t="str">
            <v>Japan GECF (Business Split)782 DF Provision</v>
          </cell>
          <cell r="B5595">
            <v>0</v>
          </cell>
          <cell r="C5595">
            <v>0</v>
          </cell>
          <cell r="D5595">
            <v>0</v>
          </cell>
          <cell r="E5595">
            <v>0</v>
          </cell>
          <cell r="F5595">
            <v>0</v>
          </cell>
          <cell r="G5595">
            <v>0</v>
          </cell>
          <cell r="H5595">
            <v>0</v>
          </cell>
          <cell r="I5595">
            <v>0</v>
          </cell>
          <cell r="J5595">
            <v>0</v>
          </cell>
          <cell r="K5595">
            <v>0</v>
          </cell>
          <cell r="L5595">
            <v>0</v>
          </cell>
          <cell r="M5595">
            <v>0</v>
          </cell>
          <cell r="N5595">
            <v>0</v>
          </cell>
          <cell r="O5595">
            <v>0</v>
          </cell>
        </row>
        <row r="5596">
          <cell r="A5596" t="str">
            <v>Japan GECF (Business Split)782 DF Recovery</v>
          </cell>
          <cell r="B5596">
            <v>0</v>
          </cell>
          <cell r="C5596">
            <v>0</v>
          </cell>
          <cell r="D5596">
            <v>0</v>
          </cell>
          <cell r="E5596">
            <v>0</v>
          </cell>
          <cell r="F5596">
            <v>0</v>
          </cell>
          <cell r="G5596">
            <v>0</v>
          </cell>
          <cell r="H5596">
            <v>0</v>
          </cell>
          <cell r="I5596">
            <v>0</v>
          </cell>
          <cell r="J5596">
            <v>0</v>
          </cell>
          <cell r="K5596">
            <v>0</v>
          </cell>
          <cell r="L5596">
            <v>0</v>
          </cell>
          <cell r="M5596">
            <v>0</v>
          </cell>
          <cell r="N5596">
            <v>0</v>
          </cell>
          <cell r="O5596">
            <v>0</v>
          </cell>
        </row>
        <row r="5597">
          <cell r="A5597" t="str">
            <v>Japan GECF (Business Split)783 Corp Level Provision</v>
          </cell>
          <cell r="B5597">
            <v>0</v>
          </cell>
          <cell r="C5597">
            <v>0</v>
          </cell>
          <cell r="D5597">
            <v>0</v>
          </cell>
          <cell r="E5597">
            <v>0</v>
          </cell>
          <cell r="F5597">
            <v>0</v>
          </cell>
          <cell r="G5597">
            <v>0</v>
          </cell>
          <cell r="H5597">
            <v>0</v>
          </cell>
          <cell r="I5597">
            <v>0</v>
          </cell>
          <cell r="J5597">
            <v>0</v>
          </cell>
          <cell r="K5597">
            <v>0</v>
          </cell>
          <cell r="L5597">
            <v>0</v>
          </cell>
          <cell r="M5597">
            <v>0</v>
          </cell>
          <cell r="N5597">
            <v>0</v>
          </cell>
          <cell r="O5597">
            <v>0</v>
          </cell>
        </row>
        <row r="5598">
          <cell r="A5598" t="str">
            <v>Japan GECF (Business Split)783 Corp Level Recovery</v>
          </cell>
          <cell r="B5598">
            <v>0</v>
          </cell>
          <cell r="C5598">
            <v>0</v>
          </cell>
          <cell r="D5598">
            <v>0</v>
          </cell>
          <cell r="E5598">
            <v>0</v>
          </cell>
          <cell r="F5598">
            <v>0</v>
          </cell>
          <cell r="G5598">
            <v>0</v>
          </cell>
          <cell r="H5598">
            <v>0</v>
          </cell>
          <cell r="I5598">
            <v>0</v>
          </cell>
          <cell r="J5598">
            <v>0</v>
          </cell>
          <cell r="K5598">
            <v>0</v>
          </cell>
          <cell r="L5598">
            <v>0</v>
          </cell>
          <cell r="M5598">
            <v>0</v>
          </cell>
          <cell r="N5598">
            <v>0</v>
          </cell>
          <cell r="O5598">
            <v>0</v>
          </cell>
        </row>
        <row r="5599">
          <cell r="A5599" t="str">
            <v>Japan GECF (Business Split)784 Business Share Provision</v>
          </cell>
          <cell r="B5599">
            <v>0</v>
          </cell>
          <cell r="C5599">
            <v>0</v>
          </cell>
          <cell r="D5599">
            <v>0</v>
          </cell>
          <cell r="E5599">
            <v>0</v>
          </cell>
          <cell r="F5599">
            <v>0</v>
          </cell>
          <cell r="G5599">
            <v>0</v>
          </cell>
          <cell r="H5599">
            <v>0</v>
          </cell>
          <cell r="I5599">
            <v>0</v>
          </cell>
          <cell r="J5599">
            <v>0</v>
          </cell>
          <cell r="K5599">
            <v>0</v>
          </cell>
          <cell r="L5599">
            <v>0</v>
          </cell>
          <cell r="M5599">
            <v>0</v>
          </cell>
          <cell r="N5599">
            <v>0</v>
          </cell>
          <cell r="O5599">
            <v>0</v>
          </cell>
        </row>
        <row r="5600">
          <cell r="A5600" t="str">
            <v>Japan GECF (Business Split)Reserves - Business Sharing</v>
          </cell>
          <cell r="B5600">
            <v>0</v>
          </cell>
          <cell r="C5600">
            <v>0</v>
          </cell>
          <cell r="D5600">
            <v>0</v>
          </cell>
          <cell r="E5600">
            <v>0</v>
          </cell>
          <cell r="F5600">
            <v>0</v>
          </cell>
          <cell r="G5600">
            <v>0</v>
          </cell>
          <cell r="H5600">
            <v>0</v>
          </cell>
          <cell r="I5600">
            <v>0</v>
          </cell>
          <cell r="J5600">
            <v>0</v>
          </cell>
          <cell r="K5600">
            <v>0</v>
          </cell>
          <cell r="L5600">
            <v>0</v>
          </cell>
          <cell r="M5600">
            <v>0</v>
          </cell>
          <cell r="N5600">
            <v>0</v>
          </cell>
          <cell r="O5600">
            <v>0</v>
          </cell>
        </row>
        <row r="5601">
          <cell r="A5601" t="str">
            <v>Japan KOEI (Business Split)NEA - Fixed Rate</v>
          </cell>
          <cell r="B5601">
            <v>0</v>
          </cell>
          <cell r="C5601">
            <v>0</v>
          </cell>
          <cell r="D5601">
            <v>0</v>
          </cell>
          <cell r="E5601">
            <v>0</v>
          </cell>
          <cell r="F5601">
            <v>0</v>
          </cell>
          <cell r="G5601">
            <v>0</v>
          </cell>
          <cell r="H5601">
            <v>0</v>
          </cell>
          <cell r="I5601">
            <v>0</v>
          </cell>
          <cell r="J5601">
            <v>0</v>
          </cell>
          <cell r="K5601">
            <v>0</v>
          </cell>
          <cell r="L5601">
            <v>0</v>
          </cell>
          <cell r="M5601">
            <v>0</v>
          </cell>
          <cell r="N5601">
            <v>0</v>
          </cell>
          <cell r="O5601">
            <v>0</v>
          </cell>
        </row>
        <row r="5602">
          <cell r="A5602" t="str">
            <v>Japan KOEI (Business Split)NEA - Floating Rate</v>
          </cell>
          <cell r="B5602">
            <v>0</v>
          </cell>
          <cell r="C5602">
            <v>0</v>
          </cell>
          <cell r="D5602">
            <v>0</v>
          </cell>
          <cell r="E5602">
            <v>0</v>
          </cell>
          <cell r="F5602">
            <v>0</v>
          </cell>
          <cell r="G5602">
            <v>0</v>
          </cell>
          <cell r="H5602">
            <v>0</v>
          </cell>
          <cell r="I5602">
            <v>0</v>
          </cell>
          <cell r="J5602">
            <v>0</v>
          </cell>
          <cell r="K5602">
            <v>0</v>
          </cell>
          <cell r="L5602">
            <v>0</v>
          </cell>
          <cell r="M5602">
            <v>0</v>
          </cell>
          <cell r="N5602">
            <v>0</v>
          </cell>
          <cell r="O5602">
            <v>0</v>
          </cell>
        </row>
        <row r="5603">
          <cell r="A5603" t="str">
            <v>Japan KOEI (Business Split)Reserves - FX Gain / Loss</v>
          </cell>
          <cell r="B5603">
            <v>0</v>
          </cell>
          <cell r="C5603">
            <v>0</v>
          </cell>
          <cell r="D5603">
            <v>0</v>
          </cell>
          <cell r="E5603">
            <v>0</v>
          </cell>
          <cell r="F5603">
            <v>0</v>
          </cell>
          <cell r="G5603">
            <v>0</v>
          </cell>
          <cell r="H5603">
            <v>0</v>
          </cell>
          <cell r="I5603">
            <v>0</v>
          </cell>
          <cell r="J5603">
            <v>0</v>
          </cell>
          <cell r="K5603">
            <v>0</v>
          </cell>
          <cell r="L5603">
            <v>0</v>
          </cell>
          <cell r="M5603">
            <v>0</v>
          </cell>
          <cell r="N5603">
            <v>0</v>
          </cell>
          <cell r="O5603">
            <v>0</v>
          </cell>
        </row>
        <row r="5604">
          <cell r="A5604" t="str">
            <v>Japan KOEI (Business Split)Reserves - Provisons</v>
          </cell>
          <cell r="B5604">
            <v>0</v>
          </cell>
          <cell r="C5604">
            <v>0</v>
          </cell>
          <cell r="D5604">
            <v>0</v>
          </cell>
          <cell r="E5604">
            <v>0</v>
          </cell>
          <cell r="F5604">
            <v>0</v>
          </cell>
          <cell r="G5604">
            <v>0</v>
          </cell>
          <cell r="H5604">
            <v>0</v>
          </cell>
          <cell r="I5604">
            <v>0</v>
          </cell>
          <cell r="J5604">
            <v>0</v>
          </cell>
          <cell r="K5604">
            <v>0</v>
          </cell>
          <cell r="L5604">
            <v>0</v>
          </cell>
          <cell r="M5604">
            <v>0</v>
          </cell>
          <cell r="N5604">
            <v>0</v>
          </cell>
          <cell r="O5604">
            <v>0</v>
          </cell>
        </row>
        <row r="5605">
          <cell r="A5605" t="str">
            <v>Japan KOEI (Business Split)Reserves - Recoveries</v>
          </cell>
          <cell r="B5605">
            <v>0</v>
          </cell>
          <cell r="C5605">
            <v>0</v>
          </cell>
          <cell r="D5605">
            <v>0</v>
          </cell>
          <cell r="E5605">
            <v>0</v>
          </cell>
          <cell r="F5605">
            <v>0</v>
          </cell>
          <cell r="G5605">
            <v>0</v>
          </cell>
          <cell r="H5605">
            <v>0</v>
          </cell>
          <cell r="I5605">
            <v>0</v>
          </cell>
          <cell r="J5605">
            <v>0</v>
          </cell>
          <cell r="K5605">
            <v>0</v>
          </cell>
          <cell r="L5605">
            <v>0</v>
          </cell>
          <cell r="M5605">
            <v>0</v>
          </cell>
          <cell r="N5605">
            <v>0</v>
          </cell>
          <cell r="O5605">
            <v>0</v>
          </cell>
        </row>
        <row r="5606">
          <cell r="A5606" t="str">
            <v>Japan KOEI (Business Split)Reserves - BOP</v>
          </cell>
          <cell r="B5606">
            <v>0</v>
          </cell>
          <cell r="C5606">
            <v>0</v>
          </cell>
          <cell r="D5606">
            <v>0</v>
          </cell>
          <cell r="E5606">
            <v>0</v>
          </cell>
          <cell r="F5606">
            <v>0</v>
          </cell>
          <cell r="G5606">
            <v>0</v>
          </cell>
          <cell r="H5606">
            <v>0</v>
          </cell>
          <cell r="I5606">
            <v>0</v>
          </cell>
          <cell r="J5606">
            <v>0</v>
          </cell>
          <cell r="K5606">
            <v>0</v>
          </cell>
          <cell r="L5606">
            <v>0</v>
          </cell>
          <cell r="M5606">
            <v>0</v>
          </cell>
          <cell r="N5606">
            <v>0</v>
          </cell>
          <cell r="O5606">
            <v>0</v>
          </cell>
        </row>
        <row r="5607">
          <cell r="A5607" t="str">
            <v>Japan KOEI (Business Split)Reserves - Transfers &amp; Others</v>
          </cell>
          <cell r="B5607">
            <v>0</v>
          </cell>
          <cell r="C5607">
            <v>0</v>
          </cell>
          <cell r="D5607">
            <v>0</v>
          </cell>
          <cell r="E5607">
            <v>0</v>
          </cell>
          <cell r="F5607">
            <v>0</v>
          </cell>
          <cell r="G5607">
            <v>0</v>
          </cell>
          <cell r="H5607">
            <v>0</v>
          </cell>
          <cell r="I5607">
            <v>0</v>
          </cell>
          <cell r="J5607">
            <v>0</v>
          </cell>
          <cell r="K5607">
            <v>0</v>
          </cell>
          <cell r="L5607">
            <v>0</v>
          </cell>
          <cell r="M5607">
            <v>0</v>
          </cell>
          <cell r="N5607">
            <v>0</v>
          </cell>
          <cell r="O5607">
            <v>0</v>
          </cell>
        </row>
        <row r="5608">
          <cell r="A5608" t="str">
            <v>Japan KOEI (Business Split)Reserves - Write-Offs</v>
          </cell>
          <cell r="B5608">
            <v>0</v>
          </cell>
          <cell r="C5608">
            <v>0</v>
          </cell>
          <cell r="D5608">
            <v>0</v>
          </cell>
          <cell r="E5608">
            <v>0</v>
          </cell>
          <cell r="F5608">
            <v>0</v>
          </cell>
          <cell r="G5608">
            <v>0</v>
          </cell>
          <cell r="H5608">
            <v>0</v>
          </cell>
          <cell r="I5608">
            <v>0</v>
          </cell>
          <cell r="J5608">
            <v>0</v>
          </cell>
          <cell r="K5608">
            <v>0</v>
          </cell>
          <cell r="L5608">
            <v>0</v>
          </cell>
          <cell r="M5608">
            <v>0</v>
          </cell>
          <cell r="N5608">
            <v>0</v>
          </cell>
          <cell r="O5608">
            <v>0</v>
          </cell>
        </row>
        <row r="5609">
          <cell r="A5609" t="str">
            <v>Japan KOEI (Business Split)780 FR Provision</v>
          </cell>
          <cell r="B5609">
            <v>0</v>
          </cell>
          <cell r="C5609">
            <v>0</v>
          </cell>
          <cell r="D5609">
            <v>0</v>
          </cell>
          <cell r="E5609">
            <v>0</v>
          </cell>
          <cell r="F5609">
            <v>0</v>
          </cell>
          <cell r="G5609">
            <v>0</v>
          </cell>
          <cell r="H5609">
            <v>0</v>
          </cell>
          <cell r="I5609">
            <v>0</v>
          </cell>
          <cell r="J5609">
            <v>0</v>
          </cell>
          <cell r="K5609">
            <v>0</v>
          </cell>
          <cell r="L5609">
            <v>0</v>
          </cell>
          <cell r="M5609">
            <v>0</v>
          </cell>
          <cell r="N5609">
            <v>0</v>
          </cell>
          <cell r="O5609">
            <v>0</v>
          </cell>
        </row>
        <row r="5610">
          <cell r="A5610" t="str">
            <v>Japan KOEI (Business Split)780 FR Recovery</v>
          </cell>
          <cell r="B5610">
            <v>0</v>
          </cell>
          <cell r="C5610">
            <v>0</v>
          </cell>
          <cell r="D5610">
            <v>0</v>
          </cell>
          <cell r="E5610">
            <v>0</v>
          </cell>
          <cell r="F5610">
            <v>0</v>
          </cell>
          <cell r="G5610">
            <v>0</v>
          </cell>
          <cell r="H5610">
            <v>0</v>
          </cell>
          <cell r="I5610">
            <v>0</v>
          </cell>
          <cell r="J5610">
            <v>0</v>
          </cell>
          <cell r="K5610">
            <v>0</v>
          </cell>
          <cell r="L5610">
            <v>0</v>
          </cell>
          <cell r="M5610">
            <v>0</v>
          </cell>
          <cell r="N5610">
            <v>0</v>
          </cell>
          <cell r="O5610">
            <v>0</v>
          </cell>
        </row>
        <row r="5611">
          <cell r="A5611" t="str">
            <v>Japan KOEI (Business Split)781 LL Provision</v>
          </cell>
          <cell r="B5611">
            <v>0</v>
          </cell>
          <cell r="C5611">
            <v>0</v>
          </cell>
          <cell r="D5611">
            <v>0</v>
          </cell>
          <cell r="E5611">
            <v>0</v>
          </cell>
          <cell r="F5611">
            <v>0</v>
          </cell>
          <cell r="G5611">
            <v>0</v>
          </cell>
          <cell r="H5611">
            <v>0</v>
          </cell>
          <cell r="I5611">
            <v>0</v>
          </cell>
          <cell r="J5611">
            <v>0</v>
          </cell>
          <cell r="K5611">
            <v>0</v>
          </cell>
          <cell r="L5611">
            <v>0</v>
          </cell>
          <cell r="M5611">
            <v>0</v>
          </cell>
          <cell r="N5611">
            <v>0</v>
          </cell>
          <cell r="O5611">
            <v>0</v>
          </cell>
        </row>
        <row r="5612">
          <cell r="A5612" t="str">
            <v>Japan KOEI (Business Split)781 LL Recovery</v>
          </cell>
          <cell r="B5612">
            <v>0</v>
          </cell>
          <cell r="C5612">
            <v>0</v>
          </cell>
          <cell r="D5612">
            <v>0</v>
          </cell>
          <cell r="E5612">
            <v>0</v>
          </cell>
          <cell r="F5612">
            <v>0</v>
          </cell>
          <cell r="G5612">
            <v>0</v>
          </cell>
          <cell r="H5612">
            <v>0</v>
          </cell>
          <cell r="I5612">
            <v>0</v>
          </cell>
          <cell r="J5612">
            <v>0</v>
          </cell>
          <cell r="K5612">
            <v>0</v>
          </cell>
          <cell r="L5612">
            <v>0</v>
          </cell>
          <cell r="M5612">
            <v>0</v>
          </cell>
          <cell r="N5612">
            <v>0</v>
          </cell>
          <cell r="O5612">
            <v>0</v>
          </cell>
        </row>
        <row r="5613">
          <cell r="A5613" t="str">
            <v>Japan KOEI (Business Split)782 DF Provision</v>
          </cell>
          <cell r="B5613">
            <v>0</v>
          </cell>
          <cell r="C5613">
            <v>0</v>
          </cell>
          <cell r="D5613">
            <v>0</v>
          </cell>
          <cell r="E5613">
            <v>0</v>
          </cell>
          <cell r="F5613">
            <v>0</v>
          </cell>
          <cell r="G5613">
            <v>0</v>
          </cell>
          <cell r="H5613">
            <v>0</v>
          </cell>
          <cell r="I5613">
            <v>0</v>
          </cell>
          <cell r="J5613">
            <v>0</v>
          </cell>
          <cell r="K5613">
            <v>0</v>
          </cell>
          <cell r="L5613">
            <v>0</v>
          </cell>
          <cell r="M5613">
            <v>0</v>
          </cell>
          <cell r="N5613">
            <v>0</v>
          </cell>
          <cell r="O5613">
            <v>0</v>
          </cell>
        </row>
        <row r="5614">
          <cell r="A5614" t="str">
            <v>Japan KOEI (Business Split)782 DF Recovery</v>
          </cell>
          <cell r="B5614">
            <v>0</v>
          </cell>
          <cell r="C5614">
            <v>0</v>
          </cell>
          <cell r="D5614">
            <v>0</v>
          </cell>
          <cell r="E5614">
            <v>0</v>
          </cell>
          <cell r="F5614">
            <v>0</v>
          </cell>
          <cell r="G5614">
            <v>0</v>
          </cell>
          <cell r="H5614">
            <v>0</v>
          </cell>
          <cell r="I5614">
            <v>0</v>
          </cell>
          <cell r="J5614">
            <v>0</v>
          </cell>
          <cell r="K5614">
            <v>0</v>
          </cell>
          <cell r="L5614">
            <v>0</v>
          </cell>
          <cell r="M5614">
            <v>0</v>
          </cell>
          <cell r="N5614">
            <v>0</v>
          </cell>
          <cell r="O5614">
            <v>0</v>
          </cell>
        </row>
        <row r="5615">
          <cell r="A5615" t="str">
            <v>Japan KOEI (Business Split)783 Corp Level Provision</v>
          </cell>
          <cell r="B5615">
            <v>0</v>
          </cell>
          <cell r="C5615">
            <v>0</v>
          </cell>
          <cell r="D5615">
            <v>0</v>
          </cell>
          <cell r="E5615">
            <v>0</v>
          </cell>
          <cell r="F5615">
            <v>0</v>
          </cell>
          <cell r="G5615">
            <v>0</v>
          </cell>
          <cell r="H5615">
            <v>0</v>
          </cell>
          <cell r="I5615">
            <v>0</v>
          </cell>
          <cell r="J5615">
            <v>0</v>
          </cell>
          <cell r="K5615">
            <v>0</v>
          </cell>
          <cell r="L5615">
            <v>0</v>
          </cell>
          <cell r="M5615">
            <v>0</v>
          </cell>
          <cell r="N5615">
            <v>0</v>
          </cell>
          <cell r="O5615">
            <v>0</v>
          </cell>
        </row>
        <row r="5616">
          <cell r="A5616" t="str">
            <v>Japan KOEI (Business Split)783 Corp Level Recovery</v>
          </cell>
          <cell r="B5616">
            <v>0</v>
          </cell>
          <cell r="C5616">
            <v>0</v>
          </cell>
          <cell r="D5616">
            <v>0</v>
          </cell>
          <cell r="E5616">
            <v>0</v>
          </cell>
          <cell r="F5616">
            <v>0</v>
          </cell>
          <cell r="G5616">
            <v>0</v>
          </cell>
          <cell r="H5616">
            <v>0</v>
          </cell>
          <cell r="I5616">
            <v>0</v>
          </cell>
          <cell r="J5616">
            <v>0</v>
          </cell>
          <cell r="K5616">
            <v>0</v>
          </cell>
          <cell r="L5616">
            <v>0</v>
          </cell>
          <cell r="M5616">
            <v>0</v>
          </cell>
          <cell r="N5616">
            <v>0</v>
          </cell>
          <cell r="O5616">
            <v>0</v>
          </cell>
        </row>
        <row r="5617">
          <cell r="A5617" t="str">
            <v>Japan KOEI (Business Split)784 Business Share Provision</v>
          </cell>
          <cell r="B5617">
            <v>0</v>
          </cell>
          <cell r="C5617">
            <v>0</v>
          </cell>
          <cell r="D5617">
            <v>0</v>
          </cell>
          <cell r="E5617">
            <v>0</v>
          </cell>
          <cell r="F5617">
            <v>0</v>
          </cell>
          <cell r="G5617">
            <v>0</v>
          </cell>
          <cell r="H5617">
            <v>0</v>
          </cell>
          <cell r="I5617">
            <v>0</v>
          </cell>
          <cell r="J5617">
            <v>0</v>
          </cell>
          <cell r="K5617">
            <v>0</v>
          </cell>
          <cell r="L5617">
            <v>0</v>
          </cell>
          <cell r="M5617">
            <v>0</v>
          </cell>
          <cell r="N5617">
            <v>0</v>
          </cell>
          <cell r="O5617">
            <v>0</v>
          </cell>
        </row>
        <row r="5618">
          <cell r="A5618" t="str">
            <v>Japan KOEI (Business Split)Reserves - Business Sharing</v>
          </cell>
          <cell r="B5618">
            <v>0</v>
          </cell>
          <cell r="C5618">
            <v>0</v>
          </cell>
          <cell r="D5618">
            <v>0</v>
          </cell>
          <cell r="E5618">
            <v>0</v>
          </cell>
          <cell r="F5618">
            <v>0</v>
          </cell>
          <cell r="G5618">
            <v>0</v>
          </cell>
          <cell r="H5618">
            <v>0</v>
          </cell>
          <cell r="I5618">
            <v>0</v>
          </cell>
          <cell r="J5618">
            <v>0</v>
          </cell>
          <cell r="K5618">
            <v>0</v>
          </cell>
          <cell r="L5618">
            <v>0</v>
          </cell>
          <cell r="M5618">
            <v>0</v>
          </cell>
          <cell r="N5618">
            <v>0</v>
          </cell>
          <cell r="O5618">
            <v>0</v>
          </cell>
        </row>
        <row r="5619">
          <cell r="A5619" t="str">
            <v>Total GCFNEA - Fixed Rate</v>
          </cell>
          <cell r="B5619">
            <v>0</v>
          </cell>
          <cell r="C5619">
            <v>0</v>
          </cell>
          <cell r="D5619">
            <v>0</v>
          </cell>
          <cell r="E5619">
            <v>0</v>
          </cell>
          <cell r="F5619">
            <v>0</v>
          </cell>
          <cell r="G5619">
            <v>0</v>
          </cell>
          <cell r="H5619">
            <v>0</v>
          </cell>
          <cell r="I5619">
            <v>0</v>
          </cell>
          <cell r="J5619">
            <v>0</v>
          </cell>
          <cell r="K5619">
            <v>0</v>
          </cell>
          <cell r="L5619">
            <v>0</v>
          </cell>
          <cell r="M5619">
            <v>0</v>
          </cell>
          <cell r="N5619">
            <v>0</v>
          </cell>
          <cell r="O5619">
            <v>0</v>
          </cell>
        </row>
        <row r="5620">
          <cell r="A5620" t="str">
            <v>Total GCFNEA - Floating Rate</v>
          </cell>
          <cell r="B5620">
            <v>0</v>
          </cell>
          <cell r="C5620">
            <v>0</v>
          </cell>
          <cell r="D5620">
            <v>0</v>
          </cell>
          <cell r="E5620">
            <v>0</v>
          </cell>
          <cell r="F5620">
            <v>0</v>
          </cell>
          <cell r="G5620">
            <v>0</v>
          </cell>
          <cell r="H5620">
            <v>0</v>
          </cell>
          <cell r="I5620">
            <v>0</v>
          </cell>
          <cell r="J5620">
            <v>0</v>
          </cell>
          <cell r="K5620">
            <v>0</v>
          </cell>
          <cell r="L5620">
            <v>0</v>
          </cell>
          <cell r="M5620">
            <v>0</v>
          </cell>
          <cell r="N5620">
            <v>0</v>
          </cell>
          <cell r="O5620">
            <v>0</v>
          </cell>
        </row>
        <row r="5621">
          <cell r="A5621" t="str">
            <v>Total GCFReserves - FX Gain / Loss</v>
          </cell>
          <cell r="B5621">
            <v>240496573.46000001</v>
          </cell>
          <cell r="C5621">
            <v>264929058.33000001</v>
          </cell>
          <cell r="D5621">
            <v>185124407.83000001</v>
          </cell>
          <cell r="E5621">
            <v>247227849.90000001</v>
          </cell>
          <cell r="F5621">
            <v>247227849.90000001</v>
          </cell>
          <cell r="G5621">
            <v>0</v>
          </cell>
          <cell r="H5621">
            <v>0</v>
          </cell>
          <cell r="I5621">
            <v>0</v>
          </cell>
          <cell r="J5621">
            <v>0</v>
          </cell>
          <cell r="K5621">
            <v>0</v>
          </cell>
          <cell r="L5621">
            <v>272620261.25999999</v>
          </cell>
          <cell r="M5621">
            <v>0</v>
          </cell>
          <cell r="N5621">
            <v>0</v>
          </cell>
          <cell r="O5621">
            <v>0</v>
          </cell>
        </row>
        <row r="5622">
          <cell r="A5622" t="str">
            <v>Total GCFReserves - Provisons</v>
          </cell>
          <cell r="B5622">
            <v>-166359615.41999999</v>
          </cell>
          <cell r="C5622">
            <v>-391720840.55000001</v>
          </cell>
          <cell r="D5622">
            <v>-600135034.02999997</v>
          </cell>
          <cell r="E5622">
            <v>-859466394.29999995</v>
          </cell>
          <cell r="F5622">
            <v>-859466394.29999995</v>
          </cell>
          <cell r="G5622">
            <v>0</v>
          </cell>
          <cell r="H5622">
            <v>0</v>
          </cell>
          <cell r="I5622">
            <v>0</v>
          </cell>
          <cell r="J5622">
            <v>0</v>
          </cell>
          <cell r="K5622">
            <v>0</v>
          </cell>
          <cell r="L5622">
            <v>-246726445.16999999</v>
          </cell>
          <cell r="M5622">
            <v>0</v>
          </cell>
          <cell r="N5622">
            <v>0</v>
          </cell>
          <cell r="O5622">
            <v>0</v>
          </cell>
        </row>
        <row r="5623">
          <cell r="A5623" t="str">
            <v>Total GCFReserves - Recoveries</v>
          </cell>
          <cell r="B5623">
            <v>-34617202.869999997</v>
          </cell>
          <cell r="C5623">
            <v>-82874860.030000001</v>
          </cell>
          <cell r="D5623">
            <v>-172047700.59</v>
          </cell>
          <cell r="E5623">
            <v>-217217906.25</v>
          </cell>
          <cell r="F5623">
            <v>-217217906.25</v>
          </cell>
          <cell r="G5623">
            <v>0</v>
          </cell>
          <cell r="H5623">
            <v>0</v>
          </cell>
          <cell r="I5623">
            <v>0</v>
          </cell>
          <cell r="J5623">
            <v>0</v>
          </cell>
          <cell r="K5623">
            <v>0</v>
          </cell>
          <cell r="L5623">
            <v>-92341486.560000002</v>
          </cell>
          <cell r="M5623">
            <v>0</v>
          </cell>
          <cell r="N5623">
            <v>0</v>
          </cell>
          <cell r="O5623">
            <v>0</v>
          </cell>
        </row>
        <row r="5624">
          <cell r="A5624" t="str">
            <v>Total GCFReserves - BOP</v>
          </cell>
          <cell r="B5624">
            <v>-1793402250.4100001</v>
          </cell>
          <cell r="C5624">
            <v>-1793402250.4000001</v>
          </cell>
          <cell r="D5624">
            <v>-1793402250.45</v>
          </cell>
          <cell r="E5624">
            <v>-1793402250.46</v>
          </cell>
          <cell r="F5624">
            <v>-1793402250.46</v>
          </cell>
          <cell r="G5624">
            <v>-2033819652.30549</v>
          </cell>
          <cell r="H5624">
            <v>-2312235055.4311099</v>
          </cell>
          <cell r="I5624">
            <v>-2613318339.66328</v>
          </cell>
          <cell r="J5624">
            <v>-2923414312.7834201</v>
          </cell>
          <cell r="K5624">
            <v>-2923414312.7834201</v>
          </cell>
          <cell r="L5624">
            <v>-1981721497.1199999</v>
          </cell>
          <cell r="M5624">
            <v>-2761572717.3943</v>
          </cell>
          <cell r="N5624">
            <v>-3153674486.76544</v>
          </cell>
          <cell r="O5624">
            <v>-3586273404.17349</v>
          </cell>
        </row>
        <row r="5625">
          <cell r="A5625" t="str">
            <v>Total GCFReserves - Transfers &amp; Others</v>
          </cell>
          <cell r="B5625">
            <v>-35831095.189999998</v>
          </cell>
          <cell r="C5625">
            <v>-104155267.40000001</v>
          </cell>
          <cell r="D5625">
            <v>-116028304.84999999</v>
          </cell>
          <cell r="E5625">
            <v>-128522308.17</v>
          </cell>
          <cell r="F5625">
            <v>-128522308.17</v>
          </cell>
          <cell r="G5625">
            <v>0</v>
          </cell>
          <cell r="H5625">
            <v>0</v>
          </cell>
          <cell r="I5625">
            <v>0</v>
          </cell>
          <cell r="J5625">
            <v>0</v>
          </cell>
          <cell r="K5625">
            <v>0</v>
          </cell>
          <cell r="L5625">
            <v>-823032.08</v>
          </cell>
          <cell r="M5625">
            <v>0</v>
          </cell>
          <cell r="N5625">
            <v>0</v>
          </cell>
          <cell r="O5625">
            <v>0</v>
          </cell>
        </row>
        <row r="5626">
          <cell r="A5626" t="str">
            <v>Total GCFReserves - Write-Offs</v>
          </cell>
          <cell r="B5626">
            <v>192148839.94999999</v>
          </cell>
          <cell r="C5626">
            <v>471178701.27999997</v>
          </cell>
          <cell r="D5626">
            <v>725883396.48000002</v>
          </cell>
          <cell r="E5626">
            <v>1016887362.08</v>
          </cell>
          <cell r="F5626">
            <v>1016887362.08</v>
          </cell>
          <cell r="G5626">
            <v>234237766.97031301</v>
          </cell>
          <cell r="H5626">
            <v>466195299.75832498</v>
          </cell>
          <cell r="I5626">
            <v>725881657.579808</v>
          </cell>
          <cell r="J5626">
            <v>991511809.04296398</v>
          </cell>
          <cell r="K5626">
            <v>991511809.04296398</v>
          </cell>
          <cell r="L5626">
            <v>270696656.05000001</v>
          </cell>
          <cell r="M5626">
            <v>870022678.35794401</v>
          </cell>
          <cell r="N5626">
            <v>1001062726.32726</v>
          </cell>
          <cell r="O5626">
            <v>1156795301.4809501</v>
          </cell>
        </row>
        <row r="5627">
          <cell r="A5627" t="str">
            <v>Total GCF780 FR Provision</v>
          </cell>
          <cell r="B5627">
            <v>175680652.5</v>
          </cell>
          <cell r="C5627">
            <v>256201663.38999999</v>
          </cell>
          <cell r="D5627">
            <v>246418814.58000001</v>
          </cell>
          <cell r="E5627">
            <v>270781066</v>
          </cell>
          <cell r="F5627">
            <v>949082196.47000003</v>
          </cell>
          <cell r="G5627">
            <v>9369652.210771</v>
          </cell>
          <cell r="H5627">
            <v>11011060.659256</v>
          </cell>
          <cell r="I5627">
            <v>15384077.282512</v>
          </cell>
          <cell r="J5627">
            <v>15354986.177817</v>
          </cell>
          <cell r="K5627">
            <v>51119776.330356002</v>
          </cell>
          <cell r="L5627">
            <v>268054820.37</v>
          </cell>
          <cell r="M5627">
            <v>92457039.027908996</v>
          </cell>
          <cell r="N5627">
            <v>174053868.40007699</v>
          </cell>
          <cell r="O5627">
            <v>172004539.298904</v>
          </cell>
        </row>
        <row r="5628">
          <cell r="A5628" t="str">
            <v>Total GCF780 FR Recovery</v>
          </cell>
          <cell r="B5628">
            <v>-23213601.989999998</v>
          </cell>
          <cell r="C5628">
            <v>-32113264.57</v>
          </cell>
          <cell r="D5628">
            <v>-37759000.090000004</v>
          </cell>
          <cell r="E5628">
            <v>-11257905.34</v>
          </cell>
          <cell r="F5628">
            <v>-104343771.98999999</v>
          </cell>
          <cell r="G5628">
            <v>231052876.43912801</v>
          </cell>
          <cell r="H5628">
            <v>246102320.513484</v>
          </cell>
          <cell r="I5628">
            <v>273904985.23732901</v>
          </cell>
          <cell r="J5628">
            <v>279478897.67095703</v>
          </cell>
          <cell r="K5628">
            <v>1030539079.86089</v>
          </cell>
          <cell r="L5628">
            <v>-29433520.16</v>
          </cell>
          <cell r="M5628">
            <v>944990503.952649</v>
          </cell>
          <cell r="N5628">
            <v>1085079035.45454</v>
          </cell>
          <cell r="O5628">
            <v>1257874890.3479199</v>
          </cell>
        </row>
        <row r="5629">
          <cell r="A5629" t="str">
            <v>Total GCF781 LL Provision</v>
          </cell>
          <cell r="B5629">
            <v>0</v>
          </cell>
          <cell r="C5629">
            <v>0</v>
          </cell>
          <cell r="D5629">
            <v>0</v>
          </cell>
          <cell r="E5629">
            <v>0</v>
          </cell>
          <cell r="F5629">
            <v>0</v>
          </cell>
          <cell r="G5629">
            <v>0</v>
          </cell>
          <cell r="H5629">
            <v>0</v>
          </cell>
          <cell r="I5629">
            <v>0</v>
          </cell>
          <cell r="J5629">
            <v>0</v>
          </cell>
          <cell r="K5629">
            <v>0</v>
          </cell>
          <cell r="L5629">
            <v>0</v>
          </cell>
          <cell r="M5629">
            <v>0</v>
          </cell>
          <cell r="N5629">
            <v>0</v>
          </cell>
          <cell r="O5629">
            <v>0</v>
          </cell>
        </row>
        <row r="5630">
          <cell r="A5630" t="str">
            <v>Total GCF781 LL Recovery</v>
          </cell>
          <cell r="B5630">
            <v>0</v>
          </cell>
          <cell r="C5630">
            <v>0</v>
          </cell>
          <cell r="D5630">
            <v>0</v>
          </cell>
          <cell r="E5630">
            <v>0</v>
          </cell>
          <cell r="F5630">
            <v>0</v>
          </cell>
          <cell r="G5630">
            <v>0</v>
          </cell>
          <cell r="H5630">
            <v>0</v>
          </cell>
          <cell r="I5630">
            <v>0</v>
          </cell>
          <cell r="J5630">
            <v>0</v>
          </cell>
          <cell r="K5630">
            <v>0</v>
          </cell>
          <cell r="L5630">
            <v>0</v>
          </cell>
          <cell r="M5630">
            <v>0</v>
          </cell>
          <cell r="N5630">
            <v>0</v>
          </cell>
          <cell r="O5630">
            <v>0</v>
          </cell>
        </row>
        <row r="5631">
          <cell r="A5631" t="str">
            <v>Total GCF782 DF Provision</v>
          </cell>
          <cell r="B5631">
            <v>14960239.369999999</v>
          </cell>
          <cell r="C5631">
            <v>2412435.4</v>
          </cell>
          <cell r="D5631">
            <v>147659.67000000001</v>
          </cell>
          <cell r="E5631">
            <v>491932.15999999997</v>
          </cell>
          <cell r="F5631">
            <v>18012266.600000001</v>
          </cell>
          <cell r="G5631">
            <v>0</v>
          </cell>
          <cell r="H5631">
            <v>0</v>
          </cell>
          <cell r="I5631">
            <v>0</v>
          </cell>
          <cell r="J5631">
            <v>0</v>
          </cell>
          <cell r="K5631">
            <v>0</v>
          </cell>
          <cell r="L5631">
            <v>8810690.8100000005</v>
          </cell>
          <cell r="M5631">
            <v>0</v>
          </cell>
          <cell r="N5631">
            <v>0</v>
          </cell>
          <cell r="O5631">
            <v>0</v>
          </cell>
        </row>
        <row r="5632">
          <cell r="A5632" t="str">
            <v>Total GCF782 DF Recovery</v>
          </cell>
          <cell r="B5632">
            <v>-1073693.95</v>
          </cell>
          <cell r="C5632">
            <v>-1140659.28</v>
          </cell>
          <cell r="D5632">
            <v>-385790.87</v>
          </cell>
          <cell r="E5632">
            <v>-690611.15</v>
          </cell>
          <cell r="F5632">
            <v>-3290755.25</v>
          </cell>
          <cell r="G5632">
            <v>0</v>
          </cell>
          <cell r="H5632">
            <v>0</v>
          </cell>
          <cell r="I5632">
            <v>0</v>
          </cell>
          <cell r="J5632">
            <v>0</v>
          </cell>
          <cell r="K5632">
            <v>0</v>
          </cell>
          <cell r="L5632">
            <v>-709339.58</v>
          </cell>
          <cell r="M5632">
            <v>0</v>
          </cell>
          <cell r="N5632">
            <v>0</v>
          </cell>
          <cell r="O5632">
            <v>0</v>
          </cell>
        </row>
        <row r="5633">
          <cell r="A5633" t="str">
            <v>Total GCF783 Corp Level Provision</v>
          </cell>
          <cell r="B5633">
            <v>0</v>
          </cell>
          <cell r="C5633">
            <v>0</v>
          </cell>
          <cell r="D5633">
            <v>0</v>
          </cell>
          <cell r="E5633">
            <v>0</v>
          </cell>
          <cell r="F5633">
            <v>0</v>
          </cell>
          <cell r="G5633">
            <v>0</v>
          </cell>
          <cell r="H5633">
            <v>0</v>
          </cell>
          <cell r="I5633">
            <v>0</v>
          </cell>
          <cell r="J5633">
            <v>0</v>
          </cell>
          <cell r="K5633">
            <v>0</v>
          </cell>
          <cell r="L5633">
            <v>0</v>
          </cell>
          <cell r="M5633">
            <v>0</v>
          </cell>
          <cell r="N5633">
            <v>0</v>
          </cell>
          <cell r="O5633">
            <v>0</v>
          </cell>
        </row>
        <row r="5634">
          <cell r="A5634" t="str">
            <v>Total GCF783 Corp Level Recovery</v>
          </cell>
          <cell r="B5634">
            <v>0</v>
          </cell>
          <cell r="C5634">
            <v>0</v>
          </cell>
          <cell r="D5634">
            <v>0</v>
          </cell>
          <cell r="E5634">
            <v>0</v>
          </cell>
          <cell r="F5634">
            <v>0</v>
          </cell>
          <cell r="G5634">
            <v>0</v>
          </cell>
          <cell r="H5634">
            <v>0</v>
          </cell>
          <cell r="I5634">
            <v>0</v>
          </cell>
          <cell r="J5634">
            <v>0</v>
          </cell>
          <cell r="K5634">
            <v>0</v>
          </cell>
          <cell r="L5634">
            <v>0</v>
          </cell>
          <cell r="M5634">
            <v>0</v>
          </cell>
          <cell r="N5634">
            <v>0</v>
          </cell>
          <cell r="O5634">
            <v>0</v>
          </cell>
        </row>
        <row r="5635">
          <cell r="A5635" t="str">
            <v>Total GCF784 Business Share Provision</v>
          </cell>
          <cell r="B5635">
            <v>-2481528.0699999998</v>
          </cell>
          <cell r="C5635">
            <v>-1167541.56</v>
          </cell>
          <cell r="D5635">
            <v>-587512.97</v>
          </cell>
          <cell r="E5635">
            <v>-322281.12</v>
          </cell>
          <cell r="F5635">
            <v>-4558863.72</v>
          </cell>
          <cell r="G5635">
            <v>0</v>
          </cell>
          <cell r="H5635">
            <v>0</v>
          </cell>
          <cell r="I5635">
            <v>0</v>
          </cell>
          <cell r="J5635">
            <v>0</v>
          </cell>
          <cell r="K5635">
            <v>0</v>
          </cell>
          <cell r="L5635">
            <v>-935513.05</v>
          </cell>
          <cell r="M5635">
            <v>0</v>
          </cell>
          <cell r="N5635">
            <v>0</v>
          </cell>
          <cell r="O5635">
            <v>0</v>
          </cell>
        </row>
        <row r="5636">
          <cell r="A5636" t="str">
            <v>Total GCFReserves - Business Sharing</v>
          </cell>
          <cell r="B5636">
            <v>9108453.8900000006</v>
          </cell>
          <cell r="C5636">
            <v>6962423.8499999996</v>
          </cell>
          <cell r="D5636">
            <v>8211298.3300000001</v>
          </cell>
          <cell r="E5636">
            <v>8695264.1999999993</v>
          </cell>
          <cell r="F5636">
            <v>8695264.1999999993</v>
          </cell>
          <cell r="G5636">
            <v>0</v>
          </cell>
          <cell r="H5636">
            <v>0</v>
          </cell>
          <cell r="I5636">
            <v>0</v>
          </cell>
          <cell r="J5636">
            <v>0</v>
          </cell>
          <cell r="K5636">
            <v>0</v>
          </cell>
          <cell r="L5636">
            <v>3503082.94</v>
          </cell>
          <cell r="M5636">
            <v>0</v>
          </cell>
          <cell r="N5636">
            <v>0</v>
          </cell>
          <cell r="O5636">
            <v>0</v>
          </cell>
        </row>
      </sheetData>
      <sheetData sheetId="2" refreshError="1"/>
      <sheetData sheetId="3" refreshError="1"/>
      <sheetData sheetId="4" refreshError="1">
        <row r="2">
          <cell r="H2" t="str">
            <v>India Countrywide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45-9_1_96"/>
      <sheetName val="223.582"/>
      <sheetName val="DG06"/>
      <sheetName val="DG07"/>
      <sheetName val="DG14"/>
      <sheetName val="BRP&amp;L"/>
      <sheetName val="#REF"/>
      <sheetName val="3645_9_1_96"/>
      <sheetName val="Data"/>
      <sheetName val="Control"/>
      <sheetName val="FTE salaries"/>
      <sheetName val="Capex - Hry"/>
      <sheetName val="ANNEXURE-P&amp;L"/>
      <sheetName val="entitlements"/>
      <sheetName val="FORM-16"/>
      <sheetName val="Data Dump"/>
      <sheetName val="Empl Code"/>
      <sheetName val="GL Account"/>
      <sheetName val="lov-COAct"/>
      <sheetName val="lov-cspl"/>
      <sheetName val="XL4Poppy"/>
      <sheetName val="CRITERIA1"/>
      <sheetName val="Profile"/>
      <sheetName val="FRINGE_BENEFIT_INFO"/>
      <sheetName val="GENERAL2"/>
      <sheetName val="IT_TDS_TCS_FBT"/>
      <sheetName val="PART_C"/>
      <sheetName val="Indirect expens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 &amp; L"/>
      <sheetName val="SHARE CAPITAL"/>
      <sheetName val="R &amp; s"/>
      <sheetName val="Res &amp; surplus"/>
      <sheetName val="SEC LOAN "/>
      <sheetName val="UN-SEC.LOAN"/>
      <sheetName val="Fixed Assets"/>
      <sheetName val="INVESTMENT"/>
      <sheetName val="INVENTORY"/>
      <sheetName val="DEBTORS"/>
      <sheetName val="CASHBANK"/>
      <sheetName val="LOANS-ADV"/>
      <sheetName val="LIABILITIES"/>
      <sheetName val="PROVISION"/>
      <sheetName val="OTHER INC."/>
      <sheetName val="Cons"/>
      <sheetName val="FinishedTraded Goods"/>
      <sheetName val="EXPENSES"/>
      <sheetName val="Int &amp; Fin chgs"/>
      <sheetName val="Extord-schedule"/>
      <sheetName val="Interunit"/>
      <sheetName val="Purchases"/>
      <sheetName val="Simulator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uation"/>
      <sheetName val="Financials"/>
      <sheetName val="Anupam"/>
      <sheetName val="comp rev exp"/>
      <sheetName val="AnuPriyaCapex"/>
      <sheetName val="Excise on RM"/>
      <sheetName val="HOUSE RENT DEPO."/>
      <sheetName val="Validations"/>
      <sheetName val="debt schedule"/>
      <sheetName val="comp_rev_exp"/>
      <sheetName val="DATA"/>
      <sheetName val="ecc_res"/>
      <sheetName val="Rate analysis"/>
      <sheetName val="pvr-value"/>
      <sheetName val="Dep"/>
      <sheetName val="Fill this out first..."/>
      <sheetName val="Loan Data"/>
      <sheetName val="June 03"/>
      <sheetName val="Excise_on_RM"/>
      <sheetName val="HOUSE_RENT_DEPO_"/>
      <sheetName val="comp_rev_exp1"/>
      <sheetName val="Excise_on_RM1"/>
      <sheetName val="HOUSE_RENT_DEPO_1"/>
      <sheetName val="Assumptions"/>
      <sheetName val="V.master Oct10"/>
      <sheetName val="Sheet1"/>
      <sheetName val="par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S"/>
      <sheetName val="Tally Data"/>
      <sheetName val="Tally_Exl_Ctrl"/>
      <sheetName val="Sheet1"/>
      <sheetName val="BS"/>
      <sheetName val="BS SCH"/>
      <sheetName val="PL"/>
      <sheetName val="PL SCH"/>
      <sheetName val="GROUPINGS"/>
      <sheetName val="TALLY GROUPED"/>
      <sheetName val="TALLY TB"/>
      <sheetName val="MASTER"/>
      <sheetName val="FA_SCH"/>
      <sheetName val="Conversion rate"/>
      <sheetName val="rates"/>
      <sheetName val="Deferred's"/>
      <sheetName val="Tally_Data"/>
      <sheetName val="BS_SCH"/>
      <sheetName val="PL_SCH"/>
      <sheetName val="TALLY_GROUPED"/>
      <sheetName val="TALLY_TB"/>
      <sheetName val="Financials"/>
      <sheetName val="Tally_Data1"/>
      <sheetName val="BS_SCH1"/>
      <sheetName val="PL_SCH1"/>
      <sheetName val="TALLY_GROUPED1"/>
      <sheetName val="TALLY_TB1"/>
      <sheetName val="Conversion_rate"/>
    </sheetNames>
    <sheetDataSet>
      <sheetData sheetId="0" refreshError="1">
        <row r="2">
          <cell r="B2" t="str">
            <v>SOLVAY VISHNU BARIUM PRIVATE LIMITED</v>
          </cell>
        </row>
        <row r="4">
          <cell r="B4" t="e">
            <v>#N/A</v>
          </cell>
        </row>
        <row r="7">
          <cell r="B7">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refreshError="1"/>
      <sheetData sheetId="22"/>
      <sheetData sheetId="23"/>
      <sheetData sheetId="24"/>
      <sheetData sheetId="25"/>
      <sheetData sheetId="26"/>
      <sheetData sheetId="2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formance Snapshot"/>
      <sheetName val="YTD P&amp;L"/>
      <sheetName val="Analysis"/>
      <sheetName val="Revenue Analysis"/>
      <sheetName val="Procedure Count"/>
      <sheetName val="Loan repayments &amp; Gap"/>
      <sheetName val="Cost Savings - Stents"/>
      <sheetName val="Occupancy Loss"/>
      <sheetName val="Detailed P&amp;L"/>
      <sheetName val="Monthly Budget"/>
      <sheetName val="WC Workings"/>
      <sheetName val="SUMMARY Derived Consumption"/>
      <sheetName val="BUDGET - PL Surat"/>
      <sheetName val="Loan Details Unit Wise"/>
      <sheetName val="Employees Cost"/>
      <sheetName val="Surat TB"/>
      <sheetName val="Fixed Prof Fees"/>
      <sheetName val="Proff Fees"/>
      <sheetName val="Referal Fees"/>
      <sheetName val="Fixed Exp"/>
      <sheetName val="FY 09"/>
      <sheetName val="St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18">
          <cell r="C218">
            <v>15772390</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tList"/>
      <sheetName val="Arrester 2nd Level Matrix"/>
      <sheetName val="Bowler"/>
      <sheetName val="Productivity"/>
      <sheetName val="Materials"/>
      <sheetName val="Scrap"/>
      <sheetName val="KPI's"/>
      <sheetName val="IncidentsFP"/>
      <sheetName val="TCIR_FP"/>
      <sheetName val="LWCIR_FP"/>
      <sheetName val="IncidentsEAP"/>
      <sheetName val="TCIR_EAP"/>
      <sheetName val="LWCIR_EAP"/>
      <sheetName val="OTD"/>
      <sheetName val="LT"/>
      <sheetName val="PastDue"/>
      <sheetName val="OpProfit"/>
      <sheetName val="Spending"/>
      <sheetName val="PPV"/>
      <sheetName val="ProdFP"/>
      <sheetName val="IA"/>
      <sheetName val="Inv"/>
      <sheetName val="Turns"/>
      <sheetName val="Cntmrs-Recruit"/>
      <sheetName val="DDC"/>
      <sheetName val="SAFETY"/>
      <sheetName val="A"/>
      <sheetName val="Total DTH Forecast"/>
      <sheetName val="Total Distribution Forecast"/>
      <sheetName val="FORECAST"/>
      <sheetName val="Med Reimb."/>
      <sheetName val="EXPENSES"/>
      <sheetName val="SCH4"/>
      <sheetName val="Consol"/>
      <sheetName val="IND"/>
      <sheetName val="ITL"/>
      <sheetName val="LLC"/>
      <sheetName val="UKL"/>
      <sheetName val="Parameters&amp;Notes"/>
      <sheetName val="DATA"/>
      <sheetName val="2000"/>
      <sheetName val="ZZ_DowntimeIssuesMTD"/>
      <sheetName val="Assy Exc Tak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ab"/>
      <sheetName val="Subcont."/>
      <sheetName val="Mat. Liab."/>
      <sheetName val="Stock"/>
      <sheetName val="Site Stock"/>
      <sheetName val="WIP"/>
      <sheetName val="Adv. Rnt."/>
      <sheetName val="Fuel Consumption"/>
      <sheetName val="BG"/>
      <sheetName val="BG (2)"/>
      <sheetName val="CAR"/>
      <sheetName val="Prel.Mat."/>
      <sheetName val="09-MIS Preparation Dec'04"/>
      <sheetName val="Sheet1"/>
      <sheetName val="90-120"/>
      <sheetName val="US"/>
      <sheetName val="Assumptions"/>
      <sheetName val="Scheme Area Details_Block__ C2"/>
      <sheetName val="P&amp;L01-02GR"/>
      <sheetName val="Challan"/>
      <sheetName val="5 - CITICORP"/>
      <sheetName val="Abt Foundation "/>
      <sheetName val="pier Foundation"/>
      <sheetName val="TBD - ACCTG MANAGER HD"/>
      <sheetName val="Factor_Sheet"/>
      <sheetName val="Analy"/>
      <sheetName val="China"/>
      <sheetName val="Fixed Prof Fees"/>
      <sheetName val="EL 2002"/>
      <sheetName val="section"/>
      <sheetName val="14"/>
      <sheetName val="3"/>
      <sheetName val="40"/>
      <sheetName val="NEARunoff"/>
      <sheetName val="IT_DDTP"/>
      <sheetName val="Branch"/>
      <sheetName val="Severity"/>
      <sheetName val="PO"/>
      <sheetName val="sch 11 thru 15"/>
      <sheetName val="sch 1 thru 6 sans 4"/>
      <sheetName val="Existing Detail"/>
      <sheetName val="Acquisition Detail"/>
      <sheetName val="CA"/>
    </sheetNames>
    <sheetDataSet>
      <sheetData sheetId="0">
        <row r="4">
          <cell r="B4" t="str">
            <v>A/C Code</v>
          </cell>
        </row>
      </sheetData>
      <sheetData sheetId="1" refreshError="1"/>
      <sheetData sheetId="2" refreshError="1"/>
      <sheetData sheetId="3">
        <row r="4">
          <cell r="B4" t="str">
            <v>A/C Code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 val="IncidentsEAP"/>
      <sheetName val="Existing Detail"/>
      <sheetName val="Acquisition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HR_QBR"/>
      <sheetName val="Consolidate_HRQBR_Macro"/>
      <sheetName val="Payroll report (AUD)"/>
      <sheetName val="Payroll report (NZD)"/>
      <sheetName val="Master"/>
      <sheetName val="Revised incl 03 conf"/>
      <sheetName val="Pivot All"/>
      <sheetName val="Revised OTC"/>
      <sheetName val="CommAdj_template"/>
      <sheetName val="True Up Q4 02_All"/>
      <sheetName val="Nicola"/>
      <sheetName val="Kevin"/>
      <sheetName val="Allen"/>
      <sheetName val="Allen(revised)"/>
      <sheetName val="Peter"/>
      <sheetName val="Trevor"/>
      <sheetName val="Robert"/>
      <sheetName val="dropdown"/>
    </sheetNames>
    <sheetDataSet>
      <sheetData sheetId="0" refreshError="1">
        <row r="2">
          <cell r="A2" t="str">
            <v>AU_HRQBR.csv</v>
          </cell>
        </row>
        <row r="3">
          <cell r="A3" t="str">
            <v>HK_HRQBR.csv</v>
          </cell>
        </row>
        <row r="4">
          <cell r="A4" t="str">
            <v>IN_HRQBR.csv</v>
          </cell>
        </row>
        <row r="5">
          <cell r="A5" t="str">
            <v>JP_HRQBR.csv</v>
          </cell>
        </row>
        <row r="6">
          <cell r="A6" t="str">
            <v>KR_HRQBR.csv</v>
          </cell>
        </row>
        <row r="7">
          <cell r="A7" t="str">
            <v>MY_HRQBR.csv</v>
          </cell>
        </row>
        <row r="8">
          <cell r="A8" t="str">
            <v>PH_HRQBR.csv</v>
          </cell>
        </row>
        <row r="9">
          <cell r="A9" t="str">
            <v>SG_HRQBR.csv</v>
          </cell>
        </row>
        <row r="10">
          <cell r="A10" t="str">
            <v>TW_HRQBR.csv</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puts"/>
      <sheetName val="Comparison"/>
      <sheetName val="Output - Rev &amp; EBITDA"/>
      <sheetName val="Consolidated"/>
      <sheetName val="Existing consolidated"/>
      <sheetName val="New consolidated"/>
      <sheetName val="New projects"/>
      <sheetName val="Funding"/>
      <sheetName val="Capex"/>
      <sheetName val="Depreciation"/>
      <sheetName val="Debt and interest"/>
      <sheetName val="Income tax"/>
      <sheetName val="Banjara"/>
      <sheetName val="Nampally"/>
      <sheetName val="Musheerabad"/>
      <sheetName val="Bhubhaneswar"/>
      <sheetName val="Nagpur"/>
      <sheetName val="Raipur"/>
      <sheetName val="Vizag"/>
      <sheetName val="Vijayawada"/>
      <sheetName val="Pune-Chinchiwad"/>
      <sheetName val="Pune-Galaxy"/>
      <sheetName val="Surat"/>
      <sheetName val="Eliminiations"/>
      <sheetName val="CIMS"/>
      <sheetName val="Corporate"/>
      <sheetName val="New-AOC"/>
      <sheetName val="New-GCHBLI"/>
      <sheetName val="New-Vizag"/>
      <sheetName val="New-Raipur"/>
      <sheetName val="New-Nagpur"/>
      <sheetName val="New-Bhubaneshwar"/>
      <sheetName val="New-Sanjeevani"/>
      <sheetName val="Outputs Existing"/>
      <sheetName val="Outputs New"/>
      <sheetName val="Key ratios"/>
      <sheetName val="IRR calculation"/>
      <sheetName val="QCIL"/>
      <sheetName val="Vizag Consolidated"/>
      <sheetName val="Bhubhaneswar Consolidated"/>
      <sheetName val="Raipur Consolidated"/>
      <sheetName val="Nagpur Consolidated"/>
    </sheetNames>
    <sheetDataSet>
      <sheetData sheetId="0"/>
      <sheetData sheetId="1">
        <row r="12">
          <cell r="C12">
            <v>0.03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 ExRate"/>
      <sheetName val="651INDSG1"/>
    </sheetNames>
    <sheetDataSet>
      <sheetData sheetId="0">
        <row r="6">
          <cell r="B6">
            <v>48.874991999999999</v>
          </cell>
        </row>
      </sheetData>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Computation"/>
      <sheetName val="notes"/>
      <sheetName val="Notes-COI"/>
      <sheetName val="234C"/>
      <sheetName val="115JB"/>
      <sheetName val="Revised Tax Dep Schedule"/>
      <sheetName val="Workings of Provisions"/>
      <sheetName val="Sheet1"/>
      <sheetName val="STP P&am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Stock"/>
      <sheetName val="FORM6&amp;7"/>
      <sheetName val="FS"/>
      <sheetName val="adp-budget"/>
      <sheetName val="Revenues"/>
      <sheetName val="DHANBAD"/>
      <sheetName val="fa"/>
      <sheetName val="LOCAL RATES"/>
      <sheetName val="5 - CITICORP"/>
      <sheetName val="Sheet1"/>
      <sheetName val="Inputs"/>
      <sheetName val="SOR"/>
      <sheetName val="Codes"/>
      <sheetName val="Input"/>
      <sheetName val="Transactions"/>
      <sheetName val="Oct-11"/>
      <sheetName val="May-11"/>
      <sheetName val="June-11"/>
      <sheetName val="all client IDs"/>
    </sheetNames>
    <sheetDataSet>
      <sheetData sheetId="0">
        <row r="3">
          <cell r="R3">
            <v>1</v>
          </cell>
        </row>
      </sheetData>
      <sheetData sheetId="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VAL"/>
      <sheetName val="Sheet2"/>
      <sheetName val="FDC-Italy"/>
      <sheetName val="rev.format-Italy"/>
      <sheetName val="P&amp;L(for MD)-Italy"/>
      <sheetName val="P&amp;L(for MD)-Exp."/>
      <sheetName val="P&amp;L(for MD)-Dom."/>
      <sheetName val="P&amp;L(for MD)-Actual"/>
      <sheetName val="rev.format-Dom."/>
      <sheetName val="P &amp; L"/>
      <sheetName val="Cost of sales"/>
      <sheetName val="Fdc"/>
      <sheetName val="MATCOST-Free"/>
      <sheetName val="SALES-QTY"/>
      <sheetName val="Export"/>
      <sheetName val="ExportP&amp;L"/>
      <sheetName val="Input-Pack Level"/>
      <sheetName val="Input-Brand Level"/>
      <sheetName val="SAMPLE"/>
      <sheetName val="sec.Frt."/>
      <sheetName val="rev.format Ytd"/>
      <sheetName val="Sheet1"/>
      <sheetName val="Inter Co."/>
      <sheetName val="TB vs Mngt"/>
      <sheetName val="TB Current"/>
      <sheetName val="BS"/>
      <sheetName val="TB PM"/>
      <sheetName val="TB vs Mngt PM"/>
      <sheetName val="SALES_VAL"/>
      <sheetName val="BRP&amp;L"/>
      <sheetName val="FORM-16"/>
      <sheetName val="WORKINGS"/>
      <sheetName val="Specific Provision for Jul"/>
      <sheetName val="P&amp;l0301"/>
      <sheetName val="Tax Computation"/>
      <sheetName val="fa"/>
      <sheetName val="Model"/>
      <sheetName val="COVER"/>
      <sheetName val="STB4"/>
      <sheetName val="データシート"/>
      <sheetName val="FINAL"/>
      <sheetName val="pack pnl-99"/>
      <sheetName val="Data"/>
      <sheetName val="Parameters"/>
      <sheetName val="Xg"/>
      <sheetName val="AT&amp;T VTNS Phoenix TP1"/>
      <sheetName val="LOM_MOD"/>
      <sheetName val="3645-9_1_96"/>
      <sheetName val="V-13_NRV Testing-FG"/>
      <sheetName val="Instructions"/>
      <sheetName val="bco035RG"/>
      <sheetName val="Apr-Mar New"/>
      <sheetName val="Count Summary"/>
      <sheetName val="SK DIST"/>
      <sheetName val="Form 16"/>
      <sheetName val="Schedules"/>
      <sheetName val="INDEX"/>
      <sheetName val="BAL01_02"/>
      <sheetName val="Ref"/>
      <sheetName val="JE10310X"/>
      <sheetName val="trial_HO"/>
      <sheetName val="table1"/>
      <sheetName val="PRICE"/>
      <sheetName val="Del05-06"/>
      <sheetName val="rev_format-Italy"/>
      <sheetName val="P&amp;L(for_MD)-Italy"/>
      <sheetName val="P&amp;L(for_MD)-Exp_"/>
      <sheetName val="P&amp;L(for_MD)-Dom_"/>
      <sheetName val="P&amp;L(for_MD)-Actual"/>
      <sheetName val="rev_format-Dom_"/>
      <sheetName val="P_&amp;_L"/>
      <sheetName val="Cost_of_sales"/>
      <sheetName val="Input-Pack_Level"/>
      <sheetName val="Input-Brand_Level"/>
      <sheetName val="sec_Frt_"/>
      <sheetName val="rev_format_Ytd"/>
      <sheetName val="Inter_Co_"/>
      <sheetName val="TB_vs_Mngt"/>
      <sheetName val="TB_Current"/>
      <sheetName val="TB_PM"/>
      <sheetName val="TB_vs_Mngt_PM"/>
      <sheetName val="V-13_NRV_Testing-FG"/>
      <sheetName val="Specific_Provision_for_Jul"/>
      <sheetName val="Tax_Computation"/>
      <sheetName val="ƒŠƒXƒg"/>
      <sheetName val="Jun Accrued Liab"/>
      <sheetName val="Sep Variance"/>
      <sheetName val="rev_format-Italy1"/>
      <sheetName val="P&amp;L(for_MD)-Italy1"/>
      <sheetName val="P&amp;L(for_MD)-Exp_1"/>
      <sheetName val="P&amp;L(for_MD)-Dom_1"/>
      <sheetName val="P&amp;L(for_MD)-Actual1"/>
      <sheetName val="rev_format-Dom_1"/>
      <sheetName val="P_&amp;_L1"/>
      <sheetName val="Cost_of_sales1"/>
      <sheetName val="Input-Pack_Level1"/>
      <sheetName val="Input-Brand_Level1"/>
      <sheetName val="sec_Frt_1"/>
      <sheetName val="rev_format_Ytd1"/>
      <sheetName val="Inter_Co_1"/>
      <sheetName val="TB_vs_Mngt1"/>
      <sheetName val="TB_Current1"/>
      <sheetName val="TB_PM1"/>
      <sheetName val="TB_vs_Mngt_PM1"/>
      <sheetName val="JUL"/>
      <sheetName val="Details"/>
      <sheetName val="OPERATING HEAD"/>
      <sheetName val="BS Schedules"/>
      <sheetName val="Directors"/>
      <sheetName val="adp-budget"/>
      <sheetName val="Input Journals"/>
      <sheetName val="Sheet3"/>
      <sheetName val="titles"/>
      <sheetName val="DCFRN"/>
      <sheetName val="MCFRN"/>
      <sheetName val="OCFRN"/>
      <sheetName val="Basic"/>
      <sheetName val="M-2 Adjusted"/>
      <sheetName val="収益予実"/>
      <sheetName val="BS01"/>
      <sheetName val="Currencies"/>
      <sheetName val="Customize Your Purchase Order"/>
      <sheetName val="MDS"/>
      <sheetName val="Annx."/>
      <sheetName val="Vat Return"/>
      <sheetName val="ATB NZE - All accs - 28 Jun (2)"/>
      <sheetName val="Cons.Trial"/>
      <sheetName val="rev_format-Italy2"/>
      <sheetName val="P&amp;L(for_MD)-Italy2"/>
      <sheetName val="P&amp;L(for_MD)-Exp_2"/>
      <sheetName val="P&amp;L(for_MD)-Dom_2"/>
      <sheetName val="P&amp;L(for_MD)-Actual2"/>
      <sheetName val="rev_format-Dom_2"/>
      <sheetName val="P_&amp;_L2"/>
      <sheetName val="Cost_of_sales2"/>
      <sheetName val="Input-Pack_Level2"/>
      <sheetName val="Input-Brand_Level2"/>
      <sheetName val="sec_Frt_2"/>
      <sheetName val="rev_format_Ytd2"/>
      <sheetName val="Inter_Co_2"/>
      <sheetName val="TB_vs_Mngt2"/>
      <sheetName val="TB_Current2"/>
      <sheetName val="TB_PM2"/>
      <sheetName val="TB_vs_Mngt_PM2"/>
      <sheetName val="Apr-Mar_New"/>
      <sheetName val="Count_Summary"/>
      <sheetName val="Form_16"/>
      <sheetName val="OPERATING_HEAD"/>
      <sheetName val="JE"/>
      <sheetName val="Reclass PL 2006"/>
      <sheetName val="Reclass PL 2007"/>
      <sheetName val="Reclass PL 2008"/>
      <sheetName val="BillofMaterials"/>
      <sheetName val="LISTS - DO NOT CHANGE"/>
      <sheetName val="OneSource Data"/>
      <sheetName val="OneSource Data (2)"/>
      <sheetName val="TB Sep 06 PF"/>
      <sheetName val="Parameter Summary"/>
      <sheetName val="Interest on Loan from Director"/>
      <sheetName val="Invoice List"/>
      <sheetName val="Lead Sheets"/>
      <sheetName val="New May"/>
      <sheetName val="FY01 Exp Template"/>
      <sheetName val="Basic Details"/>
      <sheetName val="PL Groupings"/>
      <sheetName val="BS Group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amp;PL_DEC96"/>
      <sheetName val="TB Jan-Dec96"/>
      <sheetName val="Part IV"/>
      <sheetName val="Dep-Dec96"/>
      <sheetName val="Additions-Dec96"/>
      <sheetName val="Summary-Dec96"/>
      <sheetName val="Cap WIP-Dec96"/>
      <sheetName val="RMpurdec96"/>
      <sheetName val="Production Dec96"/>
      <sheetName val="Forex-Dec96"/>
      <sheetName val="Schedule 14"/>
      <sheetName val="Accounting Policies"/>
      <sheetName val="Managerial Remuneration-Dec96"/>
      <sheetName val="Computation of Income-Terry"/>
      <sheetName val="WIP-Dec96"/>
      <sheetName val="Finished Goods-Dec96"/>
      <sheetName val="PhyVeri-Dec96"/>
      <sheetName val="Stores Summary Dec 96"/>
      <sheetName val="RM Consumption-Dec96"/>
      <sheetName val="Goods in Transit-Dec96"/>
      <sheetName val="Capital Commitment"/>
      <sheetName val="Gratuity Payable"/>
      <sheetName val="IRM COST-DEC96"/>
      <sheetName val="CIF Spares"/>
      <sheetName val="adp-budget"/>
      <sheetName val="DEP"/>
      <sheetName val="MOTO"/>
      <sheetName val="Surcharges (2)"/>
      <sheetName val="List Plants"/>
      <sheetName val="code"/>
      <sheetName val="MC C p h"/>
      <sheetName val="Sheet5"/>
      <sheetName val="Cap Gain Bonds &amp; Sec. 332053 "/>
      <sheetName val="INV"/>
      <sheetName val="C.O."/>
      <sheetName val="FY2001-02"/>
      <sheetName val="Listbox"/>
      <sheetName val="Results"/>
      <sheetName val="PLGroupings"/>
      <sheetName val="list"/>
      <sheetName val="wip-Dec."/>
      <sheetName val="COMP"/>
      <sheetName val="Packing Norms"/>
      <sheetName val="packing"/>
      <sheetName val="Sheet1"/>
      <sheetName val="Degreasing"/>
      <sheetName val="Primer"/>
      <sheetName val="Sandblasting"/>
      <sheetName val="ESI"/>
      <sheetName val="TDS DETAILS"/>
      <sheetName val="Features"/>
      <sheetName val="TGT"/>
      <sheetName val="계열사현황종합"/>
      <sheetName val="Data"/>
      <sheetName val="M-2 Adjusted"/>
      <sheetName val="Control"/>
      <sheetName val="#REF"/>
      <sheetName val="Stocks"/>
      <sheetName val="Input"/>
      <sheetName val="품의서"/>
      <sheetName val="COVER"/>
      <sheetName val="STB4"/>
      <sheetName val="Balance Sht"/>
      <sheetName val="P&amp;L"/>
      <sheetName val="CIP"/>
      <sheetName val="Setup"/>
      <sheetName val="DATOS INICIALES"/>
      <sheetName val="Classification"/>
    </sheetNames>
    <sheetDataSet>
      <sheetData sheetId="0" refreshError="1">
        <row r="1">
          <cell r="B1" t="str">
            <v>CLIMATE SYSTEMS INDIA LTD.</v>
          </cell>
        </row>
        <row r="2">
          <cell r="B2" t="str">
            <v>Balance Sheet as at 31 December, 1996</v>
          </cell>
        </row>
        <row r="4">
          <cell r="E4" t="str">
            <v>Schedule</v>
          </cell>
          <cell r="F4" t="str">
            <v>As at 31.12.96</v>
          </cell>
          <cell r="H4" t="str">
            <v>As at 31.12.95</v>
          </cell>
        </row>
        <row r="5">
          <cell r="F5" t="str">
            <v>Rs</v>
          </cell>
          <cell r="H5" t="str">
            <v>Rs</v>
          </cell>
        </row>
        <row r="7">
          <cell r="B7" t="str">
            <v>I</v>
          </cell>
          <cell r="C7" t="str">
            <v>SOURCES OF FUNDS</v>
          </cell>
        </row>
        <row r="8">
          <cell r="C8">
            <v>1</v>
          </cell>
          <cell r="D8" t="str">
            <v>Shareholders' Funds</v>
          </cell>
        </row>
        <row r="9">
          <cell r="D9" t="str">
            <v xml:space="preserve">  a)Capital</v>
          </cell>
          <cell r="E9">
            <v>1</v>
          </cell>
          <cell r="F9">
            <v>84800000</v>
          </cell>
          <cell r="H9">
            <v>84800000</v>
          </cell>
        </row>
        <row r="10">
          <cell r="D10" t="str">
            <v xml:space="preserve">      Amounts towards Equity Share Capital</v>
          </cell>
        </row>
        <row r="11">
          <cell r="D11" t="str">
            <v xml:space="preserve">       pending Allotment ( Refer Note # 6 )</v>
          </cell>
          <cell r="F11">
            <v>49554000</v>
          </cell>
          <cell r="H11">
            <v>49554000</v>
          </cell>
        </row>
        <row r="12">
          <cell r="D12" t="str">
            <v xml:space="preserve">  b)Reserves and Surplus</v>
          </cell>
          <cell r="E12">
            <v>2</v>
          </cell>
          <cell r="F12">
            <v>10410342</v>
          </cell>
          <cell r="H12">
            <v>10410342</v>
          </cell>
        </row>
        <row r="13">
          <cell r="D13" t="str">
            <v xml:space="preserve">  c) Profit &amp; Loss Account</v>
          </cell>
          <cell r="F13">
            <v>5367834.8483165689</v>
          </cell>
          <cell r="H13">
            <v>-18333745</v>
          </cell>
        </row>
        <row r="16">
          <cell r="C16">
            <v>2</v>
          </cell>
          <cell r="D16" t="str">
            <v>Loan Funds</v>
          </cell>
        </row>
        <row r="17">
          <cell r="D17" t="str">
            <v xml:space="preserve">     a) Secured Loans</v>
          </cell>
          <cell r="E17">
            <v>3</v>
          </cell>
          <cell r="F17">
            <v>80080000</v>
          </cell>
          <cell r="H17">
            <v>75036000</v>
          </cell>
        </row>
        <row r="20">
          <cell r="D20" t="str">
            <v>TOTAL</v>
          </cell>
          <cell r="F20">
            <v>230212176.84831658</v>
          </cell>
          <cell r="H20">
            <v>201466597</v>
          </cell>
        </row>
        <row r="22">
          <cell r="B22" t="str">
            <v>II</v>
          </cell>
          <cell r="C22" t="str">
            <v>APPLICATION OF FUNDS</v>
          </cell>
        </row>
        <row r="24">
          <cell r="C24">
            <v>1</v>
          </cell>
          <cell r="D24" t="str">
            <v>Fixed Assets</v>
          </cell>
          <cell r="E24">
            <v>4</v>
          </cell>
        </row>
        <row r="25">
          <cell r="D25" t="str">
            <v>a. Gross Block</v>
          </cell>
          <cell r="F25">
            <v>206381784</v>
          </cell>
          <cell r="H25">
            <v>201387226</v>
          </cell>
        </row>
        <row r="26">
          <cell r="D26" t="str">
            <v>b. Less Depreciation</v>
          </cell>
          <cell r="F26">
            <v>48819904</v>
          </cell>
          <cell r="H26">
            <v>33577690</v>
          </cell>
        </row>
        <row r="27">
          <cell r="D27" t="str">
            <v>c. Net Block</v>
          </cell>
          <cell r="F27">
            <v>157561880</v>
          </cell>
          <cell r="H27">
            <v>167809536</v>
          </cell>
        </row>
        <row r="28">
          <cell r="D28" t="str">
            <v>d. Capital Work in Progress</v>
          </cell>
          <cell r="F28">
            <v>608325</v>
          </cell>
          <cell r="H28">
            <v>693679</v>
          </cell>
        </row>
        <row r="29">
          <cell r="F29">
            <v>158170205</v>
          </cell>
          <cell r="H29">
            <v>168503215</v>
          </cell>
        </row>
        <row r="30">
          <cell r="C30">
            <v>2</v>
          </cell>
          <cell r="D30" t="str">
            <v>Current Assets, Loans and Advances</v>
          </cell>
        </row>
        <row r="31">
          <cell r="D31" t="str">
            <v>a. Inventories</v>
          </cell>
          <cell r="E31">
            <v>5</v>
          </cell>
          <cell r="F31">
            <v>45259085.512461223</v>
          </cell>
          <cell r="H31">
            <v>42200681</v>
          </cell>
        </row>
        <row r="32">
          <cell r="D32" t="str">
            <v>b. Sundry Debtors</v>
          </cell>
          <cell r="E32">
            <v>5</v>
          </cell>
          <cell r="F32">
            <v>16805861.82</v>
          </cell>
          <cell r="H32">
            <v>4615360</v>
          </cell>
        </row>
        <row r="33">
          <cell r="D33" t="str">
            <v>c. Cash &amp; Bank Balances</v>
          </cell>
          <cell r="E33">
            <v>5</v>
          </cell>
          <cell r="F33">
            <v>14144148.079999998</v>
          </cell>
          <cell r="H33">
            <v>18438677</v>
          </cell>
        </row>
        <row r="34">
          <cell r="D34" t="str">
            <v>d. Loans &amp; Advances</v>
          </cell>
          <cell r="E34">
            <v>5</v>
          </cell>
          <cell r="F34">
            <v>5566575</v>
          </cell>
          <cell r="H34">
            <v>4543308</v>
          </cell>
        </row>
        <row r="35">
          <cell r="F35">
            <v>81775670.412461221</v>
          </cell>
          <cell r="H35">
            <v>69798026</v>
          </cell>
        </row>
        <row r="36">
          <cell r="C36">
            <v>3</v>
          </cell>
          <cell r="D36" t="str">
            <v>Less : Current Liabilities &amp; Provisions</v>
          </cell>
        </row>
        <row r="37">
          <cell r="D37" t="str">
            <v>a. Liabilities</v>
          </cell>
          <cell r="E37">
            <v>6</v>
          </cell>
          <cell r="F37">
            <v>9664163</v>
          </cell>
          <cell r="H37">
            <v>37118253</v>
          </cell>
        </row>
        <row r="38">
          <cell r="D38" t="str">
            <v>b. Provisions</v>
          </cell>
          <cell r="E38">
            <v>6</v>
          </cell>
          <cell r="F38">
            <v>197626.95270130667</v>
          </cell>
          <cell r="H38">
            <v>-131116</v>
          </cell>
        </row>
        <row r="39">
          <cell r="F39">
            <v>9861789.952701306</v>
          </cell>
          <cell r="H39">
            <v>36987137</v>
          </cell>
        </row>
        <row r="41">
          <cell r="D41" t="str">
            <v>Net Current Assets</v>
          </cell>
          <cell r="F41">
            <v>71913880.459759921</v>
          </cell>
          <cell r="H41">
            <v>32810889</v>
          </cell>
        </row>
        <row r="43">
          <cell r="C43">
            <v>4</v>
          </cell>
          <cell r="D43" t="str">
            <v>a)Miscellaneous Expenditure to the</v>
          </cell>
          <cell r="E43">
            <v>7</v>
          </cell>
          <cell r="F43">
            <v>128091.5</v>
          </cell>
          <cell r="H43">
            <v>152492</v>
          </cell>
        </row>
        <row r="44">
          <cell r="D44" t="str">
            <v xml:space="preserve">  extent not written off or adjusted</v>
          </cell>
        </row>
        <row r="46">
          <cell r="D46" t="str">
            <v>TOTAL</v>
          </cell>
          <cell r="F46">
            <v>230212176.95975992</v>
          </cell>
          <cell r="H46">
            <v>201466597</v>
          </cell>
        </row>
        <row r="47">
          <cell r="C47">
            <v>5</v>
          </cell>
          <cell r="D47" t="str">
            <v>Significant Accounting Policies</v>
          </cell>
          <cell r="E47">
            <v>13</v>
          </cell>
        </row>
        <row r="48">
          <cell r="C48">
            <v>6</v>
          </cell>
          <cell r="D48" t="str">
            <v>Notes on accounts</v>
          </cell>
          <cell r="E48">
            <v>14</v>
          </cell>
        </row>
        <row r="50">
          <cell r="B50" t="str">
            <v>The Schedules 1 to 7 and 13 &amp; 14 form an integral part of the Balance Sheet</v>
          </cell>
        </row>
        <row r="51">
          <cell r="B51" t="str">
            <v>This is the Balance Sheet referred to in our report of even date.</v>
          </cell>
        </row>
        <row r="53">
          <cell r="B53" t="str">
            <v>For Lovelock &amp; Lewes</v>
          </cell>
        </row>
        <row r="54">
          <cell r="B54" t="str">
            <v>Chartered Accountants</v>
          </cell>
          <cell r="H54" t="str">
            <v>T.P Jain</v>
          </cell>
        </row>
        <row r="55">
          <cell r="H55" t="str">
            <v>Managing Director</v>
          </cell>
        </row>
        <row r="56">
          <cell r="B56" t="str">
            <v>Kaushik Dutta</v>
          </cell>
        </row>
        <row r="57">
          <cell r="B57" t="str">
            <v>Partner</v>
          </cell>
          <cell r="H57" t="str">
            <v>Jagdish Khattar</v>
          </cell>
        </row>
        <row r="58">
          <cell r="B58" t="str">
            <v>New Delhi</v>
          </cell>
          <cell r="E58" t="str">
            <v>Sunil Rekhi</v>
          </cell>
          <cell r="H58" t="str">
            <v>Steve Gawne</v>
          </cell>
        </row>
        <row r="59">
          <cell r="B59" t="str">
            <v>Dated</v>
          </cell>
          <cell r="E59" t="str">
            <v xml:space="preserve">  Controller - Finance</v>
          </cell>
          <cell r="H59" t="str">
            <v>Directors</v>
          </cell>
        </row>
      </sheetData>
      <sheetData sheetId="1" refreshError="1">
        <row r="1">
          <cell r="B1" t="str">
            <v>CLIMATE SYSTEMS INDIA LTD.</v>
          </cell>
        </row>
        <row r="100">
          <cell r="C100" t="str">
            <v>LOANS &amp; ADVANCES</v>
          </cell>
        </row>
        <row r="101">
          <cell r="C101" t="str">
            <v>Security Deposit</v>
          </cell>
        </row>
        <row r="102">
          <cell r="C102" t="str">
            <v>Security To P.B.C</v>
          </cell>
          <cell r="D102">
            <v>116642</v>
          </cell>
          <cell r="E102">
            <v>0</v>
          </cell>
          <cell r="F102">
            <v>0</v>
          </cell>
          <cell r="G102">
            <v>0</v>
          </cell>
          <cell r="H102">
            <v>116642</v>
          </cell>
        </row>
        <row r="103">
          <cell r="C103" t="str">
            <v>Security to Telephone Department</v>
          </cell>
          <cell r="D103">
            <v>76560</v>
          </cell>
          <cell r="E103">
            <v>0</v>
          </cell>
          <cell r="F103">
            <v>0</v>
          </cell>
          <cell r="G103">
            <v>0</v>
          </cell>
          <cell r="H103">
            <v>76560</v>
          </cell>
        </row>
        <row r="104">
          <cell r="C104" t="str">
            <v>Security deposit -Mr.Cann's Resid.</v>
          </cell>
          <cell r="E104">
            <v>0</v>
          </cell>
          <cell r="F104">
            <v>0</v>
          </cell>
          <cell r="G104">
            <v>0</v>
          </cell>
          <cell r="H104">
            <v>0</v>
          </cell>
        </row>
        <row r="105">
          <cell r="C105" t="str">
            <v>Security deposit-Staff Resid.</v>
          </cell>
          <cell r="D105">
            <v>7500</v>
          </cell>
          <cell r="E105">
            <v>0</v>
          </cell>
          <cell r="F105">
            <v>0</v>
          </cell>
          <cell r="G105">
            <v>0</v>
          </cell>
          <cell r="H105">
            <v>7500</v>
          </cell>
        </row>
        <row r="106">
          <cell r="C106" t="str">
            <v>Security with American Embassey</v>
          </cell>
          <cell r="D106">
            <v>7120</v>
          </cell>
          <cell r="E106">
            <v>0</v>
          </cell>
          <cell r="F106">
            <v>0</v>
          </cell>
          <cell r="G106">
            <v>0</v>
          </cell>
          <cell r="H106">
            <v>7120</v>
          </cell>
        </row>
        <row r="107">
          <cell r="C107" t="str">
            <v>Security deposit-E.L.Dupont &amp; Co.</v>
          </cell>
          <cell r="D107">
            <v>50000</v>
          </cell>
          <cell r="E107">
            <v>0</v>
          </cell>
          <cell r="F107">
            <v>0</v>
          </cell>
          <cell r="G107">
            <v>0</v>
          </cell>
          <cell r="H107">
            <v>50000</v>
          </cell>
        </row>
        <row r="108">
          <cell r="C108" t="str">
            <v>Security deposit - DG set</v>
          </cell>
          <cell r="D108">
            <v>5500</v>
          </cell>
          <cell r="E108">
            <v>0</v>
          </cell>
          <cell r="F108">
            <v>0</v>
          </cell>
          <cell r="G108">
            <v>0</v>
          </cell>
          <cell r="H108">
            <v>5500</v>
          </cell>
        </row>
        <row r="109">
          <cell r="C109" t="str">
            <v>Security Deposit -R.S.E.B</v>
          </cell>
          <cell r="D109">
            <v>161890</v>
          </cell>
          <cell r="E109">
            <v>0</v>
          </cell>
          <cell r="F109">
            <v>0</v>
          </cell>
          <cell r="G109">
            <v>0</v>
          </cell>
          <cell r="H109">
            <v>161890</v>
          </cell>
        </row>
        <row r="110">
          <cell r="C110" t="str">
            <v xml:space="preserve"> SubTotal</v>
          </cell>
          <cell r="D110">
            <v>425212</v>
          </cell>
          <cell r="E110">
            <v>0</v>
          </cell>
          <cell r="F110">
            <v>0</v>
          </cell>
          <cell r="G110">
            <v>0</v>
          </cell>
          <cell r="H110">
            <v>425212</v>
          </cell>
        </row>
        <row r="112">
          <cell r="C112" t="str">
            <v>IMPREST WITH EMPLOYEES</v>
          </cell>
        </row>
        <row r="113">
          <cell r="C113" t="str">
            <v>Advance to Amit Marwah</v>
          </cell>
          <cell r="D113">
            <v>0</v>
          </cell>
          <cell r="E113">
            <v>0</v>
          </cell>
          <cell r="F113">
            <v>0</v>
          </cell>
          <cell r="G113">
            <v>0</v>
          </cell>
          <cell r="H113">
            <v>0</v>
          </cell>
        </row>
        <row r="114">
          <cell r="C114" t="str">
            <v>Advance to Anil kaul</v>
          </cell>
          <cell r="D114">
            <v>1100</v>
          </cell>
          <cell r="E114">
            <v>0</v>
          </cell>
          <cell r="F114">
            <v>0</v>
          </cell>
          <cell r="G114">
            <v>0</v>
          </cell>
          <cell r="H114">
            <v>1100</v>
          </cell>
        </row>
        <row r="115">
          <cell r="C115" t="str">
            <v>Advance to Balkar Singh</v>
          </cell>
          <cell r="D115">
            <v>39</v>
          </cell>
          <cell r="E115">
            <v>0</v>
          </cell>
          <cell r="F115">
            <v>0</v>
          </cell>
          <cell r="G115">
            <v>0</v>
          </cell>
          <cell r="H115">
            <v>39</v>
          </cell>
        </row>
        <row r="116">
          <cell r="C116" t="str">
            <v>Advance to MPCann</v>
          </cell>
          <cell r="D116">
            <v>0</v>
          </cell>
          <cell r="E116">
            <v>0</v>
          </cell>
          <cell r="F116">
            <v>0</v>
          </cell>
          <cell r="G116">
            <v>0</v>
          </cell>
          <cell r="H116">
            <v>0</v>
          </cell>
        </row>
        <row r="117">
          <cell r="C117" t="str">
            <v>Advance to Neeraj</v>
          </cell>
          <cell r="D117">
            <v>0</v>
          </cell>
          <cell r="E117">
            <v>0</v>
          </cell>
          <cell r="F117">
            <v>0</v>
          </cell>
          <cell r="G117">
            <v>0</v>
          </cell>
          <cell r="H117">
            <v>0</v>
          </cell>
        </row>
        <row r="118">
          <cell r="C118" t="str">
            <v>Advance to R.K.Sharma</v>
          </cell>
          <cell r="D118">
            <v>0</v>
          </cell>
          <cell r="E118">
            <v>0</v>
          </cell>
          <cell r="F118">
            <v>0</v>
          </cell>
          <cell r="G118">
            <v>0</v>
          </cell>
          <cell r="H118">
            <v>0</v>
          </cell>
        </row>
        <row r="119">
          <cell r="C119" t="str">
            <v>Advance to Rajgopalan</v>
          </cell>
          <cell r="D119">
            <v>3572</v>
          </cell>
          <cell r="E119">
            <v>0</v>
          </cell>
          <cell r="F119">
            <v>0</v>
          </cell>
          <cell r="G119">
            <v>0</v>
          </cell>
          <cell r="H119">
            <v>3572</v>
          </cell>
        </row>
        <row r="120">
          <cell r="C120" t="str">
            <v>Advance to Sanjeev Raghunandan</v>
          </cell>
          <cell r="D120">
            <v>206685</v>
          </cell>
          <cell r="E120">
            <v>0</v>
          </cell>
          <cell r="F120">
            <v>0</v>
          </cell>
          <cell r="G120">
            <v>0</v>
          </cell>
          <cell r="H120">
            <v>206685</v>
          </cell>
        </row>
        <row r="121">
          <cell r="C121" t="str">
            <v>Advance to Somendra Pal</v>
          </cell>
          <cell r="D121">
            <v>0</v>
          </cell>
          <cell r="E121">
            <v>0</v>
          </cell>
          <cell r="F121">
            <v>0</v>
          </cell>
          <cell r="G121">
            <v>0</v>
          </cell>
          <cell r="H121">
            <v>0</v>
          </cell>
        </row>
        <row r="124">
          <cell r="C124" t="str">
            <v>Advance to Sridhar</v>
          </cell>
          <cell r="D124">
            <v>1100</v>
          </cell>
          <cell r="E124">
            <v>0</v>
          </cell>
          <cell r="F124">
            <v>0</v>
          </cell>
          <cell r="G124">
            <v>0</v>
          </cell>
          <cell r="H124">
            <v>1100</v>
          </cell>
        </row>
        <row r="125">
          <cell r="C125" t="str">
            <v>Advance to T.P. Jain</v>
          </cell>
          <cell r="D125">
            <v>-534426</v>
          </cell>
          <cell r="E125">
            <v>534426</v>
          </cell>
          <cell r="F125">
            <v>0</v>
          </cell>
          <cell r="G125">
            <v>0</v>
          </cell>
          <cell r="H125">
            <v>0</v>
          </cell>
        </row>
        <row r="126">
          <cell r="C126" t="str">
            <v>Advance to S.Rekhi</v>
          </cell>
          <cell r="D126">
            <v>0</v>
          </cell>
          <cell r="E126">
            <v>0</v>
          </cell>
          <cell r="F126">
            <v>0</v>
          </cell>
          <cell r="G126">
            <v>0</v>
          </cell>
          <cell r="H126">
            <v>0</v>
          </cell>
        </row>
        <row r="127">
          <cell r="C127" t="str">
            <v xml:space="preserve"> SubTotal</v>
          </cell>
          <cell r="D127">
            <v>-321930</v>
          </cell>
          <cell r="E127">
            <v>534426</v>
          </cell>
          <cell r="F127">
            <v>0</v>
          </cell>
          <cell r="G127">
            <v>0</v>
          </cell>
          <cell r="H127">
            <v>212496</v>
          </cell>
        </row>
        <row r="129">
          <cell r="C129" t="str">
            <v>OTHER ADVANCES</v>
          </cell>
        </row>
        <row r="130">
          <cell r="C130" t="str">
            <v>Royalty Tax paid in Advance</v>
          </cell>
          <cell r="D130">
            <v>331505</v>
          </cell>
          <cell r="E130">
            <v>0</v>
          </cell>
          <cell r="F130">
            <v>0</v>
          </cell>
          <cell r="G130">
            <v>0</v>
          </cell>
          <cell r="H130">
            <v>331505</v>
          </cell>
        </row>
        <row r="131">
          <cell r="C131" t="str">
            <v>Advance rent A/C</v>
          </cell>
          <cell r="D131">
            <v>1649000</v>
          </cell>
          <cell r="E131">
            <v>0</v>
          </cell>
          <cell r="F131">
            <v>0</v>
          </cell>
          <cell r="G131">
            <v>0</v>
          </cell>
          <cell r="H131">
            <v>1649000</v>
          </cell>
        </row>
        <row r="132">
          <cell r="C132" t="str">
            <v>Advance Tax</v>
          </cell>
          <cell r="D132">
            <v>0</v>
          </cell>
          <cell r="E132">
            <v>0</v>
          </cell>
          <cell r="F132">
            <v>0</v>
          </cell>
          <cell r="G132">
            <v>0</v>
          </cell>
          <cell r="H132">
            <v>0</v>
          </cell>
        </row>
        <row r="133">
          <cell r="C133" t="str">
            <v>TDS Interest</v>
          </cell>
          <cell r="D133">
            <v>0</v>
          </cell>
          <cell r="E133">
            <v>0</v>
          </cell>
          <cell r="F133">
            <v>0</v>
          </cell>
          <cell r="G133">
            <v>0</v>
          </cell>
          <cell r="H133">
            <v>0</v>
          </cell>
        </row>
        <row r="134">
          <cell r="C134" t="str">
            <v>Tooling Advance - Venus Metal</v>
          </cell>
          <cell r="D134">
            <v>0</v>
          </cell>
          <cell r="E134">
            <v>0</v>
          </cell>
          <cell r="F134">
            <v>0</v>
          </cell>
          <cell r="G134">
            <v>0</v>
          </cell>
          <cell r="H134">
            <v>0</v>
          </cell>
        </row>
        <row r="135">
          <cell r="C135" t="str">
            <v>Other Advances (Grossing up)</v>
          </cell>
          <cell r="D135">
            <v>737412.61</v>
          </cell>
          <cell r="E135">
            <v>0</v>
          </cell>
          <cell r="F135">
            <v>0</v>
          </cell>
          <cell r="G135">
            <v>0</v>
          </cell>
          <cell r="H135">
            <v>737412.61</v>
          </cell>
        </row>
        <row r="136">
          <cell r="C136" t="str">
            <v>Prepaid Expenses</v>
          </cell>
          <cell r="D136">
            <v>27719</v>
          </cell>
          <cell r="E136">
            <v>0</v>
          </cell>
          <cell r="F136">
            <v>0</v>
          </cell>
          <cell r="G136">
            <v>0</v>
          </cell>
          <cell r="H136">
            <v>27719</v>
          </cell>
        </row>
        <row r="137">
          <cell r="C137" t="str">
            <v>Prepaid Insurance</v>
          </cell>
          <cell r="D137">
            <v>309377</v>
          </cell>
          <cell r="E137">
            <v>8330</v>
          </cell>
          <cell r="F137">
            <v>0</v>
          </cell>
          <cell r="G137">
            <v>0</v>
          </cell>
          <cell r="H137">
            <v>317707</v>
          </cell>
        </row>
        <row r="138">
          <cell r="C138" t="str">
            <v>Groovy Communication</v>
          </cell>
          <cell r="H138">
            <v>0</v>
          </cell>
        </row>
        <row r="139">
          <cell r="C139" t="str">
            <v>Grant Instruments (Cambridge) Ltd</v>
          </cell>
          <cell r="H139">
            <v>0</v>
          </cell>
        </row>
        <row r="140">
          <cell r="C140" t="str">
            <v>Competent Automobiles Ltd</v>
          </cell>
          <cell r="H140">
            <v>0</v>
          </cell>
        </row>
        <row r="141">
          <cell r="C141" t="str">
            <v>Magnum Electric Corporation</v>
          </cell>
          <cell r="H141">
            <v>0</v>
          </cell>
        </row>
        <row r="142">
          <cell r="C142" t="str">
            <v>Shivani Locks</v>
          </cell>
          <cell r="H142">
            <v>0</v>
          </cell>
        </row>
        <row r="143">
          <cell r="C143" t="str">
            <v>Venus Metal (Regd.)</v>
          </cell>
          <cell r="H143">
            <v>0</v>
          </cell>
        </row>
        <row r="144">
          <cell r="C144" t="str">
            <v>Macncill Engineering Limited</v>
          </cell>
          <cell r="H144">
            <v>0</v>
          </cell>
        </row>
        <row r="145">
          <cell r="C145" t="str">
            <v>Birla Information Technologies</v>
          </cell>
          <cell r="H145">
            <v>0</v>
          </cell>
        </row>
        <row r="146">
          <cell r="C146" t="str">
            <v>New India Assurance Co. Ltd.</v>
          </cell>
          <cell r="H146">
            <v>0</v>
          </cell>
        </row>
        <row r="147">
          <cell r="C147" t="str">
            <v>Hi-Tech Insutrument &amp; controls</v>
          </cell>
          <cell r="H147">
            <v>0</v>
          </cell>
        </row>
        <row r="148">
          <cell r="C148" t="str">
            <v>Sanjayana Rest Control Service</v>
          </cell>
          <cell r="H148">
            <v>0</v>
          </cell>
        </row>
        <row r="149">
          <cell r="C149" t="str">
            <v>Works Contract Tax</v>
          </cell>
          <cell r="H149">
            <v>0</v>
          </cell>
        </row>
        <row r="150">
          <cell r="C150" t="str">
            <v xml:space="preserve"> SubTotal</v>
          </cell>
          <cell r="D150">
            <v>3055013.61</v>
          </cell>
          <cell r="E150">
            <v>8330</v>
          </cell>
          <cell r="F150">
            <v>0</v>
          </cell>
          <cell r="G150">
            <v>0</v>
          </cell>
          <cell r="H150">
            <v>3063344</v>
          </cell>
        </row>
        <row r="151">
          <cell r="H151">
            <v>0</v>
          </cell>
        </row>
        <row r="152">
          <cell r="C152" t="str">
            <v>ADVANCE TO SUPPLIER</v>
          </cell>
          <cell r="H152">
            <v>0</v>
          </cell>
        </row>
        <row r="153">
          <cell r="C153" t="str">
            <v>Milhard Sales (P) Ltd.</v>
          </cell>
          <cell r="H153">
            <v>0</v>
          </cell>
        </row>
        <row r="154">
          <cell r="C154" t="str">
            <v>The Delhi Scientific Works</v>
          </cell>
          <cell r="H154">
            <v>0</v>
          </cell>
        </row>
        <row r="155">
          <cell r="C155" t="str">
            <v>Mikronix</v>
          </cell>
          <cell r="H155">
            <v>0</v>
          </cell>
        </row>
        <row r="156">
          <cell r="C156" t="str">
            <v>Pooja Forge Ltd</v>
          </cell>
          <cell r="H156">
            <v>0</v>
          </cell>
        </row>
        <row r="157">
          <cell r="C157" t="str">
            <v>Alexcon Extrusions Ltd</v>
          </cell>
          <cell r="H157">
            <v>0</v>
          </cell>
        </row>
        <row r="158">
          <cell r="C158" t="str">
            <v xml:space="preserve"> SubTotal</v>
          </cell>
          <cell r="D158">
            <v>0</v>
          </cell>
          <cell r="E158">
            <v>0</v>
          </cell>
          <cell r="F158">
            <v>0</v>
          </cell>
          <cell r="G158">
            <v>0</v>
          </cell>
          <cell r="H158">
            <v>0</v>
          </cell>
        </row>
        <row r="159">
          <cell r="H159">
            <v>0</v>
          </cell>
        </row>
        <row r="160">
          <cell r="C160" t="str">
            <v>RECIEVABLES</v>
          </cell>
          <cell r="H160">
            <v>0</v>
          </cell>
        </row>
        <row r="161">
          <cell r="C161" t="str">
            <v>Interest Accrued but not due</v>
          </cell>
          <cell r="D161">
            <v>0</v>
          </cell>
          <cell r="E161">
            <v>0</v>
          </cell>
          <cell r="F161">
            <v>0</v>
          </cell>
          <cell r="G161">
            <v>0</v>
          </cell>
          <cell r="H161">
            <v>0</v>
          </cell>
        </row>
        <row r="162">
          <cell r="C162" t="str">
            <v>Interest Recievables</v>
          </cell>
          <cell r="D162">
            <v>0</v>
          </cell>
          <cell r="E162">
            <v>0</v>
          </cell>
          <cell r="F162">
            <v>0</v>
          </cell>
          <cell r="G162">
            <v>0</v>
          </cell>
          <cell r="H162">
            <v>0</v>
          </cell>
        </row>
        <row r="163">
          <cell r="C163" t="str">
            <v>MODVAT-Receivable A/C</v>
          </cell>
          <cell r="D163">
            <v>542405</v>
          </cell>
          <cell r="E163">
            <v>0</v>
          </cell>
          <cell r="F163">
            <v>0</v>
          </cell>
          <cell r="G163">
            <v>0</v>
          </cell>
          <cell r="H163">
            <v>542405</v>
          </cell>
        </row>
        <row r="164">
          <cell r="C164" t="str">
            <v>Total Recievables</v>
          </cell>
          <cell r="D164">
            <v>542405</v>
          </cell>
          <cell r="E164">
            <v>0</v>
          </cell>
          <cell r="F164">
            <v>0</v>
          </cell>
          <cell r="G164">
            <v>0</v>
          </cell>
          <cell r="H164">
            <v>542405</v>
          </cell>
        </row>
        <row r="167">
          <cell r="C167" t="str">
            <v>Sub Total</v>
          </cell>
          <cell r="D167">
            <v>3700700.61</v>
          </cell>
          <cell r="E167">
            <v>542756</v>
          </cell>
          <cell r="F167">
            <v>0</v>
          </cell>
          <cell r="G167">
            <v>0</v>
          </cell>
          <cell r="H167">
            <v>4243457</v>
          </cell>
        </row>
        <row r="169">
          <cell r="C169" t="str">
            <v>BALANCE WITH EXICSE AUTHORITIES</v>
          </cell>
        </row>
        <row r="170">
          <cell r="C170" t="str">
            <v>PLA- Excise Duty</v>
          </cell>
          <cell r="D170">
            <v>9118.3500000000058</v>
          </cell>
          <cell r="E170">
            <v>0</v>
          </cell>
          <cell r="F170">
            <v>0</v>
          </cell>
          <cell r="G170">
            <v>0</v>
          </cell>
          <cell r="H170">
            <v>9118.3500000000058</v>
          </cell>
        </row>
        <row r="171">
          <cell r="C171" t="str">
            <v xml:space="preserve"> SubTotal</v>
          </cell>
          <cell r="D171">
            <v>9118.3500000000058</v>
          </cell>
          <cell r="E171">
            <v>0</v>
          </cell>
          <cell r="F171">
            <v>0</v>
          </cell>
          <cell r="G171">
            <v>0</v>
          </cell>
          <cell r="H171">
            <v>9118</v>
          </cell>
        </row>
        <row r="173">
          <cell r="C173" t="str">
            <v>DEPOSIT WITH SALES TAX &amp; CUSTOMS</v>
          </cell>
        </row>
        <row r="174">
          <cell r="C174" t="str">
            <v>Security Deposit - Customs</v>
          </cell>
          <cell r="D174">
            <v>1311000</v>
          </cell>
          <cell r="E174">
            <v>0</v>
          </cell>
          <cell r="F174">
            <v>0</v>
          </cell>
          <cell r="G174">
            <v>0</v>
          </cell>
          <cell r="H174">
            <v>1311000</v>
          </cell>
        </row>
        <row r="175">
          <cell r="C175" t="str">
            <v>Security Deposit -Sales tax</v>
          </cell>
          <cell r="D175">
            <v>3000</v>
          </cell>
          <cell r="E175">
            <v>0</v>
          </cell>
          <cell r="F175">
            <v>0</v>
          </cell>
          <cell r="G175">
            <v>0</v>
          </cell>
          <cell r="H175">
            <v>3000</v>
          </cell>
        </row>
        <row r="176">
          <cell r="C176" t="str">
            <v xml:space="preserve"> SubTotal</v>
          </cell>
          <cell r="D176">
            <v>1314000</v>
          </cell>
          <cell r="E176">
            <v>0</v>
          </cell>
          <cell r="F176">
            <v>0</v>
          </cell>
          <cell r="G176">
            <v>0</v>
          </cell>
          <cell r="H176">
            <v>1314000</v>
          </cell>
        </row>
        <row r="179">
          <cell r="C179" t="str">
            <v>Total LOANS &amp; ADVANCES</v>
          </cell>
          <cell r="D179">
            <v>5023818.96</v>
          </cell>
          <cell r="E179">
            <v>542756</v>
          </cell>
          <cell r="F179">
            <v>0</v>
          </cell>
          <cell r="G179">
            <v>0</v>
          </cell>
          <cell r="H179">
            <v>5566575</v>
          </cell>
        </row>
        <row r="181">
          <cell r="C181" t="str">
            <v>Total CURRENT ASSETS, LOANS &amp; ADVANCES</v>
          </cell>
          <cell r="D181">
            <v>81232914.782461226</v>
          </cell>
          <cell r="E181">
            <v>542756</v>
          </cell>
          <cell r="F181">
            <v>0</v>
          </cell>
          <cell r="G181">
            <v>0</v>
          </cell>
          <cell r="H181">
            <v>81775671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B1" t="str">
            <v>CLIMATE SYSTEMS INDIA LTD.</v>
          </cell>
        </row>
        <row r="3">
          <cell r="A3" t="str">
            <v xml:space="preserve">Computation of Net Profit As per Section 349 read with </v>
          </cell>
        </row>
        <row r="4">
          <cell r="A4" t="str">
            <v>Section 309 (5) &amp; Section 198 of The Companies Act, 1956</v>
          </cell>
        </row>
        <row r="7">
          <cell r="B7" t="str">
            <v>Profit before Taxes</v>
          </cell>
          <cell r="G7">
            <v>24502509.931017876</v>
          </cell>
        </row>
        <row r="9">
          <cell r="A9" t="str">
            <v>Add</v>
          </cell>
          <cell r="B9" t="str">
            <v>Provision for Depreciation</v>
          </cell>
          <cell r="F9">
            <v>48819904</v>
          </cell>
        </row>
        <row r="10">
          <cell r="B10" t="str">
            <v>Managerial Remuneration</v>
          </cell>
          <cell r="F10">
            <v>4834980.0945454538</v>
          </cell>
          <cell r="G10">
            <v>53654884.094545454</v>
          </cell>
        </row>
        <row r="12">
          <cell r="A12" t="str">
            <v>Less</v>
          </cell>
          <cell r="B12" t="str">
            <v>Depreciation under Section 350</v>
          </cell>
          <cell r="G12">
            <v>114761328.50893137</v>
          </cell>
        </row>
        <row r="14">
          <cell r="G14">
            <v>-36603934.483368039</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Journal Header"/>
      <sheetName val="Dec 03 Spot Rate"/>
      <sheetName val="Sample (old)"/>
      <sheetName val="2136 (old)"/>
      <sheetName val="Trial Balance"/>
      <sheetName val="Pivot"/>
      <sheetName val="2136"/>
    </sheetNames>
    <sheetDataSet>
      <sheetData sheetId="0"/>
      <sheetData sheetId="1"/>
      <sheetData sheetId="2"/>
      <sheetData sheetId="3"/>
      <sheetData sheetId="4">
        <row r="6">
          <cell r="A6" t="str">
            <v>11000100</v>
          </cell>
          <cell r="B6">
            <v>11000100</v>
          </cell>
          <cell r="C6" t="str">
            <v>PETTY CASH</v>
          </cell>
        </row>
        <row r="7">
          <cell r="A7" t="str">
            <v>13106111</v>
          </cell>
          <cell r="B7">
            <v>13106111</v>
          </cell>
          <cell r="C7" t="str">
            <v>BOA AU CLEARED USD1 - CURRENT</v>
          </cell>
        </row>
        <row r="8">
          <cell r="A8" t="str">
            <v>13106112</v>
          </cell>
          <cell r="B8">
            <v>13106112</v>
          </cell>
          <cell r="C8" t="str">
            <v>BOA AU UNCLEARED USD1 - CURRENT</v>
          </cell>
        </row>
        <row r="9">
          <cell r="A9" t="str">
            <v>13106113</v>
          </cell>
          <cell r="B9">
            <v>13106113</v>
          </cell>
          <cell r="C9" t="str">
            <v>BOA AU SUSPENSE USD1 - CURRENT</v>
          </cell>
        </row>
        <row r="10">
          <cell r="A10" t="str">
            <v>13106121</v>
          </cell>
          <cell r="B10">
            <v>13106121</v>
          </cell>
          <cell r="C10" t="str">
            <v>BOA AU CLEARED AUD2 - CURRENT</v>
          </cell>
        </row>
        <row r="11">
          <cell r="A11" t="str">
            <v>13106122</v>
          </cell>
          <cell r="B11">
            <v>13106122</v>
          </cell>
          <cell r="C11" t="str">
            <v>BOA AU UNCLEARED AUD2 - CURRENT</v>
          </cell>
        </row>
        <row r="12">
          <cell r="A12" t="str">
            <v>13106123</v>
          </cell>
          <cell r="B12">
            <v>13106123</v>
          </cell>
          <cell r="C12" t="str">
            <v>BOA AU SUSPENSE AUD2 - CURRENT</v>
          </cell>
        </row>
        <row r="13">
          <cell r="A13" t="str">
            <v>13106142</v>
          </cell>
          <cell r="B13">
            <v>13106142</v>
          </cell>
          <cell r="C13" t="str">
            <v>Bank Uncleared - St George Bank Term Deposit      </v>
          </cell>
        </row>
        <row r="14">
          <cell r="A14" t="str">
            <v>13106143</v>
          </cell>
          <cell r="B14">
            <v>13106143</v>
          </cell>
          <cell r="C14" t="str">
            <v>Bank Suspense - St George Bank Term Deposit       </v>
          </cell>
        </row>
        <row r="15">
          <cell r="A15" t="str">
            <v>13106152</v>
          </cell>
          <cell r="B15">
            <v>13106152</v>
          </cell>
          <cell r="C15" t="str">
            <v>Bank Uncleared - St George Bank Mgmt Account   </v>
          </cell>
        </row>
        <row r="16">
          <cell r="A16" t="str">
            <v>13106153</v>
          </cell>
          <cell r="B16">
            <v>13106153</v>
          </cell>
          <cell r="C16" t="str">
            <v>Bank Suspense - St George Bank Mgmt Account     </v>
          </cell>
        </row>
        <row r="17">
          <cell r="A17" t="str">
            <v>13109101</v>
          </cell>
          <cell r="B17">
            <v>13109101</v>
          </cell>
          <cell r="C17" t="str">
            <v>BOA - AU CLEARED USD 2 - CURRENT</v>
          </cell>
        </row>
        <row r="18">
          <cell r="A18" t="str">
            <v>13109102</v>
          </cell>
          <cell r="B18">
            <v>13109102</v>
          </cell>
          <cell r="C18" t="str">
            <v>BOA - AU UNCLEARED USD2 - CURRENT</v>
          </cell>
        </row>
        <row r="19">
          <cell r="A19" t="str">
            <v>13109103</v>
          </cell>
          <cell r="B19">
            <v>13109103</v>
          </cell>
          <cell r="C19" t="str">
            <v>BOA - AU SUSPENSE USD2 - CURRENT</v>
          </cell>
        </row>
        <row r="20">
          <cell r="A20" t="str">
            <v>17203372</v>
          </cell>
          <cell r="B20">
            <v>17203372</v>
          </cell>
          <cell r="C20" t="str">
            <v>ST GEORGE  AUD UNCLEARED - TERM</v>
          </cell>
        </row>
        <row r="21">
          <cell r="A21" t="str">
            <v>21000112</v>
          </cell>
          <cell r="B21">
            <v>21000112</v>
          </cell>
          <cell r="C21" t="str">
            <v>A/R - OTHER</v>
          </cell>
        </row>
        <row r="22">
          <cell r="A22" t="str">
            <v>21000200</v>
          </cell>
          <cell r="B22">
            <v>21000200</v>
          </cell>
          <cell r="C22" t="str">
            <v>A/R-TRADE UNBILLED</v>
          </cell>
        </row>
        <row r="23">
          <cell r="A23" t="str">
            <v>21000217</v>
          </cell>
          <cell r="B23">
            <v>21000217</v>
          </cell>
          <cell r="C23" t="str">
            <v>REVENUE CLEARING-ARBOR</v>
          </cell>
        </row>
        <row r="24">
          <cell r="A24" t="str">
            <v>21000222</v>
          </cell>
          <cell r="B24">
            <v>21000222</v>
          </cell>
          <cell r="C24" t="str">
            <v>REVENUE CLEARING-MANUAL</v>
          </cell>
        </row>
        <row r="25">
          <cell r="A25" t="str">
            <v>21000224</v>
          </cell>
          <cell r="B25">
            <v>21000224</v>
          </cell>
          <cell r="C25" t="str">
            <v>MCII BILLING CLEARING ACCOUNT</v>
          </cell>
        </row>
        <row r="26">
          <cell r="A26" t="str">
            <v>21002006</v>
          </cell>
          <cell r="B26">
            <v>21002006</v>
          </cell>
          <cell r="C26" t="str">
            <v>F/X Revaluation - Debtors</v>
          </cell>
        </row>
        <row r="27">
          <cell r="A27" t="str">
            <v>21002007</v>
          </cell>
          <cell r="B27">
            <v>21002007</v>
          </cell>
          <cell r="C27" t="str">
            <v>TRADE A/C RECEIVABLE</v>
          </cell>
        </row>
        <row r="28">
          <cell r="A28" t="str">
            <v>21002010</v>
          </cell>
          <cell r="B28">
            <v>21002010</v>
          </cell>
          <cell r="C28" t="str">
            <v>FX Revaluation InterCo Accounts Receivable</v>
          </cell>
        </row>
        <row r="29">
          <cell r="A29" t="str">
            <v>21004099</v>
          </cell>
          <cell r="B29">
            <v>21004099</v>
          </cell>
          <cell r="C29" t="str">
            <v>IC INTERCOMPANY INTEREST RECEIVABLE</v>
          </cell>
        </row>
        <row r="30">
          <cell r="A30" t="str">
            <v>21009065</v>
          </cell>
          <cell r="B30">
            <v>21009065</v>
          </cell>
          <cell r="C30" t="str">
            <v>ACCOUNTS RECEIVABLE</v>
          </cell>
        </row>
        <row r="31">
          <cell r="A31" t="str">
            <v>21009400</v>
          </cell>
          <cell r="B31">
            <v>21009400</v>
          </cell>
          <cell r="C31" t="str">
            <v>ACCOUNTS RECEIVABLE</v>
          </cell>
        </row>
        <row r="32">
          <cell r="A32" t="str">
            <v>21999999</v>
          </cell>
          <cell r="B32">
            <v>21999999</v>
          </cell>
          <cell r="C32" t="str">
            <v>I/C ACCTS RECEIV</v>
          </cell>
        </row>
        <row r="33">
          <cell r="A33" t="str">
            <v>22008900</v>
          </cell>
          <cell r="B33">
            <v>22008900</v>
          </cell>
          <cell r="C33" t="str">
            <v>SALES ALLOW RESERVES</v>
          </cell>
        </row>
        <row r="34">
          <cell r="A34" t="str">
            <v>22009433</v>
          </cell>
          <cell r="B34">
            <v>22009433</v>
          </cell>
          <cell r="C34" t="str">
            <v>ALLOW FOR BAD DEBT</v>
          </cell>
        </row>
        <row r="35">
          <cell r="A35" t="str">
            <v>22009466</v>
          </cell>
          <cell r="B35">
            <v>22009466</v>
          </cell>
          <cell r="C35" t="str">
            <v>ALLOW FOR CUST RETUR</v>
          </cell>
        </row>
        <row r="36">
          <cell r="A36" t="str">
            <v>23000100</v>
          </cell>
          <cell r="B36">
            <v>23000100</v>
          </cell>
          <cell r="C36" t="str">
            <v>A/R-EMP TRAVEL ADV</v>
          </cell>
        </row>
        <row r="37">
          <cell r="A37" t="str">
            <v>24000300</v>
          </cell>
          <cell r="B37">
            <v>24000300</v>
          </cell>
          <cell r="C37" t="str">
            <v>PREPAID INSURANCE</v>
          </cell>
        </row>
        <row r="38">
          <cell r="A38" t="str">
            <v>24000600</v>
          </cell>
          <cell r="B38">
            <v>24000600</v>
          </cell>
          <cell r="C38" t="str">
            <v>PREPAID OTHER</v>
          </cell>
        </row>
        <row r="39">
          <cell r="A39" t="str">
            <v>24000603</v>
          </cell>
          <cell r="B39">
            <v>24000603</v>
          </cell>
          <cell r="C39" t="str">
            <v>PREPAID EQUIPMENT - NORTEL</v>
          </cell>
        </row>
        <row r="40">
          <cell r="A40" t="str">
            <v>24000800</v>
          </cell>
          <cell r="B40">
            <v>24000800</v>
          </cell>
          <cell r="C40" t="str">
            <v>PREPAID RENT</v>
          </cell>
        </row>
        <row r="41">
          <cell r="A41" t="str">
            <v>24001150</v>
          </cell>
          <cell r="B41">
            <v>24001150</v>
          </cell>
          <cell r="C41" t="str">
            <v>PREPAID TELCO</v>
          </cell>
        </row>
        <row r="42">
          <cell r="A42" t="str">
            <v>24001157</v>
          </cell>
          <cell r="B42">
            <v>24001157</v>
          </cell>
          <cell r="C42" t="str">
            <v>Line Cost Prepayment</v>
          </cell>
        </row>
        <row r="43">
          <cell r="A43" t="str">
            <v>24001224</v>
          </cell>
          <cell r="B43">
            <v>24001224</v>
          </cell>
          <cell r="C43" t="str">
            <v>PREPAID MAINTENANCE AGREEMENTS</v>
          </cell>
        </row>
        <row r="44">
          <cell r="A44" t="str">
            <v>25009400</v>
          </cell>
          <cell r="B44">
            <v>25009400</v>
          </cell>
          <cell r="C44" t="str">
            <v>INVENTORY</v>
          </cell>
        </row>
        <row r="45">
          <cell r="A45" t="str">
            <v>26001002</v>
          </cell>
          <cell r="B45">
            <v>26001002</v>
          </cell>
          <cell r="C45" t="str">
            <v>MISC. RECEIVABLES</v>
          </cell>
        </row>
        <row r="46">
          <cell r="A46" t="str">
            <v>26009410</v>
          </cell>
          <cell r="B46">
            <v>26009410</v>
          </cell>
          <cell r="C46" t="str">
            <v>F/X Revaluation - Other</v>
          </cell>
        </row>
        <row r="47">
          <cell r="A47" t="str">
            <v>26100001</v>
          </cell>
          <cell r="B47">
            <v>26100001</v>
          </cell>
          <cell r="C47" t="str">
            <v>INPUT VAT</v>
          </cell>
        </row>
        <row r="48">
          <cell r="A48" t="str">
            <v>27000000</v>
          </cell>
          <cell r="B48">
            <v>27000000</v>
          </cell>
          <cell r="C48" t="str">
            <v>I/C ACCTS PAYABLE</v>
          </cell>
        </row>
        <row r="49">
          <cell r="A49" t="str">
            <v>27500001</v>
          </cell>
          <cell r="B49">
            <v>27500001</v>
          </cell>
          <cell r="C49" t="str">
            <v>AR PRE-PETITION IC BALANCE</v>
          </cell>
        </row>
        <row r="50">
          <cell r="A50" t="str">
            <v>27500002</v>
          </cell>
          <cell r="B50">
            <v>27500002</v>
          </cell>
          <cell r="C50" t="str">
            <v>AP PRE-PETITION IC BALANCE</v>
          </cell>
        </row>
        <row r="51">
          <cell r="A51" t="str">
            <v>28000200</v>
          </cell>
          <cell r="B51">
            <v>28000200</v>
          </cell>
          <cell r="C51" t="str">
            <v>SEC DEP PAID BY MCI</v>
          </cell>
        </row>
        <row r="52">
          <cell r="A52" t="str">
            <v>28001105</v>
          </cell>
          <cell r="B52">
            <v>28001105</v>
          </cell>
          <cell r="C52" t="str">
            <v>ASSET CLEARING ACCOUNT</v>
          </cell>
        </row>
        <row r="53">
          <cell r="A53" t="str">
            <v>34000003</v>
          </cell>
          <cell r="B53">
            <v>34000003</v>
          </cell>
          <cell r="C53" t="str">
            <v>CONSTRUCTION IN PROGRESS</v>
          </cell>
        </row>
        <row r="54">
          <cell r="A54" t="str">
            <v>36500006</v>
          </cell>
          <cell r="B54">
            <v>36500006</v>
          </cell>
          <cell r="C54" t="str">
            <v>INVENTORY-NETWORK SITE</v>
          </cell>
        </row>
        <row r="55">
          <cell r="A55" t="str">
            <v>39000001</v>
          </cell>
          <cell r="B55">
            <v>39000001</v>
          </cell>
          <cell r="C55" t="str">
            <v>ASSET UNDER CONSTRUCTION</v>
          </cell>
        </row>
        <row r="56">
          <cell r="A56" t="str">
            <v>39000002</v>
          </cell>
          <cell r="B56">
            <v>39000002</v>
          </cell>
          <cell r="C56" t="str">
            <v>LOCAL GAAP - AUC- S/W- WIP</v>
          </cell>
        </row>
        <row r="57">
          <cell r="A57" t="str">
            <v>39000005</v>
          </cell>
          <cell r="B57">
            <v>39000005</v>
          </cell>
          <cell r="C57" t="str">
            <v>SOFTWARE - DATA PROCESSING</v>
          </cell>
        </row>
        <row r="58">
          <cell r="A58" t="str">
            <v>39000010</v>
          </cell>
          <cell r="B58">
            <v>39000010</v>
          </cell>
          <cell r="C58" t="str">
            <v>SOFTWARE - COMMUNICATIONS SOFTWARE</v>
          </cell>
        </row>
        <row r="59">
          <cell r="A59" t="str">
            <v>39000015</v>
          </cell>
          <cell r="B59">
            <v>39000015</v>
          </cell>
          <cell r="C59" t="str">
            <v>SOFTWARE - SWITCH SYSTEM SOFTWARE</v>
          </cell>
        </row>
        <row r="60">
          <cell r="A60" t="str">
            <v>39000020</v>
          </cell>
          <cell r="B60">
            <v>39000020</v>
          </cell>
          <cell r="C60" t="str">
            <v>PC SOFTWARE</v>
          </cell>
        </row>
        <row r="61">
          <cell r="A61" t="str">
            <v>39000025</v>
          </cell>
          <cell r="B61">
            <v>39000025</v>
          </cell>
          <cell r="C61" t="str">
            <v>RIGHTS OF WAY</v>
          </cell>
        </row>
        <row r="62">
          <cell r="A62" t="str">
            <v>39000035</v>
          </cell>
          <cell r="B62">
            <v>39000035</v>
          </cell>
          <cell r="C62" t="str">
            <v>POWER</v>
          </cell>
        </row>
        <row r="63">
          <cell r="A63" t="str">
            <v>39000040</v>
          </cell>
          <cell r="B63">
            <v>39000040</v>
          </cell>
          <cell r="C63" t="str">
            <v>TEST EQUIPMENT</v>
          </cell>
        </row>
        <row r="64">
          <cell r="A64" t="str">
            <v>39000045</v>
          </cell>
          <cell r="B64">
            <v>39000045</v>
          </cell>
          <cell r="C64" t="str">
            <v>TOOLS</v>
          </cell>
        </row>
        <row r="65">
          <cell r="A65" t="str">
            <v>39000050</v>
          </cell>
          <cell r="B65">
            <v>39000050</v>
          </cell>
          <cell r="C65" t="str">
            <v>FAULT ALARM EQ</v>
          </cell>
        </row>
        <row r="66">
          <cell r="A66" t="str">
            <v>39000055</v>
          </cell>
          <cell r="B66">
            <v>39000055</v>
          </cell>
          <cell r="C66" t="str">
            <v>CUSTOMER TERMINATION EQUIPMENT</v>
          </cell>
        </row>
        <row r="67">
          <cell r="A67" t="str">
            <v>39000060</v>
          </cell>
          <cell r="B67">
            <v>39000060</v>
          </cell>
          <cell r="C67" t="str">
            <v>DIGITAL CROSS CONNECTS</v>
          </cell>
        </row>
        <row r="68">
          <cell r="A68" t="str">
            <v>39000065</v>
          </cell>
          <cell r="B68">
            <v>39000065</v>
          </cell>
          <cell r="C68" t="str">
            <v>FIBER OPTICS ELECTRONICS</v>
          </cell>
        </row>
        <row r="69">
          <cell r="A69" t="str">
            <v>39000075</v>
          </cell>
          <cell r="B69">
            <v>39000075</v>
          </cell>
          <cell r="C69" t="str">
            <v>FIBER CABLE</v>
          </cell>
        </row>
        <row r="70">
          <cell r="A70" t="str">
            <v>39000100</v>
          </cell>
          <cell r="B70">
            <v>39000100</v>
          </cell>
          <cell r="C70" t="str">
            <v>SATELLITE</v>
          </cell>
        </row>
        <row r="71">
          <cell r="A71" t="str">
            <v>39000125</v>
          </cell>
          <cell r="B71">
            <v>39000125</v>
          </cell>
          <cell r="C71" t="str">
            <v>SWITCH</v>
          </cell>
        </row>
        <row r="72">
          <cell r="A72" t="str">
            <v>39000130</v>
          </cell>
          <cell r="B72">
            <v>39000130</v>
          </cell>
          <cell r="C72" t="str">
            <v>CUSTOMER PREMISE EQUIPMENT</v>
          </cell>
        </row>
        <row r="73">
          <cell r="A73" t="str">
            <v>39000135</v>
          </cell>
          <cell r="B73">
            <v>39000135</v>
          </cell>
          <cell r="C73" t="str">
            <v>LEASEHOLD - ADMIN</v>
          </cell>
        </row>
        <row r="74">
          <cell r="A74" t="str">
            <v>39000140</v>
          </cell>
          <cell r="B74">
            <v>39000140</v>
          </cell>
          <cell r="C74" t="str">
            <v>LEASEHOLD - NETWORK</v>
          </cell>
        </row>
        <row r="75">
          <cell r="A75" t="str">
            <v>39000145</v>
          </cell>
          <cell r="B75">
            <v>39000145</v>
          </cell>
          <cell r="C75" t="str">
            <v>FURNITURE AND FIXTURES</v>
          </cell>
        </row>
        <row r="76">
          <cell r="A76" t="str">
            <v>39000150</v>
          </cell>
          <cell r="B76">
            <v>39000150</v>
          </cell>
          <cell r="C76" t="str">
            <v>OFFICE EQUIPMENT</v>
          </cell>
        </row>
        <row r="77">
          <cell r="A77" t="str">
            <v>39000165</v>
          </cell>
          <cell r="B77">
            <v>39000165</v>
          </cell>
          <cell r="C77" t="str">
            <v>DATA EQUIPMENT - COMMUNICATIONS</v>
          </cell>
        </row>
        <row r="78">
          <cell r="A78" t="str">
            <v>39000175</v>
          </cell>
          <cell r="B78">
            <v>39000175</v>
          </cell>
          <cell r="C78" t="str">
            <v>MAINFRAME DATA EQUIPMENT - DASD  TAPE ETC</v>
          </cell>
        </row>
        <row r="79">
          <cell r="A79" t="str">
            <v>39000180</v>
          </cell>
          <cell r="B79">
            <v>39000180</v>
          </cell>
          <cell r="C79" t="str">
            <v>PERSONAL COMPUTERS</v>
          </cell>
        </row>
        <row r="80">
          <cell r="A80" t="str">
            <v>39000225</v>
          </cell>
          <cell r="B80">
            <v>39000225</v>
          </cell>
          <cell r="C80" t="str">
            <v>INTERNET COMMUNICATION EQUIPMENT</v>
          </cell>
        </row>
        <row r="81">
          <cell r="A81" t="str">
            <v>39000230</v>
          </cell>
          <cell r="B81">
            <v>39000230</v>
          </cell>
          <cell r="C81" t="str">
            <v>POOLED (UUNET MIGRATION ONLY)</v>
          </cell>
        </row>
        <row r="82">
          <cell r="A82" t="str">
            <v>39009005</v>
          </cell>
          <cell r="B82">
            <v>39009005</v>
          </cell>
          <cell r="C82" t="str">
            <v>A/D -SOFTWARE - DATA PROCESSING</v>
          </cell>
        </row>
        <row r="83">
          <cell r="A83" t="str">
            <v>39009010</v>
          </cell>
          <cell r="B83">
            <v>39009010</v>
          </cell>
          <cell r="C83" t="str">
            <v>A/D -SOFTWARE - COMMUNICATIONS SOFTWARE</v>
          </cell>
        </row>
        <row r="84">
          <cell r="A84" t="str">
            <v>39009015</v>
          </cell>
          <cell r="B84">
            <v>39009015</v>
          </cell>
          <cell r="C84" t="str">
            <v>A/D -SOFTWARE - SWITCH SYSTEM SOFTWARE</v>
          </cell>
        </row>
        <row r="85">
          <cell r="A85" t="str">
            <v>39009020</v>
          </cell>
          <cell r="B85">
            <v>39009020</v>
          </cell>
          <cell r="C85" t="str">
            <v>A/D -PC SOFTWARE</v>
          </cell>
        </row>
        <row r="86">
          <cell r="A86" t="str">
            <v>39009025</v>
          </cell>
          <cell r="B86">
            <v>39009025</v>
          </cell>
          <cell r="C86" t="str">
            <v>A/D -RIGHTS OF WAY</v>
          </cell>
        </row>
        <row r="87">
          <cell r="A87" t="str">
            <v>39009035</v>
          </cell>
          <cell r="B87">
            <v>39009035</v>
          </cell>
          <cell r="C87" t="str">
            <v>A/D -POWER</v>
          </cell>
        </row>
        <row r="88">
          <cell r="A88" t="str">
            <v>39009040</v>
          </cell>
          <cell r="B88">
            <v>39009040</v>
          </cell>
          <cell r="C88" t="str">
            <v>A/D -TEST EQUIPMENT</v>
          </cell>
        </row>
        <row r="89">
          <cell r="A89" t="str">
            <v>39009045</v>
          </cell>
          <cell r="B89">
            <v>39009045</v>
          </cell>
          <cell r="C89" t="str">
            <v>A/D -TOOLS</v>
          </cell>
        </row>
        <row r="90">
          <cell r="A90" t="str">
            <v>39009050</v>
          </cell>
          <cell r="B90">
            <v>39009050</v>
          </cell>
          <cell r="C90" t="str">
            <v>A/D -FAULT ALARM EQ</v>
          </cell>
        </row>
        <row r="91">
          <cell r="A91" t="str">
            <v>39009055</v>
          </cell>
          <cell r="B91">
            <v>39009055</v>
          </cell>
          <cell r="C91" t="str">
            <v>A/D -CUSTOMER TERMINATION EQUIPMENT</v>
          </cell>
        </row>
        <row r="92">
          <cell r="A92" t="str">
            <v>39009060</v>
          </cell>
          <cell r="B92">
            <v>39009060</v>
          </cell>
          <cell r="C92" t="str">
            <v>A/D -DIGITAL CROSS CONNECTS</v>
          </cell>
        </row>
        <row r="93">
          <cell r="A93" t="str">
            <v>39009065</v>
          </cell>
          <cell r="B93">
            <v>39009065</v>
          </cell>
          <cell r="C93" t="str">
            <v>A/D -FIBER OPTICS ELECTRONICS</v>
          </cell>
        </row>
        <row r="94">
          <cell r="A94" t="str">
            <v>39009075</v>
          </cell>
          <cell r="B94">
            <v>39009075</v>
          </cell>
          <cell r="C94" t="str">
            <v>A/D -FIBER CABLE</v>
          </cell>
        </row>
        <row r="95">
          <cell r="A95" t="str">
            <v>39009100</v>
          </cell>
          <cell r="B95">
            <v>39009100</v>
          </cell>
          <cell r="C95" t="str">
            <v>A/D -SATELLITE</v>
          </cell>
        </row>
        <row r="96">
          <cell r="A96" t="str">
            <v>39009125</v>
          </cell>
          <cell r="B96">
            <v>39009125</v>
          </cell>
          <cell r="C96" t="str">
            <v>A/D -SWITCH</v>
          </cell>
        </row>
        <row r="97">
          <cell r="A97" t="str">
            <v>39009130</v>
          </cell>
          <cell r="B97">
            <v>39009130</v>
          </cell>
          <cell r="C97" t="str">
            <v>A/D -CUSTOMER PREMISE EQUIPMENT</v>
          </cell>
        </row>
        <row r="98">
          <cell r="A98" t="str">
            <v>39009135</v>
          </cell>
          <cell r="B98">
            <v>39009135</v>
          </cell>
          <cell r="C98" t="str">
            <v>A/D -LEASEHOLD - ADMIN</v>
          </cell>
        </row>
        <row r="99">
          <cell r="A99" t="str">
            <v>39009140</v>
          </cell>
          <cell r="B99">
            <v>39009140</v>
          </cell>
          <cell r="C99" t="str">
            <v>A/D -LEASEHOLD - NETWORK</v>
          </cell>
        </row>
        <row r="100">
          <cell r="A100" t="str">
            <v>39009145</v>
          </cell>
          <cell r="B100">
            <v>39009145</v>
          </cell>
          <cell r="C100" t="str">
            <v>A/D -FURNITURE AND FIXTURES</v>
          </cell>
        </row>
        <row r="101">
          <cell r="A101" t="str">
            <v>39009150</v>
          </cell>
          <cell r="B101">
            <v>39009150</v>
          </cell>
          <cell r="C101" t="str">
            <v>A/D -OFFICE EQUIPMENT</v>
          </cell>
        </row>
        <row r="102">
          <cell r="A102" t="str">
            <v>39009165</v>
          </cell>
          <cell r="B102">
            <v>39009165</v>
          </cell>
          <cell r="C102" t="str">
            <v>A/D -DATA EQUIPMENT - COMMUNICATIONS</v>
          </cell>
        </row>
        <row r="103">
          <cell r="A103" t="str">
            <v>39009175</v>
          </cell>
          <cell r="B103">
            <v>39009175</v>
          </cell>
          <cell r="C103" t="str">
            <v>A/D -MAINFRAME DATA EQUIPMENT - DASD  TAPE ETC</v>
          </cell>
        </row>
        <row r="104">
          <cell r="A104" t="str">
            <v>39009180</v>
          </cell>
          <cell r="B104">
            <v>39009180</v>
          </cell>
          <cell r="C104" t="str">
            <v>A/D -PERSONAL COMPUTERS</v>
          </cell>
        </row>
        <row r="105">
          <cell r="A105" t="str">
            <v>39009225</v>
          </cell>
          <cell r="B105">
            <v>39009225</v>
          </cell>
          <cell r="C105" t="str">
            <v>A/D INTERNET COMMUNICATION EQUIPMENT</v>
          </cell>
        </row>
        <row r="106">
          <cell r="A106" t="str">
            <v>39009230</v>
          </cell>
          <cell r="B106">
            <v>39009230</v>
          </cell>
          <cell r="C106" t="str">
            <v>A/D POOLED (UUNET MIGRATION ONLY)</v>
          </cell>
        </row>
        <row r="107">
          <cell r="A107" t="str">
            <v>39050002</v>
          </cell>
          <cell r="B107">
            <v>39050002</v>
          </cell>
          <cell r="C107" t="str">
            <v>FIXED ASSET ADJUSTMENT</v>
          </cell>
        </row>
        <row r="108">
          <cell r="A108" t="str">
            <v>39590009</v>
          </cell>
          <cell r="B108">
            <v>39590009</v>
          </cell>
          <cell r="C108" t="str">
            <v>FIXED ASSET SALES FROM AFFILIATED COMPANY</v>
          </cell>
        </row>
        <row r="109">
          <cell r="A109" t="str">
            <v>41000100</v>
          </cell>
          <cell r="B109">
            <v>41000100</v>
          </cell>
          <cell r="C109" t="str">
            <v>A/P-TRADE</v>
          </cell>
        </row>
        <row r="110">
          <cell r="A110" t="str">
            <v>41000101</v>
          </cell>
          <cell r="B110">
            <v>41000101</v>
          </cell>
          <cell r="C110" t="str">
            <v>T&amp;E ADVANCES</v>
          </cell>
        </row>
        <row r="111">
          <cell r="A111" t="str">
            <v>41000103</v>
          </cell>
          <cell r="B111">
            <v>41000103</v>
          </cell>
          <cell r="C111" t="str">
            <v>A/P-TRADE EMPLOYEES</v>
          </cell>
        </row>
        <row r="112">
          <cell r="A112" t="str">
            <v>41000200</v>
          </cell>
          <cell r="B112">
            <v>41000200</v>
          </cell>
          <cell r="C112" t="str">
            <v>F/X Revaluation - Creditor</v>
          </cell>
        </row>
        <row r="113">
          <cell r="A113" t="str">
            <v>41000210</v>
          </cell>
          <cell r="B113">
            <v>41000210</v>
          </cell>
          <cell r="C113" t="str">
            <v>F/X revaluation # Intercompany Accounts Payable</v>
          </cell>
        </row>
        <row r="114">
          <cell r="A114" t="str">
            <v>41001013</v>
          </cell>
          <cell r="B114">
            <v>41001013</v>
          </cell>
          <cell r="C114" t="str">
            <v>A/P CLEARING ACCOUNT</v>
          </cell>
        </row>
        <row r="115">
          <cell r="A115" t="str">
            <v>41001015</v>
          </cell>
          <cell r="B115">
            <v>41001015</v>
          </cell>
          <cell r="C115" t="str">
            <v>NOVATED CAR LEASE CLEARING</v>
          </cell>
        </row>
        <row r="116">
          <cell r="A116" t="str">
            <v>42000100</v>
          </cell>
          <cell r="B116">
            <v>42000100</v>
          </cell>
          <cell r="C116" t="str">
            <v>ACCRUED LEGAL FEES</v>
          </cell>
        </row>
        <row r="117">
          <cell r="A117" t="str">
            <v>42000200</v>
          </cell>
          <cell r="B117">
            <v>42000200</v>
          </cell>
          <cell r="C117" t="str">
            <v>ACCD ACCOUNTING FEES</v>
          </cell>
        </row>
        <row r="118">
          <cell r="A118" t="str">
            <v>43000300</v>
          </cell>
          <cell r="B118">
            <v>43000300</v>
          </cell>
          <cell r="C118" t="str">
            <v>ACCD WORKERS COMPIN</v>
          </cell>
        </row>
        <row r="119">
          <cell r="A119" t="str">
            <v>44000000</v>
          </cell>
          <cell r="B119">
            <v>44000000</v>
          </cell>
          <cell r="C119" t="str">
            <v>TELCO LIABILITIES</v>
          </cell>
        </row>
        <row r="120">
          <cell r="A120" t="str">
            <v>44000001</v>
          </cell>
          <cell r="B120">
            <v>44000001</v>
          </cell>
          <cell r="C120" t="str">
            <v>ACCRUED NETWORK EXPENSES</v>
          </cell>
        </row>
        <row r="121">
          <cell r="A121" t="str">
            <v>44000200</v>
          </cell>
          <cell r="B121">
            <v>44000200</v>
          </cell>
          <cell r="C121" t="str">
            <v>ACCRUED INTERCONNECT</v>
          </cell>
        </row>
        <row r="122">
          <cell r="A122" t="str">
            <v>44007100</v>
          </cell>
          <cell r="B122">
            <v>44007100</v>
          </cell>
          <cell r="C122" t="str">
            <v>ACCRUED TELCO ANS</v>
          </cell>
        </row>
        <row r="123">
          <cell r="A123" t="str">
            <v>45000100</v>
          </cell>
          <cell r="B123">
            <v>45000100</v>
          </cell>
          <cell r="C123" t="str">
            <v>ACCD SALARIES PAYABL</v>
          </cell>
        </row>
        <row r="124">
          <cell r="A124" t="str">
            <v>45000101</v>
          </cell>
          <cell r="B124">
            <v>45000101</v>
          </cell>
          <cell r="C124" t="str">
            <v>COMMISSIONS SALESMEN</v>
          </cell>
        </row>
        <row r="125">
          <cell r="A125" t="str">
            <v>45000900</v>
          </cell>
          <cell r="B125">
            <v>45000900</v>
          </cell>
          <cell r="C125" t="str">
            <v>ACCRD RETIREMENT EXP</v>
          </cell>
        </row>
        <row r="126">
          <cell r="A126" t="str">
            <v>45001615</v>
          </cell>
          <cell r="B126">
            <v>45001615</v>
          </cell>
          <cell r="C126" t="str">
            <v>PROVISION ANNUAL LEAVE</v>
          </cell>
        </row>
        <row r="127">
          <cell r="A127" t="str">
            <v>45001617</v>
          </cell>
          <cell r="B127">
            <v>45001617</v>
          </cell>
          <cell r="C127" t="str">
            <v>PROVISION OTHER</v>
          </cell>
        </row>
        <row r="128">
          <cell r="A128" t="str">
            <v>45500200</v>
          </cell>
          <cell r="B128">
            <v>45500200</v>
          </cell>
          <cell r="C128" t="str">
            <v>ACCD STATE W/H PAYBL</v>
          </cell>
        </row>
        <row r="129">
          <cell r="A129" t="str">
            <v>46000100</v>
          </cell>
          <cell r="B129">
            <v>46000100</v>
          </cell>
          <cell r="C129" t="str">
            <v>DEF FU REV-EXT</v>
          </cell>
        </row>
        <row r="130">
          <cell r="A130" t="str">
            <v>47000281</v>
          </cell>
          <cell r="B130">
            <v>47000281</v>
          </cell>
          <cell r="C130" t="str">
            <v>ACCRUED FRINGE BENEFITS TAX</v>
          </cell>
        </row>
        <row r="131">
          <cell r="A131" t="str">
            <v>47100001</v>
          </cell>
          <cell r="B131">
            <v>47100001</v>
          </cell>
          <cell r="C131" t="str">
            <v>OUTPUT VAT</v>
          </cell>
        </row>
        <row r="132">
          <cell r="A132" t="str">
            <v>47100004</v>
          </cell>
          <cell r="B132">
            <v>47100004</v>
          </cell>
          <cell r="C132" t="str">
            <v>VAT TO BE PAID / RECEIVED</v>
          </cell>
        </row>
        <row r="133">
          <cell r="A133" t="str">
            <v>48000500</v>
          </cell>
          <cell r="B133">
            <v>48000500</v>
          </cell>
          <cell r="C133" t="str">
            <v>OTHER ACCRUED LIABS</v>
          </cell>
        </row>
        <row r="134">
          <cell r="A134" t="str">
            <v>48000512</v>
          </cell>
          <cell r="B134">
            <v>48000512</v>
          </cell>
          <cell r="C134" t="str">
            <v>ACCRUED OTHER - COMMERCIAL</v>
          </cell>
        </row>
        <row r="135">
          <cell r="A135" t="str">
            <v>48000595</v>
          </cell>
          <cell r="B135">
            <v>48000595</v>
          </cell>
          <cell r="C135" t="str">
            <v>IC INTERCOMPANY INTEREST PAYABLE</v>
          </cell>
        </row>
        <row r="136">
          <cell r="A136" t="str">
            <v>48000600</v>
          </cell>
          <cell r="B136">
            <v>48000600</v>
          </cell>
          <cell r="C136" t="str">
            <v>ACCRUED BONUS</v>
          </cell>
        </row>
        <row r="137">
          <cell r="A137" t="str">
            <v>48000800</v>
          </cell>
          <cell r="B137">
            <v>48000800</v>
          </cell>
          <cell r="C137" t="str">
            <v>GR/IR CLEARING ACCOU</v>
          </cell>
        </row>
        <row r="138">
          <cell r="A138" t="str">
            <v>48002005</v>
          </cell>
          <cell r="B138">
            <v>48002005</v>
          </cell>
          <cell r="C138" t="str">
            <v>R&amp;M ACCRUALS</v>
          </cell>
        </row>
        <row r="139">
          <cell r="A139" t="str">
            <v>48004099</v>
          </cell>
          <cell r="B139">
            <v>48004099</v>
          </cell>
          <cell r="C139" t="str">
            <v>CUSTOMER DEPOSITS</v>
          </cell>
        </row>
        <row r="140">
          <cell r="A140" t="str">
            <v>48004525</v>
          </cell>
          <cell r="B140">
            <v>48004525</v>
          </cell>
          <cell r="C140" t="str">
            <v>PAYROLL CLEARING</v>
          </cell>
        </row>
        <row r="141">
          <cell r="A141" t="str">
            <v>48109480</v>
          </cell>
          <cell r="B141">
            <v>48109480</v>
          </cell>
          <cell r="C141" t="str">
            <v>OTHER ACCRUED LIABIL</v>
          </cell>
        </row>
        <row r="142">
          <cell r="A142" t="str">
            <v>49000100</v>
          </cell>
          <cell r="B142">
            <v>49000100</v>
          </cell>
          <cell r="C142" t="str">
            <v>ACCD FED INCOME TAX</v>
          </cell>
        </row>
        <row r="143">
          <cell r="A143" t="str">
            <v>52005000</v>
          </cell>
          <cell r="B143">
            <v>52005000</v>
          </cell>
          <cell r="C143" t="str">
            <v>INTERCOMPANY CLEARIN</v>
          </cell>
        </row>
        <row r="144">
          <cell r="A144" t="str">
            <v>52005900</v>
          </cell>
          <cell r="B144">
            <v>52005900</v>
          </cell>
          <cell r="C144" t="str">
            <v>FUNDING MFS GLOBENET</v>
          </cell>
        </row>
        <row r="145">
          <cell r="A145" t="str">
            <v>52005906</v>
          </cell>
          <cell r="B145">
            <v>52005906</v>
          </cell>
          <cell r="C145" t="str">
            <v>INTERCOMPANY FUNDING CLEARING-MKI</v>
          </cell>
        </row>
      </sheetData>
      <sheetData sheetId="5"/>
      <sheetData sheetId="6"/>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sch 5"/>
      <sheetName val=" BS-sch 1-4"/>
      <sheetName val="BS-sch 6 &amp; 7"/>
      <sheetName val="BS-sch 8 &amp; 9"/>
      <sheetName val="PL-sch 10, 11 &amp; 12"/>
      <sheetName val="PL-sch 13, 14 &amp; 15"/>
      <sheetName val="GP Margin"/>
      <sheetName val="TRIAL BALANCE"/>
      <sheetName val="Clause 12 (b)"/>
      <sheetName val="pl-excl"/>
      <sheetName val="pl-incl"/>
      <sheetName val="download"/>
      <sheetName val="FINAL"/>
      <sheetName val="Title Page"/>
      <sheetName val="PCK_STA"/>
      <sheetName val="OPR"/>
      <sheetName val="PRD_F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 gains"/>
      <sheetName val="Main"/>
      <sheetName val="Comp"/>
      <sheetName val="CARRY-FORWARD"/>
      <sheetName val="Mat"/>
      <sheetName val="general info"/>
      <sheetName val="ifhp"/>
      <sheetName val="pgbp"/>
      <sheetName val="ifos"/>
      <sheetName val="brought forward"/>
      <sheetName val="MAT INCOME"/>
      <sheetName val="ST.TAXES"/>
      <sheetName val="b&amp;p info"/>
      <sheetName val="exempt."/>
      <sheetName val="Ack1"/>
      <sheetName val="Ack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Sub"/>
      <sheetName val="Invesment-019500001&amp;019500004"/>
      <sheetName val="Deff Reve Exp-122001004.0201"/>
      <sheetName val="Dfault AP-122005001.0099"/>
      <sheetName val=" Adv 122008003-0201"/>
      <sheetName val="Off Loan-122008003-0202"/>
      <sheetName val="Chart of Future Loan Repayment"/>
      <sheetName val="SAL ADVANCE122008003-0203"/>
      <sheetName val="Emp Advances 122003001-0060"/>
      <sheetName val="122003001.0060"/>
      <sheetName val="122008003.0204 PREPID EXP UPDAT"/>
      <sheetName val="Secu Depo 122008003.0205"/>
      <sheetName val="Secu Depo 122008003-0205"/>
      <sheetName val="Rent Adv-122008003-0206"/>
      <sheetName val="Corpus Contri-122008003-0212"/>
      <sheetName val=" Adv For exp-122008003-0213 "/>
      <sheetName val="AS-19 Liability 306003005.0012"/>
      <sheetName val="Gratuity- 307099001-0011"/>
      <sheetName val="Accounts Payable"/>
      <sheetName val="Rev Prov-307099001.0015"/>
      <sheetName val="ACC.Payable-307099001.0010"/>
      <sheetName val="GECSI-307099001.0242"/>
      <sheetName val="GECIS 307099001-0243"/>
      <sheetName val="CW-307099001.0244"/>
      <sheetName val="GEBPMS 307099001.0247"/>
      <sheetName val="ACCRUED PAYROLL-320004001.0000"/>
      <sheetName val="PF-320005001.0001"/>
      <sheetName val="PF"/>
      <sheetName val=" PF"/>
      <sheetName val="SAF-320005001.0002"/>
      <sheetName val="SAF"/>
      <sheetName val="HLWF-320005001.0003"/>
      <sheetName val="307099001.0249"/>
      <sheetName val="307099001.0250"/>
      <sheetName val="P.Tax-309007001.0054"/>
      <sheetName val="P.Tax"/>
      <sheetName val="452530001"/>
      <sheetName val="999999004&amp;999999034"/>
      <sheetName val="999999018"/>
      <sheetName val="999999032"/>
      <sheetName val="999999033"/>
      <sheetName val="Invesment-019500001 &amp; 01950004"/>
      <sheetName val="317200004.0202-FMO"/>
    </sheetNames>
    <sheetDataSet>
      <sheetData sheetId="0">
        <row r="3">
          <cell r="A3" t="str">
            <v>Balance Period Name:SEP-03</v>
          </cell>
        </row>
        <row r="5">
          <cell r="A5" t="str">
            <v>CDR.SA</v>
          </cell>
          <cell r="B5" t="str">
            <v>CDR</v>
          </cell>
          <cell r="C5" t="str">
            <v>Account Desc</v>
          </cell>
          <cell r="D5" t="str">
            <v>SA</v>
          </cell>
          <cell r="E5" t="str">
            <v>Sub Account Desc</v>
          </cell>
          <cell r="F5" t="str">
            <v>Begining Balance Net</v>
          </cell>
          <cell r="G5" t="str">
            <v>Period Activity Net</v>
          </cell>
          <cell r="H5" t="str">
            <v>Ending Activity Net</v>
          </cell>
          <cell r="I5" t="str">
            <v>Responsibility</v>
          </cell>
        </row>
        <row r="6">
          <cell r="A6" t="str">
            <v>010100001.1287</v>
          </cell>
          <cell r="B6" t="str">
            <v>010100001</v>
          </cell>
          <cell r="C6" t="str">
            <v>Cash in Banks</v>
          </cell>
          <cell r="D6" t="str">
            <v>1287</v>
          </cell>
          <cell r="E6" t="str">
            <v>S.C.B. PREET VIHAR (53205010312</v>
          </cell>
          <cell r="F6">
            <v>0</v>
          </cell>
          <cell r="G6">
            <v>139440</v>
          </cell>
          <cell r="H6">
            <v>139440</v>
          </cell>
          <cell r="I6" t="str">
            <v>Vivek</v>
          </cell>
        </row>
        <row r="7">
          <cell r="A7" t="str">
            <v>010100001.2001</v>
          </cell>
          <cell r="B7" t="str">
            <v>010100001</v>
          </cell>
          <cell r="C7" t="str">
            <v>Cash in Banks</v>
          </cell>
          <cell r="D7" t="str">
            <v>2001</v>
          </cell>
          <cell r="E7" t="str">
            <v>CITIBANK(7152-167)-DELHI-Current A/c</v>
          </cell>
          <cell r="F7">
            <v>-3754239.9</v>
          </cell>
          <cell r="G7">
            <v>3267985.34</v>
          </cell>
          <cell r="H7">
            <v>-486254.56</v>
          </cell>
          <cell r="I7" t="str">
            <v>Pankaj</v>
          </cell>
        </row>
        <row r="8">
          <cell r="A8" t="str">
            <v>010100001.2004</v>
          </cell>
          <cell r="B8" t="str">
            <v>010100001</v>
          </cell>
          <cell r="C8" t="str">
            <v>Cash in Banks</v>
          </cell>
          <cell r="D8" t="str">
            <v>2004</v>
          </cell>
          <cell r="E8" t="str">
            <v>SBBJ , NEW DELHI -INGRES</v>
          </cell>
          <cell r="F8">
            <v>-2664501.48</v>
          </cell>
          <cell r="G8">
            <v>2680000</v>
          </cell>
          <cell r="H8">
            <v>15498.52</v>
          </cell>
          <cell r="I8" t="str">
            <v>Vivek</v>
          </cell>
        </row>
        <row r="9">
          <cell r="A9" t="str">
            <v>010100001.2007</v>
          </cell>
          <cell r="B9" t="str">
            <v>010100001</v>
          </cell>
          <cell r="C9" t="str">
            <v>Cash in Banks</v>
          </cell>
          <cell r="D9" t="str">
            <v>2007</v>
          </cell>
          <cell r="E9" t="str">
            <v>FEDERAL BANK -INGRES</v>
          </cell>
          <cell r="F9">
            <v>15598.72</v>
          </cell>
          <cell r="G9">
            <v>-5400</v>
          </cell>
          <cell r="H9">
            <v>10198.719999999999</v>
          </cell>
          <cell r="I9" t="str">
            <v>Vivek</v>
          </cell>
        </row>
        <row r="10">
          <cell r="A10" t="str">
            <v>010100001.2010</v>
          </cell>
          <cell r="B10" t="str">
            <v>010100001</v>
          </cell>
          <cell r="C10" t="str">
            <v>Cash in Banks</v>
          </cell>
          <cell r="D10" t="str">
            <v>2010</v>
          </cell>
          <cell r="E10" t="str">
            <v>SBOP-LUDHIANA-CC A/C -INGRES</v>
          </cell>
          <cell r="F10">
            <v>10522.41</v>
          </cell>
          <cell r="G10">
            <v>0</v>
          </cell>
          <cell r="H10">
            <v>10522.41</v>
          </cell>
          <cell r="I10" t="str">
            <v>Vivek</v>
          </cell>
        </row>
        <row r="11">
          <cell r="A11" t="str">
            <v>010100001.2012</v>
          </cell>
          <cell r="B11" t="str">
            <v>010100001</v>
          </cell>
          <cell r="C11" t="str">
            <v>Cash in Banks</v>
          </cell>
          <cell r="D11" t="str">
            <v>2012</v>
          </cell>
          <cell r="E11" t="str">
            <v>CITIBANK -7152-027CC A/C -INGRES</v>
          </cell>
          <cell r="F11">
            <v>-53615932.810000002</v>
          </cell>
          <cell r="G11">
            <v>-16552566.27</v>
          </cell>
          <cell r="H11">
            <v>-70168499.079999998</v>
          </cell>
          <cell r="I11" t="str">
            <v>Vivek</v>
          </cell>
        </row>
        <row r="12">
          <cell r="A12" t="str">
            <v>010100001.2013</v>
          </cell>
          <cell r="B12" t="str">
            <v>010100001</v>
          </cell>
          <cell r="C12" t="str">
            <v>Cash in Banks</v>
          </cell>
          <cell r="D12" t="str">
            <v>2013</v>
          </cell>
          <cell r="E12" t="str">
            <v>ANZ GRINDLAYS-301800 CC A/C -INGRES</v>
          </cell>
          <cell r="F12">
            <v>-1195953.2</v>
          </cell>
          <cell r="G12">
            <v>3302249.82</v>
          </cell>
          <cell r="H12">
            <v>2106296.62</v>
          </cell>
          <cell r="I12" t="str">
            <v>Vivek</v>
          </cell>
        </row>
        <row r="13">
          <cell r="A13" t="str">
            <v>010100001.2016</v>
          </cell>
          <cell r="B13" t="str">
            <v>010100001</v>
          </cell>
          <cell r="C13" t="str">
            <v>Cash in Banks</v>
          </cell>
          <cell r="D13" t="str">
            <v>2016</v>
          </cell>
          <cell r="E13" t="str">
            <v>CITIBANK -INGRES</v>
          </cell>
          <cell r="F13">
            <v>0.01</v>
          </cell>
          <cell r="G13">
            <v>0</v>
          </cell>
          <cell r="H13">
            <v>0.01</v>
          </cell>
          <cell r="I13" t="str">
            <v>Vivek</v>
          </cell>
        </row>
        <row r="14">
          <cell r="A14" t="str">
            <v>010100001.2019</v>
          </cell>
          <cell r="B14" t="str">
            <v>010100001</v>
          </cell>
          <cell r="C14" t="str">
            <v>Cash in Banks</v>
          </cell>
          <cell r="D14" t="str">
            <v>2019</v>
          </cell>
          <cell r="E14" t="str">
            <v>CITIBANK MUMBAI CC A/C -INGRES</v>
          </cell>
          <cell r="F14">
            <v>-5985327.5300000003</v>
          </cell>
          <cell r="G14">
            <v>4564426.18</v>
          </cell>
          <cell r="H14">
            <v>-1420901.35</v>
          </cell>
          <cell r="I14" t="str">
            <v>Vivek</v>
          </cell>
        </row>
        <row r="15">
          <cell r="A15" t="str">
            <v>010100001.2020</v>
          </cell>
          <cell r="B15" t="str">
            <v>010100001</v>
          </cell>
          <cell r="C15" t="str">
            <v>Cash in Banks</v>
          </cell>
          <cell r="D15" t="str">
            <v>2020</v>
          </cell>
          <cell r="E15" t="str">
            <v>CITIBANK - CAL CC A/C -INGRES</v>
          </cell>
          <cell r="F15">
            <v>-124433.01</v>
          </cell>
          <cell r="G15">
            <v>-466001</v>
          </cell>
          <cell r="H15">
            <v>-590434.01</v>
          </cell>
          <cell r="I15" t="str">
            <v>Vivek</v>
          </cell>
        </row>
        <row r="16">
          <cell r="A16" t="str">
            <v>010100001.2021</v>
          </cell>
          <cell r="B16" t="str">
            <v>010100001</v>
          </cell>
          <cell r="C16" t="str">
            <v>Cash in Banks</v>
          </cell>
          <cell r="D16" t="str">
            <v>2021</v>
          </cell>
          <cell r="E16" t="str">
            <v>ABN AMRO -CC A/C-6244750 -INGRES</v>
          </cell>
          <cell r="F16">
            <v>842701.08</v>
          </cell>
          <cell r="G16">
            <v>-1666690.33</v>
          </cell>
          <cell r="H16">
            <v>-823989.25</v>
          </cell>
          <cell r="I16" t="str">
            <v>Vivek</v>
          </cell>
        </row>
        <row r="17">
          <cell r="A17" t="str">
            <v>010100001.2022</v>
          </cell>
          <cell r="B17" t="str">
            <v>010100001</v>
          </cell>
          <cell r="C17" t="str">
            <v>Cash in Banks</v>
          </cell>
          <cell r="D17" t="str">
            <v>2022</v>
          </cell>
          <cell r="E17" t="str">
            <v>CITIBANK CHENNAI -PRODC/A -INGRES</v>
          </cell>
          <cell r="F17">
            <v>-1189514.1399999999</v>
          </cell>
          <cell r="G17">
            <v>-10430145</v>
          </cell>
          <cell r="H17">
            <v>-11619659.140000001</v>
          </cell>
          <cell r="I17" t="str">
            <v>Vivek</v>
          </cell>
        </row>
        <row r="18">
          <cell r="A18" t="str">
            <v>010100001.2024</v>
          </cell>
          <cell r="B18" t="str">
            <v>010100001</v>
          </cell>
          <cell r="C18" t="str">
            <v>Cash in Banks</v>
          </cell>
          <cell r="D18" t="str">
            <v>2024</v>
          </cell>
          <cell r="E18" t="str">
            <v>BNP -10922-0310 CC A/C -INGRES</v>
          </cell>
          <cell r="F18">
            <v>883.82</v>
          </cell>
          <cell r="G18">
            <v>0</v>
          </cell>
          <cell r="H18">
            <v>883.82</v>
          </cell>
          <cell r="I18" t="str">
            <v>Vivek</v>
          </cell>
        </row>
        <row r="19">
          <cell r="A19" t="str">
            <v>010100001.2025</v>
          </cell>
          <cell r="B19" t="str">
            <v>010100001</v>
          </cell>
          <cell r="C19" t="str">
            <v>Cash in Banks</v>
          </cell>
          <cell r="D19" t="str">
            <v>2025</v>
          </cell>
          <cell r="E19" t="str">
            <v>CASH ON HAND -INGRES</v>
          </cell>
          <cell r="F19">
            <v>-91281.68</v>
          </cell>
          <cell r="G19">
            <v>937962</v>
          </cell>
          <cell r="H19">
            <v>846680.32</v>
          </cell>
          <cell r="I19" t="str">
            <v>Vivek</v>
          </cell>
        </row>
        <row r="20">
          <cell r="A20" t="str">
            <v>010100001.2026</v>
          </cell>
          <cell r="B20" t="str">
            <v>010100001</v>
          </cell>
          <cell r="C20" t="str">
            <v>Cash in Banks</v>
          </cell>
          <cell r="D20" t="str">
            <v>2026</v>
          </cell>
          <cell r="E20" t="str">
            <v>CASH IN HAND - KANPUR -INGRES</v>
          </cell>
          <cell r="F20">
            <v>71524</v>
          </cell>
          <cell r="G20">
            <v>-71535</v>
          </cell>
          <cell r="H20">
            <v>-11</v>
          </cell>
          <cell r="I20" t="str">
            <v>Vivek</v>
          </cell>
        </row>
        <row r="21">
          <cell r="A21" t="str">
            <v>010100001.2027</v>
          </cell>
          <cell r="B21" t="str">
            <v>010100001</v>
          </cell>
          <cell r="C21" t="str">
            <v>Cash in Banks</v>
          </cell>
          <cell r="D21" t="str">
            <v>2027</v>
          </cell>
          <cell r="E21" t="str">
            <v>CASH IN HAND-JAIPUR -INGRES</v>
          </cell>
          <cell r="F21">
            <v>309088</v>
          </cell>
          <cell r="G21">
            <v>-309404</v>
          </cell>
          <cell r="H21">
            <v>-316</v>
          </cell>
          <cell r="I21" t="str">
            <v>Vivek</v>
          </cell>
        </row>
        <row r="22">
          <cell r="A22" t="str">
            <v>010100001.2028</v>
          </cell>
          <cell r="B22" t="str">
            <v>010100001</v>
          </cell>
          <cell r="C22" t="str">
            <v>Cash in Banks</v>
          </cell>
          <cell r="D22" t="str">
            <v>2028</v>
          </cell>
          <cell r="E22" t="str">
            <v>CASH IN HAND - LUDHIANA -INGRES</v>
          </cell>
          <cell r="F22">
            <v>131500</v>
          </cell>
          <cell r="G22">
            <v>-131500</v>
          </cell>
          <cell r="H22">
            <v>0</v>
          </cell>
          <cell r="I22" t="str">
            <v>Vivek</v>
          </cell>
        </row>
        <row r="23">
          <cell r="A23" t="str">
            <v>010100001.2029</v>
          </cell>
          <cell r="B23" t="str">
            <v>010100001</v>
          </cell>
          <cell r="C23" t="str">
            <v>Cash in Banks</v>
          </cell>
          <cell r="D23" t="str">
            <v>2029</v>
          </cell>
          <cell r="E23" t="str">
            <v>CASH IN HAND INDORE -INGRES</v>
          </cell>
          <cell r="F23">
            <v>-217125</v>
          </cell>
          <cell r="G23">
            <v>217125</v>
          </cell>
          <cell r="H23">
            <v>0</v>
          </cell>
          <cell r="I23" t="str">
            <v>Vivek</v>
          </cell>
        </row>
        <row r="24">
          <cell r="A24" t="str">
            <v>010100001.2030</v>
          </cell>
          <cell r="B24" t="str">
            <v>010100001</v>
          </cell>
          <cell r="C24" t="str">
            <v>Cash in Banks</v>
          </cell>
          <cell r="D24" t="str">
            <v>2030</v>
          </cell>
          <cell r="E24" t="str">
            <v>CASH IN HAND - CHANDIGARH -INGRES</v>
          </cell>
          <cell r="F24">
            <v>24000</v>
          </cell>
          <cell r="G24">
            <v>0</v>
          </cell>
          <cell r="H24">
            <v>24000</v>
          </cell>
          <cell r="I24" t="str">
            <v>Vivek</v>
          </cell>
        </row>
        <row r="25">
          <cell r="A25" t="str">
            <v>010100001.2033</v>
          </cell>
          <cell r="B25" t="str">
            <v>010100001</v>
          </cell>
          <cell r="C25" t="str">
            <v>Cash in Banks</v>
          </cell>
          <cell r="D25" t="str">
            <v>2033</v>
          </cell>
          <cell r="E25" t="str">
            <v>CASH ON HAND - SURAT -INGRES</v>
          </cell>
          <cell r="F25">
            <v>-2</v>
          </cell>
          <cell r="G25">
            <v>0</v>
          </cell>
          <cell r="H25">
            <v>-2</v>
          </cell>
          <cell r="I25" t="str">
            <v>Vivek</v>
          </cell>
        </row>
        <row r="26">
          <cell r="A26" t="str">
            <v>010100001.2034</v>
          </cell>
          <cell r="B26" t="str">
            <v>010100001</v>
          </cell>
          <cell r="C26" t="str">
            <v>Cash in Banks</v>
          </cell>
          <cell r="D26" t="str">
            <v>2034</v>
          </cell>
          <cell r="E26" t="str">
            <v>CASH IN HAND - MADRAS -INGRES</v>
          </cell>
          <cell r="F26">
            <v>-1</v>
          </cell>
          <cell r="G26">
            <v>0</v>
          </cell>
          <cell r="H26">
            <v>-1</v>
          </cell>
          <cell r="I26" t="str">
            <v>Vivek</v>
          </cell>
        </row>
        <row r="27">
          <cell r="A27" t="str">
            <v>010100001.2035</v>
          </cell>
          <cell r="B27" t="str">
            <v>010100001</v>
          </cell>
          <cell r="C27" t="str">
            <v>Cash in Banks</v>
          </cell>
          <cell r="D27" t="str">
            <v>2035</v>
          </cell>
          <cell r="E27" t="str">
            <v>CASH IN HAND - JODHPUR -INGRES</v>
          </cell>
          <cell r="F27">
            <v>-161372</v>
          </cell>
          <cell r="G27">
            <v>438226</v>
          </cell>
          <cell r="H27">
            <v>276854</v>
          </cell>
          <cell r="I27" t="str">
            <v>Vivek</v>
          </cell>
        </row>
        <row r="28">
          <cell r="A28" t="str">
            <v>010100001.2039</v>
          </cell>
          <cell r="B28" t="str">
            <v>010100001</v>
          </cell>
          <cell r="C28" t="str">
            <v>Cash in Banks</v>
          </cell>
          <cell r="D28" t="str">
            <v>2039</v>
          </cell>
          <cell r="E28" t="str">
            <v>CASH IN HAND - AMRITSAR -INGRES</v>
          </cell>
          <cell r="F28">
            <v>40500</v>
          </cell>
          <cell r="G28">
            <v>-40500</v>
          </cell>
          <cell r="H28">
            <v>0</v>
          </cell>
          <cell r="I28" t="str">
            <v>Vivek</v>
          </cell>
        </row>
        <row r="29">
          <cell r="A29" t="str">
            <v>010100001.2040</v>
          </cell>
          <cell r="B29" t="str">
            <v>010100001</v>
          </cell>
          <cell r="C29" t="str">
            <v>Cash in Banks</v>
          </cell>
          <cell r="D29" t="str">
            <v>2040</v>
          </cell>
          <cell r="E29" t="str">
            <v>CASH IN HAND ROHTAK -HARYANA-INGRES</v>
          </cell>
          <cell r="F29">
            <v>45110</v>
          </cell>
          <cell r="G29">
            <v>-45110</v>
          </cell>
          <cell r="H29">
            <v>0</v>
          </cell>
          <cell r="I29" t="str">
            <v>Vivek</v>
          </cell>
        </row>
        <row r="30">
          <cell r="A30" t="str">
            <v>010100001.2041</v>
          </cell>
          <cell r="B30" t="str">
            <v>010100001</v>
          </cell>
          <cell r="C30" t="str">
            <v>Cash in Banks</v>
          </cell>
          <cell r="D30" t="str">
            <v>2041</v>
          </cell>
          <cell r="E30" t="str">
            <v>BANK OF PUNJAB-NORTH -INGRES</v>
          </cell>
          <cell r="F30">
            <v>5718736.8600000003</v>
          </cell>
          <cell r="G30">
            <v>3314128</v>
          </cell>
          <cell r="H30">
            <v>9032864.8599999994</v>
          </cell>
          <cell r="I30" t="str">
            <v>Vivek</v>
          </cell>
        </row>
        <row r="31">
          <cell r="A31" t="str">
            <v>010100001.2049</v>
          </cell>
          <cell r="B31" t="str">
            <v>010100001</v>
          </cell>
          <cell r="C31" t="str">
            <v>Cash in Banks</v>
          </cell>
          <cell r="D31" t="str">
            <v>2049</v>
          </cell>
          <cell r="E31" t="str">
            <v>ANZ GRINDLAYS - AMRITSAR A/C -INGRES</v>
          </cell>
          <cell r="F31">
            <v>682450</v>
          </cell>
          <cell r="G31">
            <v>-90114</v>
          </cell>
          <cell r="H31">
            <v>592336</v>
          </cell>
          <cell r="I31" t="str">
            <v>Vivek</v>
          </cell>
        </row>
        <row r="32">
          <cell r="A32" t="str">
            <v>010100001.2050</v>
          </cell>
          <cell r="B32" t="str">
            <v>010100001</v>
          </cell>
          <cell r="C32" t="str">
            <v>Cash in Banks</v>
          </cell>
          <cell r="D32" t="str">
            <v>2050</v>
          </cell>
          <cell r="E32" t="str">
            <v>ANZ GRINDLAYS - KANPUR A/C -INGRES</v>
          </cell>
          <cell r="F32">
            <v>4260911</v>
          </cell>
          <cell r="G32">
            <v>-3173024</v>
          </cell>
          <cell r="H32">
            <v>1087887</v>
          </cell>
          <cell r="I32" t="str">
            <v>Vivek</v>
          </cell>
        </row>
        <row r="33">
          <cell r="A33" t="str">
            <v>010100001.2052</v>
          </cell>
          <cell r="B33" t="str">
            <v>010100001</v>
          </cell>
          <cell r="C33" t="str">
            <v>Cash in Banks</v>
          </cell>
          <cell r="D33" t="str">
            <v>2052</v>
          </cell>
          <cell r="E33" t="str">
            <v>SBBJ - INDORE CURR. A/C -INGRES</v>
          </cell>
          <cell r="F33">
            <v>9393.58</v>
          </cell>
          <cell r="G33">
            <v>0</v>
          </cell>
          <cell r="H33">
            <v>9393.58</v>
          </cell>
          <cell r="I33" t="str">
            <v>Vivek</v>
          </cell>
        </row>
        <row r="34">
          <cell r="A34" t="str">
            <v>010100001.2055</v>
          </cell>
          <cell r="B34" t="str">
            <v>010100001</v>
          </cell>
          <cell r="C34" t="str">
            <v>Cash in Banks</v>
          </cell>
          <cell r="D34" t="str">
            <v>2055</v>
          </cell>
          <cell r="E34" t="str">
            <v>SBBJ-JODHPUR C-A/C -INGRES</v>
          </cell>
          <cell r="F34">
            <v>4710394.8</v>
          </cell>
          <cell r="G34">
            <v>-4435471</v>
          </cell>
          <cell r="H34">
            <v>274923.8</v>
          </cell>
          <cell r="I34" t="str">
            <v>Vivek</v>
          </cell>
        </row>
        <row r="35">
          <cell r="A35" t="str">
            <v>010100001.2058</v>
          </cell>
          <cell r="B35" t="str">
            <v>010100001</v>
          </cell>
          <cell r="C35" t="str">
            <v>Cash in Banks</v>
          </cell>
          <cell r="D35" t="str">
            <v>2058</v>
          </cell>
          <cell r="E35" t="str">
            <v>CITI BANK-CPPF-ACCT. -INGRES</v>
          </cell>
          <cell r="F35">
            <v>-561294.37</v>
          </cell>
          <cell r="G35">
            <v>8830197.1199999992</v>
          </cell>
          <cell r="H35">
            <v>8268902.75</v>
          </cell>
          <cell r="I35" t="str">
            <v>Vivek</v>
          </cell>
        </row>
        <row r="36">
          <cell r="A36" t="str">
            <v>010100001.2059</v>
          </cell>
          <cell r="B36" t="str">
            <v>010100001</v>
          </cell>
          <cell r="C36" t="str">
            <v>Cash in Banks</v>
          </cell>
          <cell r="D36" t="str">
            <v>2059</v>
          </cell>
          <cell r="E36" t="str">
            <v>CITI CPPF WEST 7152086 -INGRES</v>
          </cell>
          <cell r="F36">
            <v>1944974.83</v>
          </cell>
          <cell r="G36">
            <v>9646151.3100000005</v>
          </cell>
          <cell r="H36">
            <v>11591126.140000001</v>
          </cell>
          <cell r="I36" t="str">
            <v>Vivek</v>
          </cell>
        </row>
        <row r="37">
          <cell r="A37" t="str">
            <v>010100001.2060</v>
          </cell>
          <cell r="B37" t="str">
            <v>010100001</v>
          </cell>
          <cell r="C37" t="str">
            <v>Cash in Banks</v>
          </cell>
          <cell r="D37" t="str">
            <v>2060</v>
          </cell>
          <cell r="E37" t="str">
            <v>CITI CPPF EAST 7152078 -INGRES</v>
          </cell>
          <cell r="F37">
            <v>99883</v>
          </cell>
          <cell r="G37">
            <v>362939</v>
          </cell>
          <cell r="H37">
            <v>462822</v>
          </cell>
          <cell r="I37" t="str">
            <v>Vivek</v>
          </cell>
        </row>
        <row r="38">
          <cell r="A38" t="str">
            <v>010100001.2061</v>
          </cell>
          <cell r="B38" t="str">
            <v>010100001</v>
          </cell>
          <cell r="C38" t="str">
            <v>Cash in Banks</v>
          </cell>
          <cell r="D38" t="str">
            <v>2061</v>
          </cell>
          <cell r="E38" t="str">
            <v>CITI CPPF SOUTH 7152094 -INGRES</v>
          </cell>
          <cell r="F38">
            <v>367295</v>
          </cell>
          <cell r="G38">
            <v>1659784</v>
          </cell>
          <cell r="H38">
            <v>2027079</v>
          </cell>
          <cell r="I38" t="str">
            <v>Vivek</v>
          </cell>
        </row>
        <row r="39">
          <cell r="A39" t="str">
            <v>010100001.2062</v>
          </cell>
          <cell r="B39" t="str">
            <v>010100001</v>
          </cell>
          <cell r="C39" t="str">
            <v>Cash in Banks</v>
          </cell>
          <cell r="D39" t="str">
            <v>2062</v>
          </cell>
          <cell r="E39" t="str">
            <v>SBOP, DELHI NO LIEN A/C -INGRES</v>
          </cell>
          <cell r="F39">
            <v>3582.73</v>
          </cell>
          <cell r="G39">
            <v>0</v>
          </cell>
          <cell r="H39">
            <v>3582.73</v>
          </cell>
          <cell r="I39" t="str">
            <v>Vivek</v>
          </cell>
        </row>
        <row r="40">
          <cell r="A40" t="str">
            <v>010100001.2065</v>
          </cell>
          <cell r="B40" t="str">
            <v>010100001</v>
          </cell>
          <cell r="C40" t="str">
            <v>Cash in Banks</v>
          </cell>
          <cell r="D40" t="str">
            <v>2065</v>
          </cell>
          <cell r="E40" t="str">
            <v>CITIBANK -7152-159 A/C -INGRES</v>
          </cell>
          <cell r="F40">
            <v>37551625.460000001</v>
          </cell>
          <cell r="G40">
            <v>76575.72</v>
          </cell>
          <cell r="H40">
            <v>37628201.18</v>
          </cell>
          <cell r="I40" t="str">
            <v>Vivek</v>
          </cell>
        </row>
        <row r="41">
          <cell r="A41" t="str">
            <v>010100001.2066</v>
          </cell>
          <cell r="B41" t="str">
            <v>010100001</v>
          </cell>
          <cell r="C41" t="str">
            <v>Cash in Banks</v>
          </cell>
          <cell r="D41" t="str">
            <v>2066</v>
          </cell>
          <cell r="E41" t="str">
            <v>CITI CPPF NORTH OBC 7152108 -INGRES</v>
          </cell>
          <cell r="F41">
            <v>133681.42000000001</v>
          </cell>
          <cell r="G41">
            <v>60.71</v>
          </cell>
          <cell r="H41">
            <v>133742.13</v>
          </cell>
          <cell r="I41" t="str">
            <v>Vivek</v>
          </cell>
        </row>
        <row r="42">
          <cell r="A42" t="str">
            <v>010100001.2067</v>
          </cell>
          <cell r="B42" t="str">
            <v>010100001</v>
          </cell>
          <cell r="C42" t="str">
            <v>Cash in Banks</v>
          </cell>
          <cell r="D42" t="str">
            <v>2067</v>
          </cell>
          <cell r="E42" t="str">
            <v>CITI CPPF OBC-E -INGRES</v>
          </cell>
          <cell r="F42">
            <v>22892.31</v>
          </cell>
          <cell r="G42">
            <v>0</v>
          </cell>
          <cell r="H42">
            <v>22892.31</v>
          </cell>
          <cell r="I42" t="str">
            <v>Vivek</v>
          </cell>
        </row>
        <row r="43">
          <cell r="A43" t="str">
            <v>010100001.2068</v>
          </cell>
          <cell r="B43" t="str">
            <v>010100001</v>
          </cell>
          <cell r="C43" t="str">
            <v>Cash in Banks</v>
          </cell>
          <cell r="D43" t="str">
            <v>2068</v>
          </cell>
          <cell r="E43" t="str">
            <v>CITI CPPF OBC-S -INGRES</v>
          </cell>
          <cell r="F43">
            <v>700779.57</v>
          </cell>
          <cell r="G43">
            <v>204278.55</v>
          </cell>
          <cell r="H43">
            <v>905058.12</v>
          </cell>
          <cell r="I43" t="str">
            <v>Vivek</v>
          </cell>
        </row>
        <row r="44">
          <cell r="A44" t="str">
            <v>010100001.2070</v>
          </cell>
          <cell r="B44" t="str">
            <v>010100001</v>
          </cell>
          <cell r="C44" t="str">
            <v>Cash in Banks</v>
          </cell>
          <cell r="D44" t="str">
            <v>2070</v>
          </cell>
          <cell r="E44" t="str">
            <v>SBOP MAIN-DEL-OUTS -INGRES</v>
          </cell>
          <cell r="F44">
            <v>6172.32</v>
          </cell>
          <cell r="G44">
            <v>0</v>
          </cell>
          <cell r="H44">
            <v>6172.32</v>
          </cell>
          <cell r="I44" t="str">
            <v>Vivek</v>
          </cell>
        </row>
        <row r="45">
          <cell r="A45" t="str">
            <v>010100001.2071</v>
          </cell>
          <cell r="B45" t="str">
            <v>010100001</v>
          </cell>
          <cell r="C45" t="str">
            <v>Cash in Banks</v>
          </cell>
          <cell r="D45" t="str">
            <v>2071</v>
          </cell>
          <cell r="E45" t="str">
            <v>SBOP JULLUNDHUR CURR. A/C -INGRES</v>
          </cell>
          <cell r="F45">
            <v>9619.17</v>
          </cell>
          <cell r="G45">
            <v>0</v>
          </cell>
          <cell r="H45">
            <v>9619.17</v>
          </cell>
          <cell r="I45" t="str">
            <v>Vivek</v>
          </cell>
        </row>
        <row r="46">
          <cell r="A46" t="str">
            <v>010100001.2073</v>
          </cell>
          <cell r="B46" t="str">
            <v>010100001</v>
          </cell>
          <cell r="C46" t="str">
            <v>Cash in Banks</v>
          </cell>
          <cell r="D46" t="str">
            <v>2073</v>
          </cell>
          <cell r="E46" t="str">
            <v>SBI - MUZAFFARNAGAR BRANCH -INGRES</v>
          </cell>
          <cell r="F46">
            <v>6654780</v>
          </cell>
          <cell r="G46">
            <v>-6275930</v>
          </cell>
          <cell r="H46">
            <v>378850</v>
          </cell>
          <cell r="I46" t="str">
            <v>Vivek</v>
          </cell>
        </row>
        <row r="47">
          <cell r="A47" t="str">
            <v>010100001.2074</v>
          </cell>
          <cell r="B47" t="str">
            <v>010100001</v>
          </cell>
          <cell r="C47" t="str">
            <v>Cash in Banks</v>
          </cell>
          <cell r="D47" t="str">
            <v>2074</v>
          </cell>
          <cell r="E47" t="str">
            <v>VYSYA BANK LTD - SURAT CMS AC -INGRES</v>
          </cell>
          <cell r="F47">
            <v>11297668</v>
          </cell>
          <cell r="G47">
            <v>-798212</v>
          </cell>
          <cell r="H47">
            <v>10499456</v>
          </cell>
          <cell r="I47" t="str">
            <v>Vivek</v>
          </cell>
        </row>
        <row r="48">
          <cell r="A48" t="str">
            <v>010100001.2075</v>
          </cell>
          <cell r="B48" t="str">
            <v>010100001</v>
          </cell>
          <cell r="C48" t="str">
            <v>Cash in Banks</v>
          </cell>
          <cell r="D48" t="str">
            <v>2075</v>
          </cell>
          <cell r="E48" t="str">
            <v>CASH AT BANK - FIXED DEPOSITS -INGRES</v>
          </cell>
          <cell r="F48">
            <v>126500</v>
          </cell>
          <cell r="G48">
            <v>0</v>
          </cell>
          <cell r="H48">
            <v>126500</v>
          </cell>
          <cell r="I48" t="str">
            <v>Vivek</v>
          </cell>
        </row>
        <row r="49">
          <cell r="A49" t="str">
            <v>010100001.2077</v>
          </cell>
          <cell r="B49" t="str">
            <v>010100001</v>
          </cell>
          <cell r="C49" t="str">
            <v>Cash in Banks</v>
          </cell>
          <cell r="D49" t="str">
            <v>2077</v>
          </cell>
          <cell r="E49" t="str">
            <v>VIJAYA BANK-FINAL DIV.95-96 -INGRES</v>
          </cell>
          <cell r="F49">
            <v>380583.33</v>
          </cell>
          <cell r="G49">
            <v>0</v>
          </cell>
          <cell r="H49">
            <v>380583.33</v>
          </cell>
          <cell r="I49" t="str">
            <v>Vivek</v>
          </cell>
        </row>
        <row r="50">
          <cell r="A50" t="str">
            <v>010100001.2079</v>
          </cell>
          <cell r="B50" t="str">
            <v>010100001</v>
          </cell>
          <cell r="C50" t="str">
            <v>Cash in Banks</v>
          </cell>
          <cell r="D50" t="str">
            <v>2079</v>
          </cell>
          <cell r="E50" t="str">
            <v>DEUTSCHE BANK, WEST -INGRES</v>
          </cell>
          <cell r="F50">
            <v>5906463.9900000002</v>
          </cell>
          <cell r="G50">
            <v>4987341</v>
          </cell>
          <cell r="H50">
            <v>10893804.99</v>
          </cell>
          <cell r="I50" t="str">
            <v>Vivek</v>
          </cell>
        </row>
        <row r="51">
          <cell r="A51" t="str">
            <v>010100001.2081</v>
          </cell>
          <cell r="B51" t="str">
            <v>010100001</v>
          </cell>
          <cell r="C51" t="str">
            <v>Cash in Banks</v>
          </cell>
          <cell r="D51" t="str">
            <v>2081</v>
          </cell>
          <cell r="E51" t="str">
            <v>Bank of Rajasthan(1400301-111201)</v>
          </cell>
          <cell r="F51">
            <v>-235662</v>
          </cell>
          <cell r="G51">
            <v>2536534</v>
          </cell>
          <cell r="H51">
            <v>2300872</v>
          </cell>
          <cell r="I51" t="str">
            <v>Vivek</v>
          </cell>
        </row>
        <row r="52">
          <cell r="A52" t="str">
            <v>010100001.2082</v>
          </cell>
          <cell r="B52" t="str">
            <v>010100001</v>
          </cell>
          <cell r="C52" t="str">
            <v>Cash in Banks</v>
          </cell>
          <cell r="D52" t="str">
            <v>2082</v>
          </cell>
          <cell r="E52" t="str">
            <v>Corporation Bank(Ingres)</v>
          </cell>
          <cell r="F52">
            <v>3816320.2</v>
          </cell>
          <cell r="G52">
            <v>-998637</v>
          </cell>
          <cell r="H52">
            <v>2817683.2</v>
          </cell>
          <cell r="I52" t="str">
            <v>Vivek</v>
          </cell>
        </row>
        <row r="53">
          <cell r="A53" t="str">
            <v>010100001.2083</v>
          </cell>
          <cell r="B53" t="str">
            <v>010100001</v>
          </cell>
          <cell r="C53" t="str">
            <v>Cash in Banks</v>
          </cell>
          <cell r="D53" t="str">
            <v>2083</v>
          </cell>
          <cell r="E53" t="str">
            <v>FD for ABS -- 10</v>
          </cell>
          <cell r="F53">
            <v>15600000</v>
          </cell>
          <cell r="G53">
            <v>0</v>
          </cell>
          <cell r="H53">
            <v>15600000</v>
          </cell>
          <cell r="I53" t="str">
            <v>Vivek</v>
          </cell>
        </row>
        <row r="54">
          <cell r="A54" t="str">
            <v>019240001.0000</v>
          </cell>
          <cell r="B54" t="str">
            <v>019240001</v>
          </cell>
          <cell r="C54" t="str">
            <v>Jan 1. Secuities of a foreign government and its agencies</v>
          </cell>
          <cell r="D54" t="str">
            <v>0000</v>
          </cell>
          <cell r="E54" t="str">
            <v>None</v>
          </cell>
          <cell r="F54">
            <v>20221318.210000001</v>
          </cell>
          <cell r="G54">
            <v>0</v>
          </cell>
          <cell r="H54">
            <v>20221318.210000001</v>
          </cell>
          <cell r="I54" t="str">
            <v>Vivek</v>
          </cell>
        </row>
        <row r="55">
          <cell r="A55" t="str">
            <v>019240002.0002</v>
          </cell>
          <cell r="B55" t="str">
            <v>019240002</v>
          </cell>
          <cell r="C55" t="str">
            <v>Securities of a foreign government and its agencies- YTD Purchases at Cost</v>
          </cell>
          <cell r="D55" t="str">
            <v>0002</v>
          </cell>
          <cell r="E55" t="str">
            <v>Quoted</v>
          </cell>
          <cell r="F55">
            <v>12010000</v>
          </cell>
          <cell r="G55">
            <v>0</v>
          </cell>
          <cell r="H55">
            <v>12010000</v>
          </cell>
          <cell r="I55" t="str">
            <v>Vivek</v>
          </cell>
        </row>
        <row r="56">
          <cell r="A56" t="str">
            <v>019240002.0004</v>
          </cell>
          <cell r="B56" t="str">
            <v>019240002</v>
          </cell>
          <cell r="C56" t="str">
            <v>Securities of a foreign government and its agencies- YTD Purchases at Cost</v>
          </cell>
          <cell r="D56" t="str">
            <v>0004</v>
          </cell>
          <cell r="E56" t="str">
            <v>Investement for ABS-10</v>
          </cell>
          <cell r="F56">
            <v>20025192</v>
          </cell>
          <cell r="G56">
            <v>0</v>
          </cell>
          <cell r="H56">
            <v>20025192</v>
          </cell>
          <cell r="I56" t="str">
            <v>Mishraji</v>
          </cell>
        </row>
        <row r="57">
          <cell r="A57" t="str">
            <v>019240003.0001</v>
          </cell>
          <cell r="B57" t="str">
            <v>019240003</v>
          </cell>
          <cell r="C57" t="str">
            <v>Securities of a foreign government and its agencies- YTD Purchases at Cost YTD Amortization of Premium / Discount</v>
          </cell>
          <cell r="D57" t="str">
            <v>0001</v>
          </cell>
          <cell r="E57" t="str">
            <v>Quoted</v>
          </cell>
          <cell r="F57">
            <v>-98808.76</v>
          </cell>
          <cell r="G57">
            <v>-49404.76</v>
          </cell>
          <cell r="H57">
            <v>-148213.51999999999</v>
          </cell>
          <cell r="I57" t="str">
            <v>Vivek</v>
          </cell>
        </row>
        <row r="58">
          <cell r="A58" t="str">
            <v>019240004.0000</v>
          </cell>
          <cell r="B58" t="str">
            <v>019240004</v>
          </cell>
          <cell r="C58" t="str">
            <v>Securities of a foreign government and its agencies- YTD Sales Amortized Cost</v>
          </cell>
          <cell r="D58" t="str">
            <v>0000</v>
          </cell>
          <cell r="E58" t="str">
            <v>None</v>
          </cell>
          <cell r="F58">
            <v>-20221318.890000001</v>
          </cell>
          <cell r="G58">
            <v>0</v>
          </cell>
          <cell r="H58">
            <v>-20221318.890000001</v>
          </cell>
          <cell r="I58" t="str">
            <v>Vivek</v>
          </cell>
        </row>
        <row r="59">
          <cell r="A59" t="str">
            <v>019240004.0004</v>
          </cell>
          <cell r="B59" t="str">
            <v>019240004</v>
          </cell>
          <cell r="C59" t="str">
            <v>Securities of a foreign government and its agencies- YTD Sales Amortized Cost</v>
          </cell>
          <cell r="D59" t="str">
            <v>0004</v>
          </cell>
          <cell r="E59" t="str">
            <v>Investment for ABS-10</v>
          </cell>
          <cell r="F59">
            <v>-6318296</v>
          </cell>
          <cell r="G59">
            <v>-1405967</v>
          </cell>
          <cell r="H59">
            <v>-7724263</v>
          </cell>
          <cell r="I59" t="str">
            <v>Mishraji</v>
          </cell>
        </row>
        <row r="60">
          <cell r="A60" t="str">
            <v>019500001.0001</v>
          </cell>
          <cell r="B60" t="str">
            <v>019500001</v>
          </cell>
          <cell r="C60" t="str">
            <v>Amortized Cost at Jan 1</v>
          </cell>
          <cell r="D60" t="str">
            <v>0001</v>
          </cell>
          <cell r="E60" t="str">
            <v>Investment in Associated Cos.</v>
          </cell>
          <cell r="F60">
            <v>50700000</v>
          </cell>
          <cell r="G60">
            <v>0</v>
          </cell>
          <cell r="H60">
            <v>50700000</v>
          </cell>
          <cell r="I60" t="str">
            <v>Pankaj</v>
          </cell>
        </row>
        <row r="61">
          <cell r="A61" t="str">
            <v>019500004.0001</v>
          </cell>
          <cell r="B61" t="str">
            <v>019500004</v>
          </cell>
          <cell r="C61" t="str">
            <v>YTD Sales at Amortized Cost</v>
          </cell>
          <cell r="D61" t="str">
            <v>0001</v>
          </cell>
          <cell r="E61" t="str">
            <v>Quoted</v>
          </cell>
          <cell r="F61">
            <v>-50700000</v>
          </cell>
          <cell r="G61">
            <v>0</v>
          </cell>
          <cell r="H61">
            <v>-50700000</v>
          </cell>
          <cell r="I61" t="str">
            <v>Pankaj</v>
          </cell>
        </row>
        <row r="62">
          <cell r="A62" t="str">
            <v>030001001.0001</v>
          </cell>
          <cell r="B62" t="str">
            <v>030001001</v>
          </cell>
          <cell r="C62" t="str">
            <v>January 1 Balance</v>
          </cell>
          <cell r="D62" t="str">
            <v>0001</v>
          </cell>
          <cell r="E62" t="str">
            <v>Financing Loans</v>
          </cell>
          <cell r="F62">
            <v>2185785399</v>
          </cell>
          <cell r="G62">
            <v>0</v>
          </cell>
          <cell r="H62">
            <v>2185785399</v>
          </cell>
          <cell r="I62" t="str">
            <v>Mishraji</v>
          </cell>
        </row>
        <row r="63">
          <cell r="A63" t="str">
            <v>030001001.0002</v>
          </cell>
          <cell r="B63" t="str">
            <v>030001001</v>
          </cell>
          <cell r="C63" t="str">
            <v>January 1 Balance</v>
          </cell>
          <cell r="D63" t="str">
            <v>0002</v>
          </cell>
          <cell r="E63" t="str">
            <v>Financing Loans Debtors</v>
          </cell>
          <cell r="F63">
            <v>28731078.890000001</v>
          </cell>
          <cell r="G63">
            <v>0</v>
          </cell>
          <cell r="H63">
            <v>28731078.890000001</v>
          </cell>
          <cell r="I63" t="str">
            <v>Mishraji</v>
          </cell>
        </row>
        <row r="64">
          <cell r="A64" t="str">
            <v>030001001.0007</v>
          </cell>
          <cell r="B64" t="str">
            <v>030001001</v>
          </cell>
          <cell r="C64" t="str">
            <v>January 1 Balance</v>
          </cell>
          <cell r="D64" t="str">
            <v>0007</v>
          </cell>
          <cell r="E64" t="str">
            <v>CNG TRUCK BOOKING -INGRES</v>
          </cell>
          <cell r="F64">
            <v>3812500</v>
          </cell>
          <cell r="G64">
            <v>0</v>
          </cell>
          <cell r="H64">
            <v>3812500</v>
          </cell>
          <cell r="I64" t="str">
            <v>Mishraji</v>
          </cell>
        </row>
        <row r="65">
          <cell r="A65" t="str">
            <v>030001001.0008</v>
          </cell>
          <cell r="B65" t="str">
            <v>030001001</v>
          </cell>
          <cell r="C65" t="str">
            <v>January 1 Balance</v>
          </cell>
          <cell r="D65" t="str">
            <v>0008</v>
          </cell>
          <cell r="E65" t="str">
            <v>GURANTEE INST. RECEIVABLE -INGRES</v>
          </cell>
          <cell r="F65">
            <v>71874.44</v>
          </cell>
          <cell r="G65">
            <v>0</v>
          </cell>
          <cell r="H65">
            <v>71874.44</v>
          </cell>
          <cell r="I65" t="str">
            <v>Mishraji</v>
          </cell>
        </row>
        <row r="66">
          <cell r="A66" t="str">
            <v>030001002.0001</v>
          </cell>
          <cell r="B66" t="str">
            <v>030001002</v>
          </cell>
          <cell r="C66" t="str">
            <v>Current Year Collections - Liquidations</v>
          </cell>
          <cell r="D66" t="str">
            <v>0001</v>
          </cell>
          <cell r="E66" t="str">
            <v>Financing Loans</v>
          </cell>
          <cell r="F66">
            <v>2350163184.29</v>
          </cell>
          <cell r="G66">
            <v>110172933</v>
          </cell>
          <cell r="H66">
            <v>2460336117.29</v>
          </cell>
          <cell r="I66" t="str">
            <v>Mishraji</v>
          </cell>
        </row>
        <row r="67">
          <cell r="A67" t="str">
            <v>030001002.0002</v>
          </cell>
          <cell r="B67" t="str">
            <v>030001002</v>
          </cell>
          <cell r="C67" t="str">
            <v>Current Year Collections - Liquidations</v>
          </cell>
          <cell r="D67" t="str">
            <v>0002</v>
          </cell>
          <cell r="E67" t="str">
            <v>Financing Loans Debtors</v>
          </cell>
          <cell r="F67">
            <v>83074094.189999998</v>
          </cell>
          <cell r="G67">
            <v>42532792.340000004</v>
          </cell>
          <cell r="H67">
            <v>125606886.53</v>
          </cell>
          <cell r="I67" t="str">
            <v>Mishraji</v>
          </cell>
        </row>
        <row r="68">
          <cell r="A68" t="str">
            <v>030001002.0007</v>
          </cell>
          <cell r="B68" t="str">
            <v>030001002</v>
          </cell>
          <cell r="C68" t="str">
            <v>Current Year Collections - Liquidations</v>
          </cell>
          <cell r="D68" t="str">
            <v>0007</v>
          </cell>
          <cell r="E68" t="str">
            <v>CNG TRUCK BOOKING -INGRES</v>
          </cell>
          <cell r="F68">
            <v>-262500</v>
          </cell>
          <cell r="G68">
            <v>-1750000</v>
          </cell>
          <cell r="H68">
            <v>-2012500</v>
          </cell>
          <cell r="I68" t="str">
            <v>Mishraji</v>
          </cell>
        </row>
        <row r="69">
          <cell r="A69" t="str">
            <v>030001002.0008</v>
          </cell>
          <cell r="B69" t="str">
            <v>030001002</v>
          </cell>
          <cell r="C69" t="str">
            <v>Current Year Collections - Liquidations</v>
          </cell>
          <cell r="D69" t="str">
            <v>0008</v>
          </cell>
          <cell r="E69" t="str">
            <v>GURANTEE INST. RECEIVABLE -INGRES</v>
          </cell>
          <cell r="F69">
            <v>1300727</v>
          </cell>
          <cell r="G69">
            <v>0</v>
          </cell>
          <cell r="H69">
            <v>1300727</v>
          </cell>
          <cell r="I69" t="str">
            <v>Mishraji</v>
          </cell>
        </row>
        <row r="70">
          <cell r="A70" t="str">
            <v>047001001.0014</v>
          </cell>
          <cell r="B70" t="str">
            <v>047001001</v>
          </cell>
          <cell r="C70" t="str">
            <v>January 1 Balance</v>
          </cell>
          <cell r="D70" t="str">
            <v>0014</v>
          </cell>
          <cell r="E70" t="str">
            <v>LEASED PLANT AND MACHINE</v>
          </cell>
          <cell r="F70">
            <v>601497209.87</v>
          </cell>
          <cell r="G70">
            <v>0</v>
          </cell>
          <cell r="H70">
            <v>601497209.87</v>
          </cell>
          <cell r="I70" t="str">
            <v>Mishraji</v>
          </cell>
        </row>
        <row r="71">
          <cell r="A71" t="str">
            <v>047001001.0015</v>
          </cell>
          <cell r="B71" t="str">
            <v>047001001</v>
          </cell>
          <cell r="C71" t="str">
            <v>January 1 Balance</v>
          </cell>
          <cell r="D71" t="str">
            <v>0015</v>
          </cell>
          <cell r="E71" t="str">
            <v>LEASED AIR CONDITIONERS</v>
          </cell>
          <cell r="F71">
            <v>10413874.199999999</v>
          </cell>
          <cell r="G71">
            <v>0</v>
          </cell>
          <cell r="H71">
            <v>10413874.199999999</v>
          </cell>
          <cell r="I71" t="str">
            <v>Mishraji</v>
          </cell>
        </row>
        <row r="72">
          <cell r="A72" t="str">
            <v>047001001.0016</v>
          </cell>
          <cell r="B72" t="str">
            <v>047001001</v>
          </cell>
          <cell r="C72" t="str">
            <v>January 1 Balance</v>
          </cell>
          <cell r="D72" t="str">
            <v>0016</v>
          </cell>
          <cell r="E72" t="str">
            <v>LEASED GEN SETS -INGRES</v>
          </cell>
          <cell r="F72">
            <v>1358389</v>
          </cell>
          <cell r="G72">
            <v>0</v>
          </cell>
          <cell r="H72">
            <v>1358389</v>
          </cell>
          <cell r="I72" t="str">
            <v>Mishraji</v>
          </cell>
        </row>
        <row r="73">
          <cell r="A73" t="str">
            <v>047001001.0017</v>
          </cell>
          <cell r="B73" t="str">
            <v>047001001</v>
          </cell>
          <cell r="C73" t="str">
            <v>January 1 Balance</v>
          </cell>
          <cell r="D73" t="str">
            <v>0017</v>
          </cell>
          <cell r="E73" t="str">
            <v>LEASED - HEAVY EQUIPMENT</v>
          </cell>
          <cell r="F73">
            <v>5339300</v>
          </cell>
          <cell r="G73">
            <v>0</v>
          </cell>
          <cell r="H73">
            <v>5339300</v>
          </cell>
          <cell r="I73" t="str">
            <v>Mishraji</v>
          </cell>
        </row>
        <row r="74">
          <cell r="A74" t="str">
            <v>047001001.0018</v>
          </cell>
          <cell r="B74" t="str">
            <v>047001001</v>
          </cell>
          <cell r="C74" t="str">
            <v>January 1 Balance</v>
          </cell>
          <cell r="D74" t="str">
            <v>0018</v>
          </cell>
          <cell r="E74" t="str">
            <v>LEASED P&amp;M 40 EASED P&amp;M &lt;RS.5000/- -I</v>
          </cell>
          <cell r="F74">
            <v>986400</v>
          </cell>
          <cell r="G74">
            <v>0</v>
          </cell>
          <cell r="H74">
            <v>986400</v>
          </cell>
          <cell r="I74" t="str">
            <v>Mishraji</v>
          </cell>
        </row>
        <row r="75">
          <cell r="A75" t="str">
            <v>047001001.0019</v>
          </cell>
          <cell r="B75" t="str">
            <v>047001001</v>
          </cell>
          <cell r="C75" t="str">
            <v>January 1 Balance</v>
          </cell>
          <cell r="D75" t="str">
            <v>0019</v>
          </cell>
          <cell r="E75" t="str">
            <v>LEASED P&amp;M &lt;RS.5000/- -I</v>
          </cell>
          <cell r="F75">
            <v>74832909</v>
          </cell>
          <cell r="G75">
            <v>0</v>
          </cell>
          <cell r="H75">
            <v>74832909</v>
          </cell>
          <cell r="I75" t="str">
            <v>Mishraji</v>
          </cell>
        </row>
        <row r="76">
          <cell r="A76" t="str">
            <v>047001001.0020</v>
          </cell>
          <cell r="B76" t="str">
            <v>047001001</v>
          </cell>
          <cell r="C76" t="str">
            <v>January 1 Balance</v>
          </cell>
          <cell r="D76" t="str">
            <v>0020</v>
          </cell>
          <cell r="E76" t="str">
            <v>LEASED PLANT &amp; MACHINERY</v>
          </cell>
          <cell r="F76">
            <v>346143782</v>
          </cell>
          <cell r="G76">
            <v>0</v>
          </cell>
          <cell r="H76">
            <v>346143782</v>
          </cell>
          <cell r="I76" t="str">
            <v>Mishraji</v>
          </cell>
        </row>
        <row r="77">
          <cell r="A77" t="str">
            <v>047001001.0021</v>
          </cell>
          <cell r="B77" t="str">
            <v>047001001</v>
          </cell>
          <cell r="C77" t="str">
            <v>January 1 Balance</v>
          </cell>
          <cell r="D77" t="str">
            <v>0021</v>
          </cell>
          <cell r="E77" t="str">
            <v>LEASED COMPUTER -INGRES</v>
          </cell>
          <cell r="F77">
            <v>55474285.030000001</v>
          </cell>
          <cell r="G77">
            <v>0</v>
          </cell>
          <cell r="H77">
            <v>55474285.030000001</v>
          </cell>
          <cell r="I77" t="str">
            <v>Mishraji</v>
          </cell>
        </row>
        <row r="78">
          <cell r="A78" t="str">
            <v>047001001.0022</v>
          </cell>
          <cell r="B78" t="str">
            <v>047001001</v>
          </cell>
          <cell r="C78" t="str">
            <v>January 1 Balance</v>
          </cell>
          <cell r="D78" t="str">
            <v>0022</v>
          </cell>
          <cell r="E78" t="str">
            <v>LEASED OFFICE EQUIPMENTS</v>
          </cell>
          <cell r="F78">
            <v>20484769.399999999</v>
          </cell>
          <cell r="G78">
            <v>0</v>
          </cell>
          <cell r="H78">
            <v>20484769.399999999</v>
          </cell>
          <cell r="I78" t="str">
            <v>Mishraji</v>
          </cell>
        </row>
        <row r="79">
          <cell r="A79" t="str">
            <v>047001001.0023</v>
          </cell>
          <cell r="B79" t="str">
            <v>047001001</v>
          </cell>
          <cell r="C79" t="str">
            <v>January 1 Balance</v>
          </cell>
          <cell r="D79" t="str">
            <v>0023</v>
          </cell>
          <cell r="E79" t="str">
            <v>LEASED ASSETS -O.E. -ING</v>
          </cell>
          <cell r="F79">
            <v>522082</v>
          </cell>
          <cell r="G79">
            <v>0</v>
          </cell>
          <cell r="H79">
            <v>522082</v>
          </cell>
          <cell r="I79" t="str">
            <v>Mishraji</v>
          </cell>
        </row>
        <row r="80">
          <cell r="A80" t="str">
            <v>047001001.0024</v>
          </cell>
          <cell r="B80" t="str">
            <v>047001001</v>
          </cell>
          <cell r="C80" t="str">
            <v>January 1 Balance</v>
          </cell>
          <cell r="D80" t="str">
            <v>0024</v>
          </cell>
          <cell r="E80" t="str">
            <v>LEASED VEHICLES-TANKERS</v>
          </cell>
          <cell r="F80">
            <v>15711797</v>
          </cell>
          <cell r="G80">
            <v>0</v>
          </cell>
          <cell r="H80">
            <v>15711797</v>
          </cell>
          <cell r="I80" t="str">
            <v>Mishraji</v>
          </cell>
        </row>
        <row r="81">
          <cell r="A81" t="str">
            <v>047001001.0025</v>
          </cell>
          <cell r="B81" t="str">
            <v>047001001</v>
          </cell>
          <cell r="C81" t="str">
            <v>January 1 Balance</v>
          </cell>
          <cell r="D81" t="str">
            <v>0025</v>
          </cell>
          <cell r="E81" t="str">
            <v>LEASED VEHICLES -HCV -I</v>
          </cell>
          <cell r="F81">
            <v>160766757</v>
          </cell>
          <cell r="G81">
            <v>0</v>
          </cell>
          <cell r="H81">
            <v>160766757</v>
          </cell>
          <cell r="I81" t="str">
            <v>Mishraji</v>
          </cell>
        </row>
        <row r="82">
          <cell r="A82" t="str">
            <v>047001001.0026</v>
          </cell>
          <cell r="B82" t="str">
            <v>047001001</v>
          </cell>
          <cell r="C82" t="str">
            <v>January 1 Balance</v>
          </cell>
          <cell r="D82" t="str">
            <v>0026</v>
          </cell>
          <cell r="E82" t="str">
            <v>LEASED VEHICLES -LCV -I</v>
          </cell>
          <cell r="F82">
            <v>65973946</v>
          </cell>
          <cell r="G82">
            <v>0</v>
          </cell>
          <cell r="H82">
            <v>65973946</v>
          </cell>
          <cell r="I82" t="str">
            <v>Mishraji</v>
          </cell>
        </row>
        <row r="83">
          <cell r="A83" t="str">
            <v>047001001.0027</v>
          </cell>
          <cell r="B83" t="str">
            <v>047001001</v>
          </cell>
          <cell r="C83" t="str">
            <v>January 1 Balance</v>
          </cell>
          <cell r="D83" t="str">
            <v>0027</v>
          </cell>
          <cell r="E83" t="str">
            <v>LEASED VEHICLES -CAR -I</v>
          </cell>
          <cell r="F83">
            <v>46058646.259999998</v>
          </cell>
          <cell r="G83">
            <v>0</v>
          </cell>
          <cell r="H83">
            <v>46058646.259999998</v>
          </cell>
          <cell r="I83" t="str">
            <v>Mishraji</v>
          </cell>
        </row>
        <row r="84">
          <cell r="A84" t="str">
            <v>047001001.0028</v>
          </cell>
          <cell r="B84" t="str">
            <v>047001001</v>
          </cell>
          <cell r="C84" t="str">
            <v>January 1 Balance</v>
          </cell>
          <cell r="D84" t="str">
            <v>0028</v>
          </cell>
          <cell r="E84" t="str">
            <v>LEASED SCOOTERS &amp; MOTOR</v>
          </cell>
          <cell r="F84">
            <v>2367721</v>
          </cell>
          <cell r="G84">
            <v>0</v>
          </cell>
          <cell r="H84">
            <v>2367721</v>
          </cell>
          <cell r="I84" t="str">
            <v>Mishraji</v>
          </cell>
        </row>
        <row r="85">
          <cell r="A85" t="str">
            <v>047001001.0029</v>
          </cell>
          <cell r="B85" t="str">
            <v>047001001</v>
          </cell>
          <cell r="C85" t="str">
            <v>January 1 Balance</v>
          </cell>
          <cell r="D85" t="str">
            <v>0029</v>
          </cell>
          <cell r="E85" t="str">
            <v>LEASED FURNITURE AND FIX</v>
          </cell>
          <cell r="F85">
            <v>22617056.199999999</v>
          </cell>
          <cell r="G85">
            <v>0</v>
          </cell>
          <cell r="H85">
            <v>22617056.199999999</v>
          </cell>
          <cell r="I85" t="str">
            <v>Mishraji</v>
          </cell>
        </row>
        <row r="86">
          <cell r="A86" t="str">
            <v>047001001.0030</v>
          </cell>
          <cell r="B86" t="str">
            <v>047001001</v>
          </cell>
          <cell r="C86" t="str">
            <v>January 1 Balance</v>
          </cell>
          <cell r="D86" t="str">
            <v>0030</v>
          </cell>
          <cell r="E86" t="str">
            <v>LEASED-AEROPLANES -INGRE</v>
          </cell>
          <cell r="F86">
            <v>62751274</v>
          </cell>
          <cell r="G86">
            <v>0</v>
          </cell>
          <cell r="H86">
            <v>62751274</v>
          </cell>
          <cell r="I86" t="str">
            <v>Mishraji</v>
          </cell>
        </row>
        <row r="87">
          <cell r="A87" t="str">
            <v>047001001.0033</v>
          </cell>
          <cell r="B87" t="str">
            <v>047001001</v>
          </cell>
          <cell r="C87" t="str">
            <v>January 1 Balance</v>
          </cell>
          <cell r="D87" t="str">
            <v>0033</v>
          </cell>
          <cell r="E87" t="str">
            <v>ACC.DEP.LEASED P &amp; M -IN</v>
          </cell>
          <cell r="F87">
            <v>-155537052.66999999</v>
          </cell>
          <cell r="G87">
            <v>0</v>
          </cell>
          <cell r="H87">
            <v>-155537052.66999999</v>
          </cell>
          <cell r="I87" t="str">
            <v>Mishraji</v>
          </cell>
        </row>
        <row r="88">
          <cell r="A88" t="str">
            <v>047001001.0034</v>
          </cell>
          <cell r="B88" t="str">
            <v>047001001</v>
          </cell>
          <cell r="C88" t="str">
            <v>January 1 Balance</v>
          </cell>
          <cell r="D88" t="str">
            <v>0034</v>
          </cell>
          <cell r="E88" t="str">
            <v>ACC.DEP. LEASED ACS -ING</v>
          </cell>
          <cell r="F88">
            <v>-2685718.28</v>
          </cell>
          <cell r="G88">
            <v>0</v>
          </cell>
          <cell r="H88">
            <v>-2685718.28</v>
          </cell>
          <cell r="I88" t="str">
            <v>Mishraji</v>
          </cell>
        </row>
        <row r="89">
          <cell r="A89" t="str">
            <v>047001001.0035</v>
          </cell>
          <cell r="B89" t="str">
            <v>047001001</v>
          </cell>
          <cell r="C89" t="str">
            <v>January 1 Balance</v>
          </cell>
          <cell r="D89" t="str">
            <v>0035</v>
          </cell>
          <cell r="E89" t="str">
            <v>ACC.DEP. LEASED GENSETS</v>
          </cell>
          <cell r="F89">
            <v>0.13</v>
          </cell>
          <cell r="G89">
            <v>0</v>
          </cell>
          <cell r="H89">
            <v>0.13</v>
          </cell>
          <cell r="I89" t="str">
            <v>Mishraji</v>
          </cell>
        </row>
        <row r="90">
          <cell r="A90" t="str">
            <v>047001001.0036</v>
          </cell>
          <cell r="B90" t="str">
            <v>047001001</v>
          </cell>
          <cell r="C90" t="str">
            <v>January 1 Balance</v>
          </cell>
          <cell r="D90" t="str">
            <v>0036</v>
          </cell>
          <cell r="E90" t="str">
            <v>ACC.DEPRECIATION-HEAVY E</v>
          </cell>
          <cell r="F90">
            <v>-2819411.36</v>
          </cell>
          <cell r="G90">
            <v>0</v>
          </cell>
          <cell r="H90">
            <v>-2819411.36</v>
          </cell>
          <cell r="I90" t="str">
            <v>Mishraji</v>
          </cell>
        </row>
        <row r="91">
          <cell r="A91" t="str">
            <v>047001001.0037</v>
          </cell>
          <cell r="B91" t="str">
            <v>047001001</v>
          </cell>
          <cell r="C91" t="str">
            <v>January 1 Balance</v>
          </cell>
          <cell r="D91" t="str">
            <v>0037</v>
          </cell>
          <cell r="E91" t="str">
            <v>ACC.DEP LEASED P&amp;M 40IT</v>
          </cell>
          <cell r="F91">
            <v>-787650.11</v>
          </cell>
          <cell r="G91">
            <v>0</v>
          </cell>
          <cell r="H91">
            <v>-787650.11</v>
          </cell>
          <cell r="I91" t="str">
            <v>Mishraji</v>
          </cell>
        </row>
        <row r="92">
          <cell r="A92" t="str">
            <v>047001001.0038</v>
          </cell>
          <cell r="B92" t="str">
            <v>047001001</v>
          </cell>
          <cell r="C92" t="str">
            <v>January 1 Balance</v>
          </cell>
          <cell r="D92" t="str">
            <v>0038</v>
          </cell>
          <cell r="E92" t="str">
            <v>ACC.DEP LEASED P&amp;M&lt;5000/</v>
          </cell>
          <cell r="F92">
            <v>-58715750.82</v>
          </cell>
          <cell r="G92">
            <v>0</v>
          </cell>
          <cell r="H92">
            <v>-58715750.82</v>
          </cell>
          <cell r="I92" t="str">
            <v>Mishraji</v>
          </cell>
        </row>
        <row r="93">
          <cell r="A93" t="str">
            <v>047001001.0039</v>
          </cell>
          <cell r="B93" t="str">
            <v>047001001</v>
          </cell>
          <cell r="C93" t="str">
            <v>January 1 Balance</v>
          </cell>
          <cell r="D93" t="str">
            <v>0039</v>
          </cell>
          <cell r="E93" t="str">
            <v>ACC. DEP. - LEASED P&amp;M -</v>
          </cell>
          <cell r="F93">
            <v>-116366223.78</v>
          </cell>
          <cell r="G93">
            <v>0</v>
          </cell>
          <cell r="H93">
            <v>-116366223.78</v>
          </cell>
          <cell r="I93" t="str">
            <v>Mishraji</v>
          </cell>
        </row>
        <row r="94">
          <cell r="A94" t="str">
            <v>047001001.0040</v>
          </cell>
          <cell r="B94" t="str">
            <v>047001001</v>
          </cell>
          <cell r="C94" t="str">
            <v>January 1 Balance</v>
          </cell>
          <cell r="D94" t="str">
            <v>0040</v>
          </cell>
          <cell r="E94" t="str">
            <v>ACC. DEP. LEASED COMPUTE</v>
          </cell>
          <cell r="F94">
            <v>-40444014.729999997</v>
          </cell>
          <cell r="G94">
            <v>0</v>
          </cell>
          <cell r="H94">
            <v>-40444014.729999997</v>
          </cell>
          <cell r="I94" t="str">
            <v>Mishraji</v>
          </cell>
        </row>
        <row r="95">
          <cell r="A95" t="str">
            <v>047001001.0041</v>
          </cell>
          <cell r="B95" t="str">
            <v>047001001</v>
          </cell>
          <cell r="C95" t="str">
            <v>January 1 Balance</v>
          </cell>
          <cell r="D95" t="str">
            <v>0041</v>
          </cell>
          <cell r="E95" t="str">
            <v>ACC.DEP. LEASED O.E. -IN</v>
          </cell>
          <cell r="F95">
            <v>-2832730.31</v>
          </cell>
          <cell r="G95">
            <v>0</v>
          </cell>
          <cell r="H95">
            <v>-2832730.31</v>
          </cell>
          <cell r="I95" t="str">
            <v>Mishraji</v>
          </cell>
        </row>
        <row r="96">
          <cell r="A96" t="str">
            <v>047001001.0042</v>
          </cell>
          <cell r="B96" t="str">
            <v>047001001</v>
          </cell>
          <cell r="C96" t="str">
            <v>January 1 Balance</v>
          </cell>
          <cell r="D96" t="str">
            <v>0042</v>
          </cell>
          <cell r="E96" t="str">
            <v>ACC.DEP.LEASED HCVS -ING</v>
          </cell>
          <cell r="F96">
            <v>0.01</v>
          </cell>
          <cell r="G96">
            <v>0</v>
          </cell>
          <cell r="H96">
            <v>0.01</v>
          </cell>
          <cell r="I96" t="str">
            <v>Mishraji</v>
          </cell>
        </row>
        <row r="97">
          <cell r="A97" t="str">
            <v>047001001.0045</v>
          </cell>
          <cell r="B97" t="str">
            <v>047001001</v>
          </cell>
          <cell r="C97" t="str">
            <v>January 1 Balance</v>
          </cell>
          <cell r="D97" t="str">
            <v>0045</v>
          </cell>
          <cell r="E97" t="str">
            <v>ACC.DEPRECIATION-TANKERS</v>
          </cell>
          <cell r="F97">
            <v>-12033117.08</v>
          </cell>
          <cell r="G97">
            <v>0</v>
          </cell>
          <cell r="H97">
            <v>-12033117.08</v>
          </cell>
          <cell r="I97" t="str">
            <v>Mishraji</v>
          </cell>
        </row>
        <row r="98">
          <cell r="A98" t="str">
            <v>047001001.0046</v>
          </cell>
          <cell r="B98" t="str">
            <v>047001001</v>
          </cell>
          <cell r="C98" t="str">
            <v>January 1 Balance</v>
          </cell>
          <cell r="D98" t="str">
            <v>0046</v>
          </cell>
          <cell r="E98" t="str">
            <v>ACC.DEP.LEASED HCVS -ING</v>
          </cell>
          <cell r="F98">
            <v>-83746002.680000007</v>
          </cell>
          <cell r="G98">
            <v>0</v>
          </cell>
          <cell r="H98">
            <v>-83746002.680000007</v>
          </cell>
          <cell r="I98" t="str">
            <v>Mishraji</v>
          </cell>
        </row>
        <row r="99">
          <cell r="A99" t="str">
            <v>047001001.0047</v>
          </cell>
          <cell r="B99" t="str">
            <v>047001001</v>
          </cell>
          <cell r="C99" t="str">
            <v>January 1 Balance</v>
          </cell>
          <cell r="D99" t="str">
            <v>0047</v>
          </cell>
          <cell r="E99" t="str">
            <v>ACC. DEP. LEASED CAR-LUX</v>
          </cell>
          <cell r="F99">
            <v>-38679519.869999997</v>
          </cell>
          <cell r="G99">
            <v>0</v>
          </cell>
          <cell r="H99">
            <v>-38679519.869999997</v>
          </cell>
          <cell r="I99" t="str">
            <v>Mishraji</v>
          </cell>
        </row>
        <row r="100">
          <cell r="A100" t="str">
            <v>047001001.0048</v>
          </cell>
          <cell r="B100" t="str">
            <v>047001001</v>
          </cell>
          <cell r="C100" t="str">
            <v>January 1 Balance</v>
          </cell>
          <cell r="D100" t="str">
            <v>0048</v>
          </cell>
          <cell r="E100" t="str">
            <v>ACC.DEP. LEASED CARS -IN</v>
          </cell>
          <cell r="F100">
            <v>-10045258.99</v>
          </cell>
          <cell r="G100">
            <v>0</v>
          </cell>
          <cell r="H100">
            <v>-10045258.99</v>
          </cell>
          <cell r="I100" t="str">
            <v>Mishraji</v>
          </cell>
        </row>
        <row r="101">
          <cell r="A101" t="str">
            <v>047001001.0049</v>
          </cell>
          <cell r="B101" t="str">
            <v>047001001</v>
          </cell>
          <cell r="C101" t="str">
            <v>January 1 Balance</v>
          </cell>
          <cell r="D101" t="str">
            <v>0049</v>
          </cell>
          <cell r="E101" t="str">
            <v>ACC.DEP. LEASED S &amp; M -I</v>
          </cell>
          <cell r="F101">
            <v>-137544.16</v>
          </cell>
          <cell r="G101">
            <v>0</v>
          </cell>
          <cell r="H101">
            <v>-137544.16</v>
          </cell>
          <cell r="I101" t="str">
            <v>Mishraji</v>
          </cell>
        </row>
        <row r="102">
          <cell r="A102" t="str">
            <v>047001001.0050</v>
          </cell>
          <cell r="B102" t="str">
            <v>047001001</v>
          </cell>
          <cell r="C102" t="str">
            <v>January 1 Balance</v>
          </cell>
          <cell r="D102" t="str">
            <v>0050</v>
          </cell>
          <cell r="E102" t="str">
            <v>ACC. DEP. LEASED F &amp; F -</v>
          </cell>
          <cell r="F102">
            <v>-5244207.63</v>
          </cell>
          <cell r="G102">
            <v>0</v>
          </cell>
          <cell r="H102">
            <v>-5244207.63</v>
          </cell>
          <cell r="I102" t="str">
            <v>Mishraji</v>
          </cell>
        </row>
        <row r="103">
          <cell r="A103" t="str">
            <v>047001001.0051</v>
          </cell>
          <cell r="B103" t="str">
            <v>047001001</v>
          </cell>
          <cell r="C103" t="str">
            <v>January 1 Balance</v>
          </cell>
          <cell r="D103" t="str">
            <v>0051</v>
          </cell>
          <cell r="E103" t="str">
            <v>ACC. DEP. LEASED AEROPLA</v>
          </cell>
          <cell r="F103">
            <v>-49096854.960000001</v>
          </cell>
          <cell r="G103">
            <v>0</v>
          </cell>
          <cell r="H103">
            <v>-49096854.960000001</v>
          </cell>
          <cell r="I103" t="str">
            <v>Mishraji</v>
          </cell>
        </row>
        <row r="104">
          <cell r="A104" t="str">
            <v>047001001.0053</v>
          </cell>
          <cell r="B104" t="str">
            <v>047001001</v>
          </cell>
          <cell r="C104" t="str">
            <v>January 1 Balance</v>
          </cell>
          <cell r="D104" t="str">
            <v>0053</v>
          </cell>
          <cell r="E104" t="str">
            <v>LEASED ADJ. AC'S -INGRES</v>
          </cell>
          <cell r="F104">
            <v>0.01</v>
          </cell>
          <cell r="G104">
            <v>0</v>
          </cell>
          <cell r="H104">
            <v>0.01</v>
          </cell>
          <cell r="I104" t="str">
            <v>Mishraji</v>
          </cell>
        </row>
        <row r="105">
          <cell r="A105" t="str">
            <v>047001001.0054</v>
          </cell>
          <cell r="B105" t="str">
            <v>047001001</v>
          </cell>
          <cell r="C105" t="str">
            <v>January 1 Balance</v>
          </cell>
          <cell r="D105" t="str">
            <v>0054</v>
          </cell>
          <cell r="E105" t="str">
            <v>LEASED ADJ. P &amp; M 100</v>
          </cell>
          <cell r="F105">
            <v>0.01</v>
          </cell>
          <cell r="G105">
            <v>0</v>
          </cell>
          <cell r="H105">
            <v>0.01</v>
          </cell>
          <cell r="I105" t="str">
            <v>Mishraji</v>
          </cell>
        </row>
        <row r="106">
          <cell r="A106" t="str">
            <v>047001001.0055</v>
          </cell>
          <cell r="B106" t="str">
            <v>047001001</v>
          </cell>
          <cell r="C106" t="str">
            <v>January 1 Balance</v>
          </cell>
          <cell r="D106" t="str">
            <v>0055</v>
          </cell>
          <cell r="E106" t="str">
            <v>LEASED ADJ. P &amp; M -INGRE</v>
          </cell>
          <cell r="F106">
            <v>-309735891.64999998</v>
          </cell>
          <cell r="G106">
            <v>0</v>
          </cell>
          <cell r="H106">
            <v>-309735891.64999998</v>
          </cell>
          <cell r="I106" t="str">
            <v>Mishraji</v>
          </cell>
        </row>
        <row r="107">
          <cell r="A107" t="str">
            <v>047001001.0056</v>
          </cell>
          <cell r="B107" t="str">
            <v>047001001</v>
          </cell>
          <cell r="C107" t="str">
            <v>January 1 Balance</v>
          </cell>
          <cell r="D107" t="str">
            <v>0056</v>
          </cell>
          <cell r="E107" t="str">
            <v>ACC.DEP. LEASED O.E. -IN</v>
          </cell>
          <cell r="F107">
            <v>-6239282.5300000003</v>
          </cell>
          <cell r="G107">
            <v>0</v>
          </cell>
          <cell r="H107">
            <v>-6239282.5300000003</v>
          </cell>
          <cell r="I107" t="str">
            <v>Mishraji</v>
          </cell>
        </row>
        <row r="108">
          <cell r="A108" t="str">
            <v>047001001.0057</v>
          </cell>
          <cell r="B108" t="str">
            <v>047001001</v>
          </cell>
          <cell r="C108" t="str">
            <v>January 1 Balance</v>
          </cell>
          <cell r="D108" t="str">
            <v>0057</v>
          </cell>
          <cell r="E108" t="str">
            <v>LEASED ADJ. HEAVY EQUIP.</v>
          </cell>
          <cell r="F108">
            <v>-2699801.43</v>
          </cell>
          <cell r="G108">
            <v>0</v>
          </cell>
          <cell r="H108">
            <v>-2699801.43</v>
          </cell>
          <cell r="I108" t="str">
            <v>Mishraji</v>
          </cell>
        </row>
        <row r="109">
          <cell r="A109" t="str">
            <v>047001001.0058</v>
          </cell>
          <cell r="B109" t="str">
            <v>047001001</v>
          </cell>
          <cell r="C109" t="str">
            <v>January 1 Balance</v>
          </cell>
          <cell r="D109" t="str">
            <v>0058</v>
          </cell>
          <cell r="E109" t="str">
            <v>LEASED ADJ. P&amp; M 40Perct. -IN</v>
          </cell>
          <cell r="F109">
            <v>-198741.31</v>
          </cell>
          <cell r="G109">
            <v>0</v>
          </cell>
          <cell r="H109">
            <v>-198741.31</v>
          </cell>
          <cell r="I109" t="str">
            <v>Mishraji</v>
          </cell>
        </row>
        <row r="110">
          <cell r="A110" t="str">
            <v>047001001.0059</v>
          </cell>
          <cell r="B110" t="str">
            <v>047001001</v>
          </cell>
          <cell r="C110" t="str">
            <v>January 1 Balance</v>
          </cell>
          <cell r="D110" t="str">
            <v>0059</v>
          </cell>
          <cell r="E110" t="str">
            <v>LEASED ADJ . P&amp; M&lt;5000 -</v>
          </cell>
          <cell r="F110">
            <v>-2313889.31</v>
          </cell>
          <cell r="G110">
            <v>0</v>
          </cell>
          <cell r="H110">
            <v>-2313889.31</v>
          </cell>
          <cell r="I110" t="str">
            <v>Mishraji</v>
          </cell>
        </row>
        <row r="111">
          <cell r="A111" t="str">
            <v>047001001.0060</v>
          </cell>
          <cell r="B111" t="str">
            <v>047001001</v>
          </cell>
          <cell r="C111" t="str">
            <v>January 1 Balance</v>
          </cell>
          <cell r="D111" t="str">
            <v>0060</v>
          </cell>
          <cell r="E111" t="str">
            <v>LEASED ADJ. P &amp; M 100Perct. I</v>
          </cell>
          <cell r="F111">
            <v>-218104241.38999999</v>
          </cell>
          <cell r="G111">
            <v>0</v>
          </cell>
          <cell r="H111">
            <v>-218104241.38999999</v>
          </cell>
          <cell r="I111" t="str">
            <v>Mishraji</v>
          </cell>
        </row>
        <row r="112">
          <cell r="A112" t="str">
            <v>047001001.0062</v>
          </cell>
          <cell r="B112" t="str">
            <v>047001001</v>
          </cell>
          <cell r="C112" t="str">
            <v>January 1 Balance</v>
          </cell>
          <cell r="D112" t="str">
            <v>0062</v>
          </cell>
          <cell r="E112" t="str">
            <v>LEASED ADJ. COMPUTERS -I</v>
          </cell>
          <cell r="F112">
            <v>-11906063.07</v>
          </cell>
          <cell r="G112">
            <v>0</v>
          </cell>
          <cell r="H112">
            <v>-11906063.07</v>
          </cell>
          <cell r="I112" t="str">
            <v>Mishraji</v>
          </cell>
        </row>
        <row r="113">
          <cell r="A113" t="str">
            <v>047001001.0063</v>
          </cell>
          <cell r="B113" t="str">
            <v>047001001</v>
          </cell>
          <cell r="C113" t="str">
            <v>January 1 Balance</v>
          </cell>
          <cell r="D113" t="str">
            <v>0063</v>
          </cell>
          <cell r="E113" t="str">
            <v>LEASED ADJ. O.E. -INGRES</v>
          </cell>
          <cell r="F113">
            <v>-11301100.75</v>
          </cell>
          <cell r="G113">
            <v>0</v>
          </cell>
          <cell r="H113">
            <v>-11301100.75</v>
          </cell>
          <cell r="I113" t="str">
            <v>Mishraji</v>
          </cell>
        </row>
        <row r="114">
          <cell r="A114" t="str">
            <v>047001001.0064</v>
          </cell>
          <cell r="B114" t="str">
            <v>047001001</v>
          </cell>
          <cell r="C114" t="str">
            <v>January 1 Balance</v>
          </cell>
          <cell r="D114" t="str">
            <v>0064</v>
          </cell>
          <cell r="E114" t="str">
            <v>LEASED ADJ. HCV'S -INGRE</v>
          </cell>
          <cell r="F114">
            <v>0.01</v>
          </cell>
          <cell r="G114">
            <v>0</v>
          </cell>
          <cell r="H114">
            <v>0.01</v>
          </cell>
          <cell r="I114" t="str">
            <v>Mishraji</v>
          </cell>
        </row>
        <row r="115">
          <cell r="A115" t="str">
            <v>047001001.0065</v>
          </cell>
          <cell r="B115" t="str">
            <v>047001001</v>
          </cell>
          <cell r="C115" t="str">
            <v>January 1 Balance</v>
          </cell>
          <cell r="D115" t="str">
            <v>0065</v>
          </cell>
          <cell r="E115" t="str">
            <v>LEASED ADJ. CARS -INGRES</v>
          </cell>
          <cell r="F115">
            <v>-0.02</v>
          </cell>
          <cell r="G115">
            <v>0</v>
          </cell>
          <cell r="H115">
            <v>-0.02</v>
          </cell>
          <cell r="I115" t="str">
            <v>Mishraji</v>
          </cell>
        </row>
        <row r="116">
          <cell r="A116" t="str">
            <v>047001001.0066</v>
          </cell>
          <cell r="B116" t="str">
            <v>047001001</v>
          </cell>
          <cell r="C116" t="str">
            <v>January 1 Balance</v>
          </cell>
          <cell r="D116" t="str">
            <v>0066</v>
          </cell>
          <cell r="E116" t="str">
            <v>LEASED ADJ.TANKERS -INGR</v>
          </cell>
          <cell r="F116">
            <v>-442303.53</v>
          </cell>
          <cell r="G116">
            <v>0</v>
          </cell>
          <cell r="H116">
            <v>-442303.53</v>
          </cell>
          <cell r="I116" t="str">
            <v>Mishraji</v>
          </cell>
        </row>
        <row r="117">
          <cell r="A117" t="str">
            <v>047001001.0067</v>
          </cell>
          <cell r="B117" t="str">
            <v>047001001</v>
          </cell>
          <cell r="C117" t="str">
            <v>January 1 Balance</v>
          </cell>
          <cell r="D117" t="str">
            <v>0067</v>
          </cell>
          <cell r="E117" t="str">
            <v>LEASED ADJ. HCV'S -INGRE</v>
          </cell>
          <cell r="F117">
            <v>-33196584.890000001</v>
          </cell>
          <cell r="G117">
            <v>0</v>
          </cell>
          <cell r="H117">
            <v>-33196584.890000001</v>
          </cell>
          <cell r="I117" t="str">
            <v>Mishraji</v>
          </cell>
        </row>
        <row r="118">
          <cell r="A118" t="str">
            <v>047001001.0068</v>
          </cell>
          <cell r="B118" t="str">
            <v>047001001</v>
          </cell>
          <cell r="C118" t="str">
            <v>January 1 Balance</v>
          </cell>
          <cell r="D118" t="str">
            <v>0068</v>
          </cell>
          <cell r="E118" t="str">
            <v>LEASED ADJ. CARS -INGRES</v>
          </cell>
          <cell r="F118">
            <v>-33157518</v>
          </cell>
          <cell r="G118">
            <v>0</v>
          </cell>
          <cell r="H118">
            <v>-33157518</v>
          </cell>
          <cell r="I118" t="str">
            <v>Mishraji</v>
          </cell>
        </row>
        <row r="119">
          <cell r="A119" t="str">
            <v>047001001.0069</v>
          </cell>
          <cell r="B119" t="str">
            <v>047001001</v>
          </cell>
          <cell r="C119" t="str">
            <v>January 1 Balance</v>
          </cell>
          <cell r="D119" t="str">
            <v>0069</v>
          </cell>
          <cell r="E119" t="str">
            <v>LEASED ADJ. S &amp; M -INGRE</v>
          </cell>
          <cell r="F119">
            <v>-1115676.94</v>
          </cell>
          <cell r="G119">
            <v>0</v>
          </cell>
          <cell r="H119">
            <v>-1115676.94</v>
          </cell>
          <cell r="I119" t="str">
            <v>Mishraji</v>
          </cell>
        </row>
        <row r="120">
          <cell r="A120" t="str">
            <v>047001001.0070</v>
          </cell>
          <cell r="B120" t="str">
            <v>047001001</v>
          </cell>
          <cell r="C120" t="str">
            <v>January 1 Balance</v>
          </cell>
          <cell r="D120" t="str">
            <v>0070</v>
          </cell>
          <cell r="E120" t="str">
            <v>LEASED ADJ. F &amp; F -INGRE</v>
          </cell>
          <cell r="F120">
            <v>-8183077.1900000004</v>
          </cell>
          <cell r="G120">
            <v>0</v>
          </cell>
          <cell r="H120">
            <v>-8183077.1900000004</v>
          </cell>
          <cell r="I120" t="str">
            <v>Mishraji</v>
          </cell>
        </row>
        <row r="121">
          <cell r="A121" t="str">
            <v>047001001.0071</v>
          </cell>
          <cell r="B121" t="str">
            <v>047001001</v>
          </cell>
          <cell r="C121" t="str">
            <v>January 1 Balance</v>
          </cell>
          <cell r="D121" t="str">
            <v>0071</v>
          </cell>
          <cell r="E121" t="str">
            <v>LEASED ADJ. CAR -LUX -I</v>
          </cell>
          <cell r="F121">
            <v>-6915233.7800000003</v>
          </cell>
          <cell r="G121">
            <v>0</v>
          </cell>
          <cell r="H121">
            <v>-6915233.7800000003</v>
          </cell>
          <cell r="I121" t="str">
            <v>Mishraji</v>
          </cell>
        </row>
        <row r="122">
          <cell r="A122" t="str">
            <v>047001001.0072</v>
          </cell>
          <cell r="B122" t="str">
            <v>047001001</v>
          </cell>
          <cell r="C122" t="str">
            <v>January 1 Balance</v>
          </cell>
          <cell r="D122" t="str">
            <v>0072</v>
          </cell>
          <cell r="E122" t="str">
            <v>LEASED ADJ. AEROPLANES -</v>
          </cell>
          <cell r="F122">
            <v>-12226411.93</v>
          </cell>
          <cell r="G122">
            <v>0</v>
          </cell>
          <cell r="H122">
            <v>-12226411.93</v>
          </cell>
          <cell r="I122" t="str">
            <v>Mishraji</v>
          </cell>
        </row>
        <row r="123">
          <cell r="A123" t="str">
            <v>047001001.0073</v>
          </cell>
          <cell r="B123" t="str">
            <v>047001001</v>
          </cell>
          <cell r="C123" t="str">
            <v>January 1 Balance</v>
          </cell>
          <cell r="D123" t="str">
            <v>0073</v>
          </cell>
          <cell r="E123" t="str">
            <v>STOCK ON HIRE -INGRES</v>
          </cell>
          <cell r="F123">
            <v>525168029.04000002</v>
          </cell>
          <cell r="G123">
            <v>0</v>
          </cell>
          <cell r="H123">
            <v>525168029.04000002</v>
          </cell>
          <cell r="I123" t="str">
            <v>Mishraji</v>
          </cell>
        </row>
        <row r="124">
          <cell r="A124" t="str">
            <v>047001001.0074</v>
          </cell>
          <cell r="B124" t="str">
            <v>047001001</v>
          </cell>
          <cell r="C124" t="str">
            <v>January 1 Balance</v>
          </cell>
          <cell r="D124" t="str">
            <v>0074</v>
          </cell>
          <cell r="E124" t="str">
            <v>H.P. INSTALMENTS RECEIVA</v>
          </cell>
          <cell r="F124">
            <v>200949423.44999999</v>
          </cell>
          <cell r="G124">
            <v>0</v>
          </cell>
          <cell r="H124">
            <v>200949423.44999999</v>
          </cell>
          <cell r="I124" t="str">
            <v>Mishraji</v>
          </cell>
        </row>
        <row r="125">
          <cell r="A125" t="str">
            <v>047001001.0075</v>
          </cell>
          <cell r="B125" t="str">
            <v>047001001</v>
          </cell>
          <cell r="C125" t="str">
            <v>January 1 Balance</v>
          </cell>
          <cell r="D125" t="str">
            <v>0075</v>
          </cell>
          <cell r="E125" t="str">
            <v>UNALLOCATED RECEIPTS -IN</v>
          </cell>
          <cell r="F125">
            <v>-2340634.7400000002</v>
          </cell>
          <cell r="G125">
            <v>0</v>
          </cell>
          <cell r="H125">
            <v>-2340634.7400000002</v>
          </cell>
          <cell r="I125" t="str">
            <v>Mishraji</v>
          </cell>
        </row>
        <row r="126">
          <cell r="A126" t="str">
            <v>047001001.0076</v>
          </cell>
          <cell r="B126" t="str">
            <v>047001001</v>
          </cell>
          <cell r="C126" t="str">
            <v>January 1 Balance</v>
          </cell>
          <cell r="D126" t="str">
            <v>0076</v>
          </cell>
          <cell r="E126" t="str">
            <v>PARTY EXPENSES A/C -INGR</v>
          </cell>
          <cell r="F126">
            <v>3471359.6</v>
          </cell>
          <cell r="G126">
            <v>0</v>
          </cell>
          <cell r="H126">
            <v>3471359.6</v>
          </cell>
          <cell r="I126" t="str">
            <v>Mishraji</v>
          </cell>
        </row>
        <row r="127">
          <cell r="A127" t="str">
            <v>047001001.0077</v>
          </cell>
          <cell r="B127" t="str">
            <v>047001001</v>
          </cell>
          <cell r="C127" t="str">
            <v>January 1 Balance</v>
          </cell>
          <cell r="D127" t="str">
            <v>0077</v>
          </cell>
          <cell r="E127" t="str">
            <v>INSURANCE CONTROL A/C -I</v>
          </cell>
          <cell r="F127">
            <v>1798838.09</v>
          </cell>
          <cell r="G127">
            <v>0</v>
          </cell>
          <cell r="H127">
            <v>1798838.09</v>
          </cell>
          <cell r="I127" t="str">
            <v>Mishraji</v>
          </cell>
        </row>
        <row r="128">
          <cell r="A128" t="str">
            <v>047001001.0078</v>
          </cell>
          <cell r="B128" t="str">
            <v>047001001</v>
          </cell>
          <cell r="C128" t="str">
            <v>January 1 Balance</v>
          </cell>
          <cell r="D128" t="str">
            <v>0078</v>
          </cell>
          <cell r="E128" t="str">
            <v>REPOSSESSED STOCK -INGRE</v>
          </cell>
          <cell r="F128">
            <v>7696229.7599999998</v>
          </cell>
          <cell r="G128">
            <v>0</v>
          </cell>
          <cell r="H128">
            <v>7696229.7599999998</v>
          </cell>
          <cell r="I128" t="str">
            <v>Vivek</v>
          </cell>
        </row>
        <row r="129">
          <cell r="A129" t="str">
            <v>047001001.0079</v>
          </cell>
          <cell r="B129" t="str">
            <v>047001001</v>
          </cell>
          <cell r="C129" t="str">
            <v>January 1 Balance</v>
          </cell>
          <cell r="D129" t="str">
            <v>0079</v>
          </cell>
          <cell r="E129" t="str">
            <v>BILLS RECEIVABLE -INGRES</v>
          </cell>
          <cell r="F129">
            <v>123101723.23</v>
          </cell>
          <cell r="G129">
            <v>0</v>
          </cell>
          <cell r="H129">
            <v>123101723.23</v>
          </cell>
          <cell r="I129" t="str">
            <v>Mishraji</v>
          </cell>
        </row>
        <row r="130">
          <cell r="A130" t="str">
            <v>047001001.0080</v>
          </cell>
          <cell r="B130" t="str">
            <v>047001001</v>
          </cell>
          <cell r="C130" t="str">
            <v>January 1 Balance</v>
          </cell>
          <cell r="D130" t="str">
            <v>0080</v>
          </cell>
          <cell r="E130" t="str">
            <v>BR PURCHASED DELHI -INGR</v>
          </cell>
          <cell r="F130">
            <v>-123101722.89</v>
          </cell>
          <cell r="G130">
            <v>0</v>
          </cell>
          <cell r="H130">
            <v>-123101722.89</v>
          </cell>
          <cell r="I130" t="str">
            <v>Mishraji</v>
          </cell>
        </row>
        <row r="131">
          <cell r="A131" t="str">
            <v>047001001.0081</v>
          </cell>
          <cell r="B131" t="str">
            <v>047001001</v>
          </cell>
          <cell r="C131" t="str">
            <v>January 1 Balance</v>
          </cell>
          <cell r="D131" t="str">
            <v>0081</v>
          </cell>
          <cell r="E131" t="str">
            <v>LEASE RENTALS RECEIVABLE</v>
          </cell>
          <cell r="F131">
            <v>163498114.53999999</v>
          </cell>
          <cell r="G131">
            <v>0</v>
          </cell>
          <cell r="H131">
            <v>163498114.53999999</v>
          </cell>
          <cell r="I131" t="str">
            <v>Mishraji</v>
          </cell>
        </row>
        <row r="132">
          <cell r="A132" t="str">
            <v>047001001.0082</v>
          </cell>
          <cell r="B132" t="str">
            <v>047001001</v>
          </cell>
          <cell r="C132" t="str">
            <v>January 1 Balance</v>
          </cell>
          <cell r="D132" t="str">
            <v>0082</v>
          </cell>
          <cell r="E132" t="str">
            <v>SUB-LEASE RENTALS RECEIV</v>
          </cell>
          <cell r="F132">
            <v>-602759</v>
          </cell>
          <cell r="G132">
            <v>0</v>
          </cell>
          <cell r="H132">
            <v>-602759</v>
          </cell>
          <cell r="I132" t="str">
            <v>Mishraji</v>
          </cell>
        </row>
        <row r="133">
          <cell r="A133" t="str">
            <v>047001001.0083</v>
          </cell>
          <cell r="B133" t="str">
            <v>047001001</v>
          </cell>
          <cell r="C133" t="str">
            <v>January 1 Balance</v>
          </cell>
          <cell r="D133" t="str">
            <v>0083</v>
          </cell>
          <cell r="E133" t="str">
            <v>LEASE SECURITY DEPOSITS</v>
          </cell>
          <cell r="F133">
            <v>-250578689</v>
          </cell>
          <cell r="G133">
            <v>0</v>
          </cell>
          <cell r="H133">
            <v>-250578689</v>
          </cell>
          <cell r="I133" t="str">
            <v>Mishraji</v>
          </cell>
        </row>
        <row r="134">
          <cell r="A134" t="str">
            <v>047001001.0084</v>
          </cell>
          <cell r="B134" t="str">
            <v>047001001</v>
          </cell>
          <cell r="C134" t="str">
            <v>January 1 Balance</v>
          </cell>
          <cell r="D134" t="str">
            <v>0084</v>
          </cell>
          <cell r="E134" t="str">
            <v>LEASED ADJ. LCV'S</v>
          </cell>
          <cell r="F134">
            <v>0.01</v>
          </cell>
          <cell r="G134">
            <v>0</v>
          </cell>
          <cell r="H134">
            <v>0.01</v>
          </cell>
          <cell r="I134" t="str">
            <v>Mishraji</v>
          </cell>
        </row>
        <row r="135">
          <cell r="A135" t="str">
            <v>047001001.0085</v>
          </cell>
          <cell r="B135" t="str">
            <v>047001001</v>
          </cell>
          <cell r="C135" t="str">
            <v>January 1 Balance</v>
          </cell>
          <cell r="D135" t="str">
            <v>0085</v>
          </cell>
          <cell r="E135" t="str">
            <v>SOH - L A/C</v>
          </cell>
          <cell r="F135">
            <v>25451731</v>
          </cell>
          <cell r="G135">
            <v>0</v>
          </cell>
          <cell r="H135">
            <v>25451731</v>
          </cell>
          <cell r="I135" t="str">
            <v>Mishraji</v>
          </cell>
        </row>
        <row r="136">
          <cell r="A136" t="str">
            <v>047001001.0086</v>
          </cell>
          <cell r="B136" t="str">
            <v>047001001</v>
          </cell>
          <cell r="C136" t="str">
            <v>January 1 Balance</v>
          </cell>
          <cell r="D136" t="str">
            <v>0086</v>
          </cell>
          <cell r="E136" t="str">
            <v>PARTY RECEIVABLE -L A/C</v>
          </cell>
          <cell r="F136">
            <v>2449016</v>
          </cell>
          <cell r="G136">
            <v>0</v>
          </cell>
          <cell r="H136">
            <v>2449016</v>
          </cell>
          <cell r="I136" t="str">
            <v>Mishraji</v>
          </cell>
        </row>
        <row r="137">
          <cell r="A137" t="str">
            <v>047001002.0014</v>
          </cell>
          <cell r="B137" t="str">
            <v>047001002</v>
          </cell>
          <cell r="C137" t="str">
            <v>Current Year Collections -Liquidations</v>
          </cell>
          <cell r="D137" t="str">
            <v>0014</v>
          </cell>
          <cell r="E137" t="str">
            <v>LEASED PLANT AND MACHINE</v>
          </cell>
          <cell r="F137">
            <v>-18135303.890000001</v>
          </cell>
          <cell r="G137">
            <v>-17280468</v>
          </cell>
          <cell r="H137">
            <v>-35415771.890000001</v>
          </cell>
          <cell r="I137" t="str">
            <v>Mishraji</v>
          </cell>
        </row>
        <row r="138">
          <cell r="A138" t="str">
            <v>047001002.0015</v>
          </cell>
          <cell r="B138" t="str">
            <v>047001002</v>
          </cell>
          <cell r="C138" t="str">
            <v>Current Year Collections -Liquidations</v>
          </cell>
          <cell r="D138" t="str">
            <v>0015</v>
          </cell>
          <cell r="E138" t="str">
            <v>LEASED AIR CONDITIONERS</v>
          </cell>
          <cell r="F138">
            <v>-143204.6</v>
          </cell>
          <cell r="G138">
            <v>0</v>
          </cell>
          <cell r="H138">
            <v>-143204.6</v>
          </cell>
          <cell r="I138" t="str">
            <v>Mishraji</v>
          </cell>
        </row>
        <row r="139">
          <cell r="A139" t="str">
            <v>047001002.0016</v>
          </cell>
          <cell r="B139" t="str">
            <v>047001002</v>
          </cell>
          <cell r="C139" t="str">
            <v>Current Year Collections -Liquidations</v>
          </cell>
          <cell r="D139" t="str">
            <v>0016</v>
          </cell>
          <cell r="E139" t="str">
            <v>LEASED GEN SETS -INGRES</v>
          </cell>
          <cell r="F139">
            <v>-10650</v>
          </cell>
          <cell r="G139">
            <v>0</v>
          </cell>
          <cell r="H139">
            <v>-10650</v>
          </cell>
          <cell r="I139" t="str">
            <v>Mishraji</v>
          </cell>
        </row>
        <row r="140">
          <cell r="A140" t="str">
            <v>047001002.0020</v>
          </cell>
          <cell r="B140" t="str">
            <v>047001002</v>
          </cell>
          <cell r="C140" t="str">
            <v>Current Year Collections -Liquidations</v>
          </cell>
          <cell r="D140" t="str">
            <v>0020</v>
          </cell>
          <cell r="E140" t="str">
            <v>LEASED PLANT &amp; MACHINERY</v>
          </cell>
          <cell r="F140">
            <v>-84064762</v>
          </cell>
          <cell r="G140">
            <v>-25000000</v>
          </cell>
          <cell r="H140">
            <v>-109064762</v>
          </cell>
          <cell r="I140" t="str">
            <v>Mishraji</v>
          </cell>
        </row>
        <row r="141">
          <cell r="A141" t="str">
            <v>047001002.0021</v>
          </cell>
          <cell r="B141" t="str">
            <v>047001002</v>
          </cell>
          <cell r="C141" t="str">
            <v>Current Year Collections -Liquidations</v>
          </cell>
          <cell r="D141" t="str">
            <v>0021</v>
          </cell>
          <cell r="E141" t="str">
            <v>LEASED COMPUTER -INGRES</v>
          </cell>
          <cell r="F141">
            <v>1400777.2</v>
          </cell>
          <cell r="G141">
            <v>0</v>
          </cell>
          <cell r="H141">
            <v>1400777.2</v>
          </cell>
          <cell r="I141" t="str">
            <v>Mishraji</v>
          </cell>
        </row>
        <row r="142">
          <cell r="A142" t="str">
            <v>047001002.0022</v>
          </cell>
          <cell r="B142" t="str">
            <v>047001002</v>
          </cell>
          <cell r="C142" t="str">
            <v>Current Year Collections -Liquidations</v>
          </cell>
          <cell r="D142" t="str">
            <v>0022</v>
          </cell>
          <cell r="E142" t="str">
            <v>LEASED OFFICE EQUIPMENTS</v>
          </cell>
          <cell r="F142">
            <v>-2476659.4</v>
          </cell>
          <cell r="G142">
            <v>0</v>
          </cell>
          <cell r="H142">
            <v>-2476659.4</v>
          </cell>
          <cell r="I142" t="str">
            <v>Mishraji</v>
          </cell>
        </row>
        <row r="143">
          <cell r="A143" t="str">
            <v>047001002.0025</v>
          </cell>
          <cell r="B143" t="str">
            <v>047001002</v>
          </cell>
          <cell r="C143" t="str">
            <v>Current Year Collections -Liquidations</v>
          </cell>
          <cell r="D143" t="str">
            <v>0025</v>
          </cell>
          <cell r="E143" t="str">
            <v>LEASED VEHICLES -HCV -I</v>
          </cell>
          <cell r="F143">
            <v>-9031739</v>
          </cell>
          <cell r="G143">
            <v>-461328</v>
          </cell>
          <cell r="H143">
            <v>-9493067</v>
          </cell>
          <cell r="I143" t="str">
            <v>Mishraji</v>
          </cell>
        </row>
        <row r="144">
          <cell r="A144" t="str">
            <v>047001002.0026</v>
          </cell>
          <cell r="B144" t="str">
            <v>047001002</v>
          </cell>
          <cell r="C144" t="str">
            <v>Current Year Collections -Liquidations</v>
          </cell>
          <cell r="D144" t="str">
            <v>0026</v>
          </cell>
          <cell r="E144" t="str">
            <v>LEASED VEHICLES -LCV -I</v>
          </cell>
          <cell r="F144">
            <v>-7296049</v>
          </cell>
          <cell r="G144">
            <v>-340990</v>
          </cell>
          <cell r="H144">
            <v>-7637039</v>
          </cell>
          <cell r="I144" t="str">
            <v>Mishraji</v>
          </cell>
        </row>
        <row r="145">
          <cell r="A145" t="str">
            <v>047001002.0027</v>
          </cell>
          <cell r="B145" t="str">
            <v>047001002</v>
          </cell>
          <cell r="C145" t="str">
            <v>Current Year Collections -Liquidations</v>
          </cell>
          <cell r="D145" t="str">
            <v>0027</v>
          </cell>
          <cell r="E145" t="str">
            <v>LEASED VEHICLES -CAR -I</v>
          </cell>
          <cell r="F145">
            <v>-14897854.609999999</v>
          </cell>
          <cell r="G145">
            <v>0</v>
          </cell>
          <cell r="H145">
            <v>-14897854.609999999</v>
          </cell>
          <cell r="I145" t="str">
            <v>Mishraji</v>
          </cell>
        </row>
        <row r="146">
          <cell r="A146" t="str">
            <v>047001002.0028</v>
          </cell>
          <cell r="B146" t="str">
            <v>047001002</v>
          </cell>
          <cell r="C146" t="str">
            <v>Current Year Collections -Liquidations</v>
          </cell>
          <cell r="D146" t="str">
            <v>0028</v>
          </cell>
          <cell r="E146" t="str">
            <v>LEASED SCOOTERS &amp; MOTOR</v>
          </cell>
          <cell r="F146">
            <v>-507042</v>
          </cell>
          <cell r="G146">
            <v>0</v>
          </cell>
          <cell r="H146">
            <v>-507042</v>
          </cell>
          <cell r="I146" t="str">
            <v>Mishraji</v>
          </cell>
        </row>
        <row r="147">
          <cell r="A147" t="str">
            <v>047001002.0029</v>
          </cell>
          <cell r="B147" t="str">
            <v>047001002</v>
          </cell>
          <cell r="C147" t="str">
            <v>Current Year Collections -Liquidations</v>
          </cell>
          <cell r="D147" t="str">
            <v>0029</v>
          </cell>
          <cell r="E147" t="str">
            <v>LEASED FURNITURE AND FIX</v>
          </cell>
          <cell r="F147">
            <v>19246574.690000001</v>
          </cell>
          <cell r="G147">
            <v>0</v>
          </cell>
          <cell r="H147">
            <v>19246574.690000001</v>
          </cell>
          <cell r="I147" t="str">
            <v>Mishraji</v>
          </cell>
        </row>
        <row r="148">
          <cell r="A148" t="str">
            <v>047001002.0030</v>
          </cell>
          <cell r="B148" t="str">
            <v>047001002</v>
          </cell>
          <cell r="C148" t="str">
            <v>Current Year Collections -Liquidations</v>
          </cell>
          <cell r="D148" t="str">
            <v>0030</v>
          </cell>
          <cell r="E148" t="str">
            <v>LEASED-AEROPLANES -INGRE</v>
          </cell>
          <cell r="F148">
            <v>-62751274</v>
          </cell>
          <cell r="G148">
            <v>0</v>
          </cell>
          <cell r="H148">
            <v>-62751274</v>
          </cell>
          <cell r="I148" t="str">
            <v>Mishraji</v>
          </cell>
        </row>
        <row r="149">
          <cell r="A149" t="str">
            <v>047001002.0033</v>
          </cell>
          <cell r="B149" t="str">
            <v>047001002</v>
          </cell>
          <cell r="C149" t="str">
            <v>Current Year Collections -Liquidations</v>
          </cell>
          <cell r="D149" t="str">
            <v>0033</v>
          </cell>
          <cell r="E149" t="str">
            <v>ACC.DEP.LEASED P &amp; M -IN</v>
          </cell>
          <cell r="F149">
            <v>-16976776.239999998</v>
          </cell>
          <cell r="G149">
            <v>3044017.49</v>
          </cell>
          <cell r="H149">
            <v>-13932758.75</v>
          </cell>
          <cell r="I149" t="str">
            <v>Mishraji</v>
          </cell>
        </row>
        <row r="150">
          <cell r="A150" t="str">
            <v>047001002.0034</v>
          </cell>
          <cell r="B150" t="str">
            <v>047001002</v>
          </cell>
          <cell r="C150" t="str">
            <v>Current Year Collections -Liquidations</v>
          </cell>
          <cell r="D150" t="str">
            <v>0034</v>
          </cell>
          <cell r="E150" t="str">
            <v>ACC.DEP. LEASED ACS -ING</v>
          </cell>
          <cell r="F150">
            <v>-116871.03999999999</v>
          </cell>
          <cell r="G150">
            <v>0</v>
          </cell>
          <cell r="H150">
            <v>-116871.03999999999</v>
          </cell>
          <cell r="I150" t="str">
            <v>Mishraji</v>
          </cell>
        </row>
        <row r="151">
          <cell r="A151" t="str">
            <v>047001002.0035</v>
          </cell>
          <cell r="B151" t="str">
            <v>047001002</v>
          </cell>
          <cell r="C151" t="str">
            <v>Current Year Collections -Liquidations</v>
          </cell>
          <cell r="D151" t="str">
            <v>0035</v>
          </cell>
          <cell r="E151" t="str">
            <v>ACC.DEP. LEASED GENSETS</v>
          </cell>
          <cell r="F151">
            <v>-0.13</v>
          </cell>
          <cell r="G151">
            <v>0</v>
          </cell>
          <cell r="H151">
            <v>-0.13</v>
          </cell>
          <cell r="I151" t="str">
            <v>Mishraji</v>
          </cell>
        </row>
        <row r="152">
          <cell r="A152" t="str">
            <v>047001002.0036</v>
          </cell>
          <cell r="B152" t="str">
            <v>047001002</v>
          </cell>
          <cell r="C152" t="str">
            <v>Current Year Collections -Liquidations</v>
          </cell>
          <cell r="D152" t="str">
            <v>0036</v>
          </cell>
          <cell r="E152" t="str">
            <v>ACC.DEPRECIATION-HEAVY E</v>
          </cell>
          <cell r="F152">
            <v>-67131.360000000001</v>
          </cell>
          <cell r="G152">
            <v>0</v>
          </cell>
          <cell r="H152">
            <v>-67131.360000000001</v>
          </cell>
          <cell r="I152" t="str">
            <v>Mishraji</v>
          </cell>
        </row>
        <row r="153">
          <cell r="A153" t="str">
            <v>047001002.0037</v>
          </cell>
          <cell r="B153" t="str">
            <v>047001002</v>
          </cell>
          <cell r="C153" t="str">
            <v>Current Year Collections -Liquidations</v>
          </cell>
          <cell r="D153" t="str">
            <v>0037</v>
          </cell>
          <cell r="E153" t="str">
            <v>ACC.DEP LEASED P&amp;M 40Perct.IT</v>
          </cell>
          <cell r="F153">
            <v>0.79</v>
          </cell>
          <cell r="G153">
            <v>0</v>
          </cell>
          <cell r="H153">
            <v>0.79</v>
          </cell>
          <cell r="I153" t="str">
            <v>Mishraji</v>
          </cell>
        </row>
        <row r="154">
          <cell r="A154" t="str">
            <v>047001002.0038</v>
          </cell>
          <cell r="B154" t="str">
            <v>047001002</v>
          </cell>
          <cell r="C154" t="str">
            <v>Current Year Collections -Liquidations</v>
          </cell>
          <cell r="D154" t="str">
            <v>0038</v>
          </cell>
          <cell r="E154" t="str">
            <v>ACC.DEP LEASED P&amp;M&lt;5000/</v>
          </cell>
          <cell r="F154">
            <v>-496154.8</v>
          </cell>
          <cell r="G154">
            <v>0</v>
          </cell>
          <cell r="H154">
            <v>-496154.8</v>
          </cell>
          <cell r="I154" t="str">
            <v>Mishraji</v>
          </cell>
        </row>
        <row r="155">
          <cell r="A155" t="str">
            <v>047001002.0039</v>
          </cell>
          <cell r="B155" t="str">
            <v>047001002</v>
          </cell>
          <cell r="C155" t="str">
            <v>Current Year Collections -Liquidations</v>
          </cell>
          <cell r="D155" t="str">
            <v>0039</v>
          </cell>
          <cell r="E155" t="str">
            <v>ACC. DEP. - LEASED P&amp;M -</v>
          </cell>
          <cell r="F155">
            <v>-46317177.939999998</v>
          </cell>
          <cell r="G155">
            <v>7391780.8099999996</v>
          </cell>
          <cell r="H155">
            <v>-38925397.130000003</v>
          </cell>
          <cell r="I155" t="str">
            <v>Mishraji</v>
          </cell>
        </row>
        <row r="156">
          <cell r="A156" t="str">
            <v>047001002.0040</v>
          </cell>
          <cell r="B156" t="str">
            <v>047001002</v>
          </cell>
          <cell r="C156" t="str">
            <v>Current Year Collections -Liquidations</v>
          </cell>
          <cell r="D156" t="str">
            <v>0040</v>
          </cell>
          <cell r="E156" t="str">
            <v>ACC. DEP. LEASED COMPUTE</v>
          </cell>
          <cell r="F156">
            <v>6810605.3600000003</v>
          </cell>
          <cell r="G156">
            <v>0</v>
          </cell>
          <cell r="H156">
            <v>6810605.3600000003</v>
          </cell>
          <cell r="I156" t="str">
            <v>Mishraji</v>
          </cell>
        </row>
        <row r="157">
          <cell r="A157" t="str">
            <v>047001002.0041</v>
          </cell>
          <cell r="B157" t="str">
            <v>047001002</v>
          </cell>
          <cell r="C157" t="str">
            <v>Current Year Collections -Liquidations</v>
          </cell>
          <cell r="D157" t="str">
            <v>0041</v>
          </cell>
          <cell r="E157" t="str">
            <v>ACC.DEP. LEASED O.E. -IN</v>
          </cell>
          <cell r="F157">
            <v>1219246.32</v>
          </cell>
          <cell r="G157">
            <v>0</v>
          </cell>
          <cell r="H157">
            <v>1219246.32</v>
          </cell>
          <cell r="I157" t="str">
            <v>Mishraji</v>
          </cell>
        </row>
        <row r="158">
          <cell r="A158" t="str">
            <v>047001002.0045</v>
          </cell>
          <cell r="B158" t="str">
            <v>047001002</v>
          </cell>
          <cell r="C158" t="str">
            <v>Current Year Collections -Liquidations</v>
          </cell>
          <cell r="D158" t="str">
            <v>0045</v>
          </cell>
          <cell r="E158" t="str">
            <v>ACC.DEPRECIATION-TANKERS</v>
          </cell>
          <cell r="F158">
            <v>6871.65</v>
          </cell>
          <cell r="G158">
            <v>0</v>
          </cell>
          <cell r="H158">
            <v>6871.65</v>
          </cell>
          <cell r="I158" t="str">
            <v>Mishraji</v>
          </cell>
        </row>
        <row r="159">
          <cell r="A159" t="str">
            <v>047001002.0046</v>
          </cell>
          <cell r="B159" t="str">
            <v>047001002</v>
          </cell>
          <cell r="C159" t="str">
            <v>Current Year Collections -Liquidations</v>
          </cell>
          <cell r="D159" t="str">
            <v>0046</v>
          </cell>
          <cell r="E159" t="str">
            <v>ACC.DEP.LEASED HCVS -ING</v>
          </cell>
          <cell r="F159">
            <v>11269542.119999999</v>
          </cell>
          <cell r="G159">
            <v>217992.52</v>
          </cell>
          <cell r="H159">
            <v>11487534.640000001</v>
          </cell>
          <cell r="I159" t="str">
            <v>Mishraji</v>
          </cell>
        </row>
        <row r="160">
          <cell r="A160" t="str">
            <v>047001002.0047</v>
          </cell>
          <cell r="B160" t="str">
            <v>047001002</v>
          </cell>
          <cell r="C160" t="str">
            <v>Current Year Collections -Liquidations</v>
          </cell>
          <cell r="D160" t="str">
            <v>0047</v>
          </cell>
          <cell r="E160" t="str">
            <v>ACC. DEP. LEASED CAR-LUX</v>
          </cell>
          <cell r="F160">
            <v>12548163.109999999</v>
          </cell>
          <cell r="G160">
            <v>165823.44</v>
          </cell>
          <cell r="H160">
            <v>12713986.550000001</v>
          </cell>
          <cell r="I160" t="str">
            <v>Mishraji</v>
          </cell>
        </row>
        <row r="161">
          <cell r="A161" t="str">
            <v>047001002.0048</v>
          </cell>
          <cell r="B161" t="str">
            <v>047001002</v>
          </cell>
          <cell r="C161" t="str">
            <v>Current Year Collections -Liquidations</v>
          </cell>
          <cell r="D161" t="str">
            <v>0048</v>
          </cell>
          <cell r="E161" t="str">
            <v>ACC.DEP. LEASED CARS -IN</v>
          </cell>
          <cell r="F161">
            <v>2604466.1</v>
          </cell>
          <cell r="G161">
            <v>0</v>
          </cell>
          <cell r="H161">
            <v>2604466.1</v>
          </cell>
          <cell r="I161" t="str">
            <v>Mishraji</v>
          </cell>
        </row>
        <row r="162">
          <cell r="A162" t="str">
            <v>047001002.0049</v>
          </cell>
          <cell r="B162" t="str">
            <v>047001002</v>
          </cell>
          <cell r="C162" t="str">
            <v>Current Year Collections -Liquidations</v>
          </cell>
          <cell r="D162" t="str">
            <v>0049</v>
          </cell>
          <cell r="E162" t="str">
            <v>ACC.DEP. LEASED S &amp; M -I</v>
          </cell>
          <cell r="F162">
            <v>-163648.91</v>
          </cell>
          <cell r="G162">
            <v>0</v>
          </cell>
          <cell r="H162">
            <v>-163648.91</v>
          </cell>
          <cell r="I162" t="str">
            <v>Mishraji</v>
          </cell>
        </row>
        <row r="163">
          <cell r="A163" t="str">
            <v>047001002.0050</v>
          </cell>
          <cell r="B163" t="str">
            <v>047001002</v>
          </cell>
          <cell r="C163" t="str">
            <v>Current Year Collections -Liquidations</v>
          </cell>
          <cell r="D163" t="str">
            <v>0050</v>
          </cell>
          <cell r="E163" t="str">
            <v>ACC. DEP. LEASED F &amp; F -</v>
          </cell>
          <cell r="F163">
            <v>-5433766.0499999998</v>
          </cell>
          <cell r="G163">
            <v>0</v>
          </cell>
          <cell r="H163">
            <v>-5433766.0499999998</v>
          </cell>
          <cell r="I163" t="str">
            <v>Mishraji</v>
          </cell>
        </row>
        <row r="164">
          <cell r="A164" t="str">
            <v>047001002.0051</v>
          </cell>
          <cell r="B164" t="str">
            <v>047001002</v>
          </cell>
          <cell r="C164" t="str">
            <v>Current Year Collections -Liquidations</v>
          </cell>
          <cell r="D164" t="str">
            <v>0051</v>
          </cell>
          <cell r="E164" t="str">
            <v>ACC. DEP. LEASED AEROPLA</v>
          </cell>
          <cell r="F164">
            <v>49096854.960000001</v>
          </cell>
          <cell r="G164">
            <v>0</v>
          </cell>
          <cell r="H164">
            <v>49096854.960000001</v>
          </cell>
          <cell r="I164" t="str">
            <v>Mishraji</v>
          </cell>
        </row>
        <row r="165">
          <cell r="A165" t="str">
            <v>047001002.0053</v>
          </cell>
          <cell r="B165" t="str">
            <v>047001002</v>
          </cell>
          <cell r="C165" t="str">
            <v>Current Year Collections -Liquidations</v>
          </cell>
          <cell r="D165" t="str">
            <v>0053</v>
          </cell>
          <cell r="E165" t="str">
            <v>LEASED ADJ. AC'S -INGRES</v>
          </cell>
          <cell r="F165">
            <v>-0.02</v>
          </cell>
          <cell r="G165">
            <v>0</v>
          </cell>
          <cell r="H165">
            <v>-0.02</v>
          </cell>
          <cell r="I165" t="str">
            <v>Mishraji</v>
          </cell>
        </row>
        <row r="166">
          <cell r="A166" t="str">
            <v>047001002.0054</v>
          </cell>
          <cell r="B166" t="str">
            <v>047001002</v>
          </cell>
          <cell r="C166" t="str">
            <v>Current Year Collections -Liquidations</v>
          </cell>
          <cell r="D166" t="str">
            <v>0054</v>
          </cell>
          <cell r="E166" t="str">
            <v>LEASED ADJ. P &amp; M 100Perct. I</v>
          </cell>
          <cell r="F166">
            <v>-0.02</v>
          </cell>
          <cell r="G166">
            <v>0</v>
          </cell>
          <cell r="H166">
            <v>-0.02</v>
          </cell>
          <cell r="I166" t="str">
            <v>Mishraji</v>
          </cell>
        </row>
        <row r="167">
          <cell r="A167" t="str">
            <v>047001002.0055</v>
          </cell>
          <cell r="B167" t="str">
            <v>047001002</v>
          </cell>
          <cell r="C167" t="str">
            <v>Current Year Collections -Liquidations</v>
          </cell>
          <cell r="D167" t="str">
            <v>0055</v>
          </cell>
          <cell r="E167" t="str">
            <v>LEASED ADJ. P &amp; M -INGRE</v>
          </cell>
          <cell r="F167">
            <v>28563717.850000001</v>
          </cell>
          <cell r="G167">
            <v>10140860.66</v>
          </cell>
          <cell r="H167">
            <v>38704578.509999998</v>
          </cell>
          <cell r="I167" t="str">
            <v>Mishraji</v>
          </cell>
        </row>
        <row r="168">
          <cell r="A168" t="str">
            <v>047001002.0056</v>
          </cell>
          <cell r="B168" t="str">
            <v>047001002</v>
          </cell>
          <cell r="C168" t="str">
            <v>Current Year Collections -Liquidations</v>
          </cell>
          <cell r="D168" t="str">
            <v>0056</v>
          </cell>
          <cell r="E168" t="str">
            <v>LEASED ADJ. AC'S -INGRES</v>
          </cell>
          <cell r="F168">
            <v>-851610.09</v>
          </cell>
          <cell r="G168">
            <v>0</v>
          </cell>
          <cell r="H168">
            <v>-851610.09</v>
          </cell>
          <cell r="I168" t="str">
            <v>Mishraji</v>
          </cell>
        </row>
        <row r="169">
          <cell r="A169" t="str">
            <v>047001002.0057</v>
          </cell>
          <cell r="B169" t="str">
            <v>047001002</v>
          </cell>
          <cell r="C169" t="str">
            <v>Current Year Collections -Liquidations</v>
          </cell>
          <cell r="D169" t="str">
            <v>0057</v>
          </cell>
          <cell r="E169" t="str">
            <v>LEASED ADJ. HEAVY EQUIP.</v>
          </cell>
          <cell r="F169">
            <v>67133.460000000006</v>
          </cell>
          <cell r="G169">
            <v>0</v>
          </cell>
          <cell r="H169">
            <v>67133.460000000006</v>
          </cell>
          <cell r="I169" t="str">
            <v>Mishraji</v>
          </cell>
        </row>
        <row r="170">
          <cell r="A170" t="str">
            <v>047001002.0058</v>
          </cell>
          <cell r="B170" t="str">
            <v>047001002</v>
          </cell>
          <cell r="C170" t="str">
            <v>Current Year Collections -Liquidations</v>
          </cell>
          <cell r="D170" t="str">
            <v>0058</v>
          </cell>
          <cell r="E170" t="str">
            <v>LEASED ADJ. P&amp; M 40Perct. -IN</v>
          </cell>
          <cell r="F170">
            <v>-9.3699999999999992</v>
          </cell>
          <cell r="G170">
            <v>0</v>
          </cell>
          <cell r="H170">
            <v>-9.3699999999999992</v>
          </cell>
          <cell r="I170" t="str">
            <v>Mishraji</v>
          </cell>
        </row>
        <row r="171">
          <cell r="A171" t="str">
            <v>047001002.0059</v>
          </cell>
          <cell r="B171" t="str">
            <v>047001002</v>
          </cell>
          <cell r="C171" t="str">
            <v>Current Year Collections -Liquidations</v>
          </cell>
          <cell r="D171" t="str">
            <v>0059</v>
          </cell>
          <cell r="E171" t="str">
            <v>LEASED ADJ . P&amp; M&lt;5000 -</v>
          </cell>
          <cell r="F171">
            <v>-309177.76</v>
          </cell>
          <cell r="G171">
            <v>0</v>
          </cell>
          <cell r="H171">
            <v>-309177.76</v>
          </cell>
          <cell r="I171" t="str">
            <v>Mishraji</v>
          </cell>
        </row>
        <row r="172">
          <cell r="A172" t="str">
            <v>047001002.0060</v>
          </cell>
          <cell r="B172" t="str">
            <v>047001002</v>
          </cell>
          <cell r="C172" t="str">
            <v>Current Year Collections -Liquidations</v>
          </cell>
          <cell r="D172" t="str">
            <v>0060</v>
          </cell>
          <cell r="E172" t="str">
            <v>LEASED ADJ. P &amp; M 100Perct. I</v>
          </cell>
          <cell r="F172">
            <v>122570660.98</v>
          </cell>
          <cell r="G172">
            <v>12604338.9</v>
          </cell>
          <cell r="H172">
            <v>135174999.88</v>
          </cell>
          <cell r="I172" t="str">
            <v>Mishraji</v>
          </cell>
        </row>
        <row r="173">
          <cell r="A173" t="str">
            <v>047001002.0061</v>
          </cell>
          <cell r="B173" t="str">
            <v>047001002</v>
          </cell>
          <cell r="C173" t="str">
            <v>Current Year Collections -Liquidations</v>
          </cell>
          <cell r="D173" t="str">
            <v>0061</v>
          </cell>
          <cell r="E173" t="str">
            <v>LEASED ADJ. COMPUTERS -I</v>
          </cell>
          <cell r="F173">
            <v>-0.01</v>
          </cell>
          <cell r="G173">
            <v>0</v>
          </cell>
          <cell r="H173">
            <v>-0.01</v>
          </cell>
          <cell r="I173" t="str">
            <v>Mishraji</v>
          </cell>
        </row>
        <row r="174">
          <cell r="A174" t="str">
            <v>047001002.0062</v>
          </cell>
          <cell r="B174" t="str">
            <v>047001002</v>
          </cell>
          <cell r="C174" t="str">
            <v>Current Year Collections -Liquidations</v>
          </cell>
          <cell r="D174" t="str">
            <v>0062</v>
          </cell>
          <cell r="E174" t="str">
            <v>LEASED ADJ. COMPUTERS -I</v>
          </cell>
          <cell r="F174">
            <v>-6170503.3499999996</v>
          </cell>
          <cell r="G174">
            <v>0</v>
          </cell>
          <cell r="H174">
            <v>-6170503.3499999996</v>
          </cell>
          <cell r="I174" t="str">
            <v>Mishraji</v>
          </cell>
        </row>
        <row r="175">
          <cell r="A175" t="str">
            <v>047001002.0063</v>
          </cell>
          <cell r="B175" t="str">
            <v>047001002</v>
          </cell>
          <cell r="C175" t="str">
            <v>Current Year Collections -Liquidations</v>
          </cell>
          <cell r="D175" t="str">
            <v>0063</v>
          </cell>
          <cell r="E175" t="str">
            <v>LEASED ADJ. O.E. -INGRES</v>
          </cell>
          <cell r="F175">
            <v>-664112.05000000005</v>
          </cell>
          <cell r="G175">
            <v>0</v>
          </cell>
          <cell r="H175">
            <v>-664112.05000000005</v>
          </cell>
          <cell r="I175" t="str">
            <v>Mishraji</v>
          </cell>
        </row>
        <row r="176">
          <cell r="A176" t="str">
            <v>047001002.0065</v>
          </cell>
          <cell r="B176" t="str">
            <v>047001002</v>
          </cell>
          <cell r="C176" t="str">
            <v>Current Year Collections -Liquidations</v>
          </cell>
          <cell r="D176" t="str">
            <v>0065</v>
          </cell>
          <cell r="E176" t="str">
            <v>LEASED ADJ. CARS -INGRES</v>
          </cell>
          <cell r="F176">
            <v>0.03</v>
          </cell>
          <cell r="G176">
            <v>0</v>
          </cell>
          <cell r="H176">
            <v>0.03</v>
          </cell>
          <cell r="I176" t="str">
            <v>Mishraji</v>
          </cell>
        </row>
        <row r="177">
          <cell r="A177" t="str">
            <v>047001002.0066</v>
          </cell>
          <cell r="B177" t="str">
            <v>047001002</v>
          </cell>
          <cell r="C177" t="str">
            <v>Current Year Collections -Liquidations</v>
          </cell>
          <cell r="D177" t="str">
            <v>0066</v>
          </cell>
          <cell r="E177" t="str">
            <v>LEASED ADJ.TANKERS -INGR</v>
          </cell>
          <cell r="F177">
            <v>463496.93</v>
          </cell>
          <cell r="G177">
            <v>0</v>
          </cell>
          <cell r="H177">
            <v>463496.93</v>
          </cell>
          <cell r="I177" t="str">
            <v>Mishraji</v>
          </cell>
        </row>
        <row r="178">
          <cell r="A178" t="str">
            <v>047001002.0067</v>
          </cell>
          <cell r="B178" t="str">
            <v>047001002</v>
          </cell>
          <cell r="C178" t="str">
            <v>Current Year Collections -Liquidations</v>
          </cell>
          <cell r="D178" t="str">
            <v>0067</v>
          </cell>
          <cell r="E178" t="str">
            <v>LEASED ADJ. HCV'S -INGRE</v>
          </cell>
          <cell r="F178">
            <v>-316055.19</v>
          </cell>
          <cell r="G178">
            <v>12008.83</v>
          </cell>
          <cell r="H178">
            <v>-304046.36</v>
          </cell>
          <cell r="I178" t="str">
            <v>Mishraji</v>
          </cell>
        </row>
        <row r="179">
          <cell r="A179" t="str">
            <v>047001002.0068</v>
          </cell>
          <cell r="B179" t="str">
            <v>047001002</v>
          </cell>
          <cell r="C179" t="str">
            <v>Current Year Collections -Liquidations</v>
          </cell>
          <cell r="D179" t="str">
            <v>0068</v>
          </cell>
          <cell r="E179" t="str">
            <v>LEASED ADJ. CARS -INGRES</v>
          </cell>
          <cell r="F179">
            <v>15785529.33</v>
          </cell>
          <cell r="G179">
            <v>0</v>
          </cell>
          <cell r="H179">
            <v>15785529.33</v>
          </cell>
          <cell r="I179" t="str">
            <v>Mishraji</v>
          </cell>
        </row>
        <row r="180">
          <cell r="A180" t="str">
            <v>047001002.0069</v>
          </cell>
          <cell r="B180" t="str">
            <v>047001002</v>
          </cell>
          <cell r="C180" t="str">
            <v>Current Year Collections -Liquidations</v>
          </cell>
          <cell r="D180" t="str">
            <v>0069</v>
          </cell>
          <cell r="E180" t="str">
            <v>LEASED ADJ. S &amp; M -INGRE</v>
          </cell>
          <cell r="F180">
            <v>32120.19</v>
          </cell>
          <cell r="G180">
            <v>0</v>
          </cell>
          <cell r="H180">
            <v>32120.19</v>
          </cell>
          <cell r="I180" t="str">
            <v>Mishraji</v>
          </cell>
        </row>
        <row r="181">
          <cell r="A181" t="str">
            <v>047001002.0070</v>
          </cell>
          <cell r="B181" t="str">
            <v>047001002</v>
          </cell>
          <cell r="C181" t="str">
            <v>Current Year Collections -Liquidations</v>
          </cell>
          <cell r="D181" t="str">
            <v>0070</v>
          </cell>
          <cell r="E181" t="str">
            <v>LEASED ADJ. F &amp; F -INGRE</v>
          </cell>
          <cell r="F181">
            <v>-21672931.460000001</v>
          </cell>
          <cell r="G181">
            <v>0</v>
          </cell>
          <cell r="H181">
            <v>-21672931.460000001</v>
          </cell>
          <cell r="I181" t="str">
            <v>Mishraji</v>
          </cell>
        </row>
        <row r="182">
          <cell r="A182" t="str">
            <v>047001002.0071</v>
          </cell>
          <cell r="B182" t="str">
            <v>047001002</v>
          </cell>
          <cell r="C182" t="str">
            <v>Current Year Collections -Liquidations</v>
          </cell>
          <cell r="D182" t="str">
            <v>0071</v>
          </cell>
          <cell r="E182" t="str">
            <v>LEASED ADJ. CAR -LUX -I</v>
          </cell>
          <cell r="F182">
            <v>-5897517.1299999999</v>
          </cell>
          <cell r="G182">
            <v>54176.56</v>
          </cell>
          <cell r="H182">
            <v>-5843340.5700000003</v>
          </cell>
          <cell r="I182" t="str">
            <v>Mishraji</v>
          </cell>
        </row>
        <row r="183">
          <cell r="A183" t="str">
            <v>047001002.0072</v>
          </cell>
          <cell r="B183" t="str">
            <v>047001002</v>
          </cell>
          <cell r="C183" t="str">
            <v>Current Year Collections -Liquidations</v>
          </cell>
          <cell r="D183" t="str">
            <v>0072</v>
          </cell>
          <cell r="E183" t="str">
            <v>LEASED ADJ. AEROPLANES -</v>
          </cell>
          <cell r="F183">
            <v>12226411.93</v>
          </cell>
          <cell r="G183">
            <v>0</v>
          </cell>
          <cell r="H183">
            <v>12226411.93</v>
          </cell>
          <cell r="I183" t="str">
            <v>Mishraji</v>
          </cell>
        </row>
        <row r="184">
          <cell r="A184" t="str">
            <v>047001002.0073</v>
          </cell>
          <cell r="B184" t="str">
            <v>047001002</v>
          </cell>
          <cell r="C184" t="str">
            <v>Current Year Collections -Liquidations</v>
          </cell>
          <cell r="D184" t="str">
            <v>0073</v>
          </cell>
          <cell r="E184" t="str">
            <v>STOCK ON HIRE -INGRES</v>
          </cell>
          <cell r="F184">
            <v>-356212037.13999999</v>
          </cell>
          <cell r="G184">
            <v>-8305334</v>
          </cell>
          <cell r="H184">
            <v>-364517371.13999999</v>
          </cell>
          <cell r="I184" t="str">
            <v>Mishraji</v>
          </cell>
        </row>
        <row r="185">
          <cell r="A185" t="str">
            <v>047001002.0074</v>
          </cell>
          <cell r="B185" t="str">
            <v>047001002</v>
          </cell>
          <cell r="C185" t="str">
            <v>Current Year Collections -Liquidations</v>
          </cell>
          <cell r="D185" t="str">
            <v>0074</v>
          </cell>
          <cell r="E185" t="str">
            <v>H.P. INSTALMENTS RECEIVA</v>
          </cell>
          <cell r="F185">
            <v>-46943176.189999998</v>
          </cell>
          <cell r="G185">
            <v>1419373.59</v>
          </cell>
          <cell r="H185">
            <v>-45523802.600000001</v>
          </cell>
          <cell r="I185" t="str">
            <v>Mishraji</v>
          </cell>
        </row>
        <row r="186">
          <cell r="A186" t="str">
            <v>047001002.0075</v>
          </cell>
          <cell r="B186" t="str">
            <v>047001002</v>
          </cell>
          <cell r="C186" t="str">
            <v>Current Year Collections -Liquidations</v>
          </cell>
          <cell r="D186" t="str">
            <v>0075</v>
          </cell>
          <cell r="E186" t="str">
            <v>UNALLOCATED RECEIPTS -IN</v>
          </cell>
          <cell r="F186">
            <v>1610622.74</v>
          </cell>
          <cell r="G186">
            <v>730012</v>
          </cell>
          <cell r="H186">
            <v>2340634.7400000002</v>
          </cell>
          <cell r="I186" t="str">
            <v>Mishraji</v>
          </cell>
        </row>
        <row r="187">
          <cell r="A187" t="str">
            <v>047001002.0076</v>
          </cell>
          <cell r="B187" t="str">
            <v>047001002</v>
          </cell>
          <cell r="C187" t="str">
            <v>Current Year Collections -Liquidations</v>
          </cell>
          <cell r="D187" t="str">
            <v>0076</v>
          </cell>
          <cell r="E187" t="str">
            <v>PARTY EXPENSES A/C -INGR</v>
          </cell>
          <cell r="F187">
            <v>4722097.75</v>
          </cell>
          <cell r="G187">
            <v>-30292</v>
          </cell>
          <cell r="H187">
            <v>4691805.75</v>
          </cell>
          <cell r="I187" t="str">
            <v>Mishraji</v>
          </cell>
        </row>
        <row r="188">
          <cell r="A188" t="str">
            <v>047001002.0077</v>
          </cell>
          <cell r="B188" t="str">
            <v>047001002</v>
          </cell>
          <cell r="C188" t="str">
            <v>Current Year Collections -Liquidations</v>
          </cell>
          <cell r="D188" t="str">
            <v>0077</v>
          </cell>
          <cell r="E188" t="str">
            <v>INSURANCE CONTROL A/C -I</v>
          </cell>
          <cell r="F188">
            <v>-216680.26</v>
          </cell>
          <cell r="G188">
            <v>-48995</v>
          </cell>
          <cell r="H188">
            <v>-265675.26</v>
          </cell>
          <cell r="I188" t="str">
            <v>Mishraji</v>
          </cell>
        </row>
        <row r="189">
          <cell r="A189" t="str">
            <v>047001002.0078</v>
          </cell>
          <cell r="B189" t="str">
            <v>047001002</v>
          </cell>
          <cell r="C189" t="str">
            <v>Current Year Collections -Liquidations</v>
          </cell>
          <cell r="D189" t="str">
            <v>0078</v>
          </cell>
          <cell r="E189" t="str">
            <v>REPOSSESSED STOCK -INGRE</v>
          </cell>
          <cell r="F189">
            <v>-1355918.73</v>
          </cell>
          <cell r="G189">
            <v>-243367.98</v>
          </cell>
          <cell r="H189">
            <v>-1599286.71</v>
          </cell>
          <cell r="I189" t="str">
            <v>Vivek</v>
          </cell>
        </row>
        <row r="190">
          <cell r="A190" t="str">
            <v>047001002.0079</v>
          </cell>
          <cell r="B190" t="str">
            <v>047001002</v>
          </cell>
          <cell r="C190" t="str">
            <v>Current Year Collections -Liquidations</v>
          </cell>
          <cell r="D190" t="str">
            <v>0079</v>
          </cell>
          <cell r="E190" t="str">
            <v>BILLS RECEIVABLE -INGRES</v>
          </cell>
          <cell r="F190">
            <v>2978854</v>
          </cell>
          <cell r="G190">
            <v>0</v>
          </cell>
          <cell r="H190">
            <v>2978854</v>
          </cell>
          <cell r="I190" t="str">
            <v>Mishraji</v>
          </cell>
        </row>
        <row r="191">
          <cell r="A191" t="str">
            <v>047001002.0080</v>
          </cell>
          <cell r="B191" t="str">
            <v>047001002</v>
          </cell>
          <cell r="C191" t="str">
            <v>Current Year Collections -Liquidations</v>
          </cell>
          <cell r="D191" t="str">
            <v>0080</v>
          </cell>
          <cell r="E191" t="str">
            <v>BR PURCHASED DELHI -INGR</v>
          </cell>
          <cell r="F191">
            <v>-2978854</v>
          </cell>
          <cell r="G191">
            <v>0</v>
          </cell>
          <cell r="H191">
            <v>-2978854</v>
          </cell>
          <cell r="I191" t="str">
            <v>Mishraji</v>
          </cell>
        </row>
        <row r="192">
          <cell r="A192" t="str">
            <v>047001002.0081</v>
          </cell>
          <cell r="B192" t="str">
            <v>047001002</v>
          </cell>
          <cell r="C192" t="str">
            <v>Current Year Collections -Liquidations</v>
          </cell>
          <cell r="D192" t="str">
            <v>0081</v>
          </cell>
          <cell r="E192" t="str">
            <v>LEASE RENTALS RECEIVABLE</v>
          </cell>
          <cell r="F192">
            <v>-14330316.52</v>
          </cell>
          <cell r="G192">
            <v>41864</v>
          </cell>
          <cell r="H192">
            <v>-14288452.52</v>
          </cell>
          <cell r="I192" t="str">
            <v>Mishraji</v>
          </cell>
        </row>
        <row r="193">
          <cell r="A193" t="str">
            <v>047001002.0082</v>
          </cell>
          <cell r="B193" t="str">
            <v>047001002</v>
          </cell>
          <cell r="C193" t="str">
            <v>Current Year Collections -Liquidations</v>
          </cell>
          <cell r="D193" t="str">
            <v>0082</v>
          </cell>
          <cell r="E193" t="str">
            <v>SUB-LEASE RENTALS RECEIV</v>
          </cell>
          <cell r="F193">
            <v>1057248.02</v>
          </cell>
          <cell r="G193">
            <v>4993</v>
          </cell>
          <cell r="H193">
            <v>1062241.02</v>
          </cell>
          <cell r="I193" t="str">
            <v>Mishraji</v>
          </cell>
        </row>
        <row r="194">
          <cell r="A194" t="str">
            <v>047001002.0083</v>
          </cell>
          <cell r="B194" t="str">
            <v>047001002</v>
          </cell>
          <cell r="C194" t="str">
            <v>Current Year Collections -Liquidations</v>
          </cell>
          <cell r="D194" t="str">
            <v>0083</v>
          </cell>
          <cell r="E194" t="str">
            <v>LEASE SECURITY DEPOSITS</v>
          </cell>
          <cell r="F194">
            <v>15899674</v>
          </cell>
          <cell r="G194">
            <v>9224586</v>
          </cell>
          <cell r="H194">
            <v>25124260</v>
          </cell>
          <cell r="I194" t="str">
            <v>Mishraji</v>
          </cell>
        </row>
        <row r="195">
          <cell r="A195" t="str">
            <v>047001002.0085</v>
          </cell>
          <cell r="B195" t="str">
            <v>047001002</v>
          </cell>
          <cell r="C195" t="str">
            <v>Current Year Collections -Liquidations</v>
          </cell>
          <cell r="D195" t="str">
            <v>0085</v>
          </cell>
          <cell r="E195" t="str">
            <v>SOH - L A/C</v>
          </cell>
          <cell r="F195">
            <v>358993275</v>
          </cell>
          <cell r="G195">
            <v>-10799283</v>
          </cell>
          <cell r="H195">
            <v>348193992</v>
          </cell>
          <cell r="I195" t="str">
            <v>Mishraji</v>
          </cell>
        </row>
        <row r="196">
          <cell r="A196" t="str">
            <v>047001002.0086</v>
          </cell>
          <cell r="B196" t="str">
            <v>047001002</v>
          </cell>
          <cell r="C196" t="str">
            <v>Current Year Collections -Liquidations</v>
          </cell>
          <cell r="D196" t="str">
            <v>0086</v>
          </cell>
          <cell r="E196" t="str">
            <v>PARTY RECEIVABLE -L A/C</v>
          </cell>
          <cell r="F196">
            <v>-3102448.63</v>
          </cell>
          <cell r="G196">
            <v>6484916.04</v>
          </cell>
          <cell r="H196">
            <v>3382467.41</v>
          </cell>
          <cell r="I196" t="str">
            <v>Mishraji</v>
          </cell>
        </row>
        <row r="197">
          <cell r="A197" t="str">
            <v>050001001.0001</v>
          </cell>
          <cell r="B197" t="str">
            <v>050001001</v>
          </cell>
          <cell r="C197" t="str">
            <v>January 1 Balance</v>
          </cell>
          <cell r="D197" t="str">
            <v>0001</v>
          </cell>
          <cell r="E197" t="str">
            <v>Financing Loans</v>
          </cell>
          <cell r="F197">
            <v>-310034406.87</v>
          </cell>
          <cell r="G197">
            <v>0</v>
          </cell>
          <cell r="H197">
            <v>-310034406.87</v>
          </cell>
          <cell r="I197" t="str">
            <v>Mishraji</v>
          </cell>
        </row>
        <row r="198">
          <cell r="A198" t="str">
            <v>050001002.0001</v>
          </cell>
          <cell r="B198" t="str">
            <v>050001002</v>
          </cell>
          <cell r="C198" t="str">
            <v>Current Year Volume -Additions</v>
          </cell>
          <cell r="D198" t="str">
            <v>0001</v>
          </cell>
          <cell r="E198" t="str">
            <v>Financing Loans</v>
          </cell>
          <cell r="F198">
            <v>-189078641.22999999</v>
          </cell>
          <cell r="G198">
            <v>-1208812.98</v>
          </cell>
          <cell r="H198">
            <v>-190287454.21000001</v>
          </cell>
          <cell r="I198" t="str">
            <v>Mishraji</v>
          </cell>
        </row>
        <row r="199">
          <cell r="A199" t="str">
            <v>067046001.0001</v>
          </cell>
          <cell r="B199" t="str">
            <v>067046001</v>
          </cell>
          <cell r="C199" t="str">
            <v>January 1 Balance Deferred Income- Quasi Lease Fixed Rate</v>
          </cell>
          <cell r="D199" t="str">
            <v>0001</v>
          </cell>
          <cell r="E199" t="str">
            <v>HP-Unmatured Finance Cha</v>
          </cell>
          <cell r="F199">
            <v>-66349464.32</v>
          </cell>
          <cell r="G199">
            <v>0</v>
          </cell>
          <cell r="H199">
            <v>-66349464.32</v>
          </cell>
          <cell r="I199" t="str">
            <v>Mishraji</v>
          </cell>
        </row>
        <row r="200">
          <cell r="A200" t="str">
            <v>067046001.0003</v>
          </cell>
          <cell r="B200" t="str">
            <v>067046001</v>
          </cell>
          <cell r="C200" t="str">
            <v>January 1 Balance Deferred Income- Quasi Lease Fixed Rate</v>
          </cell>
          <cell r="D200" t="str">
            <v>0003</v>
          </cell>
          <cell r="E200" t="str">
            <v>Lease-Unmatured Finance</v>
          </cell>
          <cell r="F200">
            <v>-1700527.58</v>
          </cell>
          <cell r="G200">
            <v>0</v>
          </cell>
          <cell r="H200">
            <v>-1700527.58</v>
          </cell>
          <cell r="I200" t="str">
            <v>Mishraji</v>
          </cell>
        </row>
        <row r="201">
          <cell r="A201" t="str">
            <v>067046002.0001</v>
          </cell>
          <cell r="B201" t="str">
            <v>067046002</v>
          </cell>
          <cell r="C201" t="str">
            <v>Current Year Additions Def Inc Quasi Lease Fixed Rate</v>
          </cell>
          <cell r="D201" t="str">
            <v>0001</v>
          </cell>
          <cell r="E201" t="str">
            <v>HP-Unmatured Finance Cha</v>
          </cell>
          <cell r="F201">
            <v>52926891.770000003</v>
          </cell>
          <cell r="G201">
            <v>1499722.51</v>
          </cell>
          <cell r="H201">
            <v>54426614.280000001</v>
          </cell>
          <cell r="I201" t="str">
            <v>Mishraji</v>
          </cell>
        </row>
        <row r="202">
          <cell r="A202" t="str">
            <v>067046002.0003</v>
          </cell>
          <cell r="B202" t="str">
            <v>067046002</v>
          </cell>
          <cell r="C202" t="str">
            <v>Current Year Additions Def Inc Quasi Lease Fixed Rate</v>
          </cell>
          <cell r="D202" t="str">
            <v>0003</v>
          </cell>
          <cell r="E202" t="str">
            <v>Lease-Unmatured Finance</v>
          </cell>
          <cell r="F202">
            <v>-57854214.119999997</v>
          </cell>
          <cell r="G202">
            <v>2714428.99</v>
          </cell>
          <cell r="H202">
            <v>-55139785.130000003</v>
          </cell>
          <cell r="I202" t="str">
            <v>Mishraji</v>
          </cell>
        </row>
        <row r="203">
          <cell r="A203" t="str">
            <v>080001002.0001</v>
          </cell>
          <cell r="B203" t="str">
            <v>080001002</v>
          </cell>
          <cell r="C203" t="str">
            <v>Current year Provisions -Additions</v>
          </cell>
          <cell r="D203" t="str">
            <v>0001</v>
          </cell>
          <cell r="E203" t="str">
            <v>Time Sales and Loans</v>
          </cell>
          <cell r="F203">
            <v>-3900023.19</v>
          </cell>
          <cell r="G203">
            <v>0</v>
          </cell>
          <cell r="H203">
            <v>-3900023.19</v>
          </cell>
          <cell r="I203" t="str">
            <v>Mishraji</v>
          </cell>
        </row>
        <row r="204">
          <cell r="A204" t="str">
            <v>122003001.0003</v>
          </cell>
          <cell r="B204" t="str">
            <v>122003001</v>
          </cell>
          <cell r="C204" t="str">
            <v>Loans &amp; Advances to Employees</v>
          </cell>
          <cell r="D204" t="str">
            <v>0003</v>
          </cell>
          <cell r="E204" t="str">
            <v>Loans to Employees-Personal</v>
          </cell>
          <cell r="F204">
            <v>-1348</v>
          </cell>
          <cell r="G204">
            <v>1348</v>
          </cell>
          <cell r="H204">
            <v>0</v>
          </cell>
          <cell r="I204" t="str">
            <v>Pankaj</v>
          </cell>
        </row>
        <row r="205">
          <cell r="A205" t="str">
            <v>122003001.0060</v>
          </cell>
          <cell r="B205" t="str">
            <v>122003001</v>
          </cell>
          <cell r="C205" t="str">
            <v>Loans &amp; Advances to Employees</v>
          </cell>
          <cell r="D205" t="str">
            <v>0060</v>
          </cell>
          <cell r="E205" t="str">
            <v>Advances to Employees-Others</v>
          </cell>
          <cell r="F205">
            <v>0</v>
          </cell>
          <cell r="G205">
            <v>-49500</v>
          </cell>
          <cell r="H205">
            <v>-49500</v>
          </cell>
          <cell r="I205" t="str">
            <v>Pankaj</v>
          </cell>
        </row>
        <row r="206">
          <cell r="A206" t="str">
            <v>122005001.0001</v>
          </cell>
          <cell r="B206" t="str">
            <v>122005001</v>
          </cell>
          <cell r="C206" t="str">
            <v>Miscellaneous</v>
          </cell>
          <cell r="D206" t="str">
            <v>0001</v>
          </cell>
          <cell r="E206" t="str">
            <v>Suppliers-Indian</v>
          </cell>
          <cell r="F206">
            <v>0.1</v>
          </cell>
          <cell r="G206">
            <v>0</v>
          </cell>
          <cell r="H206">
            <v>0.1</v>
          </cell>
          <cell r="I206" t="str">
            <v>Pankaj</v>
          </cell>
        </row>
        <row r="207">
          <cell r="A207" t="str">
            <v>122005001.0099</v>
          </cell>
          <cell r="B207" t="str">
            <v>122005001</v>
          </cell>
          <cell r="C207" t="str">
            <v>Miscellaneous</v>
          </cell>
          <cell r="D207" t="str">
            <v>0099</v>
          </cell>
          <cell r="E207" t="str">
            <v>Advances - Default AP</v>
          </cell>
          <cell r="F207">
            <v>270838</v>
          </cell>
          <cell r="G207">
            <v>167578</v>
          </cell>
          <cell r="H207">
            <v>438416</v>
          </cell>
          <cell r="I207" t="str">
            <v>Pankaj</v>
          </cell>
        </row>
        <row r="208">
          <cell r="A208" t="str">
            <v>122008003.0201</v>
          </cell>
          <cell r="B208" t="str">
            <v>122008003</v>
          </cell>
          <cell r="C208" t="str">
            <v>Advance To Suppliers Others</v>
          </cell>
          <cell r="D208" t="str">
            <v>0201</v>
          </cell>
          <cell r="E208" t="str">
            <v>TRAVEL ADV -EMP</v>
          </cell>
          <cell r="F208">
            <v>75000.13</v>
          </cell>
          <cell r="G208">
            <v>0</v>
          </cell>
          <cell r="H208">
            <v>75000.13</v>
          </cell>
          <cell r="I208" t="str">
            <v>Pankaj</v>
          </cell>
        </row>
        <row r="209">
          <cell r="A209" t="str">
            <v>122008003.0202</v>
          </cell>
          <cell r="B209" t="str">
            <v>122008003</v>
          </cell>
          <cell r="C209" t="str">
            <v>Advance To Suppliers Others</v>
          </cell>
          <cell r="D209" t="str">
            <v>0202</v>
          </cell>
          <cell r="E209" t="str">
            <v>OFFICERS LOAN ACCOUNT</v>
          </cell>
          <cell r="F209">
            <v>10785</v>
          </cell>
          <cell r="G209">
            <v>-2696</v>
          </cell>
          <cell r="H209">
            <v>8089</v>
          </cell>
          <cell r="I209" t="str">
            <v>Pankaj</v>
          </cell>
        </row>
        <row r="210">
          <cell r="A210" t="str">
            <v>122008003.0204</v>
          </cell>
          <cell r="B210" t="str">
            <v>122008003</v>
          </cell>
          <cell r="C210" t="str">
            <v>Advance To Suppliers Others</v>
          </cell>
          <cell r="D210" t="str">
            <v>0204</v>
          </cell>
          <cell r="E210" t="str">
            <v>PREPAID EXPENSES</v>
          </cell>
          <cell r="F210">
            <v>306106.55</v>
          </cell>
          <cell r="G210">
            <v>-54063</v>
          </cell>
          <cell r="H210">
            <v>252043.55</v>
          </cell>
          <cell r="I210" t="str">
            <v>Pankaj</v>
          </cell>
        </row>
        <row r="211">
          <cell r="A211" t="str">
            <v>122008003.0205</v>
          </cell>
          <cell r="B211" t="str">
            <v>122008003</v>
          </cell>
          <cell r="C211" t="str">
            <v>Advance To Suppliers Others</v>
          </cell>
          <cell r="D211" t="str">
            <v>0205</v>
          </cell>
          <cell r="E211" t="str">
            <v>DEPOSITS</v>
          </cell>
          <cell r="F211">
            <v>5157481</v>
          </cell>
          <cell r="G211">
            <v>0</v>
          </cell>
          <cell r="H211">
            <v>5157481</v>
          </cell>
          <cell r="I211" t="str">
            <v>Pankaj</v>
          </cell>
        </row>
        <row r="212">
          <cell r="A212" t="str">
            <v>122008003.0207</v>
          </cell>
          <cell r="B212" t="str">
            <v>122008003</v>
          </cell>
          <cell r="C212" t="str">
            <v>Advance To Suppliers Others</v>
          </cell>
          <cell r="D212" t="str">
            <v>0207</v>
          </cell>
          <cell r="E212" t="str">
            <v>ADVANCES TO SUPPLIERS -I</v>
          </cell>
          <cell r="F212">
            <v>36314.129999999997</v>
          </cell>
          <cell r="G212">
            <v>0</v>
          </cell>
          <cell r="H212">
            <v>36314.129999999997</v>
          </cell>
          <cell r="I212" t="str">
            <v>Mishraji</v>
          </cell>
        </row>
        <row r="213">
          <cell r="A213" t="str">
            <v>122008003.0208</v>
          </cell>
          <cell r="B213" t="str">
            <v>122008003</v>
          </cell>
          <cell r="C213" t="str">
            <v>Advance To Suppliers Others</v>
          </cell>
          <cell r="D213" t="str">
            <v>0208</v>
          </cell>
          <cell r="E213" t="str">
            <v>LOAN AGAINST FIXED DEPOS</v>
          </cell>
          <cell r="F213">
            <v>-123750</v>
          </cell>
          <cell r="G213">
            <v>0</v>
          </cell>
          <cell r="H213">
            <v>-123750</v>
          </cell>
          <cell r="I213" t="str">
            <v>Vivek</v>
          </cell>
        </row>
        <row r="214">
          <cell r="A214" t="str">
            <v>122008003.0209</v>
          </cell>
          <cell r="B214" t="str">
            <v>122008003</v>
          </cell>
          <cell r="C214" t="str">
            <v>Advance To Suppliers Others</v>
          </cell>
          <cell r="D214" t="str">
            <v>0209</v>
          </cell>
          <cell r="E214" t="str">
            <v>LOAN AGNST FIXED DEPOSIT</v>
          </cell>
          <cell r="F214">
            <v>123750</v>
          </cell>
          <cell r="G214">
            <v>0</v>
          </cell>
          <cell r="H214">
            <v>123750</v>
          </cell>
          <cell r="I214" t="str">
            <v>Vivek</v>
          </cell>
        </row>
        <row r="215">
          <cell r="A215" t="str">
            <v>122008003.0210</v>
          </cell>
          <cell r="B215" t="str">
            <v>122008003</v>
          </cell>
          <cell r="C215" t="str">
            <v>Advance To Suppliers Others</v>
          </cell>
          <cell r="D215" t="str">
            <v>0210</v>
          </cell>
          <cell r="E215" t="str">
            <v>NATIONAL INS. CO., N.D.</v>
          </cell>
          <cell r="F215">
            <v>68016</v>
          </cell>
          <cell r="G215">
            <v>0</v>
          </cell>
          <cell r="H215">
            <v>68016</v>
          </cell>
          <cell r="I215" t="str">
            <v>Mishraji</v>
          </cell>
        </row>
        <row r="216">
          <cell r="A216" t="str">
            <v>122008003.0212</v>
          </cell>
          <cell r="B216" t="str">
            <v>122008003</v>
          </cell>
          <cell r="C216" t="str">
            <v>Advance To Suppliers Others</v>
          </cell>
          <cell r="D216" t="str">
            <v>0212</v>
          </cell>
          <cell r="E216" t="str">
            <v>CORPUS CONTRIBUTION A/C</v>
          </cell>
          <cell r="F216">
            <v>2500000</v>
          </cell>
          <cell r="G216">
            <v>0</v>
          </cell>
          <cell r="H216">
            <v>2500000</v>
          </cell>
          <cell r="I216" t="str">
            <v>Pankaj</v>
          </cell>
        </row>
        <row r="217">
          <cell r="A217" t="str">
            <v>122008003.0213</v>
          </cell>
          <cell r="B217" t="str">
            <v>122008003</v>
          </cell>
          <cell r="C217" t="str">
            <v>Advance To Suppliers Others</v>
          </cell>
          <cell r="D217" t="str">
            <v>0213</v>
          </cell>
          <cell r="E217" t="str">
            <v>ADVANCE FOR EXPENSES - O</v>
          </cell>
          <cell r="F217">
            <v>92766</v>
          </cell>
          <cell r="G217">
            <v>0</v>
          </cell>
          <cell r="H217">
            <v>92766</v>
          </cell>
          <cell r="I217" t="str">
            <v>Mishraji</v>
          </cell>
        </row>
        <row r="218">
          <cell r="A218" t="str">
            <v>122008003.0215</v>
          </cell>
          <cell r="B218" t="str">
            <v>122008003</v>
          </cell>
          <cell r="C218" t="str">
            <v>Advance To Suppliers Others</v>
          </cell>
          <cell r="D218" t="str">
            <v>0215</v>
          </cell>
          <cell r="E218" t="str">
            <v>INGRES CONTROL</v>
          </cell>
          <cell r="F218">
            <v>0.05</v>
          </cell>
          <cell r="G218">
            <v>0</v>
          </cell>
          <cell r="H218">
            <v>0.05</v>
          </cell>
          <cell r="I218" t="str">
            <v>Vivek</v>
          </cell>
        </row>
        <row r="219">
          <cell r="A219" t="str">
            <v>130004008.0062</v>
          </cell>
          <cell r="B219" t="str">
            <v>130004008</v>
          </cell>
          <cell r="C219" t="str">
            <v>Taxes Receivable</v>
          </cell>
          <cell r="D219" t="str">
            <v>0062</v>
          </cell>
          <cell r="E219" t="str">
            <v>TDS Receivable F.Y. 2002-03</v>
          </cell>
          <cell r="F219">
            <v>262236</v>
          </cell>
          <cell r="G219">
            <v>-262236</v>
          </cell>
          <cell r="H219">
            <v>0</v>
          </cell>
          <cell r="I219" t="str">
            <v>Mishraji</v>
          </cell>
        </row>
        <row r="220">
          <cell r="A220" t="str">
            <v>130008001.0202</v>
          </cell>
          <cell r="B220" t="str">
            <v>130008001</v>
          </cell>
          <cell r="C220" t="str">
            <v>Receivables from broker dealers</v>
          </cell>
          <cell r="D220" t="str">
            <v>0202</v>
          </cell>
          <cell r="E220" t="str">
            <v>UWB LEASE SECURITY DEP.</v>
          </cell>
          <cell r="F220">
            <v>9048336.4499999993</v>
          </cell>
          <cell r="G220">
            <v>-145691.20000000001</v>
          </cell>
          <cell r="H220">
            <v>8902645.25</v>
          </cell>
          <cell r="I220" t="str">
            <v>Mishraji</v>
          </cell>
        </row>
        <row r="221">
          <cell r="A221" t="str">
            <v>130008001.0203</v>
          </cell>
          <cell r="B221" t="str">
            <v>130008001</v>
          </cell>
          <cell r="C221" t="str">
            <v>Receivables from broker dealers</v>
          </cell>
          <cell r="D221" t="str">
            <v>0203</v>
          </cell>
          <cell r="E221" t="str">
            <v>CONTINENTAL AUTO LTD -IN</v>
          </cell>
          <cell r="F221">
            <v>-0.09</v>
          </cell>
          <cell r="G221">
            <v>0</v>
          </cell>
          <cell r="H221">
            <v>-0.09</v>
          </cell>
          <cell r="I221" t="str">
            <v>Mishraji</v>
          </cell>
        </row>
        <row r="222">
          <cell r="A222" t="str">
            <v>130008001.0205</v>
          </cell>
          <cell r="B222" t="str">
            <v>130008001</v>
          </cell>
          <cell r="C222" t="str">
            <v>Receivables from broker dealers</v>
          </cell>
          <cell r="D222" t="str">
            <v>0205</v>
          </cell>
          <cell r="E222" t="str">
            <v>ALPIC COMMN A/C - LIABIL</v>
          </cell>
          <cell r="F222">
            <v>-50768.69</v>
          </cell>
          <cell r="G222">
            <v>0</v>
          </cell>
          <cell r="H222">
            <v>-50768.69</v>
          </cell>
          <cell r="I222" t="str">
            <v>Mishraji</v>
          </cell>
        </row>
        <row r="223">
          <cell r="A223" t="str">
            <v>130008001.0206</v>
          </cell>
          <cell r="B223" t="str">
            <v>130008001</v>
          </cell>
          <cell r="C223" t="str">
            <v>Receivables from broker dealers</v>
          </cell>
          <cell r="D223" t="str">
            <v>0206</v>
          </cell>
          <cell r="E223" t="str">
            <v>CONSORTIUM COMM. A/C -AS</v>
          </cell>
          <cell r="F223">
            <v>166813.38</v>
          </cell>
          <cell r="G223">
            <v>-14486</v>
          </cell>
          <cell r="H223">
            <v>152327.38</v>
          </cell>
          <cell r="I223" t="str">
            <v>Mishraji</v>
          </cell>
        </row>
        <row r="224">
          <cell r="A224" t="str">
            <v>130008001.0207</v>
          </cell>
          <cell r="B224" t="str">
            <v>130008001</v>
          </cell>
          <cell r="C224" t="str">
            <v>Receivables from broker dealers</v>
          </cell>
          <cell r="D224" t="str">
            <v>0207</v>
          </cell>
          <cell r="E224" t="str">
            <v>PREPAID COMM. A/C- CONSO</v>
          </cell>
          <cell r="F224">
            <v>-782922.78</v>
          </cell>
          <cell r="G224">
            <v>0</v>
          </cell>
          <cell r="H224">
            <v>-782922.78</v>
          </cell>
          <cell r="I224" t="str">
            <v>Mishraji</v>
          </cell>
        </row>
        <row r="225">
          <cell r="A225" t="str">
            <v>130008001.0208</v>
          </cell>
          <cell r="B225" t="str">
            <v>130008001</v>
          </cell>
          <cell r="C225" t="str">
            <v>Receivables from broker dealers</v>
          </cell>
          <cell r="D225" t="str">
            <v>0208</v>
          </cell>
          <cell r="E225" t="str">
            <v>ALPIC COMM. A/C - ASSET</v>
          </cell>
          <cell r="F225">
            <v>50768.69</v>
          </cell>
          <cell r="G225">
            <v>0</v>
          </cell>
          <cell r="H225">
            <v>50768.69</v>
          </cell>
          <cell r="I225" t="str">
            <v>Mishraji</v>
          </cell>
        </row>
        <row r="226">
          <cell r="A226" t="str">
            <v>130008001.0210</v>
          </cell>
          <cell r="B226" t="str">
            <v>130008001</v>
          </cell>
          <cell r="C226" t="str">
            <v>Receivables from broker dealers</v>
          </cell>
          <cell r="D226" t="str">
            <v>0210</v>
          </cell>
          <cell r="E226" t="str">
            <v>PREPAID COMM FOR DMA -IN</v>
          </cell>
          <cell r="F226">
            <v>4586246.3099999996</v>
          </cell>
          <cell r="G226">
            <v>-120193.29</v>
          </cell>
          <cell r="H226">
            <v>4466053.0199999996</v>
          </cell>
          <cell r="I226" t="str">
            <v>Mishraji</v>
          </cell>
        </row>
        <row r="227">
          <cell r="A227" t="str">
            <v>130010001.0005</v>
          </cell>
          <cell r="B227" t="str">
            <v>130010001</v>
          </cell>
          <cell r="C227" t="str">
            <v>Accrued Interest receivable/investment income</v>
          </cell>
          <cell r="D227" t="str">
            <v>0005</v>
          </cell>
          <cell r="E227" t="str">
            <v>Discount Charges</v>
          </cell>
          <cell r="F227">
            <v>1839783.12</v>
          </cell>
          <cell r="G227">
            <v>0</v>
          </cell>
          <cell r="H227">
            <v>1839783.12</v>
          </cell>
          <cell r="I227" t="str">
            <v>Mishraji</v>
          </cell>
        </row>
        <row r="228">
          <cell r="A228" t="str">
            <v>130010001.0202</v>
          </cell>
          <cell r="B228" t="str">
            <v>130010001</v>
          </cell>
          <cell r="C228" t="str">
            <v>Accrued Interest receivable/investment income</v>
          </cell>
          <cell r="D228" t="str">
            <v>0202</v>
          </cell>
          <cell r="E228" t="str">
            <v>INCOME   RECEIVABLE -ING</v>
          </cell>
          <cell r="F228">
            <v>21900441.370000001</v>
          </cell>
          <cell r="G228">
            <v>-453897.23</v>
          </cell>
          <cell r="H228">
            <v>21446544.140000001</v>
          </cell>
          <cell r="I228" t="str">
            <v>Mishraji</v>
          </cell>
        </row>
        <row r="229">
          <cell r="A229" t="str">
            <v>130010001.0203</v>
          </cell>
          <cell r="B229" t="str">
            <v>130010001</v>
          </cell>
          <cell r="C229" t="str">
            <v>Accrued Interest receivable/investment income</v>
          </cell>
          <cell r="D229" t="str">
            <v>0203</v>
          </cell>
          <cell r="E229" t="str">
            <v>INCOME ACCRUED BUT NOT DUE</v>
          </cell>
          <cell r="F229">
            <v>534311.11</v>
          </cell>
          <cell r="G229">
            <v>-206283.17</v>
          </cell>
          <cell r="H229">
            <v>328027.94</v>
          </cell>
          <cell r="I229" t="str">
            <v>Vivek</v>
          </cell>
        </row>
        <row r="230">
          <cell r="A230" t="str">
            <v>200001001.0001</v>
          </cell>
          <cell r="B230" t="str">
            <v>200001001</v>
          </cell>
          <cell r="C230" t="str">
            <v>Jan 1 balance</v>
          </cell>
          <cell r="D230" t="str">
            <v>0001</v>
          </cell>
          <cell r="E230" t="str">
            <v>Buildings</v>
          </cell>
          <cell r="F230">
            <v>84739800.200000003</v>
          </cell>
          <cell r="G230">
            <v>0</v>
          </cell>
          <cell r="H230">
            <v>84739800.200000003</v>
          </cell>
          <cell r="I230" t="str">
            <v>Pankaj</v>
          </cell>
        </row>
        <row r="231">
          <cell r="A231" t="str">
            <v>200001001.0002</v>
          </cell>
          <cell r="B231" t="str">
            <v>200001001</v>
          </cell>
          <cell r="C231" t="str">
            <v>Jan 1 balance</v>
          </cell>
          <cell r="D231" t="str">
            <v>0002</v>
          </cell>
          <cell r="E231" t="str">
            <v>Plant &amp; Machinery - Production</v>
          </cell>
          <cell r="F231">
            <v>847260</v>
          </cell>
          <cell r="G231">
            <v>0</v>
          </cell>
          <cell r="H231">
            <v>847260</v>
          </cell>
          <cell r="I231" t="str">
            <v>Pankaj</v>
          </cell>
        </row>
        <row r="232">
          <cell r="A232" t="str">
            <v>200001001.0004</v>
          </cell>
          <cell r="B232" t="str">
            <v>200001001</v>
          </cell>
          <cell r="C232" t="str">
            <v>Jan 1 balance</v>
          </cell>
          <cell r="D232" t="str">
            <v>0004</v>
          </cell>
          <cell r="E232" t="str">
            <v>Furniture &amp; Fittings</v>
          </cell>
          <cell r="F232">
            <v>4678850.41</v>
          </cell>
          <cell r="G232">
            <v>0</v>
          </cell>
          <cell r="H232">
            <v>4678850.41</v>
          </cell>
          <cell r="I232" t="str">
            <v>Pankaj</v>
          </cell>
        </row>
        <row r="233">
          <cell r="A233" t="str">
            <v>200001001.0006</v>
          </cell>
          <cell r="B233" t="str">
            <v>200001001</v>
          </cell>
          <cell r="C233" t="str">
            <v>Jan 1 balance</v>
          </cell>
          <cell r="D233" t="str">
            <v>0006</v>
          </cell>
          <cell r="E233" t="str">
            <v>Office Equipments</v>
          </cell>
          <cell r="F233">
            <v>9629196.8300000001</v>
          </cell>
          <cell r="G233">
            <v>0</v>
          </cell>
          <cell r="H233">
            <v>9629196.8300000001</v>
          </cell>
          <cell r="I233" t="str">
            <v>Pankaj</v>
          </cell>
        </row>
        <row r="234">
          <cell r="A234" t="str">
            <v>200001001.0101</v>
          </cell>
          <cell r="B234" t="str">
            <v>200001001</v>
          </cell>
          <cell r="C234" t="str">
            <v>Jan 1 balance</v>
          </cell>
          <cell r="D234" t="str">
            <v>0101</v>
          </cell>
          <cell r="E234" t="str">
            <v>Owned Cars</v>
          </cell>
          <cell r="F234">
            <v>0.38</v>
          </cell>
          <cell r="G234">
            <v>0</v>
          </cell>
          <cell r="H234">
            <v>0.38</v>
          </cell>
          <cell r="I234" t="str">
            <v>Pankaj</v>
          </cell>
        </row>
        <row r="235">
          <cell r="A235" t="str">
            <v>200001001.0209</v>
          </cell>
          <cell r="B235" t="str">
            <v>200001001</v>
          </cell>
          <cell r="C235" t="str">
            <v>Jan 1 balance</v>
          </cell>
          <cell r="D235" t="str">
            <v>0209</v>
          </cell>
          <cell r="E235" t="str">
            <v>REVALUATION RES.- BUILDI</v>
          </cell>
          <cell r="F235">
            <v>-2454631.38</v>
          </cell>
          <cell r="G235">
            <v>0</v>
          </cell>
          <cell r="H235">
            <v>-2454631.38</v>
          </cell>
          <cell r="I235" t="str">
            <v>Pankaj</v>
          </cell>
        </row>
        <row r="236">
          <cell r="A236" t="str">
            <v>200001002.0004</v>
          </cell>
          <cell r="B236" t="str">
            <v>200001002</v>
          </cell>
          <cell r="C236" t="str">
            <v>Current Year Additiions</v>
          </cell>
          <cell r="D236" t="str">
            <v>0004</v>
          </cell>
          <cell r="E236" t="str">
            <v>Furniture &amp; Fittings</v>
          </cell>
          <cell r="F236">
            <v>287478</v>
          </cell>
          <cell r="G236">
            <v>0</v>
          </cell>
          <cell r="H236">
            <v>287478</v>
          </cell>
          <cell r="I236" t="str">
            <v>Pankaj</v>
          </cell>
        </row>
        <row r="237">
          <cell r="A237" t="str">
            <v>200001002.0006</v>
          </cell>
          <cell r="B237" t="str">
            <v>200001002</v>
          </cell>
          <cell r="C237" t="str">
            <v>Current Year Additiions</v>
          </cell>
          <cell r="D237" t="str">
            <v>0006</v>
          </cell>
          <cell r="E237" t="str">
            <v>Office Equipments</v>
          </cell>
          <cell r="F237">
            <v>230309</v>
          </cell>
          <cell r="G237">
            <v>31800</v>
          </cell>
          <cell r="H237">
            <v>262109</v>
          </cell>
          <cell r="I237" t="str">
            <v>Pankaj</v>
          </cell>
        </row>
        <row r="238">
          <cell r="A238" t="str">
            <v>200001003.0001</v>
          </cell>
          <cell r="B238" t="str">
            <v>200001003</v>
          </cell>
          <cell r="C238" t="str">
            <v>Current year Dispositions</v>
          </cell>
          <cell r="D238" t="str">
            <v>0001</v>
          </cell>
          <cell r="E238" t="str">
            <v>Buildings</v>
          </cell>
          <cell r="F238">
            <v>-632950</v>
          </cell>
          <cell r="G238">
            <v>0</v>
          </cell>
          <cell r="H238">
            <v>-632950</v>
          </cell>
          <cell r="I238" t="str">
            <v>Pankaj</v>
          </cell>
        </row>
        <row r="239">
          <cell r="A239" t="str">
            <v>200001003.0004</v>
          </cell>
          <cell r="B239" t="str">
            <v>200001003</v>
          </cell>
          <cell r="C239" t="str">
            <v>Current year Dispositions</v>
          </cell>
          <cell r="D239" t="str">
            <v>0004</v>
          </cell>
          <cell r="E239" t="str">
            <v>Furniture &amp; Fittings</v>
          </cell>
          <cell r="F239">
            <v>-686943.2</v>
          </cell>
          <cell r="G239">
            <v>0</v>
          </cell>
          <cell r="H239">
            <v>-686943.2</v>
          </cell>
          <cell r="I239" t="str">
            <v>Pankaj</v>
          </cell>
        </row>
        <row r="240">
          <cell r="A240" t="str">
            <v>200001003.0006</v>
          </cell>
          <cell r="B240" t="str">
            <v>200001003</v>
          </cell>
          <cell r="C240" t="str">
            <v>Current year Dispositions</v>
          </cell>
          <cell r="D240" t="str">
            <v>0006</v>
          </cell>
          <cell r="E240" t="str">
            <v>Office Equipments</v>
          </cell>
          <cell r="F240">
            <v>-770555.94</v>
          </cell>
          <cell r="G240">
            <v>0</v>
          </cell>
          <cell r="H240">
            <v>-770555.94</v>
          </cell>
          <cell r="I240" t="str">
            <v>Pankaj</v>
          </cell>
        </row>
        <row r="241">
          <cell r="A241" t="str">
            <v>200001004.0002</v>
          </cell>
          <cell r="B241" t="str">
            <v>200001004</v>
          </cell>
          <cell r="C241" t="str">
            <v>Current year Transfers</v>
          </cell>
          <cell r="D241" t="str">
            <v>0002</v>
          </cell>
          <cell r="E241" t="str">
            <v>Plant &amp; Machinery - Production</v>
          </cell>
          <cell r="F241">
            <v>-847260</v>
          </cell>
          <cell r="G241">
            <v>0</v>
          </cell>
          <cell r="H241">
            <v>-847260</v>
          </cell>
          <cell r="I241" t="str">
            <v>Pankaj</v>
          </cell>
        </row>
        <row r="242">
          <cell r="A242" t="str">
            <v>200001004.0101</v>
          </cell>
          <cell r="B242" t="str">
            <v>200001004</v>
          </cell>
          <cell r="C242" t="str">
            <v>Current year Transfers</v>
          </cell>
          <cell r="D242" t="str">
            <v>0101</v>
          </cell>
          <cell r="E242" t="str">
            <v>Owned Cars</v>
          </cell>
          <cell r="F242">
            <v>-0.38</v>
          </cell>
          <cell r="G242">
            <v>0</v>
          </cell>
          <cell r="H242">
            <v>-0.38</v>
          </cell>
          <cell r="I242" t="str">
            <v>Pankaj</v>
          </cell>
        </row>
        <row r="243">
          <cell r="A243" t="str">
            <v>200002001.0001</v>
          </cell>
          <cell r="B243" t="str">
            <v>200002001</v>
          </cell>
          <cell r="C243" t="str">
            <v>Jan 1 Balance-Leasehold improv</v>
          </cell>
          <cell r="D243" t="str">
            <v>0001</v>
          </cell>
          <cell r="E243" t="str">
            <v>Leasehold improvements</v>
          </cell>
          <cell r="F243">
            <v>6820381.8200000003</v>
          </cell>
          <cell r="G243">
            <v>0</v>
          </cell>
          <cell r="H243">
            <v>6820381.8200000003</v>
          </cell>
          <cell r="I243" t="str">
            <v>Pankaj</v>
          </cell>
        </row>
        <row r="244">
          <cell r="A244" t="str">
            <v>200002002.0002</v>
          </cell>
          <cell r="B244" t="str">
            <v>200002002</v>
          </cell>
          <cell r="C244" t="str">
            <v>Current Year Additions</v>
          </cell>
          <cell r="D244" t="str">
            <v>0002</v>
          </cell>
          <cell r="E244" t="str">
            <v>Leasehold Vehicles</v>
          </cell>
          <cell r="F244">
            <v>2078834</v>
          </cell>
          <cell r="G244">
            <v>0</v>
          </cell>
          <cell r="H244">
            <v>2078834</v>
          </cell>
          <cell r="I244" t="str">
            <v>Pankaj</v>
          </cell>
        </row>
        <row r="245">
          <cell r="A245" t="str">
            <v>200002003.0001</v>
          </cell>
          <cell r="B245" t="str">
            <v>200002003</v>
          </cell>
          <cell r="C245" t="str">
            <v>Current year Dispositions</v>
          </cell>
          <cell r="D245" t="str">
            <v>0001</v>
          </cell>
          <cell r="E245" t="str">
            <v>Leasehold improvements</v>
          </cell>
          <cell r="F245">
            <v>-6820381.2000000002</v>
          </cell>
          <cell r="G245">
            <v>0</v>
          </cell>
          <cell r="H245">
            <v>-6820381.2000000002</v>
          </cell>
          <cell r="I245" t="str">
            <v>Pankaj</v>
          </cell>
        </row>
        <row r="246">
          <cell r="A246" t="str">
            <v>200002003.0002</v>
          </cell>
          <cell r="B246" t="str">
            <v>200002003</v>
          </cell>
          <cell r="C246" t="str">
            <v>Current year Dispositions</v>
          </cell>
          <cell r="D246" t="str">
            <v>0002</v>
          </cell>
          <cell r="E246" t="str">
            <v>Leasehold Vehicles</v>
          </cell>
          <cell r="F246">
            <v>-1812683.73</v>
          </cell>
          <cell r="G246">
            <v>0</v>
          </cell>
          <cell r="H246">
            <v>-1812683.73</v>
          </cell>
          <cell r="I246" t="str">
            <v>Pankaj</v>
          </cell>
        </row>
        <row r="247">
          <cell r="A247" t="str">
            <v>200002004.0002</v>
          </cell>
          <cell r="B247" t="str">
            <v>200002004</v>
          </cell>
          <cell r="C247" t="str">
            <v>Current year Transfers</v>
          </cell>
          <cell r="D247" t="str">
            <v>0002</v>
          </cell>
          <cell r="E247" t="str">
            <v>Leasehold Vehicles</v>
          </cell>
          <cell r="F247">
            <v>847260</v>
          </cell>
          <cell r="G247">
            <v>0</v>
          </cell>
          <cell r="H247">
            <v>847260</v>
          </cell>
          <cell r="I247" t="str">
            <v>Pankaj</v>
          </cell>
        </row>
        <row r="248">
          <cell r="A248" t="str">
            <v>200003001.0001</v>
          </cell>
          <cell r="B248" t="str">
            <v>200003001</v>
          </cell>
          <cell r="C248" t="str">
            <v>Jan 1 balance</v>
          </cell>
          <cell r="D248" t="str">
            <v>0001</v>
          </cell>
          <cell r="E248" t="str">
            <v>Land Cost</v>
          </cell>
          <cell r="F248">
            <v>744806.75</v>
          </cell>
          <cell r="G248">
            <v>0</v>
          </cell>
          <cell r="H248">
            <v>744806.75</v>
          </cell>
          <cell r="I248" t="str">
            <v>Pankaj</v>
          </cell>
        </row>
        <row r="249">
          <cell r="A249" t="str">
            <v>200005001.0003</v>
          </cell>
          <cell r="B249" t="str">
            <v>200005001</v>
          </cell>
          <cell r="C249" t="str">
            <v>Jan 1 Balance - Data Processin</v>
          </cell>
          <cell r="D249" t="str">
            <v>0003</v>
          </cell>
          <cell r="E249" t="str">
            <v>Others</v>
          </cell>
          <cell r="F249">
            <v>28578481.559999999</v>
          </cell>
          <cell r="G249">
            <v>0</v>
          </cell>
          <cell r="H249">
            <v>28578481.559999999</v>
          </cell>
          <cell r="I249" t="str">
            <v>Pankaj</v>
          </cell>
        </row>
        <row r="250">
          <cell r="A250" t="str">
            <v>200005002.0003</v>
          </cell>
          <cell r="B250" t="str">
            <v>200005002</v>
          </cell>
          <cell r="C250" t="str">
            <v>Current year Additions</v>
          </cell>
          <cell r="D250" t="str">
            <v>0003</v>
          </cell>
          <cell r="E250" t="str">
            <v>Others</v>
          </cell>
          <cell r="F250">
            <v>481433</v>
          </cell>
          <cell r="G250">
            <v>85222</v>
          </cell>
          <cell r="H250">
            <v>566655</v>
          </cell>
          <cell r="I250" t="str">
            <v>Pankaj</v>
          </cell>
        </row>
        <row r="251">
          <cell r="A251" t="str">
            <v>200005003.0003</v>
          </cell>
          <cell r="B251" t="str">
            <v>200005003</v>
          </cell>
          <cell r="C251" t="str">
            <v>ComputerEquip-CY Dispo</v>
          </cell>
          <cell r="D251" t="str">
            <v>0003</v>
          </cell>
          <cell r="E251" t="str">
            <v>Others</v>
          </cell>
          <cell r="F251">
            <v>-2886981</v>
          </cell>
          <cell r="G251">
            <v>0</v>
          </cell>
          <cell r="H251">
            <v>-2886981</v>
          </cell>
          <cell r="I251" t="str">
            <v>Pankaj</v>
          </cell>
        </row>
        <row r="252">
          <cell r="A252" t="str">
            <v>200006001.0001</v>
          </cell>
          <cell r="B252" t="str">
            <v>200006001</v>
          </cell>
          <cell r="C252" t="str">
            <v>Jan 1 Balance - Software</v>
          </cell>
          <cell r="D252" t="str">
            <v>0001</v>
          </cell>
          <cell r="E252" t="str">
            <v>Computer Software</v>
          </cell>
          <cell r="F252">
            <v>39300000</v>
          </cell>
          <cell r="G252">
            <v>0</v>
          </cell>
          <cell r="H252">
            <v>39300000</v>
          </cell>
          <cell r="I252" t="str">
            <v>Pankaj</v>
          </cell>
        </row>
        <row r="253">
          <cell r="A253" t="str">
            <v>293001001.0000</v>
          </cell>
          <cell r="B253" t="str">
            <v>293001001</v>
          </cell>
          <cell r="C253" t="str">
            <v>Jan 1 balance</v>
          </cell>
          <cell r="D253" t="str">
            <v>0000</v>
          </cell>
          <cell r="E253" t="str">
            <v>None</v>
          </cell>
          <cell r="F253">
            <v>0.01</v>
          </cell>
          <cell r="G253">
            <v>0</v>
          </cell>
          <cell r="H253">
            <v>0.01</v>
          </cell>
          <cell r="I253" t="str">
            <v>Pankaj</v>
          </cell>
        </row>
        <row r="254">
          <cell r="A254" t="str">
            <v>293001001.0001</v>
          </cell>
          <cell r="B254" t="str">
            <v>293001001</v>
          </cell>
          <cell r="C254" t="str">
            <v>Jan 1 balance</v>
          </cell>
          <cell r="D254" t="str">
            <v>0001</v>
          </cell>
          <cell r="E254" t="str">
            <v>Buildings</v>
          </cell>
          <cell r="F254">
            <v>-10117662.560000001</v>
          </cell>
          <cell r="G254">
            <v>0</v>
          </cell>
          <cell r="H254">
            <v>-10117662.560000001</v>
          </cell>
          <cell r="I254" t="str">
            <v>Pankaj</v>
          </cell>
        </row>
        <row r="255">
          <cell r="A255" t="str">
            <v>293001001.0002</v>
          </cell>
          <cell r="B255" t="str">
            <v>293001001</v>
          </cell>
          <cell r="C255" t="str">
            <v>Jan 1 balance</v>
          </cell>
          <cell r="D255" t="str">
            <v>0002</v>
          </cell>
          <cell r="E255" t="str">
            <v>Plant &amp; Machinery - Production</v>
          </cell>
          <cell r="F255">
            <v>-28921</v>
          </cell>
          <cell r="G255">
            <v>0</v>
          </cell>
          <cell r="H255">
            <v>-28921</v>
          </cell>
          <cell r="I255" t="str">
            <v>Pankaj</v>
          </cell>
        </row>
        <row r="256">
          <cell r="A256" t="str">
            <v>293001001.0004</v>
          </cell>
          <cell r="B256" t="str">
            <v>293001001</v>
          </cell>
          <cell r="C256" t="str">
            <v>Jan 1 balance</v>
          </cell>
          <cell r="D256" t="str">
            <v>0004</v>
          </cell>
          <cell r="E256" t="str">
            <v>Furniture &amp; Fittings</v>
          </cell>
          <cell r="F256">
            <v>-1827109.82</v>
          </cell>
          <cell r="G256">
            <v>0</v>
          </cell>
          <cell r="H256">
            <v>-1827109.82</v>
          </cell>
          <cell r="I256" t="str">
            <v>Pankaj</v>
          </cell>
        </row>
        <row r="257">
          <cell r="A257" t="str">
            <v>293001001.0006</v>
          </cell>
          <cell r="B257" t="str">
            <v>293001001</v>
          </cell>
          <cell r="C257" t="str">
            <v>Jan 1 balance</v>
          </cell>
          <cell r="D257" t="str">
            <v>0006</v>
          </cell>
          <cell r="E257" t="str">
            <v>Office Equipments</v>
          </cell>
          <cell r="F257">
            <v>-3194797.53</v>
          </cell>
          <cell r="G257">
            <v>0</v>
          </cell>
          <cell r="H257">
            <v>-3194797.53</v>
          </cell>
          <cell r="I257" t="str">
            <v>Pankaj</v>
          </cell>
        </row>
        <row r="258">
          <cell r="A258" t="str">
            <v>293001001.0101</v>
          </cell>
          <cell r="B258" t="str">
            <v>293001001</v>
          </cell>
          <cell r="C258" t="str">
            <v>Jan 1 balance</v>
          </cell>
          <cell r="D258" t="str">
            <v>0101</v>
          </cell>
          <cell r="E258" t="str">
            <v>Owned Cars</v>
          </cell>
          <cell r="F258">
            <v>1.21</v>
          </cell>
          <cell r="G258">
            <v>0</v>
          </cell>
          <cell r="H258">
            <v>1.21</v>
          </cell>
          <cell r="I258" t="str">
            <v>Pankaj</v>
          </cell>
        </row>
        <row r="259">
          <cell r="A259" t="str">
            <v>293001001.0209</v>
          </cell>
          <cell r="B259" t="str">
            <v>293001001</v>
          </cell>
          <cell r="C259" t="str">
            <v>Jan 1 balance</v>
          </cell>
          <cell r="D259" t="str">
            <v>0209</v>
          </cell>
          <cell r="E259" t="str">
            <v>REVALUATION RES.- BUILDI</v>
          </cell>
          <cell r="F259">
            <v>10887</v>
          </cell>
          <cell r="G259">
            <v>0</v>
          </cell>
          <cell r="H259">
            <v>10887</v>
          </cell>
          <cell r="I259" t="str">
            <v>Pankaj</v>
          </cell>
        </row>
        <row r="260">
          <cell r="A260" t="str">
            <v>293001002.0000</v>
          </cell>
          <cell r="B260" t="str">
            <v>293001002</v>
          </cell>
          <cell r="C260" t="str">
            <v>Current Year Depreciation</v>
          </cell>
          <cell r="D260" t="str">
            <v>0000</v>
          </cell>
          <cell r="E260" t="str">
            <v>None</v>
          </cell>
          <cell r="F260">
            <v>-0.02</v>
          </cell>
          <cell r="G260">
            <v>0</v>
          </cell>
          <cell r="H260">
            <v>-0.02</v>
          </cell>
          <cell r="I260" t="str">
            <v>Pankaj</v>
          </cell>
        </row>
        <row r="261">
          <cell r="A261" t="str">
            <v>293001002.0001</v>
          </cell>
          <cell r="B261" t="str">
            <v>293001002</v>
          </cell>
          <cell r="C261" t="str">
            <v>Current Year Depreciation</v>
          </cell>
          <cell r="D261" t="str">
            <v>0001</v>
          </cell>
          <cell r="E261" t="str">
            <v>Buildings</v>
          </cell>
          <cell r="F261">
            <v>-1944318.4</v>
          </cell>
          <cell r="G261">
            <v>-112372.25</v>
          </cell>
          <cell r="H261">
            <v>-2056690.65</v>
          </cell>
          <cell r="I261" t="str">
            <v>Pankaj</v>
          </cell>
        </row>
        <row r="262">
          <cell r="A262" t="str">
            <v>293001002.0002</v>
          </cell>
          <cell r="B262" t="str">
            <v>293001002</v>
          </cell>
          <cell r="C262" t="str">
            <v>Current Year Depreciation</v>
          </cell>
          <cell r="D262" t="str">
            <v>0002</v>
          </cell>
          <cell r="E262" t="str">
            <v>Plant &amp; Machinery - Production</v>
          </cell>
          <cell r="F262">
            <v>-10418</v>
          </cell>
          <cell r="G262">
            <v>0</v>
          </cell>
          <cell r="H262">
            <v>-10418</v>
          </cell>
          <cell r="I262" t="str">
            <v>Pankaj</v>
          </cell>
        </row>
        <row r="263">
          <cell r="A263" t="str">
            <v>293001002.0004</v>
          </cell>
          <cell r="B263" t="str">
            <v>293001002</v>
          </cell>
          <cell r="C263" t="str">
            <v>Current Year Depreciation</v>
          </cell>
          <cell r="D263" t="str">
            <v>0004</v>
          </cell>
          <cell r="E263" t="str">
            <v>Furniture &amp; Fittings</v>
          </cell>
          <cell r="F263">
            <v>-351326.65</v>
          </cell>
          <cell r="G263">
            <v>-18957.7</v>
          </cell>
          <cell r="H263">
            <v>-370284.35</v>
          </cell>
          <cell r="I263" t="str">
            <v>Pankaj</v>
          </cell>
        </row>
        <row r="264">
          <cell r="A264" t="str">
            <v>293001002.0006</v>
          </cell>
          <cell r="B264" t="str">
            <v>293001002</v>
          </cell>
          <cell r="C264" t="str">
            <v>Current Year Depreciation</v>
          </cell>
          <cell r="D264" t="str">
            <v>0006</v>
          </cell>
          <cell r="E264" t="str">
            <v>Office Equipments</v>
          </cell>
          <cell r="F264">
            <v>-611897.48</v>
          </cell>
          <cell r="G264">
            <v>-34396</v>
          </cell>
          <cell r="H264">
            <v>-646293.48</v>
          </cell>
          <cell r="I264" t="str">
            <v>Pankaj</v>
          </cell>
        </row>
        <row r="265">
          <cell r="A265" t="str">
            <v>293001002.0101</v>
          </cell>
          <cell r="B265" t="str">
            <v>293001002</v>
          </cell>
          <cell r="C265" t="str">
            <v>Current Year Depreciation</v>
          </cell>
          <cell r="D265" t="str">
            <v>0101</v>
          </cell>
          <cell r="E265" t="str">
            <v>Owned Cars</v>
          </cell>
          <cell r="F265">
            <v>-1.21</v>
          </cell>
          <cell r="G265">
            <v>0</v>
          </cell>
          <cell r="H265">
            <v>-1.21</v>
          </cell>
          <cell r="I265" t="str">
            <v>Pankaj</v>
          </cell>
        </row>
        <row r="266">
          <cell r="A266" t="str">
            <v>293001002.0209</v>
          </cell>
          <cell r="B266" t="str">
            <v>293001002</v>
          </cell>
          <cell r="C266" t="str">
            <v>Current Year Depreciation</v>
          </cell>
          <cell r="D266" t="str">
            <v>0209</v>
          </cell>
          <cell r="E266" t="str">
            <v>REVALUATION RES.- BUILDI</v>
          </cell>
          <cell r="F266">
            <v>58874</v>
          </cell>
          <cell r="G266">
            <v>7359</v>
          </cell>
          <cell r="H266">
            <v>66233</v>
          </cell>
          <cell r="I266" t="str">
            <v>Pankaj</v>
          </cell>
        </row>
        <row r="267">
          <cell r="A267" t="str">
            <v>293001003.0001</v>
          </cell>
          <cell r="B267" t="str">
            <v>293001003</v>
          </cell>
          <cell r="C267" t="str">
            <v>Current year Dispositions</v>
          </cell>
          <cell r="D267" t="str">
            <v>0001</v>
          </cell>
          <cell r="E267" t="str">
            <v>Buildings</v>
          </cell>
          <cell r="F267">
            <v>584603</v>
          </cell>
          <cell r="G267">
            <v>0</v>
          </cell>
          <cell r="H267">
            <v>584603</v>
          </cell>
          <cell r="I267" t="str">
            <v>Pankaj</v>
          </cell>
        </row>
        <row r="268">
          <cell r="A268" t="str">
            <v>293001003.0004</v>
          </cell>
          <cell r="B268" t="str">
            <v>293001003</v>
          </cell>
          <cell r="C268" t="str">
            <v>Current year Dispositions</v>
          </cell>
          <cell r="D268" t="str">
            <v>0004</v>
          </cell>
          <cell r="E268" t="str">
            <v>Furniture &amp; Fittings</v>
          </cell>
          <cell r="F268">
            <v>137696.09</v>
          </cell>
          <cell r="G268">
            <v>0</v>
          </cell>
          <cell r="H268">
            <v>137696.09</v>
          </cell>
          <cell r="I268" t="str">
            <v>Pankaj</v>
          </cell>
        </row>
        <row r="269">
          <cell r="A269" t="str">
            <v>293001003.0006</v>
          </cell>
          <cell r="B269" t="str">
            <v>293001003</v>
          </cell>
          <cell r="C269" t="str">
            <v>Current year Dispositions</v>
          </cell>
          <cell r="D269" t="str">
            <v>0006</v>
          </cell>
          <cell r="E269" t="str">
            <v>Office Equipments</v>
          </cell>
          <cell r="F269">
            <v>281528.06</v>
          </cell>
          <cell r="G269">
            <v>0</v>
          </cell>
          <cell r="H269">
            <v>281528.06</v>
          </cell>
          <cell r="I269" t="str">
            <v>Pankaj</v>
          </cell>
        </row>
        <row r="270">
          <cell r="A270" t="str">
            <v>293001004.0000</v>
          </cell>
          <cell r="B270" t="str">
            <v>293001004</v>
          </cell>
          <cell r="C270" t="str">
            <v>Current year Transfers</v>
          </cell>
          <cell r="D270" t="str">
            <v>0000</v>
          </cell>
          <cell r="E270" t="str">
            <v>None</v>
          </cell>
          <cell r="F270">
            <v>-0.01</v>
          </cell>
          <cell r="G270">
            <v>0</v>
          </cell>
          <cell r="H270">
            <v>-0.01</v>
          </cell>
          <cell r="I270" t="str">
            <v>Pankaj</v>
          </cell>
        </row>
        <row r="271">
          <cell r="A271" t="str">
            <v>293001004.0002</v>
          </cell>
          <cell r="B271" t="str">
            <v>293001004</v>
          </cell>
          <cell r="C271" t="str">
            <v>Current year Transfers</v>
          </cell>
          <cell r="D271" t="str">
            <v>0002</v>
          </cell>
          <cell r="E271" t="str">
            <v>Plant &amp; Machinery - Production</v>
          </cell>
          <cell r="F271">
            <v>28921.4</v>
          </cell>
          <cell r="G271">
            <v>0</v>
          </cell>
          <cell r="H271">
            <v>28921.4</v>
          </cell>
          <cell r="I271" t="str">
            <v>Pankaj</v>
          </cell>
        </row>
        <row r="272">
          <cell r="A272" t="str">
            <v>293001004.0101</v>
          </cell>
          <cell r="B272" t="str">
            <v>293001004</v>
          </cell>
          <cell r="C272" t="str">
            <v>Current year Transfers</v>
          </cell>
          <cell r="D272" t="str">
            <v>0101</v>
          </cell>
          <cell r="E272" t="str">
            <v>Owned Cars</v>
          </cell>
          <cell r="F272">
            <v>-1.21</v>
          </cell>
          <cell r="G272">
            <v>0</v>
          </cell>
          <cell r="H272">
            <v>-1.21</v>
          </cell>
          <cell r="I272" t="str">
            <v>Pankaj</v>
          </cell>
        </row>
        <row r="273">
          <cell r="A273" t="str">
            <v>293002001.0001</v>
          </cell>
          <cell r="B273" t="str">
            <v>293002001</v>
          </cell>
          <cell r="C273" t="str">
            <v>Jan 1 balance</v>
          </cell>
          <cell r="D273" t="str">
            <v>0001</v>
          </cell>
          <cell r="E273" t="str">
            <v>Leasehold improvements</v>
          </cell>
          <cell r="F273">
            <v>-6820380.7800000003</v>
          </cell>
          <cell r="G273">
            <v>0</v>
          </cell>
          <cell r="H273">
            <v>-6820380.7800000003</v>
          </cell>
          <cell r="I273" t="str">
            <v>Pankaj</v>
          </cell>
        </row>
        <row r="274">
          <cell r="A274" t="str">
            <v>293002002.0002</v>
          </cell>
          <cell r="B274" t="str">
            <v>293002002</v>
          </cell>
          <cell r="C274" t="str">
            <v>Current Year Depreciation</v>
          </cell>
          <cell r="D274" t="str">
            <v>0002</v>
          </cell>
          <cell r="E274" t="str">
            <v>Leasehold Vehicles</v>
          </cell>
          <cell r="F274">
            <v>-794143.13</v>
          </cell>
          <cell r="G274">
            <v>180197.89</v>
          </cell>
          <cell r="H274">
            <v>-613945.24</v>
          </cell>
          <cell r="I274" t="str">
            <v>Pankaj</v>
          </cell>
        </row>
        <row r="275">
          <cell r="A275" t="str">
            <v>293002003.0001</v>
          </cell>
          <cell r="B275" t="str">
            <v>293002003</v>
          </cell>
          <cell r="C275" t="str">
            <v>Current year Dispositions</v>
          </cell>
          <cell r="D275" t="str">
            <v>0001</v>
          </cell>
          <cell r="E275" t="str">
            <v>Leasehold improvements</v>
          </cell>
          <cell r="F275">
            <v>6820381.2000000002</v>
          </cell>
          <cell r="G275">
            <v>0</v>
          </cell>
          <cell r="H275">
            <v>6820381.2000000002</v>
          </cell>
          <cell r="I275" t="str">
            <v>Pankaj</v>
          </cell>
        </row>
        <row r="276">
          <cell r="A276" t="str">
            <v>293002003.0002</v>
          </cell>
          <cell r="B276" t="str">
            <v>293002003</v>
          </cell>
          <cell r="C276" t="str">
            <v>Current year Dispositions</v>
          </cell>
          <cell r="D276" t="str">
            <v>0002</v>
          </cell>
          <cell r="E276" t="str">
            <v>Leasehold Vehicles</v>
          </cell>
          <cell r="F276">
            <v>369180.73</v>
          </cell>
          <cell r="G276">
            <v>0</v>
          </cell>
          <cell r="H276">
            <v>369180.73</v>
          </cell>
          <cell r="I276" t="str">
            <v>Pankaj</v>
          </cell>
        </row>
        <row r="277">
          <cell r="A277" t="str">
            <v>293002004.0002</v>
          </cell>
          <cell r="B277" t="str">
            <v>293002004</v>
          </cell>
          <cell r="C277" t="str">
            <v>Current year Transfers</v>
          </cell>
          <cell r="D277" t="str">
            <v>0002</v>
          </cell>
          <cell r="E277" t="str">
            <v>Leasehold Vehicles</v>
          </cell>
          <cell r="F277">
            <v>-28921.4</v>
          </cell>
          <cell r="G277">
            <v>0</v>
          </cell>
          <cell r="H277">
            <v>-28921.4</v>
          </cell>
          <cell r="I277" t="str">
            <v>Pankaj</v>
          </cell>
        </row>
        <row r="278">
          <cell r="A278" t="str">
            <v>293005001.0003</v>
          </cell>
          <cell r="B278" t="str">
            <v>293005001</v>
          </cell>
          <cell r="C278" t="str">
            <v>Jan 1 Balance - Data Processin</v>
          </cell>
          <cell r="D278" t="str">
            <v>0003</v>
          </cell>
          <cell r="E278" t="str">
            <v>Others</v>
          </cell>
          <cell r="F278">
            <v>-16642074.91</v>
          </cell>
          <cell r="G278">
            <v>0</v>
          </cell>
          <cell r="H278">
            <v>-16642074.91</v>
          </cell>
          <cell r="I278" t="str">
            <v>Pankaj</v>
          </cell>
        </row>
        <row r="279">
          <cell r="A279" t="str">
            <v>293005002.0003</v>
          </cell>
          <cell r="B279" t="str">
            <v>293005002</v>
          </cell>
          <cell r="C279" t="str">
            <v>EquipDeprec-Computer-Can-CYAdd</v>
          </cell>
          <cell r="D279" t="str">
            <v>0003</v>
          </cell>
          <cell r="E279" t="str">
            <v>Others</v>
          </cell>
          <cell r="F279">
            <v>-5609011.4699999997</v>
          </cell>
          <cell r="G279">
            <v>-326727.03999999998</v>
          </cell>
          <cell r="H279">
            <v>-5935738.5099999998</v>
          </cell>
          <cell r="I279" t="str">
            <v>Pankaj</v>
          </cell>
        </row>
        <row r="280">
          <cell r="A280" t="str">
            <v>293005003.0003</v>
          </cell>
          <cell r="B280" t="str">
            <v>293005003</v>
          </cell>
          <cell r="C280" t="str">
            <v>EquipDeprec-Computr-Can-CYDisp</v>
          </cell>
          <cell r="D280" t="str">
            <v>0003</v>
          </cell>
          <cell r="E280" t="str">
            <v>Others</v>
          </cell>
          <cell r="F280">
            <v>2075207.4</v>
          </cell>
          <cell r="G280">
            <v>0</v>
          </cell>
          <cell r="H280">
            <v>2075207.4</v>
          </cell>
          <cell r="I280" t="str">
            <v>Pankaj</v>
          </cell>
        </row>
        <row r="281">
          <cell r="A281" t="str">
            <v>293006001.0001</v>
          </cell>
          <cell r="B281" t="str">
            <v>293006001</v>
          </cell>
          <cell r="C281" t="str">
            <v>Jan 1 Balance - Software</v>
          </cell>
          <cell r="D281" t="str">
            <v>0001</v>
          </cell>
          <cell r="E281" t="str">
            <v>Computer Software</v>
          </cell>
          <cell r="F281">
            <v>-39300000</v>
          </cell>
          <cell r="G281">
            <v>0</v>
          </cell>
          <cell r="H281">
            <v>-39300000</v>
          </cell>
          <cell r="I281" t="str">
            <v>Pankaj</v>
          </cell>
        </row>
        <row r="282">
          <cell r="A282" t="str">
            <v>302001002.0000</v>
          </cell>
          <cell r="B282" t="str">
            <v>302001002</v>
          </cell>
          <cell r="C282" t="str">
            <v>Taxes accrued - Current Year</v>
          </cell>
          <cell r="D282" t="str">
            <v>0000</v>
          </cell>
          <cell r="E282" t="str">
            <v>None</v>
          </cell>
          <cell r="F282">
            <v>10449653.199999999</v>
          </cell>
          <cell r="G282">
            <v>323120</v>
          </cell>
          <cell r="H282">
            <v>10772773.199999999</v>
          </cell>
          <cell r="I282" t="str">
            <v>?</v>
          </cell>
        </row>
        <row r="283">
          <cell r="A283" t="str">
            <v>302001003.0000</v>
          </cell>
          <cell r="B283" t="str">
            <v>302001003</v>
          </cell>
          <cell r="C283" t="str">
            <v>Estimated Payments -Current Year</v>
          </cell>
          <cell r="D283" t="str">
            <v>0000</v>
          </cell>
          <cell r="E283" t="str">
            <v>None</v>
          </cell>
          <cell r="F283">
            <v>1869694</v>
          </cell>
          <cell r="G283">
            <v>0</v>
          </cell>
          <cell r="H283">
            <v>1869694</v>
          </cell>
          <cell r="I283" t="str">
            <v>?</v>
          </cell>
        </row>
        <row r="284">
          <cell r="A284" t="str">
            <v>302001003.0022</v>
          </cell>
          <cell r="B284" t="str">
            <v>302001003</v>
          </cell>
          <cell r="C284" t="str">
            <v>Estimated Payments -Current Year</v>
          </cell>
          <cell r="D284" t="str">
            <v>0022</v>
          </cell>
          <cell r="E284" t="str">
            <v>TDS Receivable FY 2003-04</v>
          </cell>
          <cell r="F284">
            <v>0</v>
          </cell>
          <cell r="G284">
            <v>150101.41</v>
          </cell>
          <cell r="H284">
            <v>150101.41</v>
          </cell>
          <cell r="I284" t="str">
            <v>Mishraji</v>
          </cell>
        </row>
        <row r="285">
          <cell r="A285" t="str">
            <v>302001003.0200</v>
          </cell>
          <cell r="B285" t="str">
            <v>302001003</v>
          </cell>
          <cell r="C285" t="str">
            <v>Estimated Payments -Current Year</v>
          </cell>
          <cell r="D285" t="str">
            <v>0200</v>
          </cell>
          <cell r="E285" t="str">
            <v>TDS Receivable on Cust.A/c- FY 2002-03</v>
          </cell>
          <cell r="F285">
            <v>876068.16</v>
          </cell>
          <cell r="G285">
            <v>-4427.42</v>
          </cell>
          <cell r="H285">
            <v>871640.74</v>
          </cell>
          <cell r="I285" t="str">
            <v>Mishraji</v>
          </cell>
        </row>
        <row r="286">
          <cell r="A286" t="str">
            <v>302002003.0000</v>
          </cell>
          <cell r="B286" t="str">
            <v>302002003</v>
          </cell>
          <cell r="C286" t="str">
            <v>Payments - Preceding Year</v>
          </cell>
          <cell r="D286" t="str">
            <v>0000</v>
          </cell>
          <cell r="E286" t="str">
            <v>None</v>
          </cell>
          <cell r="F286">
            <v>4710275.25</v>
          </cell>
          <cell r="G286">
            <v>0</v>
          </cell>
          <cell r="H286">
            <v>4710275.25</v>
          </cell>
          <cell r="I286" t="str">
            <v>?</v>
          </cell>
        </row>
        <row r="287">
          <cell r="A287" t="str">
            <v>302003001.0000</v>
          </cell>
          <cell r="B287" t="str">
            <v>302003001</v>
          </cell>
          <cell r="C287" t="str">
            <v>1/1 Balance - Second Preceeding Year and older</v>
          </cell>
          <cell r="D287" t="str">
            <v>0000</v>
          </cell>
          <cell r="E287" t="str">
            <v>None</v>
          </cell>
          <cell r="F287">
            <v>-9604242</v>
          </cell>
          <cell r="G287">
            <v>0</v>
          </cell>
          <cell r="H287">
            <v>-9604242</v>
          </cell>
          <cell r="I287" t="str">
            <v>?</v>
          </cell>
        </row>
        <row r="288">
          <cell r="A288" t="str">
            <v>302003003.0000</v>
          </cell>
          <cell r="B288" t="str">
            <v>302003003</v>
          </cell>
          <cell r="C288" t="str">
            <v>Payments  - Second Preceeding year and older</v>
          </cell>
          <cell r="D288" t="str">
            <v>0000</v>
          </cell>
          <cell r="E288" t="str">
            <v>None</v>
          </cell>
          <cell r="F288">
            <v>79549270.549999997</v>
          </cell>
          <cell r="G288">
            <v>0</v>
          </cell>
          <cell r="H288">
            <v>79549270.549999997</v>
          </cell>
          <cell r="I288" t="str">
            <v>?</v>
          </cell>
        </row>
        <row r="289">
          <cell r="A289" t="str">
            <v>306003005.0000</v>
          </cell>
          <cell r="B289" t="str">
            <v>306003005</v>
          </cell>
          <cell r="C289" t="str">
            <v>Miscellaneous Tax</v>
          </cell>
          <cell r="D289" t="str">
            <v>0000</v>
          </cell>
          <cell r="E289" t="str">
            <v>None</v>
          </cell>
          <cell r="F289">
            <v>11118215.48</v>
          </cell>
          <cell r="G289">
            <v>0</v>
          </cell>
          <cell r="H289">
            <v>11118215.48</v>
          </cell>
          <cell r="I289" t="str">
            <v>?</v>
          </cell>
        </row>
        <row r="290">
          <cell r="A290" t="str">
            <v>306003005.0012</v>
          </cell>
          <cell r="B290" t="str">
            <v>306003005</v>
          </cell>
          <cell r="C290" t="str">
            <v>Miscellaneous Tax</v>
          </cell>
          <cell r="D290" t="str">
            <v>0012</v>
          </cell>
          <cell r="E290" t="str">
            <v>Leased Asset Liability - AS-19</v>
          </cell>
          <cell r="F290">
            <v>-899440.11</v>
          </cell>
          <cell r="G290">
            <v>25090.73</v>
          </cell>
          <cell r="H290">
            <v>-874349.38</v>
          </cell>
          <cell r="I290" t="str">
            <v>Pankaj</v>
          </cell>
        </row>
        <row r="291">
          <cell r="A291" t="str">
            <v>306003005.0016</v>
          </cell>
          <cell r="B291" t="str">
            <v>306003005</v>
          </cell>
          <cell r="C291" t="str">
            <v>Miscellaneous Tax</v>
          </cell>
          <cell r="D291" t="str">
            <v>0016</v>
          </cell>
          <cell r="E291" t="str">
            <v>Service Tax Payable</v>
          </cell>
          <cell r="F291">
            <v>-5707234.1399999997</v>
          </cell>
          <cell r="G291">
            <v>302471</v>
          </cell>
          <cell r="H291">
            <v>-5404763.1399999997</v>
          </cell>
          <cell r="I291" t="str">
            <v>Mishraji</v>
          </cell>
        </row>
        <row r="292">
          <cell r="A292" t="str">
            <v>307099001.0010</v>
          </cell>
          <cell r="B292" t="str">
            <v>307099001</v>
          </cell>
          <cell r="C292" t="str">
            <v>Miscellaneous</v>
          </cell>
          <cell r="D292" t="str">
            <v>0010</v>
          </cell>
          <cell r="E292" t="str">
            <v>Accounts Payable Year End</v>
          </cell>
          <cell r="F292">
            <v>-6381566.5099999998</v>
          </cell>
          <cell r="G292">
            <v>-258750</v>
          </cell>
          <cell r="H292">
            <v>-6640316.5099999998</v>
          </cell>
          <cell r="I292" t="str">
            <v>Mishraji</v>
          </cell>
        </row>
        <row r="293">
          <cell r="A293" t="str">
            <v>307099001.0011</v>
          </cell>
          <cell r="B293" t="str">
            <v>307099001</v>
          </cell>
          <cell r="C293" t="str">
            <v>Miscellaneous</v>
          </cell>
          <cell r="D293" t="str">
            <v>0011</v>
          </cell>
          <cell r="E293" t="str">
            <v>GRATUITY PAYABLE</v>
          </cell>
          <cell r="F293">
            <v>-678083.75</v>
          </cell>
          <cell r="G293">
            <v>0</v>
          </cell>
          <cell r="H293">
            <v>-678083.75</v>
          </cell>
          <cell r="I293" t="str">
            <v>Pankaj</v>
          </cell>
        </row>
        <row r="294">
          <cell r="A294" t="str">
            <v>307099001.0015</v>
          </cell>
          <cell r="B294" t="str">
            <v>307099001</v>
          </cell>
          <cell r="C294" t="str">
            <v>Miscellaneous</v>
          </cell>
          <cell r="D294" t="str">
            <v>0015</v>
          </cell>
          <cell r="E294" t="str">
            <v>Reversible Provisions</v>
          </cell>
          <cell r="F294">
            <v>-45344340.079999998</v>
          </cell>
          <cell r="G294">
            <v>-1039211.32</v>
          </cell>
          <cell r="H294">
            <v>-46383551.399999999</v>
          </cell>
          <cell r="I294" t="str">
            <v>Pankaj</v>
          </cell>
        </row>
        <row r="295">
          <cell r="A295" t="str">
            <v>307099001.0201</v>
          </cell>
          <cell r="B295" t="str">
            <v>307099001</v>
          </cell>
          <cell r="C295" t="str">
            <v>Miscellaneous</v>
          </cell>
          <cell r="D295" t="str">
            <v>0201</v>
          </cell>
          <cell r="E295" t="str">
            <v>DRI-DEALER DISC RECEIVAB</v>
          </cell>
          <cell r="F295">
            <v>-1803198.12</v>
          </cell>
          <cell r="G295">
            <v>0</v>
          </cell>
          <cell r="H295">
            <v>-1803198.12</v>
          </cell>
          <cell r="I295" t="str">
            <v>Mishraji</v>
          </cell>
        </row>
        <row r="296">
          <cell r="A296" t="str">
            <v>307099001.0202</v>
          </cell>
          <cell r="B296" t="str">
            <v>307099001</v>
          </cell>
          <cell r="C296" t="str">
            <v>Miscellaneous</v>
          </cell>
          <cell r="D296" t="str">
            <v>0202</v>
          </cell>
          <cell r="E296" t="str">
            <v>DRI-MFR. DISC RECEIVABLE</v>
          </cell>
          <cell r="F296">
            <v>-36585</v>
          </cell>
          <cell r="G296">
            <v>0</v>
          </cell>
          <cell r="H296">
            <v>-36585</v>
          </cell>
          <cell r="I296" t="str">
            <v>Mishraji</v>
          </cell>
        </row>
        <row r="297">
          <cell r="A297" t="str">
            <v>307099001.0203</v>
          </cell>
          <cell r="B297" t="str">
            <v>307099001</v>
          </cell>
          <cell r="C297" t="str">
            <v>Miscellaneous</v>
          </cell>
          <cell r="D297" t="str">
            <v>0203</v>
          </cell>
          <cell r="E297" t="str">
            <v>CONSORTIUM COMM. A/C-LIA</v>
          </cell>
          <cell r="F297">
            <v>-166813.38</v>
          </cell>
          <cell r="G297">
            <v>14486</v>
          </cell>
          <cell r="H297">
            <v>-152327.38</v>
          </cell>
          <cell r="I297" t="str">
            <v>Mishraji</v>
          </cell>
        </row>
        <row r="298">
          <cell r="A298" t="str">
            <v>307099001.0205</v>
          </cell>
          <cell r="B298" t="str">
            <v>307099001</v>
          </cell>
          <cell r="C298" t="str">
            <v>Miscellaneous</v>
          </cell>
          <cell r="D298" t="str">
            <v>0205</v>
          </cell>
          <cell r="E298" t="str">
            <v>BORROWER CONTROL  A/C -I</v>
          </cell>
          <cell r="F298">
            <v>-3865392</v>
          </cell>
          <cell r="G298">
            <v>-5387632</v>
          </cell>
          <cell r="H298">
            <v>-9253024</v>
          </cell>
          <cell r="I298" t="str">
            <v>Mishraji</v>
          </cell>
        </row>
        <row r="299">
          <cell r="A299" t="str">
            <v>307099001.0206</v>
          </cell>
          <cell r="B299" t="str">
            <v>307099001</v>
          </cell>
          <cell r="C299" t="str">
            <v>Miscellaneous</v>
          </cell>
          <cell r="D299" t="str">
            <v>0206</v>
          </cell>
          <cell r="E299" t="str">
            <v>CNG BOOKING-MARGIN MONEY</v>
          </cell>
          <cell r="F299">
            <v>-975460</v>
          </cell>
          <cell r="G299">
            <v>0</v>
          </cell>
          <cell r="H299">
            <v>-975460</v>
          </cell>
          <cell r="I299" t="str">
            <v>Mishraji</v>
          </cell>
        </row>
        <row r="300">
          <cell r="A300" t="str">
            <v>307099001.0207</v>
          </cell>
          <cell r="B300" t="str">
            <v>307099001</v>
          </cell>
          <cell r="C300" t="str">
            <v>Miscellaneous</v>
          </cell>
          <cell r="D300" t="str">
            <v>0207</v>
          </cell>
          <cell r="E300" t="str">
            <v>HIRER CONTROL ACCOUNT -I</v>
          </cell>
          <cell r="F300">
            <v>-1027954</v>
          </cell>
          <cell r="G300">
            <v>0</v>
          </cell>
          <cell r="H300">
            <v>-1027954</v>
          </cell>
          <cell r="I300" t="str">
            <v>Mishraji</v>
          </cell>
        </row>
        <row r="301">
          <cell r="A301" t="str">
            <v>307099001.0209</v>
          </cell>
          <cell r="B301" t="str">
            <v>307099001</v>
          </cell>
          <cell r="C301" t="str">
            <v>Miscellaneous</v>
          </cell>
          <cell r="D301" t="str">
            <v>0209</v>
          </cell>
          <cell r="E301" t="str">
            <v>DEAD CHEQUES -INGRES</v>
          </cell>
          <cell r="F301">
            <v>-1526211.73</v>
          </cell>
          <cell r="G301">
            <v>1498</v>
          </cell>
          <cell r="H301">
            <v>-1524713.73</v>
          </cell>
          <cell r="I301" t="str">
            <v>Vivek</v>
          </cell>
        </row>
        <row r="302">
          <cell r="A302" t="str">
            <v>307099001.0210</v>
          </cell>
          <cell r="B302" t="str">
            <v>307099001</v>
          </cell>
          <cell r="C302" t="str">
            <v>Miscellaneous</v>
          </cell>
          <cell r="D302" t="str">
            <v>0210</v>
          </cell>
          <cell r="E302" t="str">
            <v>BHANDARI SALES CORPN. -I</v>
          </cell>
          <cell r="F302">
            <v>0.21</v>
          </cell>
          <cell r="G302">
            <v>0</v>
          </cell>
          <cell r="H302">
            <v>0.21</v>
          </cell>
          <cell r="I302" t="str">
            <v>Mishraji</v>
          </cell>
        </row>
        <row r="303">
          <cell r="A303" t="str">
            <v>307099001.0213</v>
          </cell>
          <cell r="B303" t="str">
            <v>307099001</v>
          </cell>
          <cell r="C303" t="str">
            <v>Miscellaneous</v>
          </cell>
          <cell r="D303" t="str">
            <v>0213</v>
          </cell>
          <cell r="E303" t="str">
            <v>SHREE DURGA - SDFL  -IN</v>
          </cell>
          <cell r="F303">
            <v>0.22</v>
          </cell>
          <cell r="G303">
            <v>0</v>
          </cell>
          <cell r="H303">
            <v>0.22</v>
          </cell>
          <cell r="I303" t="str">
            <v>Mishraji</v>
          </cell>
        </row>
        <row r="304">
          <cell r="A304" t="str">
            <v>307099001.0214</v>
          </cell>
          <cell r="B304" t="str">
            <v>307099001</v>
          </cell>
          <cell r="C304" t="str">
            <v>Miscellaneous</v>
          </cell>
          <cell r="D304" t="str">
            <v>0214</v>
          </cell>
          <cell r="E304" t="str">
            <v>ADVANCE RECD BUSINESS -</v>
          </cell>
          <cell r="F304">
            <v>-4002404.97</v>
          </cell>
          <cell r="G304">
            <v>240843</v>
          </cell>
          <cell r="H304">
            <v>-3761561.97</v>
          </cell>
          <cell r="I304" t="str">
            <v>Mishraji</v>
          </cell>
        </row>
        <row r="305">
          <cell r="A305" t="str">
            <v>307099001.0216</v>
          </cell>
          <cell r="B305" t="str">
            <v>307099001</v>
          </cell>
          <cell r="C305" t="str">
            <v>Miscellaneous</v>
          </cell>
          <cell r="D305" t="str">
            <v>0216</v>
          </cell>
          <cell r="E305" t="str">
            <v>PROVISION FOR SALES TAX</v>
          </cell>
          <cell r="F305">
            <v>-15547152</v>
          </cell>
          <cell r="G305">
            <v>0</v>
          </cell>
          <cell r="H305">
            <v>-15547152</v>
          </cell>
          <cell r="I305" t="str">
            <v>Vivek</v>
          </cell>
        </row>
        <row r="306">
          <cell r="A306" t="str">
            <v>307099001.0217</v>
          </cell>
          <cell r="B306" t="str">
            <v>307099001</v>
          </cell>
          <cell r="C306" t="str">
            <v>Miscellaneous</v>
          </cell>
          <cell r="D306" t="str">
            <v>0217</v>
          </cell>
          <cell r="E306" t="str">
            <v>INCOME SUSPENSE -INGRES</v>
          </cell>
          <cell r="F306">
            <v>-65534466.210000001</v>
          </cell>
          <cell r="G306">
            <v>-231762.16</v>
          </cell>
          <cell r="H306">
            <v>-65766228.369999997</v>
          </cell>
          <cell r="I306" t="str">
            <v>Mishraji</v>
          </cell>
        </row>
        <row r="307">
          <cell r="A307" t="str">
            <v>307099001.0218</v>
          </cell>
          <cell r="B307" t="str">
            <v>307099001</v>
          </cell>
          <cell r="C307" t="str">
            <v>Miscellaneous</v>
          </cell>
          <cell r="D307" t="str">
            <v>0218</v>
          </cell>
          <cell r="E307" t="str">
            <v>CREDITORS FOR PURCHASES</v>
          </cell>
          <cell r="F307">
            <v>-0.79</v>
          </cell>
          <cell r="G307">
            <v>0</v>
          </cell>
          <cell r="H307">
            <v>-0.79</v>
          </cell>
          <cell r="I307" t="str">
            <v>Mishraji</v>
          </cell>
        </row>
        <row r="308">
          <cell r="A308" t="str">
            <v>307099001.0220</v>
          </cell>
          <cell r="B308" t="str">
            <v>307099001</v>
          </cell>
          <cell r="C308" t="str">
            <v>Miscellaneous</v>
          </cell>
          <cell r="D308" t="str">
            <v>0220</v>
          </cell>
          <cell r="E308" t="str">
            <v>UNMATURED GURANTEE INCOM</v>
          </cell>
          <cell r="F308">
            <v>-0.01</v>
          </cell>
          <cell r="G308">
            <v>0</v>
          </cell>
          <cell r="H308">
            <v>-0.01</v>
          </cell>
          <cell r="I308" t="str">
            <v>Mishraji</v>
          </cell>
        </row>
        <row r="309">
          <cell r="A309" t="str">
            <v>307099001.0221</v>
          </cell>
          <cell r="B309" t="str">
            <v>307099001</v>
          </cell>
          <cell r="C309" t="str">
            <v>Miscellaneous</v>
          </cell>
          <cell r="D309" t="str">
            <v>0221</v>
          </cell>
          <cell r="E309" t="str">
            <v>STATE SALES TAX PAYABLE</v>
          </cell>
          <cell r="F309">
            <v>-402868</v>
          </cell>
          <cell r="G309">
            <v>-17406</v>
          </cell>
          <cell r="H309">
            <v>-420274</v>
          </cell>
          <cell r="I309" t="str">
            <v>Mishraji</v>
          </cell>
        </row>
        <row r="310">
          <cell r="A310" t="str">
            <v>307099001.0223</v>
          </cell>
          <cell r="B310" t="str">
            <v>307099001</v>
          </cell>
          <cell r="C310" t="str">
            <v>Miscellaneous</v>
          </cell>
          <cell r="D310" t="str">
            <v>0223</v>
          </cell>
          <cell r="E310" t="str">
            <v>DEALER MORATORIUM AGR A/</v>
          </cell>
          <cell r="F310">
            <v>-45893117</v>
          </cell>
          <cell r="G310">
            <v>13162949</v>
          </cell>
          <cell r="H310">
            <v>-32730168</v>
          </cell>
          <cell r="I310" t="str">
            <v>Mishraji</v>
          </cell>
        </row>
        <row r="311">
          <cell r="A311" t="str">
            <v>307099001.0225</v>
          </cell>
          <cell r="B311" t="str">
            <v>307099001</v>
          </cell>
          <cell r="C311" t="str">
            <v>Miscellaneous</v>
          </cell>
          <cell r="D311" t="str">
            <v>0225</v>
          </cell>
          <cell r="E311" t="str">
            <v>DRI-DEALER DISC. RECEIVE</v>
          </cell>
          <cell r="F311">
            <v>-15652213.460000001</v>
          </cell>
          <cell r="G311">
            <v>123503.09</v>
          </cell>
          <cell r="H311">
            <v>-15528710.369999999</v>
          </cell>
          <cell r="I311" t="str">
            <v>Mishraji</v>
          </cell>
        </row>
        <row r="312">
          <cell r="A312" t="str">
            <v>307099001.0227</v>
          </cell>
          <cell r="B312" t="str">
            <v>307099001</v>
          </cell>
          <cell r="C312" t="str">
            <v>Miscellaneous</v>
          </cell>
          <cell r="D312" t="str">
            <v>0227</v>
          </cell>
          <cell r="E312" t="str">
            <v>DRI-IRR MAINTAINENCE A/C</v>
          </cell>
          <cell r="F312">
            <v>-15512.33</v>
          </cell>
          <cell r="G312">
            <v>770.4</v>
          </cell>
          <cell r="H312">
            <v>-14741.93</v>
          </cell>
          <cell r="I312" t="str">
            <v>Mishraji</v>
          </cell>
        </row>
        <row r="313">
          <cell r="A313" t="str">
            <v>307099001.0228</v>
          </cell>
          <cell r="B313" t="str">
            <v>307099001</v>
          </cell>
          <cell r="C313" t="str">
            <v>Miscellaneous</v>
          </cell>
          <cell r="D313" t="str">
            <v>0228</v>
          </cell>
          <cell r="E313" t="str">
            <v>CONSORTIUM FINANCE LIMIT</v>
          </cell>
          <cell r="F313">
            <v>-10976.01</v>
          </cell>
          <cell r="G313">
            <v>0</v>
          </cell>
          <cell r="H313">
            <v>-10976.01</v>
          </cell>
          <cell r="I313" t="str">
            <v>Mishraji</v>
          </cell>
        </row>
        <row r="314">
          <cell r="A314" t="str">
            <v>307099001.0229</v>
          </cell>
          <cell r="B314" t="str">
            <v>307099001</v>
          </cell>
          <cell r="C314" t="str">
            <v>Miscellaneous</v>
          </cell>
          <cell r="D314" t="str">
            <v>0229</v>
          </cell>
          <cell r="E314" t="str">
            <v>PPD PAYABLE PREV 31/07/9</v>
          </cell>
          <cell r="F314">
            <v>-14655</v>
          </cell>
          <cell r="G314">
            <v>0</v>
          </cell>
          <cell r="H314">
            <v>-14655</v>
          </cell>
          <cell r="I314" t="str">
            <v>Mishraji</v>
          </cell>
        </row>
        <row r="315">
          <cell r="A315" t="str">
            <v>307099001.0230</v>
          </cell>
          <cell r="B315" t="str">
            <v>307099001</v>
          </cell>
          <cell r="C315" t="str">
            <v>Miscellaneous</v>
          </cell>
          <cell r="D315" t="str">
            <v>0230</v>
          </cell>
          <cell r="E315" t="str">
            <v>PPD PAYABLE POST 31/07/9</v>
          </cell>
          <cell r="F315">
            <v>-199207</v>
          </cell>
          <cell r="G315">
            <v>0</v>
          </cell>
          <cell r="H315">
            <v>-199207</v>
          </cell>
          <cell r="I315" t="str">
            <v>Mishraji</v>
          </cell>
        </row>
        <row r="316">
          <cell r="A316" t="str">
            <v>307099001.0231</v>
          </cell>
          <cell r="B316" t="str">
            <v>307099001</v>
          </cell>
          <cell r="C316" t="str">
            <v>Miscellaneous</v>
          </cell>
          <cell r="D316" t="str">
            <v>0231</v>
          </cell>
          <cell r="E316" t="str">
            <v>PPD PAYABLE ABSP5 -INGRE</v>
          </cell>
          <cell r="F316">
            <v>-215231.77</v>
          </cell>
          <cell r="G316">
            <v>0</v>
          </cell>
          <cell r="H316">
            <v>-215231.77</v>
          </cell>
          <cell r="I316" t="str">
            <v>Mishraji</v>
          </cell>
        </row>
        <row r="317">
          <cell r="A317" t="str">
            <v>307099001.0233</v>
          </cell>
          <cell r="B317" t="str">
            <v>307099001</v>
          </cell>
          <cell r="C317" t="str">
            <v>Miscellaneous</v>
          </cell>
          <cell r="D317" t="str">
            <v>0233</v>
          </cell>
          <cell r="E317" t="str">
            <v>PPD PAYABLE ABSP4 -INGRE</v>
          </cell>
          <cell r="F317">
            <v>-524970</v>
          </cell>
          <cell r="G317">
            <v>0</v>
          </cell>
          <cell r="H317">
            <v>-524970</v>
          </cell>
          <cell r="I317" t="str">
            <v>Mishraji</v>
          </cell>
        </row>
        <row r="318">
          <cell r="A318" t="str">
            <v>307099001.0234</v>
          </cell>
          <cell r="B318" t="str">
            <v>307099001</v>
          </cell>
          <cell r="C318" t="str">
            <v>Miscellaneous</v>
          </cell>
          <cell r="D318" t="str">
            <v>0234</v>
          </cell>
          <cell r="E318" t="str">
            <v>ALPIC  FINANCE - PAYABLE</v>
          </cell>
          <cell r="F318">
            <v>-50768.69</v>
          </cell>
          <cell r="G318">
            <v>0</v>
          </cell>
          <cell r="H318">
            <v>-50768.69</v>
          </cell>
          <cell r="I318" t="str">
            <v>Mishraji</v>
          </cell>
        </row>
        <row r="319">
          <cell r="A319" t="str">
            <v>307099001.0235</v>
          </cell>
          <cell r="B319" t="str">
            <v>307099001</v>
          </cell>
          <cell r="C319" t="str">
            <v>Miscellaneous</v>
          </cell>
          <cell r="D319" t="str">
            <v>0235</v>
          </cell>
          <cell r="E319" t="str">
            <v>SUBLEASE R.V. IN ADVANCE</v>
          </cell>
          <cell r="F319">
            <v>-9048342.4499999993</v>
          </cell>
          <cell r="G319">
            <v>145691.20000000001</v>
          </cell>
          <cell r="H319">
            <v>-8902651.25</v>
          </cell>
          <cell r="I319" t="str">
            <v>Mishraji</v>
          </cell>
        </row>
        <row r="320">
          <cell r="A320" t="str">
            <v>307099001.0236</v>
          </cell>
          <cell r="B320" t="str">
            <v>307099001</v>
          </cell>
          <cell r="C320" t="str">
            <v>Miscellaneous</v>
          </cell>
          <cell r="D320" t="str">
            <v>0236</v>
          </cell>
          <cell r="E320" t="str">
            <v>RES.VALUE RECD.IN ADVANC</v>
          </cell>
          <cell r="F320">
            <v>-11961970</v>
          </cell>
          <cell r="G320">
            <v>0</v>
          </cell>
          <cell r="H320">
            <v>-11961970</v>
          </cell>
          <cell r="I320" t="str">
            <v>Mishraji</v>
          </cell>
        </row>
        <row r="321">
          <cell r="A321" t="str">
            <v>307099001.0239</v>
          </cell>
          <cell r="B321" t="str">
            <v>307099001</v>
          </cell>
          <cell r="C321" t="str">
            <v>Miscellaneous</v>
          </cell>
          <cell r="D321" t="str">
            <v>0239</v>
          </cell>
          <cell r="E321" t="str">
            <v>SECURITY DEPOSITS RECEIV</v>
          </cell>
          <cell r="F321">
            <v>-8382782.4299999997</v>
          </cell>
          <cell r="G321">
            <v>0</v>
          </cell>
          <cell r="H321">
            <v>-8382782.4299999997</v>
          </cell>
          <cell r="I321" t="str">
            <v>Mishraji</v>
          </cell>
        </row>
        <row r="322">
          <cell r="A322" t="str">
            <v>307099001.0240</v>
          </cell>
          <cell r="B322" t="str">
            <v>307099001</v>
          </cell>
          <cell r="C322" t="str">
            <v>Miscellaneous</v>
          </cell>
          <cell r="D322" t="str">
            <v>0240</v>
          </cell>
          <cell r="E322" t="str">
            <v>UNIT CONTROL- -INGRES IU</v>
          </cell>
          <cell r="F322">
            <v>-3.4</v>
          </cell>
          <cell r="G322">
            <v>2.35</v>
          </cell>
          <cell r="H322">
            <v>-1.05</v>
          </cell>
          <cell r="I322" t="str">
            <v>Vivek</v>
          </cell>
        </row>
        <row r="323">
          <cell r="A323" t="str">
            <v>307099001.0253</v>
          </cell>
          <cell r="B323" t="str">
            <v>307099001</v>
          </cell>
          <cell r="C323" t="str">
            <v>Miscellaneous</v>
          </cell>
          <cell r="D323" t="str">
            <v>0253</v>
          </cell>
          <cell r="E323" t="str">
            <v>MISC. CREDITORS</v>
          </cell>
          <cell r="F323">
            <v>-0.34</v>
          </cell>
          <cell r="G323">
            <v>0</v>
          </cell>
          <cell r="H323">
            <v>-0.34</v>
          </cell>
          <cell r="I323" t="str">
            <v>Pankaj</v>
          </cell>
        </row>
        <row r="324">
          <cell r="A324" t="str">
            <v>307099001.0257</v>
          </cell>
          <cell r="B324" t="str">
            <v>307099001</v>
          </cell>
          <cell r="C324" t="str">
            <v>Miscellaneous</v>
          </cell>
          <cell r="D324" t="str">
            <v>0257</v>
          </cell>
          <cell r="E324" t="str">
            <v>INGRES CONTROL</v>
          </cell>
          <cell r="F324">
            <v>1</v>
          </cell>
          <cell r="G324">
            <v>0</v>
          </cell>
          <cell r="H324">
            <v>1</v>
          </cell>
          <cell r="I324" t="str">
            <v>Pankaj</v>
          </cell>
        </row>
        <row r="325">
          <cell r="A325" t="str">
            <v>307099001.0258</v>
          </cell>
          <cell r="B325" t="str">
            <v>307099001</v>
          </cell>
          <cell r="C325" t="str">
            <v>Miscellaneous</v>
          </cell>
          <cell r="D325" t="str">
            <v>0258</v>
          </cell>
          <cell r="E325" t="str">
            <v>ADV. AGAINST BUSINESS- M</v>
          </cell>
          <cell r="F325">
            <v>-1</v>
          </cell>
          <cell r="G325">
            <v>0</v>
          </cell>
          <cell r="H325">
            <v>-1</v>
          </cell>
          <cell r="I325" t="str">
            <v>Pankaj</v>
          </cell>
        </row>
        <row r="326">
          <cell r="A326" t="str">
            <v>307099001.0262</v>
          </cell>
          <cell r="B326" t="str">
            <v>307099001</v>
          </cell>
          <cell r="C326" t="str">
            <v>Miscellaneous</v>
          </cell>
          <cell r="D326" t="str">
            <v>0262</v>
          </cell>
          <cell r="E326" t="str">
            <v>DMA COMMISSION CONTROL A</v>
          </cell>
          <cell r="F326">
            <v>-1037809.71</v>
          </cell>
          <cell r="G326">
            <v>-64119.47</v>
          </cell>
          <cell r="H326">
            <v>-1101929.18</v>
          </cell>
          <cell r="I326" t="str">
            <v>Mishraji</v>
          </cell>
        </row>
        <row r="327">
          <cell r="A327" t="str">
            <v>309007001.0002</v>
          </cell>
          <cell r="B327" t="str">
            <v>309007001</v>
          </cell>
          <cell r="C327" t="str">
            <v>Other Deductions</v>
          </cell>
          <cell r="D327" t="str">
            <v>0002</v>
          </cell>
          <cell r="E327" t="str">
            <v>TDS - Interest Other than Interest on Securities - Companies</v>
          </cell>
          <cell r="F327">
            <v>-0.1</v>
          </cell>
          <cell r="G327">
            <v>0</v>
          </cell>
          <cell r="H327">
            <v>-0.1</v>
          </cell>
          <cell r="I327" t="str">
            <v>Pankaj</v>
          </cell>
        </row>
        <row r="328">
          <cell r="A328" t="str">
            <v>309007001.0006</v>
          </cell>
          <cell r="B328" t="str">
            <v>309007001</v>
          </cell>
          <cell r="C328" t="str">
            <v>Other Deductions</v>
          </cell>
          <cell r="D328" t="str">
            <v>0006</v>
          </cell>
          <cell r="E328" t="str">
            <v>TDS - Contractors - Companies</v>
          </cell>
          <cell r="F328">
            <v>-16694.8</v>
          </cell>
          <cell r="G328">
            <v>10461.74</v>
          </cell>
          <cell r="H328">
            <v>-6233.06</v>
          </cell>
          <cell r="I328" t="str">
            <v>Pankaj</v>
          </cell>
        </row>
        <row r="329">
          <cell r="A329" t="str">
            <v>309007001.0007</v>
          </cell>
          <cell r="B329" t="str">
            <v>309007001</v>
          </cell>
          <cell r="C329" t="str">
            <v>Other Deductions</v>
          </cell>
          <cell r="D329" t="str">
            <v>0007</v>
          </cell>
          <cell r="E329" t="str">
            <v>TDS - Contractors - Non Companies</v>
          </cell>
          <cell r="F329">
            <v>-8970.2099999999991</v>
          </cell>
          <cell r="G329">
            <v>-7250.08</v>
          </cell>
          <cell r="H329">
            <v>-16220.29</v>
          </cell>
          <cell r="I329" t="str">
            <v>Pankaj</v>
          </cell>
        </row>
        <row r="330">
          <cell r="A330" t="str">
            <v>309007001.0008</v>
          </cell>
          <cell r="B330" t="str">
            <v>309007001</v>
          </cell>
          <cell r="C330" t="str">
            <v>Other Deductions</v>
          </cell>
          <cell r="D330" t="str">
            <v>0008</v>
          </cell>
          <cell r="E330" t="str">
            <v>TDS - Rent - Companies</v>
          </cell>
          <cell r="F330">
            <v>-2460</v>
          </cell>
          <cell r="G330">
            <v>-6560</v>
          </cell>
          <cell r="H330">
            <v>-9020</v>
          </cell>
          <cell r="I330" t="str">
            <v>Pankaj</v>
          </cell>
        </row>
        <row r="331">
          <cell r="A331" t="str">
            <v>309007001.0009</v>
          </cell>
          <cell r="B331" t="str">
            <v>309007001</v>
          </cell>
          <cell r="C331" t="str">
            <v>Other Deductions</v>
          </cell>
          <cell r="D331" t="str">
            <v>0009</v>
          </cell>
          <cell r="E331" t="str">
            <v>TDS - Rent - Non Companies</v>
          </cell>
          <cell r="F331">
            <v>-34676.400000000001</v>
          </cell>
          <cell r="G331">
            <v>34676.400000000001</v>
          </cell>
          <cell r="H331">
            <v>0</v>
          </cell>
          <cell r="I331" t="str">
            <v>Pankaj</v>
          </cell>
        </row>
        <row r="332">
          <cell r="A332" t="str">
            <v>309007001.0010</v>
          </cell>
          <cell r="B332" t="str">
            <v>309007001</v>
          </cell>
          <cell r="C332" t="str">
            <v>Other Deductions</v>
          </cell>
          <cell r="D332" t="str">
            <v>0010</v>
          </cell>
          <cell r="E332" t="str">
            <v>TDS - Professional Services - Companies</v>
          </cell>
          <cell r="F332">
            <v>-90858.92</v>
          </cell>
          <cell r="G332">
            <v>85944.56</v>
          </cell>
          <cell r="H332">
            <v>-4914.3599999999997</v>
          </cell>
          <cell r="I332" t="str">
            <v>Pankaj</v>
          </cell>
        </row>
        <row r="333">
          <cell r="A333" t="str">
            <v>309007001.0011</v>
          </cell>
          <cell r="B333" t="str">
            <v>309007001</v>
          </cell>
          <cell r="C333" t="str">
            <v>Other Deductions</v>
          </cell>
          <cell r="D333" t="str">
            <v>0011</v>
          </cell>
          <cell r="E333" t="str">
            <v>TDS - Professional Services - Non Companies</v>
          </cell>
          <cell r="F333">
            <v>-63326.04</v>
          </cell>
          <cell r="G333">
            <v>22656.17</v>
          </cell>
          <cell r="H333">
            <v>-40669.870000000003</v>
          </cell>
          <cell r="I333" t="str">
            <v>Pankaj</v>
          </cell>
        </row>
        <row r="334">
          <cell r="A334" t="str">
            <v>309007001.0013</v>
          </cell>
          <cell r="B334" t="str">
            <v>309007001</v>
          </cell>
          <cell r="C334" t="str">
            <v>Other Deductions</v>
          </cell>
          <cell r="D334" t="str">
            <v>0013</v>
          </cell>
          <cell r="E334" t="str">
            <v>TDS - Commission/Brokerage - Non Companies</v>
          </cell>
          <cell r="F334">
            <v>-23113.56</v>
          </cell>
          <cell r="G334">
            <v>14237.76</v>
          </cell>
          <cell r="H334">
            <v>-8875.7999999999993</v>
          </cell>
          <cell r="I334" t="str">
            <v>Pankaj</v>
          </cell>
        </row>
        <row r="335">
          <cell r="A335" t="str">
            <v>309007001.0024</v>
          </cell>
          <cell r="B335" t="str">
            <v>309007001</v>
          </cell>
          <cell r="C335" t="str">
            <v>Other Deductions</v>
          </cell>
          <cell r="D335" t="str">
            <v>0024</v>
          </cell>
          <cell r="E335" t="str">
            <v>TDS - Interest - ICD</v>
          </cell>
          <cell r="F335">
            <v>-4334771</v>
          </cell>
          <cell r="G335">
            <v>-370671</v>
          </cell>
          <cell r="H335">
            <v>-4705442</v>
          </cell>
          <cell r="I335" t="str">
            <v>Vivek</v>
          </cell>
        </row>
        <row r="336">
          <cell r="A336" t="str">
            <v>309007001.0026</v>
          </cell>
          <cell r="B336" t="str">
            <v>309007001</v>
          </cell>
          <cell r="C336" t="str">
            <v>Other Deductions</v>
          </cell>
          <cell r="D336" t="str">
            <v>0026</v>
          </cell>
          <cell r="E336" t="str">
            <v>TDS -Rent - Non Companies- Firms/ AOP/BOI</v>
          </cell>
          <cell r="F336">
            <v>-8405</v>
          </cell>
          <cell r="G336">
            <v>2333.4699999999998</v>
          </cell>
          <cell r="H336">
            <v>-6071.53</v>
          </cell>
          <cell r="I336" t="str">
            <v>Pankaj</v>
          </cell>
        </row>
        <row r="337">
          <cell r="A337" t="str">
            <v>309007001.0027</v>
          </cell>
          <cell r="B337" t="str">
            <v>309007001</v>
          </cell>
          <cell r="C337" t="str">
            <v>Other Deductions</v>
          </cell>
          <cell r="D337" t="str">
            <v>0027</v>
          </cell>
          <cell r="E337" t="str">
            <v>TDS- Rent -Non Companies - Individuals/HUF</v>
          </cell>
          <cell r="F337">
            <v>-3135</v>
          </cell>
          <cell r="G337">
            <v>-32993.4</v>
          </cell>
          <cell r="H337">
            <v>-36128.400000000001</v>
          </cell>
          <cell r="I337" t="str">
            <v>Pankaj</v>
          </cell>
        </row>
        <row r="338">
          <cell r="A338" t="str">
            <v>309007001.0054</v>
          </cell>
          <cell r="B338" t="str">
            <v>309007001</v>
          </cell>
          <cell r="C338" t="str">
            <v>Other Deductions</v>
          </cell>
          <cell r="D338" t="str">
            <v>0054</v>
          </cell>
          <cell r="E338" t="str">
            <v>Professional Taxe - Branches</v>
          </cell>
          <cell r="F338">
            <v>-4840</v>
          </cell>
          <cell r="G338">
            <v>-2150</v>
          </cell>
          <cell r="H338">
            <v>-6990</v>
          </cell>
          <cell r="I338" t="str">
            <v>Pankaj</v>
          </cell>
        </row>
        <row r="339">
          <cell r="A339" t="str">
            <v>310002001.0201</v>
          </cell>
          <cell r="B339" t="str">
            <v>310002001</v>
          </cell>
          <cell r="C339" t="str">
            <v>Dividends Paid</v>
          </cell>
          <cell r="D339" t="str">
            <v>0201</v>
          </cell>
          <cell r="E339" t="str">
            <v>Dividends Payable-Equity Dividend</v>
          </cell>
          <cell r="F339">
            <v>-117342.99</v>
          </cell>
          <cell r="G339">
            <v>117342.99</v>
          </cell>
          <cell r="H339">
            <v>0</v>
          </cell>
          <cell r="I339" t="str">
            <v>Vivek</v>
          </cell>
        </row>
        <row r="340">
          <cell r="A340" t="str">
            <v>310002001.0205</v>
          </cell>
          <cell r="B340" t="str">
            <v>310002001</v>
          </cell>
          <cell r="C340" t="str">
            <v>Dividends Paid</v>
          </cell>
          <cell r="D340" t="str">
            <v>0205</v>
          </cell>
          <cell r="E340" t="str">
            <v>UNCLAIMED DIV. FINAL 199</v>
          </cell>
          <cell r="F340">
            <v>-380583.33</v>
          </cell>
          <cell r="G340">
            <v>0</v>
          </cell>
          <cell r="H340">
            <v>-380583.33</v>
          </cell>
          <cell r="I340" t="str">
            <v>Vivek</v>
          </cell>
        </row>
        <row r="341">
          <cell r="A341" t="str">
            <v>313001002.0001</v>
          </cell>
          <cell r="B341" t="str">
            <v>313001002</v>
          </cell>
          <cell r="C341" t="str">
            <v>Bank Loan Non Guaranteed</v>
          </cell>
          <cell r="D341" t="str">
            <v>0001</v>
          </cell>
          <cell r="E341" t="str">
            <v>Bank Loan Non Guaranteed</v>
          </cell>
          <cell r="F341">
            <v>-1070000000</v>
          </cell>
          <cell r="G341">
            <v>110000000</v>
          </cell>
          <cell r="H341">
            <v>-960000000</v>
          </cell>
          <cell r="I341" t="str">
            <v>Vivek</v>
          </cell>
        </row>
        <row r="342">
          <cell r="A342" t="str">
            <v>313200004.0202</v>
          </cell>
          <cell r="B342" t="str">
            <v>313200004</v>
          </cell>
          <cell r="C342" t="str">
            <v>Notes PayableICD ST Non Guaranteed</v>
          </cell>
          <cell r="D342" t="str">
            <v>0202</v>
          </cell>
          <cell r="E342" t="str">
            <v>ICDS RECD FROM GECIS</v>
          </cell>
          <cell r="F342">
            <v>-3466050613</v>
          </cell>
          <cell r="G342">
            <v>3466050613</v>
          </cell>
          <cell r="H342">
            <v>0</v>
          </cell>
          <cell r="I342" t="str">
            <v>Vivek</v>
          </cell>
        </row>
        <row r="343">
          <cell r="A343" t="str">
            <v>317200004.0203</v>
          </cell>
          <cell r="B343" t="str">
            <v>317200004</v>
          </cell>
          <cell r="C343" t="str">
            <v>Current Portion of Long-Term Debt-Non-Current-External - Other Short-term Debt-Other - Non-Guaranteed</v>
          </cell>
          <cell r="D343" t="str">
            <v>0203</v>
          </cell>
          <cell r="E343" t="str">
            <v>CITIBANK - DEMAND LOAN A</v>
          </cell>
          <cell r="F343">
            <v>0.19</v>
          </cell>
          <cell r="G343">
            <v>0</v>
          </cell>
          <cell r="H343">
            <v>0.19</v>
          </cell>
          <cell r="I343" t="str">
            <v>Vivek</v>
          </cell>
        </row>
        <row r="344">
          <cell r="A344" t="str">
            <v>317200004.0206</v>
          </cell>
          <cell r="B344" t="str">
            <v>317200004</v>
          </cell>
          <cell r="C344" t="str">
            <v>Current Portion of Long-Term Debt-Non-Current-External - Other Short-term Debt-Other - Non-Guaranteed</v>
          </cell>
          <cell r="D344" t="str">
            <v>0206</v>
          </cell>
          <cell r="E344" t="str">
            <v>RECURRING DEPOSITS DELHI</v>
          </cell>
          <cell r="F344">
            <v>39700</v>
          </cell>
          <cell r="G344">
            <v>0</v>
          </cell>
          <cell r="H344">
            <v>39700</v>
          </cell>
          <cell r="I344" t="str">
            <v>Vivek</v>
          </cell>
        </row>
        <row r="345">
          <cell r="A345" t="str">
            <v>317200004.0207</v>
          </cell>
          <cell r="B345" t="str">
            <v>317200004</v>
          </cell>
          <cell r="C345" t="str">
            <v>Current Portion of Long-Term Debt-Non-Current-External - Other Short-term Debt-Other - Non-Guaranteed</v>
          </cell>
          <cell r="D345" t="str">
            <v>0207</v>
          </cell>
          <cell r="E345" t="str">
            <v>RECURRING DEPOSITS MADRA</v>
          </cell>
          <cell r="F345">
            <v>-38600</v>
          </cell>
          <cell r="G345">
            <v>0</v>
          </cell>
          <cell r="H345">
            <v>-38600</v>
          </cell>
          <cell r="I345" t="str">
            <v>Vivek</v>
          </cell>
        </row>
        <row r="346">
          <cell r="A346" t="str">
            <v>317200004.0208</v>
          </cell>
          <cell r="B346" t="str">
            <v>317200004</v>
          </cell>
          <cell r="C346" t="str">
            <v>Current Portion of Long-Term Debt-Non-Current-External - Other Short-term Debt-Other - Non-Guaranteed</v>
          </cell>
          <cell r="D346" t="str">
            <v>0208</v>
          </cell>
          <cell r="E346" t="str">
            <v>PUBLIC DEPOSITS DELHI -I</v>
          </cell>
          <cell r="F346">
            <v>-3459371</v>
          </cell>
          <cell r="G346">
            <v>0</v>
          </cell>
          <cell r="H346">
            <v>-3459371</v>
          </cell>
          <cell r="I346" t="str">
            <v>Vivek</v>
          </cell>
        </row>
        <row r="347">
          <cell r="A347" t="str">
            <v>317200004.0209</v>
          </cell>
          <cell r="B347" t="str">
            <v>317200004</v>
          </cell>
          <cell r="C347" t="str">
            <v>Current Portion of Long-Term Debt-Non-Current-External - Other Short-term Debt-Other - Non-Guaranteed</v>
          </cell>
          <cell r="D347" t="str">
            <v>0209</v>
          </cell>
          <cell r="E347" t="str">
            <v>RECURRING DEPOSIT DELHI</v>
          </cell>
          <cell r="F347">
            <v>-79900</v>
          </cell>
          <cell r="G347">
            <v>0</v>
          </cell>
          <cell r="H347">
            <v>-79900</v>
          </cell>
          <cell r="I347" t="str">
            <v>Vivek</v>
          </cell>
        </row>
        <row r="348">
          <cell r="A348" t="str">
            <v>317200004.0210</v>
          </cell>
          <cell r="B348" t="str">
            <v>317200004</v>
          </cell>
          <cell r="C348" t="str">
            <v>Current Portion of Long-Term Debt-Non-Current-External - Other Short-term Debt-Other - Non-Guaranteed</v>
          </cell>
          <cell r="D348" t="str">
            <v>0210</v>
          </cell>
          <cell r="E348" t="str">
            <v>PUBLIC DEPOSITS - MATURE</v>
          </cell>
          <cell r="F348">
            <v>3448371</v>
          </cell>
          <cell r="G348">
            <v>0</v>
          </cell>
          <cell r="H348">
            <v>3448371</v>
          </cell>
          <cell r="I348" t="str">
            <v>Vivek</v>
          </cell>
        </row>
        <row r="349">
          <cell r="A349" t="str">
            <v>317200004.0211</v>
          </cell>
          <cell r="B349" t="str">
            <v>317200004</v>
          </cell>
          <cell r="C349" t="str">
            <v>Current Portion of Long-Term Debt-Non-Current-External - Other Short-term Debt-Other - Non-Guaranteed</v>
          </cell>
          <cell r="D349" t="str">
            <v>0211</v>
          </cell>
          <cell r="E349" t="str">
            <v>PUBLIC DEPOSITS DELHI-NE</v>
          </cell>
          <cell r="F349">
            <v>-2604835</v>
          </cell>
          <cell r="G349">
            <v>15000</v>
          </cell>
          <cell r="H349">
            <v>-2589835</v>
          </cell>
          <cell r="I349" t="str">
            <v>Vivek</v>
          </cell>
        </row>
        <row r="350">
          <cell r="A350" t="str">
            <v>320001001.0001</v>
          </cell>
          <cell r="B350" t="str">
            <v>320001001</v>
          </cell>
          <cell r="C350" t="str">
            <v>Interest Payable Accrued</v>
          </cell>
          <cell r="D350" t="str">
            <v>0001</v>
          </cell>
          <cell r="E350" t="str">
            <v>Interest Payable-Bank</v>
          </cell>
          <cell r="F350">
            <v>-5283792</v>
          </cell>
          <cell r="G350">
            <v>5150252</v>
          </cell>
          <cell r="H350">
            <v>-133540</v>
          </cell>
          <cell r="I350" t="str">
            <v>Vivek</v>
          </cell>
        </row>
        <row r="351">
          <cell r="A351" t="str">
            <v>320001001.0002</v>
          </cell>
          <cell r="B351" t="str">
            <v>320001001</v>
          </cell>
          <cell r="C351" t="str">
            <v>Interest Payable Accrued</v>
          </cell>
          <cell r="D351" t="str">
            <v>0002</v>
          </cell>
          <cell r="E351" t="str">
            <v>Interest Payable - Inter Corporate Deposits</v>
          </cell>
          <cell r="F351">
            <v>-22950134</v>
          </cell>
          <cell r="G351">
            <v>1042620</v>
          </cell>
          <cell r="H351">
            <v>-21907514</v>
          </cell>
          <cell r="I351" t="str">
            <v>Vivek</v>
          </cell>
        </row>
        <row r="352">
          <cell r="A352" t="str">
            <v>320004001.0000</v>
          </cell>
          <cell r="B352" t="str">
            <v>320004001</v>
          </cell>
          <cell r="C352" t="str">
            <v>Accrued Payroll</v>
          </cell>
          <cell r="D352" t="str">
            <v>0000</v>
          </cell>
          <cell r="E352" t="str">
            <v>None</v>
          </cell>
          <cell r="F352">
            <v>-1729699</v>
          </cell>
          <cell r="G352">
            <v>1729699</v>
          </cell>
          <cell r="H352">
            <v>0</v>
          </cell>
          <cell r="I352" t="str">
            <v>Pankaj</v>
          </cell>
        </row>
        <row r="353">
          <cell r="A353" t="str">
            <v>320004001.0001</v>
          </cell>
          <cell r="B353" t="str">
            <v>320004001</v>
          </cell>
          <cell r="C353" t="str">
            <v>Accrued Payroll</v>
          </cell>
          <cell r="D353" t="str">
            <v>0001</v>
          </cell>
          <cell r="E353" t="str">
            <v>Full &amp; Final</v>
          </cell>
          <cell r="F353">
            <v>502631.01</v>
          </cell>
          <cell r="G353">
            <v>97477</v>
          </cell>
          <cell r="H353">
            <v>600108.01</v>
          </cell>
          <cell r="I353" t="str">
            <v>Pankaj</v>
          </cell>
        </row>
        <row r="354">
          <cell r="A354" t="str">
            <v>320005001.0001</v>
          </cell>
          <cell r="B354" t="str">
            <v>320005001</v>
          </cell>
          <cell r="C354" t="str">
            <v>Accrued Social security</v>
          </cell>
          <cell r="D354" t="str">
            <v>0001</v>
          </cell>
          <cell r="E354" t="str">
            <v>Provident Fund Payable</v>
          </cell>
          <cell r="F354">
            <v>-232335</v>
          </cell>
          <cell r="G354">
            <v>-8486</v>
          </cell>
          <cell r="H354">
            <v>-240821</v>
          </cell>
          <cell r="I354" t="str">
            <v>Pankaj</v>
          </cell>
        </row>
        <row r="355">
          <cell r="A355" t="str">
            <v>320005001.0002</v>
          </cell>
          <cell r="B355" t="str">
            <v>320005001</v>
          </cell>
          <cell r="C355" t="str">
            <v>Accrued Social security</v>
          </cell>
          <cell r="D355" t="str">
            <v>0002</v>
          </cell>
          <cell r="E355" t="str">
            <v>Super Annuation Fund Payable</v>
          </cell>
          <cell r="F355">
            <v>-71416</v>
          </cell>
          <cell r="G355">
            <v>7299</v>
          </cell>
          <cell r="H355">
            <v>-64117</v>
          </cell>
          <cell r="I355" t="str">
            <v>Pankaj</v>
          </cell>
        </row>
        <row r="356">
          <cell r="A356" t="str">
            <v>320005001.0003</v>
          </cell>
          <cell r="B356" t="str">
            <v>320005001</v>
          </cell>
          <cell r="C356" t="str">
            <v>Accrued Social security</v>
          </cell>
          <cell r="D356" t="str">
            <v>0003</v>
          </cell>
          <cell r="E356" t="str">
            <v>Employee Welfare Fund</v>
          </cell>
          <cell r="F356">
            <v>-115</v>
          </cell>
          <cell r="G356">
            <v>-59</v>
          </cell>
          <cell r="H356">
            <v>-174</v>
          </cell>
          <cell r="I356" t="str">
            <v>Pankaj</v>
          </cell>
        </row>
        <row r="357">
          <cell r="A357" t="str">
            <v>320099001.0307</v>
          </cell>
          <cell r="B357" t="str">
            <v>320099001</v>
          </cell>
          <cell r="C357" t="str">
            <v>Other</v>
          </cell>
          <cell r="D357" t="str">
            <v>0307</v>
          </cell>
          <cell r="E357" t="str">
            <v>Other Liabilities-Interest Accrued but not due</v>
          </cell>
          <cell r="F357">
            <v>-938739.91</v>
          </cell>
          <cell r="G357">
            <v>0</v>
          </cell>
          <cell r="H357">
            <v>-938739.91</v>
          </cell>
          <cell r="I357" t="str">
            <v>Vivek</v>
          </cell>
        </row>
        <row r="358">
          <cell r="A358" t="str">
            <v>411101002.0000</v>
          </cell>
          <cell r="B358" t="str">
            <v>411101002</v>
          </cell>
          <cell r="C358" t="str">
            <v>Loan Loss Reserve Additions</v>
          </cell>
          <cell r="D358" t="str">
            <v>0000</v>
          </cell>
          <cell r="E358" t="str">
            <v>None</v>
          </cell>
          <cell r="F358">
            <v>3878390</v>
          </cell>
          <cell r="G358">
            <v>0</v>
          </cell>
          <cell r="H358">
            <v>3878390</v>
          </cell>
          <cell r="I358" t="str">
            <v>Mishraji</v>
          </cell>
        </row>
        <row r="359">
          <cell r="A359" t="str">
            <v>411130002.0000</v>
          </cell>
          <cell r="B359" t="str">
            <v>411130002</v>
          </cell>
          <cell r="C359" t="str">
            <v>Net Operating Loss Carryforward - Current Year Additions</v>
          </cell>
          <cell r="D359" t="str">
            <v>0000</v>
          </cell>
          <cell r="E359" t="str">
            <v>None</v>
          </cell>
          <cell r="F359">
            <v>88869240</v>
          </cell>
          <cell r="G359">
            <v>0</v>
          </cell>
          <cell r="H359">
            <v>88869240</v>
          </cell>
          <cell r="I359" t="str">
            <v>?</v>
          </cell>
        </row>
        <row r="360">
          <cell r="A360" t="str">
            <v>411132001.0000</v>
          </cell>
          <cell r="B360" t="str">
            <v>411132001</v>
          </cell>
          <cell r="C360" t="str">
            <v>Purchase Accounting Adjustments - 1/1 Balance</v>
          </cell>
          <cell r="D360" t="str">
            <v>0000</v>
          </cell>
          <cell r="E360" t="str">
            <v>None</v>
          </cell>
          <cell r="F360">
            <v>-37549262</v>
          </cell>
          <cell r="G360">
            <v>0</v>
          </cell>
          <cell r="H360">
            <v>-37549262</v>
          </cell>
          <cell r="I360" t="str">
            <v>Mishraji</v>
          </cell>
        </row>
        <row r="361">
          <cell r="A361" t="str">
            <v>411143002.0000</v>
          </cell>
          <cell r="B361" t="str">
            <v>411143002</v>
          </cell>
          <cell r="C361" t="str">
            <v>Provision for Depreciation-Addition</v>
          </cell>
          <cell r="D361" t="str">
            <v>0000</v>
          </cell>
          <cell r="E361" t="str">
            <v>None</v>
          </cell>
          <cell r="F361">
            <v>-84080048</v>
          </cell>
          <cell r="G361">
            <v>0</v>
          </cell>
          <cell r="H361">
            <v>-84080048</v>
          </cell>
          <cell r="I361" t="str">
            <v>Mishraji</v>
          </cell>
        </row>
        <row r="362">
          <cell r="A362" t="str">
            <v>411180002.0000</v>
          </cell>
          <cell r="B362" t="str">
            <v>411180002</v>
          </cell>
          <cell r="C362" t="str">
            <v>Other Defferred Tax Asset-Additions</v>
          </cell>
          <cell r="D362" t="str">
            <v>0000</v>
          </cell>
          <cell r="E362" t="str">
            <v>None</v>
          </cell>
          <cell r="F362">
            <v>28881680</v>
          </cell>
          <cell r="G362">
            <v>0</v>
          </cell>
          <cell r="H362">
            <v>28881680</v>
          </cell>
          <cell r="I362" t="str">
            <v>?</v>
          </cell>
        </row>
        <row r="363">
          <cell r="A363" t="str">
            <v>440002004.0000</v>
          </cell>
          <cell r="B363" t="str">
            <v>440002004</v>
          </cell>
          <cell r="C363" t="str">
            <v>Cur. A/c-Adv. to/from Corp/Bussiness - India</v>
          </cell>
          <cell r="D363" t="str">
            <v>0000</v>
          </cell>
          <cell r="E363" t="str">
            <v>None</v>
          </cell>
          <cell r="F363">
            <v>293412909.42000002</v>
          </cell>
          <cell r="G363">
            <v>-124584289</v>
          </cell>
          <cell r="H363">
            <v>168828620.41999999</v>
          </cell>
          <cell r="I363" t="str">
            <v>Vivek</v>
          </cell>
        </row>
        <row r="364">
          <cell r="A364" t="str">
            <v>440999999.0106</v>
          </cell>
          <cell r="B364" t="str">
            <v>440999999</v>
          </cell>
          <cell r="C364" t="str">
            <v>InterCompany Receivable /Payable- To be settled in cash</v>
          </cell>
          <cell r="D364" t="str">
            <v>0106</v>
          </cell>
          <cell r="E364" t="str">
            <v>GECIS</v>
          </cell>
          <cell r="F364">
            <v>0</v>
          </cell>
          <cell r="G364">
            <v>-3631050613</v>
          </cell>
          <cell r="H364">
            <v>-3631050613</v>
          </cell>
          <cell r="I364" t="str">
            <v>Vivek</v>
          </cell>
        </row>
        <row r="365">
          <cell r="A365" t="str">
            <v>442101001.0000</v>
          </cell>
          <cell r="B365" t="str">
            <v>442101001</v>
          </cell>
          <cell r="C365" t="str">
            <v>InterCompany Receivables/Payables Between GE Capital &amp; it's first tier subsidiaries</v>
          </cell>
          <cell r="D365" t="str">
            <v>0000</v>
          </cell>
          <cell r="E365" t="str">
            <v>None</v>
          </cell>
          <cell r="F365">
            <v>-447554719</v>
          </cell>
          <cell r="G365">
            <v>47500000</v>
          </cell>
          <cell r="H365">
            <v>-400054719</v>
          </cell>
          <cell r="I365" t="str">
            <v>Vivek</v>
          </cell>
        </row>
        <row r="366">
          <cell r="A366" t="str">
            <v>452530001.0001</v>
          </cell>
          <cell r="B366" t="str">
            <v>452530001</v>
          </cell>
          <cell r="C366" t="str">
            <v>Held by Parent</v>
          </cell>
          <cell r="D366" t="str">
            <v>0001</v>
          </cell>
          <cell r="E366" t="str">
            <v>Equity Capital-Paid Up</v>
          </cell>
          <cell r="F366">
            <v>-202637400</v>
          </cell>
          <cell r="G366">
            <v>0</v>
          </cell>
          <cell r="H366">
            <v>-202637400</v>
          </cell>
          <cell r="I366" t="str">
            <v>na</v>
          </cell>
        </row>
        <row r="367">
          <cell r="A367" t="str">
            <v>452530001.0201</v>
          </cell>
          <cell r="B367" t="str">
            <v>452530001</v>
          </cell>
          <cell r="C367" t="str">
            <v>Held by Parent</v>
          </cell>
          <cell r="D367" t="str">
            <v>0201</v>
          </cell>
          <cell r="E367" t="str">
            <v>ALLOT.MONEY-RECEIVABLE 1</v>
          </cell>
          <cell r="F367">
            <v>16000</v>
          </cell>
          <cell r="G367">
            <v>0</v>
          </cell>
          <cell r="H367">
            <v>16000</v>
          </cell>
          <cell r="I367" t="str">
            <v>na</v>
          </cell>
        </row>
        <row r="368">
          <cell r="A368" t="str">
            <v>452530001.0202</v>
          </cell>
          <cell r="B368" t="str">
            <v>452530001</v>
          </cell>
          <cell r="C368" t="str">
            <v>Held by Parent</v>
          </cell>
          <cell r="D368" t="str">
            <v>0202</v>
          </cell>
          <cell r="E368" t="str">
            <v>CALLS IN ARREARS -1989</v>
          </cell>
          <cell r="F368">
            <v>12000</v>
          </cell>
          <cell r="G368">
            <v>0</v>
          </cell>
          <cell r="H368">
            <v>12000</v>
          </cell>
          <cell r="I368" t="str">
            <v>na</v>
          </cell>
        </row>
        <row r="369">
          <cell r="A369" t="str">
            <v>452530001.0203</v>
          </cell>
          <cell r="B369" t="str">
            <v>452530001</v>
          </cell>
          <cell r="C369" t="str">
            <v>Held by Parent</v>
          </cell>
          <cell r="D369" t="str">
            <v>0203</v>
          </cell>
          <cell r="E369" t="str">
            <v>ALLOTMONEY RECEIVABLE 19</v>
          </cell>
          <cell r="F369">
            <v>78645</v>
          </cell>
          <cell r="G369">
            <v>0</v>
          </cell>
          <cell r="H369">
            <v>78645</v>
          </cell>
          <cell r="I369" t="str">
            <v>na</v>
          </cell>
        </row>
        <row r="370">
          <cell r="A370" t="str">
            <v>482010001.0000</v>
          </cell>
          <cell r="B370" t="str">
            <v>482010001</v>
          </cell>
          <cell r="C370" t="str">
            <v>January 1 Balance</v>
          </cell>
          <cell r="D370" t="str">
            <v>0000</v>
          </cell>
          <cell r="E370" t="str">
            <v>None</v>
          </cell>
          <cell r="F370">
            <v>-39036451.539999999</v>
          </cell>
          <cell r="G370">
            <v>0</v>
          </cell>
          <cell r="H370">
            <v>-39036451.539999999</v>
          </cell>
          <cell r="I370" t="str">
            <v>na</v>
          </cell>
        </row>
        <row r="371">
          <cell r="A371" t="str">
            <v>482010001.0001</v>
          </cell>
          <cell r="B371" t="str">
            <v>482010001</v>
          </cell>
          <cell r="C371" t="str">
            <v>January 1 Balance</v>
          </cell>
          <cell r="D371" t="str">
            <v>0001</v>
          </cell>
          <cell r="E371" t="str">
            <v>Retained Earnings Accoun</v>
          </cell>
          <cell r="F371">
            <v>-39288734.409999996</v>
          </cell>
          <cell r="G371">
            <v>0</v>
          </cell>
          <cell r="H371">
            <v>-39288734.409999996</v>
          </cell>
          <cell r="I371" t="str">
            <v>na</v>
          </cell>
        </row>
        <row r="372">
          <cell r="A372" t="str">
            <v>482010001.0002</v>
          </cell>
          <cell r="B372" t="str">
            <v>482010001</v>
          </cell>
          <cell r="C372" t="str">
            <v>January 1 Balance</v>
          </cell>
          <cell r="D372" t="str">
            <v>0002</v>
          </cell>
          <cell r="E372" t="str">
            <v>Share Premium Account</v>
          </cell>
          <cell r="F372">
            <v>-599465875</v>
          </cell>
          <cell r="G372">
            <v>0</v>
          </cell>
          <cell r="H372">
            <v>-599465875</v>
          </cell>
          <cell r="I372" t="str">
            <v>na</v>
          </cell>
        </row>
        <row r="373">
          <cell r="A373" t="str">
            <v>482010001.0004</v>
          </cell>
          <cell r="B373" t="str">
            <v>482010001</v>
          </cell>
          <cell r="C373" t="str">
            <v>January 1 Balance</v>
          </cell>
          <cell r="D373" t="str">
            <v>0004</v>
          </cell>
          <cell r="E373" t="str">
            <v>Capital Reserve</v>
          </cell>
          <cell r="F373">
            <v>-10000000</v>
          </cell>
          <cell r="G373">
            <v>0</v>
          </cell>
          <cell r="H373">
            <v>-10000000</v>
          </cell>
          <cell r="I373" t="str">
            <v>na</v>
          </cell>
        </row>
        <row r="374">
          <cell r="A374" t="str">
            <v>482010001.0005</v>
          </cell>
          <cell r="B374" t="str">
            <v>482010001</v>
          </cell>
          <cell r="C374" t="str">
            <v>January 1 Balance</v>
          </cell>
          <cell r="D374" t="str">
            <v>0005</v>
          </cell>
          <cell r="E374" t="str">
            <v>Profit &amp; Loss Account</v>
          </cell>
          <cell r="F374">
            <v>771591927.58000004</v>
          </cell>
          <cell r="G374">
            <v>0</v>
          </cell>
          <cell r="H374">
            <v>771591927.58000004</v>
          </cell>
          <cell r="I374" t="str">
            <v>na</v>
          </cell>
        </row>
        <row r="375">
          <cell r="A375" t="str">
            <v>530001001.0201</v>
          </cell>
          <cell r="B375" t="str">
            <v>530001001</v>
          </cell>
          <cell r="C375" t="str">
            <v>Regular Tax Rate</v>
          </cell>
          <cell r="D375" t="str">
            <v>0201</v>
          </cell>
          <cell r="E375" t="str">
            <v>GUARANTEE INCOME A/C -IN</v>
          </cell>
          <cell r="F375">
            <v>0.01</v>
          </cell>
          <cell r="G375">
            <v>0</v>
          </cell>
          <cell r="H375">
            <v>0.01</v>
          </cell>
          <cell r="I375" t="str">
            <v>Mishraji</v>
          </cell>
        </row>
        <row r="376">
          <cell r="A376" t="str">
            <v>530001001.0202</v>
          </cell>
          <cell r="B376" t="str">
            <v>530001001</v>
          </cell>
          <cell r="C376" t="str">
            <v>Regular Tax Rate</v>
          </cell>
          <cell r="D376" t="str">
            <v>0202</v>
          </cell>
          <cell r="E376" t="str">
            <v>FINANCING INTEREST RECD</v>
          </cell>
          <cell r="F376">
            <v>-171237228.02000001</v>
          </cell>
          <cell r="G376">
            <v>-36103595.93</v>
          </cell>
          <cell r="H376">
            <v>-207340823.94999999</v>
          </cell>
          <cell r="I376" t="str">
            <v>Mishraji</v>
          </cell>
        </row>
        <row r="377">
          <cell r="A377" t="str">
            <v>530001001.0203</v>
          </cell>
          <cell r="B377" t="str">
            <v>530001001</v>
          </cell>
          <cell r="C377" t="str">
            <v>Regular Tax Rate</v>
          </cell>
          <cell r="D377" t="str">
            <v>0203</v>
          </cell>
          <cell r="E377" t="str">
            <v>DOCUMENTATION CHGS-HYPO.</v>
          </cell>
          <cell r="F377">
            <v>-629421</v>
          </cell>
          <cell r="G377">
            <v>18962</v>
          </cell>
          <cell r="H377">
            <v>-610459</v>
          </cell>
          <cell r="I377" t="str">
            <v>Mishraji</v>
          </cell>
        </row>
        <row r="378">
          <cell r="A378" t="str">
            <v>547046003.0201</v>
          </cell>
          <cell r="B378" t="str">
            <v>547046003</v>
          </cell>
          <cell r="C378" t="str">
            <v>Billing Basis Income</v>
          </cell>
          <cell r="D378" t="str">
            <v>0201</v>
          </cell>
          <cell r="E378" t="str">
            <v>COMM ON CONSORTIUM FIN B</v>
          </cell>
          <cell r="F378">
            <v>154</v>
          </cell>
          <cell r="G378">
            <v>0</v>
          </cell>
          <cell r="H378">
            <v>154</v>
          </cell>
          <cell r="I378" t="str">
            <v>Mishraji</v>
          </cell>
        </row>
        <row r="379">
          <cell r="A379" t="str">
            <v>547046003.0203</v>
          </cell>
          <cell r="B379" t="str">
            <v>547046003</v>
          </cell>
          <cell r="C379" t="str">
            <v>Billing Basis Income</v>
          </cell>
          <cell r="D379" t="str">
            <v>0203</v>
          </cell>
          <cell r="E379" t="str">
            <v>LOSS-SALE OF GOVT SECURI</v>
          </cell>
          <cell r="F379">
            <v>208263.89</v>
          </cell>
          <cell r="G379">
            <v>0</v>
          </cell>
          <cell r="H379">
            <v>208263.89</v>
          </cell>
          <cell r="I379" t="str">
            <v>na</v>
          </cell>
        </row>
        <row r="380">
          <cell r="A380" t="str">
            <v>547046003.0204</v>
          </cell>
          <cell r="B380" t="str">
            <v>547046003</v>
          </cell>
          <cell r="C380" t="str">
            <v>Billing Basis Income</v>
          </cell>
          <cell r="D380" t="str">
            <v>0204</v>
          </cell>
          <cell r="E380" t="str">
            <v>PPD PAID POST 31/07/97 -</v>
          </cell>
          <cell r="F380">
            <v>-300</v>
          </cell>
          <cell r="G380">
            <v>0</v>
          </cell>
          <cell r="H380">
            <v>-300</v>
          </cell>
          <cell r="I380" t="str">
            <v>Mishraji</v>
          </cell>
        </row>
        <row r="381">
          <cell r="A381" t="str">
            <v>547046003.0205</v>
          </cell>
          <cell r="B381" t="str">
            <v>547046003</v>
          </cell>
          <cell r="C381" t="str">
            <v>Billing Basis Income</v>
          </cell>
          <cell r="D381" t="str">
            <v>0205</v>
          </cell>
          <cell r="E381" t="str">
            <v>PPD ACCRUAL PREV 31/07/9</v>
          </cell>
          <cell r="F381">
            <v>517</v>
          </cell>
          <cell r="G381">
            <v>0</v>
          </cell>
          <cell r="H381">
            <v>517</v>
          </cell>
          <cell r="I381" t="str">
            <v>Mishraji</v>
          </cell>
        </row>
        <row r="382">
          <cell r="A382" t="str">
            <v>547046003.0206</v>
          </cell>
          <cell r="B382" t="str">
            <v>547046003</v>
          </cell>
          <cell r="C382" t="str">
            <v>Billing Basis Income</v>
          </cell>
          <cell r="D382" t="str">
            <v>0206</v>
          </cell>
          <cell r="E382" t="str">
            <v>PPD ACCRUAL POST 31/07/9</v>
          </cell>
          <cell r="F382">
            <v>35182</v>
          </cell>
          <cell r="G382">
            <v>0</v>
          </cell>
          <cell r="H382">
            <v>35182</v>
          </cell>
          <cell r="I382" t="str">
            <v>Mishraji</v>
          </cell>
        </row>
        <row r="383">
          <cell r="A383" t="str">
            <v>547046003.0207</v>
          </cell>
          <cell r="B383" t="str">
            <v>547046003</v>
          </cell>
          <cell r="C383" t="str">
            <v>Billing Basis Income</v>
          </cell>
          <cell r="D383" t="str">
            <v>0207</v>
          </cell>
          <cell r="E383" t="str">
            <v>DEPRECIATION - LEASED P</v>
          </cell>
          <cell r="F383">
            <v>5159158.25</v>
          </cell>
          <cell r="G383">
            <v>994877.64</v>
          </cell>
          <cell r="H383">
            <v>6154035.8899999997</v>
          </cell>
          <cell r="I383" t="str">
            <v>Mishraji</v>
          </cell>
        </row>
        <row r="384">
          <cell r="A384" t="str">
            <v>547046003.0209</v>
          </cell>
          <cell r="B384" t="str">
            <v>547046003</v>
          </cell>
          <cell r="C384" t="str">
            <v>Billing Basis Income</v>
          </cell>
          <cell r="D384" t="str">
            <v>0209</v>
          </cell>
          <cell r="E384" t="str">
            <v>DEPRECIATION - LEASED F&amp;</v>
          </cell>
          <cell r="F384">
            <v>307962.37</v>
          </cell>
          <cell r="G384">
            <v>0</v>
          </cell>
          <cell r="H384">
            <v>307962.37</v>
          </cell>
          <cell r="I384" t="str">
            <v>Mishraji</v>
          </cell>
        </row>
        <row r="385">
          <cell r="A385" t="str">
            <v>547046003.0214</v>
          </cell>
          <cell r="B385" t="str">
            <v>547046003</v>
          </cell>
          <cell r="C385" t="str">
            <v>Billing Basis Income</v>
          </cell>
          <cell r="D385" t="str">
            <v>0214</v>
          </cell>
          <cell r="E385" t="str">
            <v>DEPRECIATION-LEASE P&amp;M 1</v>
          </cell>
          <cell r="F385">
            <v>696883.56</v>
          </cell>
          <cell r="G385">
            <v>136643.84</v>
          </cell>
          <cell r="H385">
            <v>833527.4</v>
          </cell>
          <cell r="I385" t="str">
            <v>Mishraji</v>
          </cell>
        </row>
        <row r="386">
          <cell r="A386" t="str">
            <v>547046003.0215</v>
          </cell>
          <cell r="B386" t="str">
            <v>547046003</v>
          </cell>
          <cell r="C386" t="str">
            <v>Billing Basis Income</v>
          </cell>
          <cell r="D386" t="str">
            <v>0215</v>
          </cell>
          <cell r="E386" t="str">
            <v>LEASE EQUILISATION -P&amp;M</v>
          </cell>
          <cell r="F386">
            <v>-4078729.37</v>
          </cell>
          <cell r="G386">
            <v>-771557.14</v>
          </cell>
          <cell r="H386">
            <v>-4850286.51</v>
          </cell>
          <cell r="I386" t="str">
            <v>Mishraji</v>
          </cell>
        </row>
        <row r="387">
          <cell r="A387" t="str">
            <v>547046003.0217</v>
          </cell>
          <cell r="B387" t="str">
            <v>547046003</v>
          </cell>
          <cell r="C387" t="str">
            <v>Billing Basis Income</v>
          </cell>
          <cell r="D387" t="str">
            <v>0217</v>
          </cell>
          <cell r="E387" t="str">
            <v>LEASE EQUILISATION -F &amp;</v>
          </cell>
          <cell r="F387">
            <v>2638335.9900000002</v>
          </cell>
          <cell r="G387">
            <v>0</v>
          </cell>
          <cell r="H387">
            <v>2638335.9900000002</v>
          </cell>
          <cell r="I387" t="str">
            <v>Mishraji</v>
          </cell>
        </row>
        <row r="388">
          <cell r="A388" t="str">
            <v>547046003.0222</v>
          </cell>
          <cell r="B388" t="str">
            <v>547046003</v>
          </cell>
          <cell r="C388" t="str">
            <v>Billing Basis Income</v>
          </cell>
          <cell r="D388" t="str">
            <v>0222</v>
          </cell>
          <cell r="E388" t="str">
            <v>LEASE EQUILISATION-P&amp;M 1</v>
          </cell>
          <cell r="F388">
            <v>-677456.71</v>
          </cell>
          <cell r="G388">
            <v>-132763.54999999999</v>
          </cell>
          <cell r="H388">
            <v>-810220.26</v>
          </cell>
          <cell r="I388" t="str">
            <v>Mishraji</v>
          </cell>
        </row>
        <row r="389">
          <cell r="A389" t="str">
            <v>547046003.0224</v>
          </cell>
          <cell r="B389" t="str">
            <v>547046003</v>
          </cell>
          <cell r="C389" t="str">
            <v>Billing Basis Income</v>
          </cell>
          <cell r="D389" t="str">
            <v>0224</v>
          </cell>
          <cell r="E389" t="str">
            <v>FINANCE CHARGES -H P -I</v>
          </cell>
          <cell r="F389">
            <v>-9035890.6400000006</v>
          </cell>
          <cell r="G389">
            <v>-1659002.74</v>
          </cell>
          <cell r="H389">
            <v>-10694893.380000001</v>
          </cell>
          <cell r="I389" t="str">
            <v>Mishraji</v>
          </cell>
        </row>
        <row r="390">
          <cell r="A390" t="str">
            <v>547046003.0226</v>
          </cell>
          <cell r="B390" t="str">
            <v>547046003</v>
          </cell>
          <cell r="C390" t="str">
            <v>Billing Basis Income</v>
          </cell>
          <cell r="D390" t="str">
            <v>0226</v>
          </cell>
          <cell r="E390" t="str">
            <v>COMMITMENT CHARGES RECEI</v>
          </cell>
          <cell r="F390">
            <v>-55300</v>
          </cell>
          <cell r="G390">
            <v>-131437</v>
          </cell>
          <cell r="H390">
            <v>-186737</v>
          </cell>
          <cell r="I390" t="str">
            <v>Mishraji</v>
          </cell>
        </row>
        <row r="391">
          <cell r="A391" t="str">
            <v>547046003.0227</v>
          </cell>
          <cell r="B391" t="str">
            <v>547046003</v>
          </cell>
          <cell r="C391" t="str">
            <v>Billing Basis Income</v>
          </cell>
          <cell r="D391" t="str">
            <v>0227</v>
          </cell>
          <cell r="E391" t="str">
            <v>INCOME FROM ABS -INGRES</v>
          </cell>
          <cell r="F391">
            <v>-286245.31</v>
          </cell>
          <cell r="G391">
            <v>-3514.86</v>
          </cell>
          <cell r="H391">
            <v>-289760.17</v>
          </cell>
          <cell r="I391" t="str">
            <v>Mishraji</v>
          </cell>
        </row>
        <row r="392">
          <cell r="A392" t="str">
            <v>547046003.0228</v>
          </cell>
          <cell r="B392" t="str">
            <v>547046003</v>
          </cell>
          <cell r="C392" t="str">
            <v>Billing Basis Income</v>
          </cell>
          <cell r="D392" t="str">
            <v>0228</v>
          </cell>
          <cell r="E392" t="str">
            <v>DEALER DISC. RECEIVED -I</v>
          </cell>
          <cell r="F392">
            <v>-4385123.57</v>
          </cell>
          <cell r="G392">
            <v>-835843.09</v>
          </cell>
          <cell r="H392">
            <v>-5220966.66</v>
          </cell>
          <cell r="I392" t="str">
            <v>Mishraji</v>
          </cell>
        </row>
        <row r="393">
          <cell r="A393" t="str">
            <v>547046003.0230</v>
          </cell>
          <cell r="B393" t="str">
            <v>547046003</v>
          </cell>
          <cell r="C393" t="str">
            <v>Billing Basis Income</v>
          </cell>
          <cell r="D393" t="str">
            <v>0230</v>
          </cell>
          <cell r="E393" t="str">
            <v>INCOME FROM SUB-LEASES -</v>
          </cell>
          <cell r="F393">
            <v>-182682</v>
          </cell>
          <cell r="G393">
            <v>182682</v>
          </cell>
          <cell r="H393">
            <v>0</v>
          </cell>
          <cell r="I393" t="str">
            <v>na</v>
          </cell>
        </row>
        <row r="394">
          <cell r="A394" t="str">
            <v>547046003.0231</v>
          </cell>
          <cell r="B394" t="str">
            <v>547046003</v>
          </cell>
          <cell r="C394" t="str">
            <v>Billing Basis Income</v>
          </cell>
          <cell r="D394" t="str">
            <v>0231</v>
          </cell>
          <cell r="E394" t="str">
            <v>LEASE RENTALS RECEIVED -</v>
          </cell>
          <cell r="F394">
            <v>-4823375.3899999997</v>
          </cell>
          <cell r="G394">
            <v>-113292.14</v>
          </cell>
          <cell r="H394">
            <v>-4936667.53</v>
          </cell>
          <cell r="I394" t="str">
            <v>Mishraji</v>
          </cell>
        </row>
        <row r="395">
          <cell r="A395" t="str">
            <v>547046003.0240</v>
          </cell>
          <cell r="B395" t="str">
            <v>547046003</v>
          </cell>
          <cell r="C395" t="str">
            <v>Billing Basis Income</v>
          </cell>
          <cell r="D395" t="str">
            <v>0240</v>
          </cell>
          <cell r="E395" t="str">
            <v>INCOME FROM L A/C -INGRE</v>
          </cell>
          <cell r="F395">
            <v>-12433562.35</v>
          </cell>
          <cell r="G395">
            <v>-2580745.9900000002</v>
          </cell>
          <cell r="H395">
            <v>-15014308.34</v>
          </cell>
          <cell r="I395" t="str">
            <v>Mishraji</v>
          </cell>
        </row>
        <row r="396">
          <cell r="A396" t="str">
            <v>551999001.0201</v>
          </cell>
          <cell r="B396" t="str">
            <v>551999001</v>
          </cell>
          <cell r="C396" t="str">
            <v>Regular Tax Rate</v>
          </cell>
          <cell r="D396" t="str">
            <v>0201</v>
          </cell>
          <cell r="E396" t="str">
            <v>ADDL. FIN. CHARGES-H.P.</v>
          </cell>
          <cell r="F396">
            <v>-3851332.28</v>
          </cell>
          <cell r="G396">
            <v>-652463.67000000004</v>
          </cell>
          <cell r="H396">
            <v>-4503795.95</v>
          </cell>
          <cell r="I396" t="str">
            <v>Mishraji</v>
          </cell>
        </row>
        <row r="397">
          <cell r="A397" t="str">
            <v>551999001.0202</v>
          </cell>
          <cell r="B397" t="str">
            <v>551999001</v>
          </cell>
          <cell r="C397" t="str">
            <v>Regular Tax Rate</v>
          </cell>
          <cell r="D397" t="str">
            <v>0202</v>
          </cell>
          <cell r="E397" t="str">
            <v>ADDITIONAL FINANCE CHGS-</v>
          </cell>
          <cell r="F397">
            <v>-2462386.19</v>
          </cell>
          <cell r="G397">
            <v>-674199.47</v>
          </cell>
          <cell r="H397">
            <v>-3136585.66</v>
          </cell>
          <cell r="I397" t="str">
            <v>Mishraji</v>
          </cell>
        </row>
        <row r="398">
          <cell r="A398" t="str">
            <v>551999001.0203</v>
          </cell>
          <cell r="B398" t="str">
            <v>551999001</v>
          </cell>
          <cell r="C398" t="str">
            <v>Regular Tax Rate</v>
          </cell>
          <cell r="D398" t="str">
            <v>0203</v>
          </cell>
          <cell r="E398" t="str">
            <v>AFC-GURANTEE -INGRES</v>
          </cell>
          <cell r="F398">
            <v>-32000</v>
          </cell>
          <cell r="G398">
            <v>0</v>
          </cell>
          <cell r="H398">
            <v>-32000</v>
          </cell>
          <cell r="I398" t="str">
            <v>Mishraji</v>
          </cell>
        </row>
        <row r="399">
          <cell r="A399" t="str">
            <v>551999001.0204</v>
          </cell>
          <cell r="B399" t="str">
            <v>551999001</v>
          </cell>
          <cell r="C399" t="str">
            <v>Regular Tax Rate</v>
          </cell>
          <cell r="D399" t="str">
            <v>0204</v>
          </cell>
          <cell r="E399" t="str">
            <v>IRR MAINTENANCE -INGRES</v>
          </cell>
          <cell r="F399">
            <v>-3692.29</v>
          </cell>
          <cell r="G399">
            <v>-770.4</v>
          </cell>
          <cell r="H399">
            <v>-4462.6899999999996</v>
          </cell>
          <cell r="I399" t="str">
            <v>Mishraji</v>
          </cell>
        </row>
        <row r="400">
          <cell r="A400" t="str">
            <v>551999001.0205</v>
          </cell>
          <cell r="B400" t="str">
            <v>551999001</v>
          </cell>
          <cell r="C400" t="str">
            <v>Regular Tax Rate</v>
          </cell>
          <cell r="D400" t="str">
            <v>0205</v>
          </cell>
          <cell r="E400" t="str">
            <v>ADDITIONAL FINANCE CHGS-</v>
          </cell>
          <cell r="F400">
            <v>-78391.33</v>
          </cell>
          <cell r="G400">
            <v>-171205</v>
          </cell>
          <cell r="H400">
            <v>-249596.33</v>
          </cell>
          <cell r="I400" t="str">
            <v>Mishraji</v>
          </cell>
        </row>
        <row r="401">
          <cell r="A401" t="str">
            <v>551999001.0206</v>
          </cell>
          <cell r="B401" t="str">
            <v>551999001</v>
          </cell>
          <cell r="C401" t="str">
            <v>Regular Tax Rate</v>
          </cell>
          <cell r="D401" t="str">
            <v>0206</v>
          </cell>
          <cell r="E401" t="str">
            <v>MISCELLANEOUS INCOME -IN</v>
          </cell>
          <cell r="F401">
            <v>-1974913.39</v>
          </cell>
          <cell r="G401">
            <v>-912314.99</v>
          </cell>
          <cell r="H401">
            <v>-2887228.38</v>
          </cell>
          <cell r="I401" t="str">
            <v>Mishraji</v>
          </cell>
        </row>
        <row r="402">
          <cell r="A402" t="str">
            <v>582001001.0001</v>
          </cell>
          <cell r="B402" t="str">
            <v>582001001</v>
          </cell>
          <cell r="C402" t="str">
            <v>INCOME ON MARKETABLE SECURITIES</v>
          </cell>
          <cell r="D402" t="str">
            <v>0001</v>
          </cell>
          <cell r="E402" t="str">
            <v>Interest On GOI Securiti</v>
          </cell>
          <cell r="F402">
            <v>-398020.41</v>
          </cell>
          <cell r="G402">
            <v>-43812.07</v>
          </cell>
          <cell r="H402">
            <v>-441832.48</v>
          </cell>
          <cell r="I402" t="str">
            <v>Mishraji</v>
          </cell>
        </row>
        <row r="403">
          <cell r="A403" t="str">
            <v>601313001.0000</v>
          </cell>
          <cell r="B403" t="str">
            <v>601313001</v>
          </cell>
          <cell r="C403" t="str">
            <v>Banks - Interest Paid</v>
          </cell>
          <cell r="D403" t="str">
            <v>0000</v>
          </cell>
          <cell r="E403" t="str">
            <v>None</v>
          </cell>
          <cell r="F403">
            <v>33250873.98</v>
          </cell>
          <cell r="G403">
            <v>5298820.63</v>
          </cell>
          <cell r="H403">
            <v>38549694.609999999</v>
          </cell>
          <cell r="I403" t="str">
            <v>Vivek</v>
          </cell>
        </row>
        <row r="404">
          <cell r="A404" t="str">
            <v>601313001.0001</v>
          </cell>
          <cell r="B404" t="str">
            <v>601313001</v>
          </cell>
          <cell r="C404" t="str">
            <v>Banks - Interest Paid</v>
          </cell>
          <cell r="D404" t="str">
            <v>0001</v>
          </cell>
          <cell r="E404" t="str">
            <v>Cash Credit</v>
          </cell>
          <cell r="F404">
            <v>417897.69</v>
          </cell>
          <cell r="G404">
            <v>154646.43</v>
          </cell>
          <cell r="H404">
            <v>572544.12</v>
          </cell>
          <cell r="I404" t="str">
            <v>Vivek</v>
          </cell>
        </row>
        <row r="405">
          <cell r="A405" t="str">
            <v>601313003.0001</v>
          </cell>
          <cell r="B405" t="str">
            <v>601313003</v>
          </cell>
          <cell r="C405" t="str">
            <v>Others Borrowings</v>
          </cell>
          <cell r="D405" t="str">
            <v>0001</v>
          </cell>
          <cell r="E405" t="str">
            <v>Interest on ICD's</v>
          </cell>
          <cell r="F405">
            <v>83666116</v>
          </cell>
          <cell r="G405">
            <v>17708733</v>
          </cell>
          <cell r="H405">
            <v>101374849</v>
          </cell>
          <cell r="I405" t="str">
            <v>Vivek</v>
          </cell>
        </row>
        <row r="406">
          <cell r="A406" t="str">
            <v>601999001.0001</v>
          </cell>
          <cell r="B406" t="str">
            <v>601999001</v>
          </cell>
          <cell r="C406" t="str">
            <v>Regular Tax Rate</v>
          </cell>
          <cell r="D406" t="str">
            <v>0001</v>
          </cell>
          <cell r="E406" t="str">
            <v>Interest on Fixed Deposits</v>
          </cell>
          <cell r="F406">
            <v>344858</v>
          </cell>
          <cell r="G406">
            <v>0</v>
          </cell>
          <cell r="H406">
            <v>344858</v>
          </cell>
          <cell r="I406" t="str">
            <v>na</v>
          </cell>
        </row>
        <row r="407">
          <cell r="A407" t="str">
            <v>601999001.0012</v>
          </cell>
          <cell r="B407" t="str">
            <v>601999001</v>
          </cell>
          <cell r="C407" t="str">
            <v>Regular Tax Rate</v>
          </cell>
          <cell r="D407" t="str">
            <v>0012</v>
          </cell>
          <cell r="E407" t="str">
            <v>Interest - Leased Vehicles</v>
          </cell>
          <cell r="F407">
            <v>67662.02</v>
          </cell>
          <cell r="G407">
            <v>10620.27</v>
          </cell>
          <cell r="H407">
            <v>78282.289999999994</v>
          </cell>
          <cell r="I407" t="str">
            <v>Vivek</v>
          </cell>
        </row>
        <row r="408">
          <cell r="A408" t="str">
            <v>605001001.0024</v>
          </cell>
          <cell r="B408" t="str">
            <v>605001001</v>
          </cell>
          <cell r="C408" t="str">
            <v>Interest Expense-Inter Company Loans</v>
          </cell>
          <cell r="D408" t="str">
            <v>0024</v>
          </cell>
          <cell r="E408" t="str">
            <v>Interest -GE Capital Services India</v>
          </cell>
          <cell r="F408">
            <v>6278710</v>
          </cell>
          <cell r="G408">
            <v>2958088</v>
          </cell>
          <cell r="H408">
            <v>9236798</v>
          </cell>
          <cell r="I408" t="str">
            <v>Vivek</v>
          </cell>
        </row>
        <row r="409">
          <cell r="A409" t="str">
            <v>780001001.0000</v>
          </cell>
          <cell r="B409" t="str">
            <v>780001001</v>
          </cell>
          <cell r="C409" t="str">
            <v>Current Year Provision</v>
          </cell>
          <cell r="D409" t="str">
            <v>0000</v>
          </cell>
          <cell r="E409" t="str">
            <v>None</v>
          </cell>
          <cell r="F409">
            <v>1562292.69</v>
          </cell>
          <cell r="G409">
            <v>651648.52</v>
          </cell>
          <cell r="H409">
            <v>2213941.21</v>
          </cell>
          <cell r="I409" t="str">
            <v>na</v>
          </cell>
        </row>
        <row r="410">
          <cell r="A410" t="str">
            <v>799001001.0000</v>
          </cell>
          <cell r="B410" t="str">
            <v>799001001</v>
          </cell>
          <cell r="C410" t="str">
            <v>Current Year Provisions</v>
          </cell>
          <cell r="D410" t="str">
            <v>0000</v>
          </cell>
          <cell r="E410" t="str">
            <v>None</v>
          </cell>
          <cell r="F410">
            <v>787868.02</v>
          </cell>
          <cell r="G410">
            <v>-521089.05</v>
          </cell>
          <cell r="H410">
            <v>266778.96999999997</v>
          </cell>
          <cell r="I410" t="str">
            <v>na</v>
          </cell>
        </row>
        <row r="411">
          <cell r="A411" t="str">
            <v>801001001.0001</v>
          </cell>
          <cell r="B411" t="str">
            <v>801001001</v>
          </cell>
          <cell r="C411" t="str">
            <v>Salaries and Wages</v>
          </cell>
          <cell r="D411" t="str">
            <v>0001</v>
          </cell>
          <cell r="E411" t="str">
            <v>Basic - Domestic</v>
          </cell>
          <cell r="F411">
            <v>4626134</v>
          </cell>
          <cell r="G411">
            <v>993204</v>
          </cell>
          <cell r="H411">
            <v>5619338</v>
          </cell>
          <cell r="I411" t="str">
            <v>na</v>
          </cell>
        </row>
        <row r="412">
          <cell r="A412" t="str">
            <v>801001001.0002</v>
          </cell>
          <cell r="B412" t="str">
            <v>801001001</v>
          </cell>
          <cell r="C412" t="str">
            <v>Salaries and Wages</v>
          </cell>
          <cell r="D412" t="str">
            <v>0002</v>
          </cell>
          <cell r="E412" t="str">
            <v>Rent Allowance - Domestic</v>
          </cell>
          <cell r="F412">
            <v>2032174</v>
          </cell>
          <cell r="G412">
            <v>416991</v>
          </cell>
          <cell r="H412">
            <v>2449165</v>
          </cell>
          <cell r="I412" t="str">
            <v>na</v>
          </cell>
        </row>
        <row r="413">
          <cell r="A413" t="str">
            <v>801001001.0005</v>
          </cell>
          <cell r="B413" t="str">
            <v>801001001</v>
          </cell>
          <cell r="C413" t="str">
            <v>Salaries and Wages</v>
          </cell>
          <cell r="D413" t="str">
            <v>0005</v>
          </cell>
          <cell r="E413" t="str">
            <v>Leased Accomodation</v>
          </cell>
          <cell r="F413">
            <v>529767</v>
          </cell>
          <cell r="G413">
            <v>131925</v>
          </cell>
          <cell r="H413">
            <v>661692</v>
          </cell>
          <cell r="I413" t="str">
            <v>na</v>
          </cell>
        </row>
        <row r="414">
          <cell r="A414" t="str">
            <v>801001001.0008</v>
          </cell>
          <cell r="B414" t="str">
            <v>801001001</v>
          </cell>
          <cell r="C414" t="str">
            <v>Salaries and Wages</v>
          </cell>
          <cell r="D414" t="str">
            <v>0008</v>
          </cell>
          <cell r="E414" t="str">
            <v>Special Allowances - Domestic</v>
          </cell>
          <cell r="F414">
            <v>1815014</v>
          </cell>
          <cell r="G414">
            <v>359377</v>
          </cell>
          <cell r="H414">
            <v>2174391</v>
          </cell>
          <cell r="I414" t="str">
            <v>na</v>
          </cell>
        </row>
        <row r="415">
          <cell r="A415" t="str">
            <v>801001001.0009</v>
          </cell>
          <cell r="B415" t="str">
            <v>801001001</v>
          </cell>
          <cell r="C415" t="str">
            <v>Salaries and Wages</v>
          </cell>
          <cell r="D415" t="str">
            <v>0009</v>
          </cell>
          <cell r="E415" t="str">
            <v>Conveyance Allowance -Domestic</v>
          </cell>
          <cell r="F415">
            <v>996404</v>
          </cell>
          <cell r="G415">
            <v>203045</v>
          </cell>
          <cell r="H415">
            <v>1199449</v>
          </cell>
          <cell r="I415" t="str">
            <v>na</v>
          </cell>
        </row>
        <row r="416">
          <cell r="A416" t="str">
            <v>801001001.0011</v>
          </cell>
          <cell r="B416" t="str">
            <v>801001001</v>
          </cell>
          <cell r="C416" t="str">
            <v>Salaries and Wages</v>
          </cell>
          <cell r="D416" t="str">
            <v>0011</v>
          </cell>
          <cell r="E416" t="str">
            <v>ADDITIONAL SPECIAL ALLOWance</v>
          </cell>
          <cell r="F416">
            <v>302897</v>
          </cell>
          <cell r="G416">
            <v>79527</v>
          </cell>
          <cell r="H416">
            <v>382424</v>
          </cell>
          <cell r="I416" t="str">
            <v>na</v>
          </cell>
        </row>
        <row r="417">
          <cell r="A417" t="str">
            <v>801001001.0012</v>
          </cell>
          <cell r="B417" t="str">
            <v>801001001</v>
          </cell>
          <cell r="C417" t="str">
            <v>Salaries and Wages</v>
          </cell>
          <cell r="D417" t="str">
            <v>0012</v>
          </cell>
          <cell r="E417" t="str">
            <v>Supplemantary Allowance</v>
          </cell>
          <cell r="F417">
            <v>140882</v>
          </cell>
          <cell r="G417">
            <v>54327</v>
          </cell>
          <cell r="H417">
            <v>195209</v>
          </cell>
          <cell r="I417" t="str">
            <v>na</v>
          </cell>
        </row>
        <row r="418">
          <cell r="A418" t="str">
            <v>801001001.0013</v>
          </cell>
          <cell r="B418" t="str">
            <v>801001001</v>
          </cell>
          <cell r="C418" t="str">
            <v>Salaries and Wages</v>
          </cell>
          <cell r="D418" t="str">
            <v>0013</v>
          </cell>
          <cell r="E418" t="str">
            <v>Additional Allowance</v>
          </cell>
          <cell r="F418">
            <v>628796</v>
          </cell>
          <cell r="G418">
            <v>126742</v>
          </cell>
          <cell r="H418">
            <v>755538</v>
          </cell>
          <cell r="I418" t="str">
            <v>na</v>
          </cell>
        </row>
        <row r="419">
          <cell r="A419" t="str">
            <v>801001001.0014</v>
          </cell>
          <cell r="B419" t="str">
            <v>801001001</v>
          </cell>
          <cell r="C419" t="str">
            <v>Salaries and Wages</v>
          </cell>
          <cell r="D419" t="str">
            <v>0014</v>
          </cell>
          <cell r="E419" t="str">
            <v>Leave Encashment</v>
          </cell>
          <cell r="F419">
            <v>322701.83</v>
          </cell>
          <cell r="G419">
            <v>36899.17</v>
          </cell>
          <cell r="H419">
            <v>359601</v>
          </cell>
          <cell r="I419" t="str">
            <v>na</v>
          </cell>
        </row>
        <row r="420">
          <cell r="A420" t="str">
            <v>801001001.0015</v>
          </cell>
          <cell r="B420" t="str">
            <v>801001001</v>
          </cell>
          <cell r="C420" t="str">
            <v>Salaries and Wages</v>
          </cell>
          <cell r="D420" t="str">
            <v>0015</v>
          </cell>
          <cell r="E420" t="str">
            <v>Loan Equalisation allowaance</v>
          </cell>
          <cell r="F420">
            <v>206308</v>
          </cell>
          <cell r="G420">
            <v>272740</v>
          </cell>
          <cell r="H420">
            <v>479048</v>
          </cell>
          <cell r="I420" t="str">
            <v>na</v>
          </cell>
        </row>
        <row r="421">
          <cell r="A421" t="str">
            <v>801001001.0016</v>
          </cell>
          <cell r="B421" t="str">
            <v>801001001</v>
          </cell>
          <cell r="C421" t="str">
            <v>Salaries and Wages</v>
          </cell>
          <cell r="D421" t="str">
            <v>0016</v>
          </cell>
          <cell r="E421" t="str">
            <v>Trainee Stipend</v>
          </cell>
          <cell r="F421">
            <v>33979</v>
          </cell>
          <cell r="G421">
            <v>5000</v>
          </cell>
          <cell r="H421">
            <v>38979</v>
          </cell>
          <cell r="I421" t="str">
            <v>na</v>
          </cell>
        </row>
        <row r="422">
          <cell r="A422" t="str">
            <v>801001001.0017</v>
          </cell>
          <cell r="B422" t="str">
            <v>801001001</v>
          </cell>
          <cell r="C422" t="str">
            <v>Salaries and Wages</v>
          </cell>
          <cell r="D422" t="str">
            <v>0017</v>
          </cell>
          <cell r="E422" t="str">
            <v>Other Earnings</v>
          </cell>
          <cell r="F422">
            <v>225892</v>
          </cell>
          <cell r="G422">
            <v>48877</v>
          </cell>
          <cell r="H422">
            <v>274769</v>
          </cell>
          <cell r="I422" t="str">
            <v>na</v>
          </cell>
        </row>
        <row r="423">
          <cell r="A423" t="str">
            <v>801001001.0024</v>
          </cell>
          <cell r="B423" t="str">
            <v>801001001</v>
          </cell>
          <cell r="C423" t="str">
            <v>Salaries and Wages</v>
          </cell>
          <cell r="D423" t="str">
            <v>0024</v>
          </cell>
          <cell r="E423" t="str">
            <v>GECSI- DEPUTED EMPLOYEES</v>
          </cell>
          <cell r="F423">
            <v>68800</v>
          </cell>
          <cell r="G423">
            <v>120000</v>
          </cell>
          <cell r="H423">
            <v>188800</v>
          </cell>
          <cell r="I423" t="str">
            <v>na</v>
          </cell>
        </row>
        <row r="424">
          <cell r="A424" t="str">
            <v>801001001.0099</v>
          </cell>
          <cell r="B424" t="str">
            <v>801001001</v>
          </cell>
          <cell r="C424" t="str">
            <v>Salaries and Wages</v>
          </cell>
          <cell r="D424" t="str">
            <v>0099</v>
          </cell>
          <cell r="E424" t="str">
            <v>Salary Allocations</v>
          </cell>
          <cell r="F424">
            <v>187829</v>
          </cell>
          <cell r="G424">
            <v>25691</v>
          </cell>
          <cell r="H424">
            <v>213520</v>
          </cell>
          <cell r="I424" t="str">
            <v>na</v>
          </cell>
        </row>
        <row r="425">
          <cell r="A425" t="str">
            <v>801001002.0001</v>
          </cell>
          <cell r="B425" t="str">
            <v>801001002</v>
          </cell>
          <cell r="C425" t="str">
            <v>Incentive Compensation</v>
          </cell>
          <cell r="D425" t="str">
            <v>0001</v>
          </cell>
          <cell r="E425" t="str">
            <v>Performance Bonus</v>
          </cell>
          <cell r="F425">
            <v>-144500</v>
          </cell>
          <cell r="G425">
            <v>625000</v>
          </cell>
          <cell r="H425">
            <v>480500</v>
          </cell>
          <cell r="I425" t="str">
            <v>na</v>
          </cell>
        </row>
        <row r="426">
          <cell r="A426" t="str">
            <v>801001002.0003</v>
          </cell>
          <cell r="B426" t="str">
            <v>801001002</v>
          </cell>
          <cell r="C426" t="str">
            <v>Incentive Compensation</v>
          </cell>
          <cell r="D426" t="str">
            <v>0003</v>
          </cell>
          <cell r="E426" t="str">
            <v>AWARD</v>
          </cell>
          <cell r="F426">
            <v>860250</v>
          </cell>
          <cell r="G426">
            <v>33707</v>
          </cell>
          <cell r="H426">
            <v>893957</v>
          </cell>
          <cell r="I426" t="str">
            <v>na</v>
          </cell>
        </row>
        <row r="427">
          <cell r="A427" t="str">
            <v>801002001.0001</v>
          </cell>
          <cell r="B427" t="str">
            <v>801002001</v>
          </cell>
          <cell r="C427" t="str">
            <v>Other Employee Compensation &amp; Benefits</v>
          </cell>
          <cell r="D427" t="str">
            <v>0001</v>
          </cell>
          <cell r="E427" t="str">
            <v>Contribution to Providend Fund</v>
          </cell>
          <cell r="F427">
            <v>531726</v>
          </cell>
          <cell r="G427">
            <v>119185</v>
          </cell>
          <cell r="H427">
            <v>650911</v>
          </cell>
          <cell r="I427" t="str">
            <v>na</v>
          </cell>
        </row>
        <row r="428">
          <cell r="A428" t="str">
            <v>801002001.0002</v>
          </cell>
          <cell r="B428" t="str">
            <v>801002001</v>
          </cell>
          <cell r="C428" t="str">
            <v>Other Employee Compensation &amp; Benefits</v>
          </cell>
          <cell r="D428" t="str">
            <v>0002</v>
          </cell>
          <cell r="E428" t="str">
            <v>Contribution to Super Annuation Fund</v>
          </cell>
          <cell r="F428">
            <v>355086</v>
          </cell>
          <cell r="G428">
            <v>64117</v>
          </cell>
          <cell r="H428">
            <v>419203</v>
          </cell>
          <cell r="I428" t="str">
            <v>na</v>
          </cell>
        </row>
        <row r="429">
          <cell r="A429" t="str">
            <v>801002001.0003</v>
          </cell>
          <cell r="B429" t="str">
            <v>801002001</v>
          </cell>
          <cell r="C429" t="str">
            <v>Other Employee Compensation &amp; Benefits</v>
          </cell>
          <cell r="D429" t="str">
            <v>0003</v>
          </cell>
          <cell r="E429" t="str">
            <v>Contribution to Gratuity Fund</v>
          </cell>
          <cell r="F429">
            <v>135616.75</v>
          </cell>
          <cell r="G429">
            <v>0</v>
          </cell>
          <cell r="H429">
            <v>135616.75</v>
          </cell>
          <cell r="I429" t="str">
            <v>na</v>
          </cell>
        </row>
        <row r="430">
          <cell r="A430" t="str">
            <v>801002001.0007</v>
          </cell>
          <cell r="B430" t="str">
            <v>801002001</v>
          </cell>
          <cell r="C430" t="str">
            <v>Other Employee Compensation &amp; Benefits</v>
          </cell>
          <cell r="D430" t="str">
            <v>0007</v>
          </cell>
          <cell r="E430" t="str">
            <v>P.F. Administration Charges</v>
          </cell>
          <cell r="F430">
            <v>16734</v>
          </cell>
          <cell r="G430">
            <v>3567</v>
          </cell>
          <cell r="H430">
            <v>20301</v>
          </cell>
          <cell r="I430" t="str">
            <v>na</v>
          </cell>
        </row>
        <row r="431">
          <cell r="A431" t="str">
            <v>801002001.0008</v>
          </cell>
          <cell r="B431" t="str">
            <v>801002001</v>
          </cell>
          <cell r="C431" t="str">
            <v>Other Employee Compensation &amp; Benefits</v>
          </cell>
          <cell r="D431" t="str">
            <v>0008</v>
          </cell>
          <cell r="E431" t="str">
            <v>Contribution to Employee Welfare Fund</v>
          </cell>
          <cell r="F431">
            <v>156</v>
          </cell>
          <cell r="G431">
            <v>40</v>
          </cell>
          <cell r="H431">
            <v>196</v>
          </cell>
          <cell r="I431" t="str">
            <v>na</v>
          </cell>
        </row>
        <row r="432">
          <cell r="A432" t="str">
            <v>801003001.0001</v>
          </cell>
          <cell r="B432" t="str">
            <v>801003001</v>
          </cell>
          <cell r="C432" t="str">
            <v>Other Employee Costs</v>
          </cell>
          <cell r="D432" t="str">
            <v>0001</v>
          </cell>
          <cell r="E432" t="str">
            <v>Medical Expenses</v>
          </cell>
          <cell r="F432">
            <v>394752</v>
          </cell>
          <cell r="G432">
            <v>68620</v>
          </cell>
          <cell r="H432">
            <v>463372</v>
          </cell>
          <cell r="I432" t="str">
            <v>na</v>
          </cell>
        </row>
        <row r="433">
          <cell r="A433" t="str">
            <v>801003001.0002</v>
          </cell>
          <cell r="B433" t="str">
            <v>801003001</v>
          </cell>
          <cell r="C433" t="str">
            <v>Other Employee Costs</v>
          </cell>
          <cell r="D433" t="str">
            <v>0002</v>
          </cell>
          <cell r="E433" t="str">
            <v>Local Conveyance</v>
          </cell>
          <cell r="F433">
            <v>988921</v>
          </cell>
          <cell r="G433">
            <v>138305</v>
          </cell>
          <cell r="H433">
            <v>1127226</v>
          </cell>
          <cell r="I433" t="str">
            <v>na</v>
          </cell>
        </row>
        <row r="434">
          <cell r="A434" t="str">
            <v>801003001.0008</v>
          </cell>
          <cell r="B434" t="str">
            <v>801003001</v>
          </cell>
          <cell r="C434" t="str">
            <v>Other Employee Costs</v>
          </cell>
          <cell r="D434" t="str">
            <v>0008</v>
          </cell>
          <cell r="E434" t="str">
            <v>Leased Vehicle Expenses - Lease Rentals</v>
          </cell>
          <cell r="F434">
            <v>65139</v>
          </cell>
          <cell r="G434">
            <v>13106</v>
          </cell>
          <cell r="H434">
            <v>78245</v>
          </cell>
          <cell r="I434" t="str">
            <v>na</v>
          </cell>
        </row>
        <row r="435">
          <cell r="A435" t="str">
            <v>801003001.0009</v>
          </cell>
          <cell r="B435" t="str">
            <v>801003001</v>
          </cell>
          <cell r="C435" t="str">
            <v>Other Employee Costs</v>
          </cell>
          <cell r="D435" t="str">
            <v>0009</v>
          </cell>
          <cell r="E435" t="str">
            <v>Leased Vehicle Expenses -Petrol Expenses</v>
          </cell>
          <cell r="F435">
            <v>142929</v>
          </cell>
          <cell r="G435">
            <v>66303</v>
          </cell>
          <cell r="H435">
            <v>209232</v>
          </cell>
          <cell r="I435" t="str">
            <v>na</v>
          </cell>
        </row>
        <row r="436">
          <cell r="A436" t="str">
            <v>801003001.0010</v>
          </cell>
          <cell r="B436" t="str">
            <v>801003001</v>
          </cell>
          <cell r="C436" t="str">
            <v>Other Employee Costs</v>
          </cell>
          <cell r="D436" t="str">
            <v>0010</v>
          </cell>
          <cell r="E436" t="str">
            <v>Leased Vehicle Expenses - Repair &amp; Maintenance</v>
          </cell>
          <cell r="F436">
            <v>7311</v>
          </cell>
          <cell r="G436">
            <v>2411</v>
          </cell>
          <cell r="H436">
            <v>9722</v>
          </cell>
          <cell r="I436" t="str">
            <v>na</v>
          </cell>
        </row>
        <row r="437">
          <cell r="A437" t="str">
            <v>801003001.0022</v>
          </cell>
          <cell r="B437" t="str">
            <v>801003001</v>
          </cell>
          <cell r="C437" t="str">
            <v>Other Employee Costs</v>
          </cell>
          <cell r="D437" t="str">
            <v>0022</v>
          </cell>
          <cell r="E437" t="str">
            <v>Transportation - General Request - Sumo's</v>
          </cell>
          <cell r="F437">
            <v>373953</v>
          </cell>
          <cell r="G437">
            <v>10112</v>
          </cell>
          <cell r="H437">
            <v>384065</v>
          </cell>
          <cell r="I437" t="str">
            <v>na</v>
          </cell>
        </row>
        <row r="438">
          <cell r="A438" t="str">
            <v>801003001.0031</v>
          </cell>
          <cell r="B438" t="str">
            <v>801003001</v>
          </cell>
          <cell r="C438" t="str">
            <v>Other Employee Costs</v>
          </cell>
          <cell r="D438" t="str">
            <v>0031</v>
          </cell>
          <cell r="E438" t="str">
            <v>Staff Welfare -Meal  Expenses</v>
          </cell>
          <cell r="F438">
            <v>385675</v>
          </cell>
          <cell r="G438">
            <v>78707</v>
          </cell>
          <cell r="H438">
            <v>464382</v>
          </cell>
          <cell r="I438" t="str">
            <v>na</v>
          </cell>
        </row>
        <row r="439">
          <cell r="A439" t="str">
            <v>801003001.0032</v>
          </cell>
          <cell r="B439" t="str">
            <v>801003001</v>
          </cell>
          <cell r="C439" t="str">
            <v>Other Employee Costs</v>
          </cell>
          <cell r="D439" t="str">
            <v>0032</v>
          </cell>
          <cell r="E439" t="str">
            <v>Staff Welfare Pantry Expenses -Tea Coffee , Biscuits</v>
          </cell>
          <cell r="F439">
            <v>75218.600000000006</v>
          </cell>
          <cell r="G439">
            <v>19697</v>
          </cell>
          <cell r="H439">
            <v>94915.6</v>
          </cell>
          <cell r="I439" t="str">
            <v>na</v>
          </cell>
        </row>
        <row r="440">
          <cell r="A440" t="str">
            <v>801003001.0033</v>
          </cell>
          <cell r="B440" t="str">
            <v>801003001</v>
          </cell>
          <cell r="C440" t="str">
            <v>Other Employee Costs</v>
          </cell>
          <cell r="D440" t="str">
            <v>0033</v>
          </cell>
          <cell r="E440" t="str">
            <v>Departmental Staff Welfare</v>
          </cell>
          <cell r="F440">
            <v>27111</v>
          </cell>
          <cell r="G440">
            <v>0</v>
          </cell>
          <cell r="H440">
            <v>27111</v>
          </cell>
          <cell r="I440" t="str">
            <v>na</v>
          </cell>
        </row>
        <row r="441">
          <cell r="A441" t="str">
            <v>801003001.0034</v>
          </cell>
          <cell r="B441" t="str">
            <v>801003001</v>
          </cell>
          <cell r="C441" t="str">
            <v>Other Employee Costs</v>
          </cell>
          <cell r="D441" t="str">
            <v>0034</v>
          </cell>
          <cell r="E441" t="str">
            <v>Staff Welfare -Others</v>
          </cell>
          <cell r="F441">
            <v>11142</v>
          </cell>
          <cell r="G441">
            <v>0</v>
          </cell>
          <cell r="H441">
            <v>11142</v>
          </cell>
          <cell r="I441" t="str">
            <v>na</v>
          </cell>
        </row>
        <row r="442">
          <cell r="A442" t="str">
            <v>801003001.0081</v>
          </cell>
          <cell r="B442" t="str">
            <v>801003001</v>
          </cell>
          <cell r="C442" t="str">
            <v>Other Employee Costs</v>
          </cell>
          <cell r="D442" t="str">
            <v>0081</v>
          </cell>
          <cell r="E442" t="str">
            <v>Training and Education</v>
          </cell>
          <cell r="F442">
            <v>161620</v>
          </cell>
          <cell r="G442">
            <v>2295</v>
          </cell>
          <cell r="H442">
            <v>163915</v>
          </cell>
          <cell r="I442" t="str">
            <v>na</v>
          </cell>
        </row>
        <row r="443">
          <cell r="A443" t="str">
            <v>801020001.0011</v>
          </cell>
          <cell r="B443" t="str">
            <v>801020001</v>
          </cell>
          <cell r="C443" t="str">
            <v>Postage</v>
          </cell>
          <cell r="D443" t="str">
            <v>0011</v>
          </cell>
          <cell r="E443" t="str">
            <v>Postage Charges</v>
          </cell>
          <cell r="F443">
            <v>21057</v>
          </cell>
          <cell r="G443">
            <v>660</v>
          </cell>
          <cell r="H443">
            <v>21717</v>
          </cell>
          <cell r="I443" t="str">
            <v>na</v>
          </cell>
        </row>
        <row r="444">
          <cell r="A444" t="str">
            <v>801020001.0021</v>
          </cell>
          <cell r="B444" t="str">
            <v>801020001</v>
          </cell>
          <cell r="C444" t="str">
            <v>Postage</v>
          </cell>
          <cell r="D444" t="str">
            <v>0021</v>
          </cell>
          <cell r="E444" t="str">
            <v>Local Courier charges</v>
          </cell>
          <cell r="F444">
            <v>201101</v>
          </cell>
          <cell r="G444">
            <v>116066</v>
          </cell>
          <cell r="H444">
            <v>317167</v>
          </cell>
          <cell r="I444" t="str">
            <v>na</v>
          </cell>
        </row>
        <row r="445">
          <cell r="A445" t="str">
            <v>801040001.0001</v>
          </cell>
          <cell r="B445" t="str">
            <v>801040001</v>
          </cell>
          <cell r="C445" t="str">
            <v>Stationery &amp; Office Supplies</v>
          </cell>
          <cell r="D445" t="str">
            <v>0001</v>
          </cell>
          <cell r="E445" t="str">
            <v>Office Supplies</v>
          </cell>
          <cell r="F445">
            <v>426414</v>
          </cell>
          <cell r="G445">
            <v>148760</v>
          </cell>
          <cell r="H445">
            <v>575174</v>
          </cell>
          <cell r="I445" t="str">
            <v>na</v>
          </cell>
        </row>
        <row r="446">
          <cell r="A446" t="str">
            <v>801040001.0005</v>
          </cell>
          <cell r="B446" t="str">
            <v>801040001</v>
          </cell>
          <cell r="C446" t="str">
            <v>Stationery &amp; Office Supplies</v>
          </cell>
          <cell r="D446" t="str">
            <v>0005</v>
          </cell>
          <cell r="E446" t="str">
            <v>Photocopier expenses</v>
          </cell>
          <cell r="F446">
            <v>58828</v>
          </cell>
          <cell r="G446">
            <v>12890</v>
          </cell>
          <cell r="H446">
            <v>71718</v>
          </cell>
          <cell r="I446" t="str">
            <v>na</v>
          </cell>
        </row>
        <row r="447">
          <cell r="A447" t="str">
            <v>801040001.0011</v>
          </cell>
          <cell r="B447" t="str">
            <v>801040001</v>
          </cell>
          <cell r="C447" t="str">
            <v>Stationery &amp; Office Supplies</v>
          </cell>
          <cell r="D447" t="str">
            <v>0011</v>
          </cell>
          <cell r="E447" t="str">
            <v>Printing Charges</v>
          </cell>
          <cell r="F447">
            <v>15510</v>
          </cell>
          <cell r="G447">
            <v>0</v>
          </cell>
          <cell r="H447">
            <v>15510</v>
          </cell>
          <cell r="I447" t="str">
            <v>na</v>
          </cell>
        </row>
        <row r="448">
          <cell r="A448" t="str">
            <v>801050001.0001</v>
          </cell>
          <cell r="B448" t="str">
            <v>801050001</v>
          </cell>
          <cell r="C448" t="str">
            <v>Subscriptions</v>
          </cell>
          <cell r="D448" t="str">
            <v>0001</v>
          </cell>
          <cell r="E448" t="str">
            <v>Subscriptions-Membership Fees</v>
          </cell>
          <cell r="F448">
            <v>92921</v>
          </cell>
          <cell r="G448">
            <v>14875.5</v>
          </cell>
          <cell r="H448">
            <v>107796.5</v>
          </cell>
          <cell r="I448" t="str">
            <v>na</v>
          </cell>
        </row>
        <row r="449">
          <cell r="A449" t="str">
            <v>801060001.0000</v>
          </cell>
          <cell r="B449" t="str">
            <v>801060001</v>
          </cell>
          <cell r="C449" t="str">
            <v>Telephone &amp; Telegraph Expenses</v>
          </cell>
          <cell r="D449" t="str">
            <v>0000</v>
          </cell>
          <cell r="E449" t="str">
            <v>None</v>
          </cell>
          <cell r="F449">
            <v>4259</v>
          </cell>
          <cell r="G449">
            <v>0</v>
          </cell>
          <cell r="H449">
            <v>4259</v>
          </cell>
          <cell r="I449" t="str">
            <v>na</v>
          </cell>
        </row>
        <row r="450">
          <cell r="A450" t="str">
            <v>801060001.0001</v>
          </cell>
          <cell r="B450" t="str">
            <v>801060001</v>
          </cell>
          <cell r="C450" t="str">
            <v>Telephone &amp; Telegraph Expenses</v>
          </cell>
          <cell r="D450" t="str">
            <v>0001</v>
          </cell>
          <cell r="E450" t="str">
            <v>Office Telephone</v>
          </cell>
          <cell r="F450">
            <v>521768.85</v>
          </cell>
          <cell r="G450">
            <v>391358</v>
          </cell>
          <cell r="H450">
            <v>913126.85</v>
          </cell>
          <cell r="I450" t="str">
            <v>na</v>
          </cell>
        </row>
        <row r="451">
          <cell r="A451" t="str">
            <v>801060001.0002</v>
          </cell>
          <cell r="B451" t="str">
            <v>801060001</v>
          </cell>
          <cell r="C451" t="str">
            <v>Telephone &amp; Telegraph Expenses</v>
          </cell>
          <cell r="D451" t="str">
            <v>0002</v>
          </cell>
          <cell r="E451" t="str">
            <v>Residence Telephone</v>
          </cell>
          <cell r="F451">
            <v>6680</v>
          </cell>
          <cell r="G451">
            <v>538</v>
          </cell>
          <cell r="H451">
            <v>7218</v>
          </cell>
          <cell r="I451" t="str">
            <v>na</v>
          </cell>
        </row>
        <row r="452">
          <cell r="A452" t="str">
            <v>801060001.0003</v>
          </cell>
          <cell r="B452" t="str">
            <v>801060001</v>
          </cell>
          <cell r="C452" t="str">
            <v>Telephone &amp; Telegraph Expenses</v>
          </cell>
          <cell r="D452" t="str">
            <v>0003</v>
          </cell>
          <cell r="E452" t="str">
            <v>Cell Phone Charges</v>
          </cell>
          <cell r="F452">
            <v>386977.66</v>
          </cell>
          <cell r="G452">
            <v>36669</v>
          </cell>
          <cell r="H452">
            <v>423646.66</v>
          </cell>
          <cell r="I452" t="str">
            <v>na</v>
          </cell>
        </row>
        <row r="453">
          <cell r="A453" t="str">
            <v>801060001.0004</v>
          </cell>
          <cell r="B453" t="str">
            <v>801060001</v>
          </cell>
          <cell r="C453" t="str">
            <v>Telephone &amp; Telegraph Expenses</v>
          </cell>
          <cell r="D453" t="str">
            <v>0004</v>
          </cell>
          <cell r="E453" t="str">
            <v>Fax Charges</v>
          </cell>
          <cell r="F453">
            <v>26273.85</v>
          </cell>
          <cell r="G453">
            <v>5484</v>
          </cell>
          <cell r="H453">
            <v>31757.85</v>
          </cell>
          <cell r="I453" t="str">
            <v>na</v>
          </cell>
        </row>
        <row r="454">
          <cell r="A454" t="str">
            <v>801060001.0006</v>
          </cell>
          <cell r="B454" t="str">
            <v>801060001</v>
          </cell>
          <cell r="C454" t="str">
            <v>Telephone &amp; Telegraph Expenses</v>
          </cell>
          <cell r="D454" t="str">
            <v>0006</v>
          </cell>
          <cell r="E454" t="str">
            <v>MS Exchange</v>
          </cell>
          <cell r="F454">
            <v>243781</v>
          </cell>
          <cell r="G454">
            <v>60552</v>
          </cell>
          <cell r="H454">
            <v>304333</v>
          </cell>
          <cell r="I454" t="str">
            <v>na</v>
          </cell>
        </row>
        <row r="455">
          <cell r="A455" t="str">
            <v>801060001.0013</v>
          </cell>
          <cell r="B455" t="str">
            <v>801060001</v>
          </cell>
          <cell r="C455" t="str">
            <v>Telephone &amp; Telegraph Expenses</v>
          </cell>
          <cell r="D455" t="str">
            <v>0013</v>
          </cell>
          <cell r="E455" t="str">
            <v>Dial up Internet / Email</v>
          </cell>
          <cell r="F455">
            <v>15118.85</v>
          </cell>
          <cell r="G455">
            <v>19098</v>
          </cell>
          <cell r="H455">
            <v>34216.85</v>
          </cell>
          <cell r="I455" t="str">
            <v>na</v>
          </cell>
        </row>
        <row r="456">
          <cell r="A456" t="str">
            <v>801080002.2131</v>
          </cell>
          <cell r="B456" t="str">
            <v>801080002</v>
          </cell>
          <cell r="C456" t="str">
            <v>Travel &amp; Living Expenses - Non - Tax Deductible</v>
          </cell>
          <cell r="D456" t="str">
            <v>2131</v>
          </cell>
          <cell r="E456" t="str">
            <v>T &amp; L - Domestic - Others - Non - Recoverable  - Fare</v>
          </cell>
          <cell r="F456">
            <v>1262545</v>
          </cell>
          <cell r="G456">
            <v>338910</v>
          </cell>
          <cell r="H456">
            <v>1601455</v>
          </cell>
          <cell r="I456" t="str">
            <v>na</v>
          </cell>
        </row>
        <row r="457">
          <cell r="A457" t="str">
            <v>801080002.2132</v>
          </cell>
          <cell r="B457" t="str">
            <v>801080002</v>
          </cell>
          <cell r="C457" t="str">
            <v>Travel &amp; Living Expenses - Non - Tax Deductible</v>
          </cell>
          <cell r="D457" t="str">
            <v>2132</v>
          </cell>
          <cell r="E457" t="str">
            <v>T &amp; L - Domestic - Others - Non - Recoverable  - Daily Allowance</v>
          </cell>
          <cell r="F457">
            <v>413811</v>
          </cell>
          <cell r="G457">
            <v>49190</v>
          </cell>
          <cell r="H457">
            <v>463001</v>
          </cell>
          <cell r="I457" t="str">
            <v>na</v>
          </cell>
        </row>
        <row r="458">
          <cell r="A458" t="str">
            <v>801080002.2133</v>
          </cell>
          <cell r="B458" t="str">
            <v>801080002</v>
          </cell>
          <cell r="C458" t="str">
            <v>Travel &amp; Living Expenses - Non - Tax Deductible</v>
          </cell>
          <cell r="D458" t="str">
            <v>2133</v>
          </cell>
          <cell r="E458" t="str">
            <v>T &amp; L - Domestic - Others - Non - Recoverable  - Conveyance</v>
          </cell>
          <cell r="F458">
            <v>544248</v>
          </cell>
          <cell r="G458">
            <v>88460</v>
          </cell>
          <cell r="H458">
            <v>632708</v>
          </cell>
          <cell r="I458" t="str">
            <v>na</v>
          </cell>
        </row>
        <row r="459">
          <cell r="A459" t="str">
            <v>801080002.2134</v>
          </cell>
          <cell r="B459" t="str">
            <v>801080002</v>
          </cell>
          <cell r="C459" t="str">
            <v>Travel &amp; Living Expenses - Non - Tax Deductible</v>
          </cell>
          <cell r="D459" t="str">
            <v>2134</v>
          </cell>
          <cell r="E459" t="str">
            <v>T &amp; L - Domestic - Others - Non - Recoverable  - Vehicle Hire</v>
          </cell>
          <cell r="F459">
            <v>-55352</v>
          </cell>
          <cell r="G459">
            <v>100000</v>
          </cell>
          <cell r="H459">
            <v>44648</v>
          </cell>
          <cell r="I459" t="str">
            <v>na</v>
          </cell>
        </row>
        <row r="460">
          <cell r="A460" t="str">
            <v>801080010.0002</v>
          </cell>
          <cell r="B460" t="str">
            <v>801080010</v>
          </cell>
          <cell r="C460" t="str">
            <v>Transfer and Living Expenses</v>
          </cell>
          <cell r="D460" t="str">
            <v>0002</v>
          </cell>
          <cell r="E460" t="str">
            <v>Guest House Charges</v>
          </cell>
          <cell r="F460">
            <v>36686</v>
          </cell>
          <cell r="G460">
            <v>0</v>
          </cell>
          <cell r="H460">
            <v>36686</v>
          </cell>
          <cell r="I460" t="str">
            <v>na</v>
          </cell>
        </row>
        <row r="461">
          <cell r="A461" t="str">
            <v>801080010.0003</v>
          </cell>
          <cell r="B461" t="str">
            <v>801080010</v>
          </cell>
          <cell r="C461" t="str">
            <v>Transfer and Living Expenses</v>
          </cell>
          <cell r="D461" t="str">
            <v>0003</v>
          </cell>
          <cell r="E461" t="str">
            <v>Packing Charges</v>
          </cell>
          <cell r="F461">
            <v>154471</v>
          </cell>
          <cell r="G461">
            <v>52830</v>
          </cell>
          <cell r="H461">
            <v>207301</v>
          </cell>
          <cell r="I461" t="str">
            <v>na</v>
          </cell>
        </row>
        <row r="462">
          <cell r="A462" t="str">
            <v>801080010.0004</v>
          </cell>
          <cell r="B462" t="str">
            <v>801080010</v>
          </cell>
          <cell r="C462" t="str">
            <v>Transfer and Living Expenses</v>
          </cell>
          <cell r="D462" t="str">
            <v>0004</v>
          </cell>
          <cell r="E462" t="str">
            <v>Travel Charges</v>
          </cell>
          <cell r="F462">
            <v>226699</v>
          </cell>
          <cell r="G462">
            <v>17058</v>
          </cell>
          <cell r="H462">
            <v>243757</v>
          </cell>
          <cell r="I462" t="str">
            <v>na</v>
          </cell>
        </row>
        <row r="463">
          <cell r="A463" t="str">
            <v>801080021.0002</v>
          </cell>
          <cell r="B463" t="str">
            <v>801080021</v>
          </cell>
          <cell r="C463" t="str">
            <v>Management Meeting Expenses - Non- Tax Deductible</v>
          </cell>
          <cell r="D463" t="str">
            <v>0002</v>
          </cell>
          <cell r="E463" t="str">
            <v>Annual Day / Anuual Events / Reunion</v>
          </cell>
          <cell r="F463">
            <v>51300</v>
          </cell>
          <cell r="G463">
            <v>70890</v>
          </cell>
          <cell r="H463">
            <v>122190</v>
          </cell>
          <cell r="I463" t="str">
            <v>na</v>
          </cell>
        </row>
        <row r="464">
          <cell r="A464" t="str">
            <v>801080021.0007</v>
          </cell>
          <cell r="B464" t="str">
            <v>801080021</v>
          </cell>
          <cell r="C464" t="str">
            <v>Management Meeting Expenses - Non- Tax Deductible</v>
          </cell>
          <cell r="D464" t="str">
            <v>0007</v>
          </cell>
          <cell r="E464" t="str">
            <v>Business Meetings</v>
          </cell>
          <cell r="F464">
            <v>-600000</v>
          </cell>
          <cell r="G464">
            <v>0</v>
          </cell>
          <cell r="H464">
            <v>-600000</v>
          </cell>
          <cell r="I464" t="str">
            <v>na</v>
          </cell>
        </row>
        <row r="465">
          <cell r="A465" t="str">
            <v>801095001.0000</v>
          </cell>
          <cell r="B465" t="str">
            <v>801095001</v>
          </cell>
          <cell r="C465" t="str">
            <v>Rental Expenses - Bld &amp; facilities</v>
          </cell>
          <cell r="D465" t="str">
            <v>0000</v>
          </cell>
          <cell r="E465" t="str">
            <v>None</v>
          </cell>
          <cell r="F465">
            <v>300000</v>
          </cell>
          <cell r="G465">
            <v>0</v>
          </cell>
          <cell r="H465">
            <v>300000</v>
          </cell>
          <cell r="I465" t="str">
            <v>na</v>
          </cell>
        </row>
        <row r="466">
          <cell r="A466" t="str">
            <v>801095001.0001</v>
          </cell>
          <cell r="B466" t="str">
            <v>801095001</v>
          </cell>
          <cell r="C466" t="str">
            <v>Rental Expenses - Bld &amp; facilities</v>
          </cell>
          <cell r="D466" t="str">
            <v>0001</v>
          </cell>
          <cell r="E466" t="str">
            <v>Office</v>
          </cell>
          <cell r="F466">
            <v>1603186</v>
          </cell>
          <cell r="G466">
            <v>577385</v>
          </cell>
          <cell r="H466">
            <v>2180571</v>
          </cell>
          <cell r="I466" t="str">
            <v>na</v>
          </cell>
        </row>
        <row r="467">
          <cell r="A467" t="str">
            <v>801095001.0002</v>
          </cell>
          <cell r="B467" t="str">
            <v>801095001</v>
          </cell>
          <cell r="C467" t="str">
            <v>Rental Expenses - Bld &amp; facilities</v>
          </cell>
          <cell r="D467" t="str">
            <v>0002</v>
          </cell>
          <cell r="E467" t="str">
            <v>Godown</v>
          </cell>
          <cell r="F467">
            <v>320190</v>
          </cell>
          <cell r="G467">
            <v>97484</v>
          </cell>
          <cell r="H467">
            <v>417674</v>
          </cell>
          <cell r="I467" t="str">
            <v>na</v>
          </cell>
        </row>
        <row r="468">
          <cell r="A468" t="str">
            <v>801095002.0001</v>
          </cell>
          <cell r="B468" t="str">
            <v>801095002</v>
          </cell>
          <cell r="C468" t="str">
            <v>Rental Expenses - Furniture &amp; Equipment</v>
          </cell>
          <cell r="D468" t="str">
            <v>0001</v>
          </cell>
          <cell r="E468" t="str">
            <v>Furniture &amp; Fixtures - Office</v>
          </cell>
          <cell r="F468">
            <v>17632</v>
          </cell>
          <cell r="G468">
            <v>6960</v>
          </cell>
          <cell r="H468">
            <v>24592</v>
          </cell>
          <cell r="I468" t="str">
            <v>na</v>
          </cell>
        </row>
        <row r="469">
          <cell r="A469" t="str">
            <v>801095002.0004</v>
          </cell>
          <cell r="B469" t="str">
            <v>801095002</v>
          </cell>
          <cell r="C469" t="str">
            <v>Rental Expenses - Furniture &amp; Equipment</v>
          </cell>
          <cell r="D469" t="str">
            <v>0004</v>
          </cell>
          <cell r="E469" t="str">
            <v>Custodian Charges</v>
          </cell>
          <cell r="F469">
            <v>15100</v>
          </cell>
          <cell r="G469">
            <v>9500</v>
          </cell>
          <cell r="H469">
            <v>24600</v>
          </cell>
          <cell r="I469" t="str">
            <v>na</v>
          </cell>
        </row>
        <row r="470">
          <cell r="A470" t="str">
            <v>801095003.0001</v>
          </cell>
          <cell r="B470" t="str">
            <v>801095003</v>
          </cell>
          <cell r="C470" t="str">
            <v>Rental Expense-Computer Equipments</v>
          </cell>
          <cell r="D470" t="str">
            <v>0001</v>
          </cell>
          <cell r="E470" t="str">
            <v>Computers</v>
          </cell>
          <cell r="F470">
            <v>264278.84999999998</v>
          </cell>
          <cell r="G470">
            <v>25245</v>
          </cell>
          <cell r="H470">
            <v>289523.84999999998</v>
          </cell>
          <cell r="I470" t="str">
            <v>na</v>
          </cell>
        </row>
        <row r="471">
          <cell r="A471" t="str">
            <v>801100001.0001</v>
          </cell>
          <cell r="B471" t="str">
            <v>801100001</v>
          </cell>
          <cell r="C471" t="str">
            <v>Other Facilities Expense- Utilies , Maintaiance, Security etc.,.</v>
          </cell>
          <cell r="D471" t="str">
            <v>0001</v>
          </cell>
          <cell r="E471" t="str">
            <v>Security Services</v>
          </cell>
          <cell r="F471">
            <v>172235</v>
          </cell>
          <cell r="G471">
            <v>30306</v>
          </cell>
          <cell r="H471">
            <v>202541</v>
          </cell>
          <cell r="I471" t="str">
            <v>na</v>
          </cell>
        </row>
        <row r="472">
          <cell r="A472" t="str">
            <v>801100001.0002</v>
          </cell>
          <cell r="B472" t="str">
            <v>801100001</v>
          </cell>
          <cell r="C472" t="str">
            <v>Other Facilities Expense- Utilies , Maintaiance, Security etc.,.</v>
          </cell>
          <cell r="D472" t="str">
            <v>0002</v>
          </cell>
          <cell r="E472" t="str">
            <v>Housekeeping expenses</v>
          </cell>
          <cell r="F472">
            <v>30411</v>
          </cell>
          <cell r="G472">
            <v>10005</v>
          </cell>
          <cell r="H472">
            <v>40416</v>
          </cell>
          <cell r="I472" t="str">
            <v>na</v>
          </cell>
        </row>
        <row r="473">
          <cell r="A473" t="str">
            <v>801100001.0003</v>
          </cell>
          <cell r="B473" t="str">
            <v>801100001</v>
          </cell>
          <cell r="C473" t="str">
            <v>Other Facilities Expense- Utilies , Maintaiance, Security etc.,.</v>
          </cell>
          <cell r="D473" t="str">
            <v>0003</v>
          </cell>
          <cell r="E473" t="str">
            <v>Facility Maintenance Expenses</v>
          </cell>
          <cell r="F473">
            <v>167124</v>
          </cell>
          <cell r="G473">
            <v>50939</v>
          </cell>
          <cell r="H473">
            <v>218063</v>
          </cell>
          <cell r="I473" t="str">
            <v>na</v>
          </cell>
        </row>
        <row r="474">
          <cell r="A474" t="str">
            <v>801100001.0004</v>
          </cell>
          <cell r="B474" t="str">
            <v>801100001</v>
          </cell>
          <cell r="C474" t="str">
            <v>Other Facilities Expense- Utilies , Maintaiance, Security etc.,.</v>
          </cell>
          <cell r="D474" t="str">
            <v>0004</v>
          </cell>
          <cell r="E474" t="str">
            <v>Electricity Charges</v>
          </cell>
          <cell r="F474">
            <v>349486</v>
          </cell>
          <cell r="G474">
            <v>45717</v>
          </cell>
          <cell r="H474">
            <v>395203</v>
          </cell>
          <cell r="I474" t="str">
            <v>na</v>
          </cell>
        </row>
        <row r="475">
          <cell r="A475" t="str">
            <v>801100001.0005</v>
          </cell>
          <cell r="B475" t="str">
            <v>801100001</v>
          </cell>
          <cell r="C475" t="str">
            <v>Other Facilities Expense- Utilies , Maintaiance, Security etc.,.</v>
          </cell>
          <cell r="D475" t="str">
            <v>0005</v>
          </cell>
          <cell r="E475" t="str">
            <v>Water Exenses</v>
          </cell>
          <cell r="F475">
            <v>27773</v>
          </cell>
          <cell r="G475">
            <v>2216</v>
          </cell>
          <cell r="H475">
            <v>29989</v>
          </cell>
          <cell r="I475" t="str">
            <v>na</v>
          </cell>
        </row>
        <row r="476">
          <cell r="A476" t="str">
            <v>801100001.0009</v>
          </cell>
          <cell r="B476" t="str">
            <v>801100001</v>
          </cell>
          <cell r="C476" t="str">
            <v>Other Facilities Expense- Utilies , Maintaiance, Security etc.,.</v>
          </cell>
          <cell r="D476" t="str">
            <v>0009</v>
          </cell>
          <cell r="E476" t="str">
            <v>Others</v>
          </cell>
          <cell r="F476">
            <v>0</v>
          </cell>
          <cell r="G476">
            <v>102900</v>
          </cell>
          <cell r="H476">
            <v>102900</v>
          </cell>
          <cell r="I476" t="str">
            <v>na</v>
          </cell>
        </row>
        <row r="477">
          <cell r="A477" t="str">
            <v>801100001.0016</v>
          </cell>
          <cell r="B477" t="str">
            <v>801100001</v>
          </cell>
          <cell r="C477" t="str">
            <v>Other Facilities Expense- Utilies , Maintaiance, Security etc.,.</v>
          </cell>
          <cell r="D477" t="str">
            <v>0016</v>
          </cell>
          <cell r="E477" t="str">
            <v>Repairs Others</v>
          </cell>
          <cell r="F477">
            <v>40000</v>
          </cell>
          <cell r="G477">
            <v>0</v>
          </cell>
          <cell r="H477">
            <v>40000</v>
          </cell>
          <cell r="I477" t="str">
            <v>na</v>
          </cell>
        </row>
        <row r="478">
          <cell r="A478" t="str">
            <v>801101001.0013</v>
          </cell>
          <cell r="B478" t="str">
            <v>801101001</v>
          </cell>
          <cell r="C478" t="str">
            <v>Other Furniture, Equipment and Computer Expenses-Repair, Maintenance, Services, Etc.,</v>
          </cell>
          <cell r="D478" t="str">
            <v>0013</v>
          </cell>
          <cell r="E478" t="str">
            <v>Repairs - Office Equipt</v>
          </cell>
          <cell r="F478">
            <v>5587</v>
          </cell>
          <cell r="G478">
            <v>3400</v>
          </cell>
          <cell r="H478">
            <v>8987</v>
          </cell>
          <cell r="I478" t="str">
            <v>na</v>
          </cell>
        </row>
        <row r="479">
          <cell r="A479" t="str">
            <v>801101001.0014</v>
          </cell>
          <cell r="B479" t="str">
            <v>801101001</v>
          </cell>
          <cell r="C479" t="str">
            <v>Other Furniture, Equipment and Computer Expenses-Repair, Maintenance, Services, Etc.,</v>
          </cell>
          <cell r="D479" t="str">
            <v>0014</v>
          </cell>
          <cell r="E479" t="str">
            <v>Repairs - Computers</v>
          </cell>
          <cell r="F479">
            <v>40226</v>
          </cell>
          <cell r="G479">
            <v>5200</v>
          </cell>
          <cell r="H479">
            <v>45426</v>
          </cell>
          <cell r="I479" t="str">
            <v>na</v>
          </cell>
        </row>
        <row r="480">
          <cell r="A480" t="str">
            <v>801101001.0016</v>
          </cell>
          <cell r="B480" t="str">
            <v>801101001</v>
          </cell>
          <cell r="C480" t="str">
            <v>Other Furniture, Equipment and Computer Expenses-Repair, Maintenance, Services, Etc.,</v>
          </cell>
          <cell r="D480" t="str">
            <v>0016</v>
          </cell>
          <cell r="E480" t="str">
            <v>Repairs -Others</v>
          </cell>
          <cell r="F480">
            <v>65344</v>
          </cell>
          <cell r="G480">
            <v>1687</v>
          </cell>
          <cell r="H480">
            <v>67031</v>
          </cell>
          <cell r="I480" t="str">
            <v>na</v>
          </cell>
        </row>
        <row r="481">
          <cell r="A481" t="str">
            <v>801101001.0022</v>
          </cell>
          <cell r="B481" t="str">
            <v>801101001</v>
          </cell>
          <cell r="C481" t="str">
            <v>Other Furniture, Equipment and Computer Expenses-Repair, Maintenance, Services, Etc.,</v>
          </cell>
          <cell r="D481" t="str">
            <v>0022</v>
          </cell>
          <cell r="E481" t="str">
            <v>AMC - Office Equipt in India</v>
          </cell>
          <cell r="F481">
            <v>3000</v>
          </cell>
          <cell r="G481">
            <v>0</v>
          </cell>
          <cell r="H481">
            <v>3000</v>
          </cell>
          <cell r="I481" t="str">
            <v>na</v>
          </cell>
        </row>
        <row r="482">
          <cell r="A482" t="str">
            <v>801101001.0023</v>
          </cell>
          <cell r="B482" t="str">
            <v>801101001</v>
          </cell>
          <cell r="C482" t="str">
            <v>Other Furniture, Equipment and Computer Expenses-Repair, Maintenance, Services, Etc.,</v>
          </cell>
          <cell r="D482" t="str">
            <v>0023</v>
          </cell>
          <cell r="E482" t="str">
            <v>AMC - Computers</v>
          </cell>
          <cell r="F482">
            <v>435013</v>
          </cell>
          <cell r="G482">
            <v>0</v>
          </cell>
          <cell r="H482">
            <v>435013</v>
          </cell>
          <cell r="I482" t="str">
            <v>na</v>
          </cell>
        </row>
        <row r="483">
          <cell r="A483" t="str">
            <v>801102001.0000</v>
          </cell>
          <cell r="B483" t="str">
            <v>801102001</v>
          </cell>
          <cell r="C483" t="str">
            <v>Operating expenses- Software expenses</v>
          </cell>
          <cell r="D483" t="str">
            <v>0000</v>
          </cell>
          <cell r="E483" t="str">
            <v>None</v>
          </cell>
          <cell r="F483">
            <v>28455</v>
          </cell>
          <cell r="G483">
            <v>0</v>
          </cell>
          <cell r="H483">
            <v>28455</v>
          </cell>
          <cell r="I483" t="str">
            <v>na</v>
          </cell>
        </row>
        <row r="484">
          <cell r="A484" t="str">
            <v>801200001.0000</v>
          </cell>
          <cell r="B484" t="str">
            <v>801200001</v>
          </cell>
          <cell r="C484" t="str">
            <v>Customer Services &amp; Collection Expenses</v>
          </cell>
          <cell r="D484" t="str">
            <v>0000</v>
          </cell>
          <cell r="E484" t="str">
            <v>None</v>
          </cell>
          <cell r="F484">
            <v>-185281.82</v>
          </cell>
          <cell r="G484">
            <v>-79287.179999999993</v>
          </cell>
          <cell r="H484">
            <v>-264569</v>
          </cell>
          <cell r="I484" t="str">
            <v>na</v>
          </cell>
        </row>
        <row r="485">
          <cell r="A485" t="str">
            <v>801200001.0002</v>
          </cell>
          <cell r="B485" t="str">
            <v>801200001</v>
          </cell>
          <cell r="C485" t="str">
            <v>Customer Services &amp; Collection Expenses</v>
          </cell>
          <cell r="D485" t="str">
            <v>0002</v>
          </cell>
          <cell r="E485" t="str">
            <v>Collection Agency Charges</v>
          </cell>
          <cell r="F485">
            <v>2099591</v>
          </cell>
          <cell r="G485">
            <v>628769</v>
          </cell>
          <cell r="H485">
            <v>2728360</v>
          </cell>
          <cell r="I485" t="str">
            <v>na</v>
          </cell>
        </row>
        <row r="486">
          <cell r="A486" t="str">
            <v>801200001.0004</v>
          </cell>
          <cell r="B486" t="str">
            <v>801200001</v>
          </cell>
          <cell r="C486" t="str">
            <v>Customer Services &amp; Collection Expenses</v>
          </cell>
          <cell r="D486" t="str">
            <v>0004</v>
          </cell>
          <cell r="E486" t="str">
            <v>Valuation of Reposs Vehicle</v>
          </cell>
          <cell r="F486">
            <v>76525</v>
          </cell>
          <cell r="G486">
            <v>4855</v>
          </cell>
          <cell r="H486">
            <v>81380</v>
          </cell>
          <cell r="I486" t="str">
            <v>na</v>
          </cell>
        </row>
        <row r="487">
          <cell r="A487" t="str">
            <v>801300001.0000</v>
          </cell>
          <cell r="B487" t="str">
            <v>801300001</v>
          </cell>
          <cell r="C487" t="str">
            <v>Legal Expense</v>
          </cell>
          <cell r="D487" t="str">
            <v>0000</v>
          </cell>
          <cell r="E487" t="str">
            <v>None</v>
          </cell>
          <cell r="F487">
            <v>500000</v>
          </cell>
          <cell r="G487">
            <v>-400000</v>
          </cell>
          <cell r="H487">
            <v>100000</v>
          </cell>
          <cell r="I487" t="str">
            <v>na</v>
          </cell>
        </row>
        <row r="488">
          <cell r="A488" t="str">
            <v>801300001.0001</v>
          </cell>
          <cell r="B488" t="str">
            <v>801300001</v>
          </cell>
          <cell r="C488" t="str">
            <v>Legal Expense</v>
          </cell>
          <cell r="D488" t="str">
            <v>0001</v>
          </cell>
          <cell r="E488" t="str">
            <v>ROC FEES</v>
          </cell>
          <cell r="F488">
            <v>13625</v>
          </cell>
          <cell r="G488">
            <v>0</v>
          </cell>
          <cell r="H488">
            <v>13625</v>
          </cell>
          <cell r="I488" t="str">
            <v>na</v>
          </cell>
        </row>
        <row r="489">
          <cell r="A489" t="str">
            <v>801300001.0005</v>
          </cell>
          <cell r="B489" t="str">
            <v>801300001</v>
          </cell>
          <cell r="C489" t="str">
            <v>Legal Expense</v>
          </cell>
          <cell r="D489" t="str">
            <v>0005</v>
          </cell>
          <cell r="E489" t="str">
            <v>Other Fees</v>
          </cell>
          <cell r="F489">
            <v>-870000</v>
          </cell>
          <cell r="G489">
            <v>0</v>
          </cell>
          <cell r="H489">
            <v>-870000</v>
          </cell>
          <cell r="I489" t="str">
            <v>na</v>
          </cell>
        </row>
        <row r="490">
          <cell r="A490" t="str">
            <v>801400001.0009</v>
          </cell>
          <cell r="B490" t="str">
            <v>801400001</v>
          </cell>
          <cell r="C490" t="str">
            <v>Advertising Expense</v>
          </cell>
          <cell r="D490" t="str">
            <v>0009</v>
          </cell>
          <cell r="E490" t="str">
            <v>Other Advertising expenses</v>
          </cell>
          <cell r="F490">
            <v>195497</v>
          </cell>
          <cell r="G490">
            <v>5314</v>
          </cell>
          <cell r="H490">
            <v>200811</v>
          </cell>
          <cell r="I490" t="str">
            <v>na</v>
          </cell>
        </row>
        <row r="491">
          <cell r="A491" t="str">
            <v>801410001.0000</v>
          </cell>
          <cell r="B491" t="str">
            <v>801410001</v>
          </cell>
          <cell r="C491" t="str">
            <v>Sales Promotion Expense</v>
          </cell>
          <cell r="D491" t="str">
            <v>0000</v>
          </cell>
          <cell r="E491" t="str">
            <v>None</v>
          </cell>
          <cell r="F491">
            <v>-20000</v>
          </cell>
          <cell r="G491">
            <v>0</v>
          </cell>
          <cell r="H491">
            <v>-20000</v>
          </cell>
          <cell r="I491" t="str">
            <v>na</v>
          </cell>
        </row>
        <row r="492">
          <cell r="A492" t="str">
            <v>801410001.0001</v>
          </cell>
          <cell r="B492" t="str">
            <v>801410001</v>
          </cell>
          <cell r="C492" t="str">
            <v>Sales Promotion Expense</v>
          </cell>
          <cell r="D492" t="str">
            <v>0001</v>
          </cell>
          <cell r="E492" t="str">
            <v>Entertainment</v>
          </cell>
          <cell r="F492">
            <v>78809</v>
          </cell>
          <cell r="G492">
            <v>4433</v>
          </cell>
          <cell r="H492">
            <v>83242</v>
          </cell>
          <cell r="I492" t="str">
            <v>na</v>
          </cell>
        </row>
        <row r="493">
          <cell r="A493" t="str">
            <v>801410001.0034</v>
          </cell>
          <cell r="B493" t="str">
            <v>801410001</v>
          </cell>
          <cell r="C493" t="str">
            <v>Sales Promotion Expense</v>
          </cell>
          <cell r="D493" t="str">
            <v>0034</v>
          </cell>
          <cell r="E493" t="str">
            <v>Commission on Hire Purchase</v>
          </cell>
          <cell r="F493">
            <v>-1325725.99</v>
          </cell>
          <cell r="G493">
            <v>324688.76</v>
          </cell>
          <cell r="H493">
            <v>-1001037.23</v>
          </cell>
          <cell r="I493" t="str">
            <v>na</v>
          </cell>
        </row>
        <row r="494">
          <cell r="A494" t="str">
            <v>801710001.0011</v>
          </cell>
          <cell r="B494" t="str">
            <v>801710001</v>
          </cell>
          <cell r="C494" t="str">
            <v>Outside Services and Fees</v>
          </cell>
          <cell r="D494" t="str">
            <v>0011</v>
          </cell>
          <cell r="E494" t="str">
            <v>Outsourced Manpower</v>
          </cell>
          <cell r="F494">
            <v>2674600</v>
          </cell>
          <cell r="G494">
            <v>519656.5</v>
          </cell>
          <cell r="H494">
            <v>3194256.5</v>
          </cell>
          <cell r="I494" t="str">
            <v>na</v>
          </cell>
        </row>
        <row r="495">
          <cell r="A495" t="str">
            <v>801710001.0021</v>
          </cell>
          <cell r="B495" t="str">
            <v>801710001</v>
          </cell>
          <cell r="C495" t="str">
            <v>Outside Services and Fees</v>
          </cell>
          <cell r="D495" t="str">
            <v>0021</v>
          </cell>
          <cell r="E495" t="str">
            <v>Helpdesk Support</v>
          </cell>
          <cell r="F495">
            <v>150000</v>
          </cell>
          <cell r="G495">
            <v>50000</v>
          </cell>
          <cell r="H495">
            <v>200000</v>
          </cell>
          <cell r="I495" t="str">
            <v>na</v>
          </cell>
        </row>
        <row r="496">
          <cell r="A496" t="str">
            <v>801710002.0000</v>
          </cell>
          <cell r="B496" t="str">
            <v>801710002</v>
          </cell>
          <cell r="C496" t="str">
            <v>Outside Services and Fees - Consulting</v>
          </cell>
          <cell r="D496" t="str">
            <v>0000</v>
          </cell>
          <cell r="E496" t="str">
            <v>None</v>
          </cell>
          <cell r="F496">
            <v>10445</v>
          </cell>
          <cell r="G496">
            <v>0</v>
          </cell>
          <cell r="H496">
            <v>10445</v>
          </cell>
          <cell r="I496" t="str">
            <v>na</v>
          </cell>
        </row>
        <row r="497">
          <cell r="A497" t="str">
            <v>801710002.0001</v>
          </cell>
          <cell r="B497" t="str">
            <v>801710002</v>
          </cell>
          <cell r="C497" t="str">
            <v>Outside Services and Fees - Consulting</v>
          </cell>
          <cell r="D497" t="str">
            <v>0001</v>
          </cell>
          <cell r="E497" t="str">
            <v>Professional Charges - Consultants</v>
          </cell>
          <cell r="F497">
            <v>2445977</v>
          </cell>
          <cell r="G497">
            <v>-53704</v>
          </cell>
          <cell r="H497">
            <v>2392273</v>
          </cell>
          <cell r="I497" t="str">
            <v>na</v>
          </cell>
        </row>
        <row r="498">
          <cell r="A498" t="str">
            <v>801710002.0002</v>
          </cell>
          <cell r="B498" t="str">
            <v>801710002</v>
          </cell>
          <cell r="C498" t="str">
            <v>Outside Services and Fees - Consulting</v>
          </cell>
          <cell r="D498" t="str">
            <v>0002</v>
          </cell>
          <cell r="E498" t="str">
            <v>Professional Charges - Tax Matters</v>
          </cell>
          <cell r="F498">
            <v>65350</v>
          </cell>
          <cell r="G498">
            <v>0</v>
          </cell>
          <cell r="H498">
            <v>65350</v>
          </cell>
          <cell r="I498" t="str">
            <v>na</v>
          </cell>
        </row>
        <row r="499">
          <cell r="A499" t="str">
            <v>801710002.0003</v>
          </cell>
          <cell r="B499" t="str">
            <v>801710002</v>
          </cell>
          <cell r="C499" t="str">
            <v>Outside Services and Fees - Consulting</v>
          </cell>
          <cell r="D499" t="str">
            <v>0003</v>
          </cell>
          <cell r="E499" t="str">
            <v>Professional Charges - Sales Tax Matters</v>
          </cell>
          <cell r="F499">
            <v>142900</v>
          </cell>
          <cell r="G499">
            <v>-800</v>
          </cell>
          <cell r="H499">
            <v>142100</v>
          </cell>
          <cell r="I499" t="str">
            <v>na</v>
          </cell>
        </row>
        <row r="500">
          <cell r="A500" t="str">
            <v>801710002.0004</v>
          </cell>
          <cell r="B500" t="str">
            <v>801710002</v>
          </cell>
          <cell r="C500" t="str">
            <v>Outside Services and Fees - Consulting</v>
          </cell>
          <cell r="D500" t="str">
            <v>0004</v>
          </cell>
          <cell r="E500" t="str">
            <v>Legal Consultants</v>
          </cell>
          <cell r="F500">
            <v>1008079</v>
          </cell>
          <cell r="G500">
            <v>38060</v>
          </cell>
          <cell r="H500">
            <v>1046139</v>
          </cell>
          <cell r="I500" t="str">
            <v>na</v>
          </cell>
        </row>
        <row r="501">
          <cell r="A501" t="str">
            <v>801710004.0001</v>
          </cell>
          <cell r="B501" t="str">
            <v>801710004</v>
          </cell>
          <cell r="C501" t="str">
            <v>Outside Services Others</v>
          </cell>
          <cell r="D501" t="str">
            <v>0001</v>
          </cell>
          <cell r="E501" t="str">
            <v>Statutory Audit Fees</v>
          </cell>
          <cell r="F501">
            <v>596666.67000000004</v>
          </cell>
          <cell r="G501">
            <v>108333.33</v>
          </cell>
          <cell r="H501">
            <v>705000</v>
          </cell>
          <cell r="I501" t="str">
            <v>na</v>
          </cell>
        </row>
        <row r="502">
          <cell r="A502" t="str">
            <v>801710004.0002</v>
          </cell>
          <cell r="B502" t="str">
            <v>801710004</v>
          </cell>
          <cell r="C502" t="str">
            <v>Outside Services Others</v>
          </cell>
          <cell r="D502" t="str">
            <v>0002</v>
          </cell>
          <cell r="E502" t="str">
            <v>Fees Statuory Auditors - Other Matters</v>
          </cell>
          <cell r="F502">
            <v>10000</v>
          </cell>
          <cell r="G502">
            <v>-40000</v>
          </cell>
          <cell r="H502">
            <v>-30000</v>
          </cell>
          <cell r="I502" t="str">
            <v>na</v>
          </cell>
        </row>
        <row r="503">
          <cell r="A503" t="str">
            <v>801710004.0003</v>
          </cell>
          <cell r="B503" t="str">
            <v>801710004</v>
          </cell>
          <cell r="C503" t="str">
            <v>Outside Services Others</v>
          </cell>
          <cell r="D503" t="str">
            <v>0003</v>
          </cell>
          <cell r="E503" t="str">
            <v>Statutory Auditor's Out of Pocket</v>
          </cell>
          <cell r="F503">
            <v>53215</v>
          </cell>
          <cell r="G503">
            <v>0</v>
          </cell>
          <cell r="H503">
            <v>53215</v>
          </cell>
          <cell r="I503" t="str">
            <v>na</v>
          </cell>
        </row>
        <row r="504">
          <cell r="A504" t="str">
            <v>801710004.0004</v>
          </cell>
          <cell r="B504" t="str">
            <v>801710004</v>
          </cell>
          <cell r="C504" t="str">
            <v>Outside Services Others</v>
          </cell>
          <cell r="D504" t="str">
            <v>0004</v>
          </cell>
          <cell r="E504" t="str">
            <v>Internal Audit Fees and Expenses</v>
          </cell>
          <cell r="F504">
            <v>-5600</v>
          </cell>
          <cell r="G504">
            <v>0</v>
          </cell>
          <cell r="H504">
            <v>-5600</v>
          </cell>
          <cell r="I504" t="str">
            <v>na</v>
          </cell>
        </row>
        <row r="505">
          <cell r="A505" t="str">
            <v>801710004.0006</v>
          </cell>
          <cell r="B505" t="str">
            <v>801710004</v>
          </cell>
          <cell r="C505" t="str">
            <v>Outside Services Others</v>
          </cell>
          <cell r="D505" t="str">
            <v>0006</v>
          </cell>
          <cell r="E505" t="str">
            <v>Brokerage - Others</v>
          </cell>
          <cell r="F505">
            <v>45075</v>
          </cell>
          <cell r="G505">
            <v>22378</v>
          </cell>
          <cell r="H505">
            <v>67453</v>
          </cell>
          <cell r="I505" t="str">
            <v>na</v>
          </cell>
        </row>
        <row r="506">
          <cell r="A506" t="str">
            <v>801710004.0008</v>
          </cell>
          <cell r="B506" t="str">
            <v>801710004</v>
          </cell>
          <cell r="C506" t="str">
            <v>Outside Services Others</v>
          </cell>
          <cell r="D506" t="str">
            <v>0008</v>
          </cell>
          <cell r="E506" t="str">
            <v>REVERIFICATION Charges</v>
          </cell>
          <cell r="F506">
            <v>249248</v>
          </cell>
          <cell r="G506">
            <v>1400</v>
          </cell>
          <cell r="H506">
            <v>250648</v>
          </cell>
          <cell r="I506" t="str">
            <v>na</v>
          </cell>
        </row>
        <row r="507">
          <cell r="A507" t="str">
            <v>801710004.0121</v>
          </cell>
          <cell r="B507" t="str">
            <v>801710004</v>
          </cell>
          <cell r="C507" t="str">
            <v>Outside Services Others</v>
          </cell>
          <cell r="D507" t="str">
            <v>0121</v>
          </cell>
          <cell r="E507" t="str">
            <v>Recruitment Exps-Band 4</v>
          </cell>
          <cell r="F507">
            <v>50295</v>
          </cell>
          <cell r="G507">
            <v>0</v>
          </cell>
          <cell r="H507">
            <v>50295</v>
          </cell>
          <cell r="I507" t="str">
            <v>na</v>
          </cell>
        </row>
        <row r="508">
          <cell r="A508" t="str">
            <v>801710004.0122</v>
          </cell>
          <cell r="B508" t="str">
            <v>801710004</v>
          </cell>
          <cell r="C508" t="str">
            <v>Outside Services Others</v>
          </cell>
          <cell r="D508" t="str">
            <v>0122</v>
          </cell>
          <cell r="E508" t="str">
            <v>Recruitment Exps-Band 3 and above</v>
          </cell>
          <cell r="F508">
            <v>342007</v>
          </cell>
          <cell r="G508">
            <v>-25337</v>
          </cell>
          <cell r="H508">
            <v>316670</v>
          </cell>
          <cell r="I508" t="str">
            <v>na</v>
          </cell>
        </row>
        <row r="509">
          <cell r="A509" t="str">
            <v>801802001.0002</v>
          </cell>
          <cell r="B509" t="str">
            <v>801802001</v>
          </cell>
          <cell r="C509" t="str">
            <v>Sales /VAT Taxes</v>
          </cell>
          <cell r="D509" t="str">
            <v>0002</v>
          </cell>
          <cell r="E509" t="str">
            <v>Sales Tax</v>
          </cell>
          <cell r="F509">
            <v>522099</v>
          </cell>
          <cell r="G509">
            <v>0</v>
          </cell>
          <cell r="H509">
            <v>522099</v>
          </cell>
          <cell r="I509" t="str">
            <v>na</v>
          </cell>
        </row>
        <row r="510">
          <cell r="A510" t="str">
            <v>801802005.0004</v>
          </cell>
          <cell r="B510" t="str">
            <v>801802005</v>
          </cell>
          <cell r="C510" t="str">
            <v>Miscellaneous</v>
          </cell>
          <cell r="D510" t="str">
            <v>0004</v>
          </cell>
          <cell r="E510" t="str">
            <v>Rates &amp; Taxes</v>
          </cell>
          <cell r="F510">
            <v>969081</v>
          </cell>
          <cell r="G510">
            <v>211252</v>
          </cell>
          <cell r="H510">
            <v>1180333</v>
          </cell>
          <cell r="I510" t="str">
            <v>na</v>
          </cell>
        </row>
        <row r="511">
          <cell r="A511" t="str">
            <v>801999001.0000</v>
          </cell>
          <cell r="B511" t="str">
            <v>801999001</v>
          </cell>
          <cell r="C511" t="str">
            <v>All Other Expenses</v>
          </cell>
          <cell r="D511" t="str">
            <v>0000</v>
          </cell>
          <cell r="E511" t="str">
            <v>None</v>
          </cell>
          <cell r="F511">
            <v>100000</v>
          </cell>
          <cell r="G511">
            <v>0</v>
          </cell>
          <cell r="H511">
            <v>100000</v>
          </cell>
          <cell r="I511" t="str">
            <v>na</v>
          </cell>
        </row>
        <row r="512">
          <cell r="A512" t="str">
            <v>801999001.0001</v>
          </cell>
          <cell r="B512" t="str">
            <v>801999001</v>
          </cell>
          <cell r="C512" t="str">
            <v>All Other Expenses</v>
          </cell>
          <cell r="D512" t="str">
            <v>0001</v>
          </cell>
          <cell r="E512" t="str">
            <v>Bank charges</v>
          </cell>
          <cell r="F512">
            <v>347071.06</v>
          </cell>
          <cell r="G512">
            <v>144714.66</v>
          </cell>
          <cell r="H512">
            <v>491785.72</v>
          </cell>
          <cell r="I512" t="str">
            <v>na</v>
          </cell>
        </row>
        <row r="513">
          <cell r="A513" t="str">
            <v>801999001.0003</v>
          </cell>
          <cell r="B513" t="str">
            <v>801999001</v>
          </cell>
          <cell r="C513" t="str">
            <v>All Other Expenses</v>
          </cell>
          <cell r="D513" t="str">
            <v>0003</v>
          </cell>
          <cell r="E513" t="str">
            <v>Director's Sitting Fees</v>
          </cell>
          <cell r="F513">
            <v>20000</v>
          </cell>
          <cell r="G513">
            <v>0</v>
          </cell>
          <cell r="H513">
            <v>20000</v>
          </cell>
          <cell r="I513" t="str">
            <v>na</v>
          </cell>
        </row>
        <row r="514">
          <cell r="A514" t="str">
            <v>801999001.0019</v>
          </cell>
          <cell r="B514" t="str">
            <v>801999001</v>
          </cell>
          <cell r="C514" t="str">
            <v>All Other Expenses</v>
          </cell>
          <cell r="D514" t="str">
            <v>0019</v>
          </cell>
          <cell r="E514" t="str">
            <v>Loss on Sale of Leased Cars</v>
          </cell>
          <cell r="F514">
            <v>109666.25</v>
          </cell>
          <cell r="G514">
            <v>0</v>
          </cell>
          <cell r="H514">
            <v>109666.25</v>
          </cell>
          <cell r="I514" t="str">
            <v>na</v>
          </cell>
        </row>
        <row r="515">
          <cell r="A515" t="str">
            <v>801999001.0021</v>
          </cell>
          <cell r="B515" t="str">
            <v>801999001</v>
          </cell>
          <cell r="C515" t="str">
            <v>All Other Expenses</v>
          </cell>
          <cell r="D515" t="str">
            <v>0021</v>
          </cell>
          <cell r="E515" t="str">
            <v>Miscellaneous Expenses</v>
          </cell>
          <cell r="F515">
            <v>523549</v>
          </cell>
          <cell r="G515">
            <v>100000</v>
          </cell>
          <cell r="H515">
            <v>623549</v>
          </cell>
          <cell r="I515" t="str">
            <v>na</v>
          </cell>
        </row>
        <row r="516">
          <cell r="A516" t="str">
            <v>801999001.0029</v>
          </cell>
          <cell r="B516" t="str">
            <v>801999001</v>
          </cell>
          <cell r="C516" t="str">
            <v>All Other Expenses</v>
          </cell>
          <cell r="D516" t="str">
            <v>0029</v>
          </cell>
          <cell r="E516" t="str">
            <v>Others</v>
          </cell>
          <cell r="F516">
            <v>-20972</v>
          </cell>
          <cell r="G516">
            <v>0</v>
          </cell>
          <cell r="H516">
            <v>-20972</v>
          </cell>
          <cell r="I516" t="str">
            <v>na</v>
          </cell>
        </row>
        <row r="517">
          <cell r="A517" t="str">
            <v>801999001.0030</v>
          </cell>
          <cell r="B517" t="str">
            <v>801999001</v>
          </cell>
          <cell r="C517" t="str">
            <v>All Other Expenses</v>
          </cell>
          <cell r="D517" t="str">
            <v>0030</v>
          </cell>
          <cell r="E517" t="str">
            <v>PAISAS ROUND OFF</v>
          </cell>
          <cell r="F517">
            <v>18.649999999999999</v>
          </cell>
          <cell r="G517">
            <v>3.07</v>
          </cell>
          <cell r="H517">
            <v>21.72</v>
          </cell>
          <cell r="I517" t="str">
            <v>na</v>
          </cell>
        </row>
        <row r="518">
          <cell r="A518" t="str">
            <v>805001001.0001</v>
          </cell>
          <cell r="B518" t="str">
            <v>805001001</v>
          </cell>
          <cell r="C518" t="str">
            <v>Buildings &amp;Office Equipments &amp;</v>
          </cell>
          <cell r="D518" t="str">
            <v>0001</v>
          </cell>
          <cell r="E518" t="str">
            <v>Buildings</v>
          </cell>
          <cell r="F518">
            <v>558378.5</v>
          </cell>
          <cell r="G518">
            <v>105013.25</v>
          </cell>
          <cell r="H518">
            <v>663391.75</v>
          </cell>
          <cell r="I518" t="str">
            <v>na</v>
          </cell>
        </row>
        <row r="519">
          <cell r="A519" t="str">
            <v>805001001.0004</v>
          </cell>
          <cell r="B519" t="str">
            <v>805001001</v>
          </cell>
          <cell r="C519" t="str">
            <v>Buildings &amp;Office Equipments &amp;</v>
          </cell>
          <cell r="D519" t="str">
            <v>0004</v>
          </cell>
          <cell r="E519" t="str">
            <v>Furniture &amp; Fixture</v>
          </cell>
          <cell r="F519">
            <v>97314.5</v>
          </cell>
          <cell r="G519">
            <v>18957.7</v>
          </cell>
          <cell r="H519">
            <v>116272.2</v>
          </cell>
          <cell r="I519" t="str">
            <v>na</v>
          </cell>
        </row>
        <row r="520">
          <cell r="A520" t="str">
            <v>805001001.0006</v>
          </cell>
          <cell r="B520" t="str">
            <v>805001001</v>
          </cell>
          <cell r="C520" t="str">
            <v>Buildings &amp;Office Equipments &amp;</v>
          </cell>
          <cell r="D520" t="str">
            <v>0006</v>
          </cell>
          <cell r="E520" t="str">
            <v>Office Equipments</v>
          </cell>
          <cell r="F520">
            <v>173943.72</v>
          </cell>
          <cell r="G520">
            <v>34396</v>
          </cell>
          <cell r="H520">
            <v>208339.72</v>
          </cell>
          <cell r="I520" t="str">
            <v>na</v>
          </cell>
        </row>
        <row r="521">
          <cell r="A521" t="str">
            <v>805001002.0002</v>
          </cell>
          <cell r="B521" t="str">
            <v>805001002</v>
          </cell>
          <cell r="C521" t="str">
            <v>Deprec&amp;Amort-Leasehold Improve</v>
          </cell>
          <cell r="D521" t="str">
            <v>0002</v>
          </cell>
          <cell r="E521" t="str">
            <v>Leasehold Vehicles</v>
          </cell>
          <cell r="F521">
            <v>393606.89</v>
          </cell>
          <cell r="G521">
            <v>-180197.89</v>
          </cell>
          <cell r="H521">
            <v>213409</v>
          </cell>
          <cell r="I521" t="str">
            <v>na</v>
          </cell>
        </row>
        <row r="522">
          <cell r="A522" t="str">
            <v>805001005.0003</v>
          </cell>
          <cell r="B522" t="str">
            <v>805001005</v>
          </cell>
          <cell r="C522" t="str">
            <v>Deprec&amp;Amort-Computer Equip</v>
          </cell>
          <cell r="D522" t="str">
            <v>0003</v>
          </cell>
          <cell r="E522" t="str">
            <v>Others</v>
          </cell>
          <cell r="F522">
            <v>1662743.34</v>
          </cell>
          <cell r="G522">
            <v>326727.03999999998</v>
          </cell>
          <cell r="H522">
            <v>1989470.38</v>
          </cell>
          <cell r="I522" t="str">
            <v>na</v>
          </cell>
        </row>
        <row r="523">
          <cell r="A523" t="str">
            <v>890001001.0000</v>
          </cell>
          <cell r="B523" t="str">
            <v>890001001</v>
          </cell>
          <cell r="C523" t="str">
            <v>Insurance Expense Liquidations</v>
          </cell>
          <cell r="D523" t="str">
            <v>0000</v>
          </cell>
          <cell r="E523" t="str">
            <v>None</v>
          </cell>
          <cell r="F523">
            <v>89672</v>
          </cell>
          <cell r="G523">
            <v>17934</v>
          </cell>
          <cell r="H523">
            <v>107606</v>
          </cell>
          <cell r="I523" t="str">
            <v>na</v>
          </cell>
        </row>
        <row r="524">
          <cell r="A524" t="str">
            <v>890001001.0001</v>
          </cell>
          <cell r="B524" t="str">
            <v>890001001</v>
          </cell>
          <cell r="C524" t="str">
            <v>Insurance Expense Liquidations</v>
          </cell>
          <cell r="D524" t="str">
            <v>0001</v>
          </cell>
          <cell r="E524" t="str">
            <v>Insurance - Mediclaim</v>
          </cell>
          <cell r="F524">
            <v>87185</v>
          </cell>
          <cell r="G524">
            <v>12455</v>
          </cell>
          <cell r="H524">
            <v>99640</v>
          </cell>
          <cell r="I524" t="str">
            <v>na</v>
          </cell>
        </row>
        <row r="525">
          <cell r="A525" t="str">
            <v>890001001.0003</v>
          </cell>
          <cell r="B525" t="str">
            <v>890001001</v>
          </cell>
          <cell r="C525" t="str">
            <v>Insurance Expense Liquidations</v>
          </cell>
          <cell r="D525" t="str">
            <v>0003</v>
          </cell>
          <cell r="E525" t="str">
            <v>Insurance -Vehicles</v>
          </cell>
          <cell r="F525">
            <v>40567</v>
          </cell>
          <cell r="G525">
            <v>12042</v>
          </cell>
          <cell r="H525">
            <v>52609</v>
          </cell>
          <cell r="I525" t="str">
            <v>na</v>
          </cell>
        </row>
        <row r="526">
          <cell r="A526" t="str">
            <v>890001001.0004</v>
          </cell>
          <cell r="B526" t="str">
            <v>890001001</v>
          </cell>
          <cell r="C526" t="str">
            <v>Insurance Expense Liquidations</v>
          </cell>
          <cell r="D526" t="str">
            <v>0004</v>
          </cell>
          <cell r="E526" t="str">
            <v>Insurance - Fixed assets</v>
          </cell>
          <cell r="F526">
            <v>15582</v>
          </cell>
          <cell r="G526">
            <v>1433</v>
          </cell>
          <cell r="H526">
            <v>17015</v>
          </cell>
          <cell r="I526" t="str">
            <v>na</v>
          </cell>
        </row>
        <row r="527">
          <cell r="A527" t="str">
            <v>999999004.0001</v>
          </cell>
          <cell r="B527" t="str">
            <v>999999004</v>
          </cell>
          <cell r="C527" t="str">
            <v>Deferred Tax-Asset/Liability</v>
          </cell>
          <cell r="D527" t="str">
            <v>0001</v>
          </cell>
          <cell r="E527" t="str">
            <v>None 1</v>
          </cell>
          <cell r="F527">
            <v>387276518</v>
          </cell>
          <cell r="G527">
            <v>0</v>
          </cell>
          <cell r="H527">
            <v>387276518</v>
          </cell>
          <cell r="I527" t="str">
            <v>na</v>
          </cell>
        </row>
        <row r="528">
          <cell r="A528" t="str">
            <v>999999006.0000</v>
          </cell>
          <cell r="B528" t="str">
            <v>999999006</v>
          </cell>
          <cell r="C528" t="str">
            <v>Loss on Repo. Assets</v>
          </cell>
          <cell r="D528" t="str">
            <v>0000</v>
          </cell>
          <cell r="E528" t="str">
            <v>None</v>
          </cell>
          <cell r="F528">
            <v>-85000</v>
          </cell>
          <cell r="G528">
            <v>20000</v>
          </cell>
          <cell r="H528">
            <v>-65000</v>
          </cell>
          <cell r="I528" t="str">
            <v>na</v>
          </cell>
        </row>
        <row r="529">
          <cell r="A529" t="str">
            <v>999999011.0000</v>
          </cell>
          <cell r="B529" t="str">
            <v>999999011</v>
          </cell>
          <cell r="C529" t="str">
            <v>Prov. for Bad &amp; Doubtful Debts</v>
          </cell>
          <cell r="D529" t="str">
            <v>0000</v>
          </cell>
          <cell r="E529" t="str">
            <v>None</v>
          </cell>
          <cell r="F529">
            <v>-5800973</v>
          </cell>
          <cell r="G529">
            <v>0</v>
          </cell>
          <cell r="H529">
            <v>-5800973</v>
          </cell>
          <cell r="I529" t="str">
            <v>na</v>
          </cell>
        </row>
        <row r="530">
          <cell r="A530" t="str">
            <v>999999014.0000</v>
          </cell>
          <cell r="B530" t="str">
            <v>999999014</v>
          </cell>
          <cell r="C530" t="str">
            <v>Bad Debts Written Off</v>
          </cell>
          <cell r="D530" t="str">
            <v>0000</v>
          </cell>
          <cell r="E530" t="str">
            <v>None</v>
          </cell>
          <cell r="F530">
            <v>-2333034</v>
          </cell>
          <cell r="G530">
            <v>403311</v>
          </cell>
          <cell r="H530">
            <v>-1929723</v>
          </cell>
          <cell r="I530" t="str">
            <v>na</v>
          </cell>
        </row>
        <row r="531">
          <cell r="A531" t="str">
            <v>999999018.0002</v>
          </cell>
          <cell r="B531" t="str">
            <v>999999018</v>
          </cell>
          <cell r="C531" t="str">
            <v>Investment in Shares</v>
          </cell>
          <cell r="D531" t="str">
            <v>0002</v>
          </cell>
          <cell r="E531" t="str">
            <v>None 1</v>
          </cell>
          <cell r="F531">
            <v>14148071.970000001</v>
          </cell>
          <cell r="G531">
            <v>0</v>
          </cell>
          <cell r="H531">
            <v>14148071.970000001</v>
          </cell>
          <cell r="I531" t="str">
            <v>na</v>
          </cell>
        </row>
        <row r="532">
          <cell r="A532" t="str">
            <v>999999031.0000</v>
          </cell>
          <cell r="B532" t="str">
            <v>999999031</v>
          </cell>
          <cell r="C532" t="str">
            <v>Prov. for bad &amp; Doubtful Debts</v>
          </cell>
          <cell r="D532" t="str">
            <v>0000</v>
          </cell>
          <cell r="E532" t="str">
            <v>None</v>
          </cell>
          <cell r="F532">
            <v>5800973</v>
          </cell>
          <cell r="G532">
            <v>0</v>
          </cell>
          <cell r="H532">
            <v>5800973</v>
          </cell>
          <cell r="I532" t="str">
            <v>na</v>
          </cell>
        </row>
        <row r="533">
          <cell r="A533" t="str">
            <v>999999031.0001</v>
          </cell>
          <cell r="B533" t="str">
            <v>999999031</v>
          </cell>
          <cell r="C533" t="str">
            <v>Prov. for bad &amp; Doubtful Debts</v>
          </cell>
          <cell r="D533" t="str">
            <v>0001</v>
          </cell>
          <cell r="E533" t="str">
            <v>None 1</v>
          </cell>
          <cell r="F533">
            <v>-301395878</v>
          </cell>
          <cell r="G533">
            <v>0</v>
          </cell>
          <cell r="H533">
            <v>-301395878</v>
          </cell>
          <cell r="I533" t="str">
            <v>na</v>
          </cell>
        </row>
        <row r="534">
          <cell r="A534" t="str">
            <v>999999032.0001</v>
          </cell>
          <cell r="B534" t="str">
            <v>999999032</v>
          </cell>
          <cell r="C534" t="str">
            <v>Prov. for Dep. in Investments</v>
          </cell>
          <cell r="D534" t="str">
            <v>0001</v>
          </cell>
          <cell r="E534" t="str">
            <v>None 1</v>
          </cell>
          <cell r="F534">
            <v>-14211339.880000001</v>
          </cell>
          <cell r="G534">
            <v>0</v>
          </cell>
          <cell r="H534">
            <v>-14211339.880000001</v>
          </cell>
          <cell r="I534" t="str">
            <v>na</v>
          </cell>
        </row>
        <row r="535">
          <cell r="A535" t="str">
            <v>999999033.0001</v>
          </cell>
          <cell r="B535" t="str">
            <v>999999033</v>
          </cell>
          <cell r="C535" t="str">
            <v>Prov for fall in value propert</v>
          </cell>
          <cell r="D535" t="str">
            <v>0001</v>
          </cell>
          <cell r="E535" t="str">
            <v>None 1</v>
          </cell>
          <cell r="F535">
            <v>-62500000</v>
          </cell>
          <cell r="G535">
            <v>0</v>
          </cell>
          <cell r="H535">
            <v>-62500000</v>
          </cell>
          <cell r="I535" t="str">
            <v>na</v>
          </cell>
        </row>
        <row r="536">
          <cell r="A536" t="str">
            <v>999999034.0001</v>
          </cell>
          <cell r="B536" t="str">
            <v>999999034</v>
          </cell>
          <cell r="C536" t="str">
            <v>Deferred Tax - Asset/Liability</v>
          </cell>
          <cell r="D536" t="str">
            <v>0001</v>
          </cell>
          <cell r="E536" t="str">
            <v>None 1</v>
          </cell>
          <cell r="F536">
            <v>-121019136.47</v>
          </cell>
          <cell r="G536">
            <v>0</v>
          </cell>
          <cell r="H536">
            <v>-121019136.47</v>
          </cell>
          <cell r="I536" t="str">
            <v>na</v>
          </cell>
        </row>
        <row r="537">
          <cell r="A537" t="str">
            <v>999999040.0001</v>
          </cell>
          <cell r="B537" t="str">
            <v>999999040</v>
          </cell>
          <cell r="C537" t="str">
            <v>Oracle IUTA-North</v>
          </cell>
          <cell r="D537" t="str">
            <v>0001</v>
          </cell>
          <cell r="E537" t="str">
            <v>None</v>
          </cell>
          <cell r="F537">
            <v>0</v>
          </cell>
          <cell r="G537">
            <v>-16941972.690000001</v>
          </cell>
          <cell r="H537">
            <v>-16941972.690000001</v>
          </cell>
          <cell r="I537" t="str">
            <v>Pankaj</v>
          </cell>
        </row>
        <row r="538">
          <cell r="F538">
            <v>1.4007091522216797E-6</v>
          </cell>
          <cell r="G538">
            <v>-4.0978193283081055E-8</v>
          </cell>
          <cell r="H538">
            <v>-1.5236437320709229E-6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V_cover (2139)"/>
      <sheetName val="JV_cover (2142)"/>
      <sheetName val="JV_cover (2134)"/>
      <sheetName val="South Asia_workings"/>
      <sheetName val="Lookup"/>
    </sheetNames>
    <sheetDataSet>
      <sheetData sheetId="0"/>
      <sheetData sheetId="1" refreshError="1"/>
      <sheetData sheetId="2" refreshError="1"/>
      <sheetData sheetId="3" refreshError="1"/>
      <sheetData sheetId="4" refreshError="1">
        <row r="3">
          <cell r="C3" t="str">
            <v>2004/01</v>
          </cell>
          <cell r="D3" t="str">
            <v>2004/02</v>
          </cell>
          <cell r="E3" t="str">
            <v>2004/03</v>
          </cell>
          <cell r="F3" t="str">
            <v>2004/04</v>
          </cell>
          <cell r="G3" t="str">
            <v>2004/05</v>
          </cell>
          <cell r="H3" t="str">
            <v>2004/06</v>
          </cell>
          <cell r="I3" t="str">
            <v>2004/07</v>
          </cell>
          <cell r="J3" t="str">
            <v>2004/08</v>
          </cell>
          <cell r="K3" t="str">
            <v>2004/09</v>
          </cell>
          <cell r="L3" t="str">
            <v>2004/10</v>
          </cell>
          <cell r="M3" t="str">
            <v>2004/11</v>
          </cell>
          <cell r="N3" t="str">
            <v>2004/12</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ysical Progress"/>
      <sheetName val="Fin Mar"/>
      <sheetName val="cost Mar 06"/>
      <sheetName val="S curve"/>
      <sheetName val="Abstract of cost"/>
      <sheetName val="FORM7"/>
      <sheetName val="Stock"/>
      <sheetName val="RCC,Ret. Wall"/>
      <sheetName val="REVENUES &amp; BS"/>
      <sheetName val="cul-invSUBMITTED"/>
      <sheetName val="Data Sheet"/>
      <sheetName val="PLAN_FEB97"/>
      <sheetName val="POI_MASTER_1"/>
      <sheetName val="Lead"/>
      <sheetName val="NOTES"/>
      <sheetName val="DREV"/>
      <sheetName val="CREV"/>
      <sheetName val="R MTL"/>
      <sheetName val="pack pnl-99"/>
      <sheetName val="Perf Distribution"/>
      <sheetName val="Assumptions"/>
      <sheetName val="Loan Data"/>
      <sheetName val="Philippines"/>
    </sheetNames>
    <sheetDataSet>
      <sheetData sheetId="0">
        <row r="5">
          <cell r="Q5" t="str">
            <v>Status as on :</v>
          </cell>
        </row>
      </sheetData>
      <sheetData sheetId="1">
        <row r="5">
          <cell r="Q5" t="str">
            <v>Status as on :</v>
          </cell>
          <cell r="R5">
            <v>38807</v>
          </cell>
        </row>
        <row r="6">
          <cell r="A6" t="str">
            <v>Sl No</v>
          </cell>
          <cell r="B6" t="str">
            <v>Description</v>
          </cell>
          <cell r="C6" t="str">
            <v>Unit</v>
          </cell>
          <cell r="D6" t="str">
            <v>Rate</v>
          </cell>
          <cell r="E6" t="str">
            <v>BOQ Quantity</v>
          </cell>
          <cell r="G6" t="str">
            <v xml:space="preserve">Achieved </v>
          </cell>
          <cell r="R6" t="str">
            <v>Total Financial Progress</v>
          </cell>
          <cell r="S6" t="str">
            <v>Total % Achieved</v>
          </cell>
          <cell r="T6" t="str">
            <v>Remarks</v>
          </cell>
        </row>
        <row r="7">
          <cell r="E7" t="str">
            <v>Quantity</v>
          </cell>
          <cell r="F7" t="str">
            <v>Amount in Rs.</v>
          </cell>
          <cell r="G7" t="str">
            <v>%  Achieved</v>
          </cell>
          <cell r="H7" t="str">
            <v>Achieved Qty</v>
          </cell>
          <cell r="O7" t="str">
            <v>Total</v>
          </cell>
          <cell r="Q7" t="str">
            <v>Amount in Rs.</v>
          </cell>
        </row>
        <row r="8">
          <cell r="A8">
            <v>1</v>
          </cell>
          <cell r="B8" t="str">
            <v>Site Clearence &amp; Earthworks</v>
          </cell>
          <cell r="F8">
            <v>310506593</v>
          </cell>
          <cell r="H8" t="str">
            <v>Nov 05</v>
          </cell>
          <cell r="I8" t="str">
            <v>IPC 3</v>
          </cell>
          <cell r="J8" t="str">
            <v>IPC 4</v>
          </cell>
          <cell r="K8" t="str">
            <v>IPC 5(Sub)</v>
          </cell>
          <cell r="L8" t="str">
            <v>Jan 06</v>
          </cell>
          <cell r="M8" t="str">
            <v>Feb-06</v>
          </cell>
          <cell r="N8" t="str">
            <v>March 06</v>
          </cell>
          <cell r="R8">
            <v>244937103.88000003</v>
          </cell>
          <cell r="S8">
            <v>0.7888306058609198</v>
          </cell>
        </row>
        <row r="9">
          <cell r="A9">
            <v>1.01</v>
          </cell>
          <cell r="B9" t="str">
            <v xml:space="preserve">Clearing and grubbing </v>
          </cell>
          <cell r="C9" t="str">
            <v>Ha</v>
          </cell>
          <cell r="D9">
            <v>12697</v>
          </cell>
          <cell r="E9">
            <v>147</v>
          </cell>
          <cell r="F9">
            <v>1866459</v>
          </cell>
          <cell r="G9">
            <v>0.30102040816326531</v>
          </cell>
          <cell r="L9">
            <v>2.08</v>
          </cell>
          <cell r="M9">
            <v>5</v>
          </cell>
          <cell r="N9">
            <v>1.5</v>
          </cell>
          <cell r="O9">
            <v>44.25</v>
          </cell>
          <cell r="P9">
            <v>39.25</v>
          </cell>
          <cell r="Q9">
            <v>561842.25</v>
          </cell>
        </row>
        <row r="10">
          <cell r="A10">
            <v>1.1599999999999999</v>
          </cell>
          <cell r="B10" t="str">
            <v xml:space="preserve">Stripping of top soil </v>
          </cell>
          <cell r="C10" t="str">
            <v>Cum</v>
          </cell>
          <cell r="D10">
            <v>15</v>
          </cell>
          <cell r="E10">
            <v>89325</v>
          </cell>
          <cell r="F10">
            <v>1339875</v>
          </cell>
          <cell r="G10">
            <v>0</v>
          </cell>
          <cell r="M10">
            <v>0</v>
          </cell>
          <cell r="O10">
            <v>0</v>
          </cell>
          <cell r="Q10">
            <v>0</v>
          </cell>
        </row>
        <row r="11">
          <cell r="A11">
            <v>1.17</v>
          </cell>
          <cell r="B11" t="str">
            <v xml:space="preserve">Earthwork in excavation for roadway in all types of Soil </v>
          </cell>
          <cell r="C11" t="str">
            <v>Cum</v>
          </cell>
          <cell r="D11">
            <v>32</v>
          </cell>
          <cell r="E11">
            <v>541924</v>
          </cell>
          <cell r="F11">
            <v>17341568</v>
          </cell>
          <cell r="G11">
            <v>0.68037544009861162</v>
          </cell>
          <cell r="H11">
            <v>220724.38999999998</v>
          </cell>
          <cell r="L11">
            <v>78907.390000000014</v>
          </cell>
          <cell r="M11">
            <v>68729</v>
          </cell>
          <cell r="N11">
            <v>22779</v>
          </cell>
          <cell r="O11">
            <v>368711.78</v>
          </cell>
          <cell r="P11">
            <v>299982.78000000003</v>
          </cell>
          <cell r="Q11">
            <v>11798776.960000001</v>
          </cell>
        </row>
        <row r="12">
          <cell r="A12">
            <v>1.18</v>
          </cell>
          <cell r="B12" t="str">
            <v xml:space="preserve">Earthwork in excaation for road way  in Ordinary Rock / weathered rock </v>
          </cell>
          <cell r="C12" t="str">
            <v>Cum</v>
          </cell>
          <cell r="D12">
            <v>77</v>
          </cell>
          <cell r="E12">
            <v>257494</v>
          </cell>
          <cell r="F12">
            <v>19827038</v>
          </cell>
          <cell r="G12">
            <v>2.0740019961630178</v>
          </cell>
          <cell r="H12">
            <v>315237.15999999997</v>
          </cell>
          <cell r="L12">
            <v>123615.91000000009</v>
          </cell>
          <cell r="M12">
            <v>74810.000000000058</v>
          </cell>
          <cell r="N12">
            <v>19850</v>
          </cell>
          <cell r="O12">
            <v>534043.07000000007</v>
          </cell>
          <cell r="P12">
            <v>459233.07</v>
          </cell>
          <cell r="Q12">
            <v>41121316.390000008</v>
          </cell>
        </row>
        <row r="13">
          <cell r="A13">
            <v>1.19</v>
          </cell>
          <cell r="B13" t="str">
            <v xml:space="preserve">Earthwork excavation for road way in Rock Requiring Blasting </v>
          </cell>
          <cell r="C13" t="str">
            <v>Cum</v>
          </cell>
          <cell r="D13">
            <v>217</v>
          </cell>
          <cell r="E13">
            <v>631420</v>
          </cell>
          <cell r="F13">
            <v>137018140</v>
          </cell>
          <cell r="G13">
            <v>4.705210477970289E-2</v>
          </cell>
          <cell r="H13">
            <v>10652.77</v>
          </cell>
          <cell r="L13">
            <v>17381.87</v>
          </cell>
          <cell r="M13">
            <v>5965</v>
          </cell>
          <cell r="N13">
            <v>5965</v>
          </cell>
          <cell r="O13">
            <v>29709.64</v>
          </cell>
          <cell r="P13">
            <v>23744.639999999999</v>
          </cell>
          <cell r="Q13">
            <v>6446991.8799999999</v>
          </cell>
        </row>
        <row r="14">
          <cell r="A14">
            <v>1.2</v>
          </cell>
          <cell r="B14" t="str">
            <v>Earthwork in excation for roadway in Rock Requiring Controlled Blasting</v>
          </cell>
          <cell r="C14" t="str">
            <v>Cum</v>
          </cell>
          <cell r="D14">
            <v>306</v>
          </cell>
          <cell r="E14">
            <v>70158</v>
          </cell>
          <cell r="F14">
            <v>21468348</v>
          </cell>
          <cell r="G14">
            <v>2.9508066079420736</v>
          </cell>
          <cell r="H14">
            <v>154072.20000000001</v>
          </cell>
          <cell r="L14">
            <v>0</v>
          </cell>
          <cell r="M14">
            <v>23280</v>
          </cell>
          <cell r="N14">
            <v>10800</v>
          </cell>
          <cell r="O14">
            <v>207022.69</v>
          </cell>
          <cell r="P14">
            <v>183742.69</v>
          </cell>
          <cell r="Q14">
            <v>63348943.140000001</v>
          </cell>
        </row>
        <row r="15">
          <cell r="A15">
            <v>1.21</v>
          </cell>
          <cell r="B15" t="str">
            <v xml:space="preserve">Removal of unsuitable material excavated for roadway ad disposal </v>
          </cell>
          <cell r="C15" t="str">
            <v>Cum / Km</v>
          </cell>
          <cell r="D15">
            <v>6</v>
          </cell>
          <cell r="E15">
            <v>108384</v>
          </cell>
          <cell r="F15">
            <v>650304</v>
          </cell>
          <cell r="G15">
            <v>0</v>
          </cell>
          <cell r="H15">
            <v>32333.32</v>
          </cell>
          <cell r="L15">
            <v>21200</v>
          </cell>
          <cell r="M15">
            <v>1200</v>
          </cell>
          <cell r="N15">
            <v>1200</v>
          </cell>
          <cell r="O15">
            <v>53533.32</v>
          </cell>
          <cell r="P15">
            <v>52333.32</v>
          </cell>
          <cell r="Q15">
            <v>321199.92</v>
          </cell>
        </row>
        <row r="16">
          <cell r="A16" t="str">
            <v>1.22(a)</v>
          </cell>
          <cell r="B16" t="str">
            <v xml:space="preserve">Earthwork in Embankment using approved excavated material from roadway excavation and compacting to 95% </v>
          </cell>
          <cell r="C16" t="str">
            <v>Cum</v>
          </cell>
          <cell r="D16">
            <v>36</v>
          </cell>
          <cell r="E16">
            <v>868350</v>
          </cell>
          <cell r="F16">
            <v>31260600</v>
          </cell>
          <cell r="G16">
            <v>0.32222516266482404</v>
          </cell>
          <cell r="H16">
            <v>167384.60999999999</v>
          </cell>
          <cell r="L16">
            <v>5000</v>
          </cell>
          <cell r="M16">
            <v>69653.999999999971</v>
          </cell>
          <cell r="N16">
            <v>29104</v>
          </cell>
          <cell r="O16">
            <v>279804.21999999997</v>
          </cell>
          <cell r="P16">
            <v>210150.22</v>
          </cell>
          <cell r="Q16">
            <v>10072951.919999998</v>
          </cell>
        </row>
        <row r="17">
          <cell r="A17" t="str">
            <v>1.22(b)</v>
          </cell>
          <cell r="B17" t="str">
            <v xml:space="preserve">Earthwork in Embankment using approved excavated material from Nice/Nice  other than and compacting to 95% </v>
          </cell>
          <cell r="C17" t="str">
            <v>Cum</v>
          </cell>
          <cell r="D17">
            <v>74</v>
          </cell>
          <cell r="H17">
            <v>71744.100000000006</v>
          </cell>
          <cell r="L17">
            <v>16000</v>
          </cell>
          <cell r="M17">
            <v>0</v>
          </cell>
          <cell r="N17">
            <v>31500</v>
          </cell>
          <cell r="O17">
            <v>98744.1</v>
          </cell>
          <cell r="P17">
            <v>98744.1</v>
          </cell>
          <cell r="Q17">
            <v>7307063.4000000004</v>
          </cell>
        </row>
        <row r="18">
          <cell r="A18" t="str">
            <v>1.22(b)(i)</v>
          </cell>
          <cell r="B18" t="str">
            <v xml:space="preserve">Earthwork in Embankment using approved weathered rock excaved material from roadway excavation on between Row&amp; Toe line </v>
          </cell>
          <cell r="C18" t="str">
            <v>Cum</v>
          </cell>
          <cell r="D18">
            <v>93</v>
          </cell>
          <cell r="N18">
            <v>9200</v>
          </cell>
          <cell r="O18">
            <v>123565.16</v>
          </cell>
        </row>
        <row r="19">
          <cell r="A19">
            <v>1.23</v>
          </cell>
          <cell r="B19" t="str">
            <v xml:space="preserve">Earthwork in Embankment with approved Rock cut obtained from road way excavation </v>
          </cell>
          <cell r="C19" t="str">
            <v>Cum</v>
          </cell>
          <cell r="D19">
            <v>60</v>
          </cell>
          <cell r="E19">
            <v>0</v>
          </cell>
          <cell r="F19">
            <v>0</v>
          </cell>
          <cell r="G19">
            <v>0</v>
          </cell>
          <cell r="H19">
            <v>268652.63</v>
          </cell>
          <cell r="L19">
            <v>6000</v>
          </cell>
          <cell r="M19">
            <v>95976</v>
          </cell>
          <cell r="N19">
            <v>46068</v>
          </cell>
          <cell r="O19">
            <v>406458.63</v>
          </cell>
          <cell r="P19">
            <v>310482.63</v>
          </cell>
          <cell r="Q19">
            <v>24387517.800000001</v>
          </cell>
        </row>
        <row r="20">
          <cell r="A20">
            <v>1.24</v>
          </cell>
          <cell r="B20" t="str">
            <v xml:space="preserve">Earthwork in Embankment for Subgrade, median and shoulder with approved material obtained from roadway excavation </v>
          </cell>
          <cell r="C20" t="str">
            <v>Cum</v>
          </cell>
          <cell r="D20">
            <v>39</v>
          </cell>
          <cell r="E20">
            <v>22816</v>
          </cell>
          <cell r="F20">
            <v>889824</v>
          </cell>
          <cell r="G20">
            <v>1.7463012798036466</v>
          </cell>
          <cell r="H20">
            <v>3394</v>
          </cell>
          <cell r="L20">
            <v>1200</v>
          </cell>
          <cell r="M20">
            <v>25004</v>
          </cell>
          <cell r="N20">
            <v>15959</v>
          </cell>
          <cell r="O20">
            <v>39843.61</v>
          </cell>
          <cell r="P20">
            <v>14839.61</v>
          </cell>
          <cell r="Q20">
            <v>1553900.79</v>
          </cell>
        </row>
        <row r="21">
          <cell r="A21">
            <v>1.25</v>
          </cell>
          <cell r="B21" t="str">
            <v>Earthwork in Embankment with approved material obtained from borrow areas and compacting to 95%</v>
          </cell>
          <cell r="C21" t="str">
            <v>Cum</v>
          </cell>
          <cell r="D21">
            <v>93</v>
          </cell>
          <cell r="E21">
            <v>665652</v>
          </cell>
          <cell r="F21">
            <v>61905636</v>
          </cell>
          <cell r="G21">
            <v>0.99440799396681756</v>
          </cell>
          <cell r="H21">
            <v>256888.58000000002</v>
          </cell>
          <cell r="L21">
            <v>405041.09000000008</v>
          </cell>
          <cell r="M21">
            <v>13570</v>
          </cell>
          <cell r="O21">
            <v>661929.67000000004</v>
          </cell>
          <cell r="P21">
            <v>648359.67000000004</v>
          </cell>
          <cell r="Q21">
            <v>61559459.310000002</v>
          </cell>
        </row>
        <row r="22">
          <cell r="A22">
            <v>1.26</v>
          </cell>
          <cell r="B22" t="str">
            <v>Earthwork in Embankment for Subgrade, median and shoulder with approved material obtained from borrow areas</v>
          </cell>
          <cell r="C22" t="str">
            <v>Cum</v>
          </cell>
          <cell r="D22">
            <v>96</v>
          </cell>
          <cell r="E22">
            <v>171149</v>
          </cell>
          <cell r="F22">
            <v>16430304</v>
          </cell>
          <cell r="G22">
            <v>0.5870706226738106</v>
          </cell>
          <cell r="H22">
            <v>77623.899999999994</v>
          </cell>
          <cell r="L22">
            <v>22852.650000000009</v>
          </cell>
          <cell r="M22">
            <v>4420</v>
          </cell>
          <cell r="N22">
            <v>4420</v>
          </cell>
          <cell r="O22">
            <v>100476.55</v>
          </cell>
          <cell r="P22">
            <v>96056.55</v>
          </cell>
          <cell r="Q22">
            <v>9645748.8000000007</v>
          </cell>
        </row>
        <row r="23">
          <cell r="A23">
            <v>1.27</v>
          </cell>
          <cell r="B23" t="str">
            <v xml:space="preserve">Compaction of original ground including scarrifiying, mixing with water and compacting to achieve 95% </v>
          </cell>
          <cell r="C23" t="str">
            <v>Sqm</v>
          </cell>
          <cell r="D23">
            <v>19</v>
          </cell>
          <cell r="E23">
            <v>26763</v>
          </cell>
          <cell r="F23">
            <v>508497</v>
          </cell>
          <cell r="G23">
            <v>13.395145536748498</v>
          </cell>
          <cell r="H23">
            <v>257653.28</v>
          </cell>
          <cell r="L23">
            <v>95311.180000000051</v>
          </cell>
          <cell r="M23">
            <v>67090</v>
          </cell>
          <cell r="N23">
            <v>17390</v>
          </cell>
          <cell r="O23">
            <v>358494.28</v>
          </cell>
          <cell r="P23">
            <v>291404.28000000003</v>
          </cell>
          <cell r="Q23">
            <v>6811391.3200000003</v>
          </cell>
        </row>
      </sheetData>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pack pnl_99"/>
      <sheetName val="P &amp; L"/>
      <sheetName val="SALES-VAL"/>
      <sheetName val="D"/>
      <sheetName val="Detail Sheet (pro)"/>
      <sheetName val=" January"/>
      <sheetName val="Lookup"/>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Sheet2"/>
      <sheetName val="Balance Sht"/>
      <sheetName val="Инструкция"/>
      <sheetName val="entitlements"/>
      <sheetName val="CUENTAS"/>
      <sheetName val="Tables"/>
      <sheetName val="Comm. Scp"/>
      <sheetName val="key"/>
      <sheetName val="MAR06"/>
      <sheetName val="Trial-Sub"/>
      <sheetName val="AEB Intt Working"/>
      <sheetName val="BRND1299"/>
      <sheetName val="Pkgg"/>
      <sheetName val="Back-up"/>
      <sheetName val="Personal"/>
      <sheetName val="Milan"/>
      <sheetName val="POI_MASTER_1"/>
      <sheetName val="OB OR"/>
      <sheetName val="OB PTBF"/>
      <sheetName val="cap gains"/>
      <sheetName val="Debit bal circularised"/>
      <sheetName val="Consolidated"/>
      <sheetName val="SUMMARY_BALANCE"/>
      <sheetName val="BSLA"/>
      <sheetName val="Detail"/>
      <sheetName val="DATA"/>
      <sheetName val=" "/>
      <sheetName val="final"/>
      <sheetName val="CCO GM total"/>
      <sheetName val="Backlog"/>
      <sheetName val="ANNEXURE-P&amp;L"/>
      <sheetName val="MASTER LIST OF NPD SKU"/>
      <sheetName val="WELCOME"/>
      <sheetName val="Retrieve 2008 per country"/>
      <sheetName val="Contents"/>
      <sheetName val="Retrieve Activity by Month"/>
      <sheetName val="Retrieve Activity YTD ROY YE"/>
      <sheetName val="SWITCH"/>
      <sheetName val="Schedules"/>
      <sheetName val="NOTES"/>
      <sheetName val="MS-Bud"/>
      <sheetName val="CL OR"/>
      <sheetName val="OB FIXED"/>
      <sheetName val="Masters"/>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Basic Details"/>
      <sheetName val="PL Groupings"/>
      <sheetName val="BS Groupings"/>
      <sheetName val="Chiet tinh"/>
      <sheetName val="Component Pricing, Costs"/>
      <sheetName val="Performance Report"/>
      <sheetName val="admn block"/>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OPEX_VC"/>
      <sheetName val="Comps"/>
      <sheetName val="pivot"/>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Setup"/>
      <sheetName val="Control Chart-KOFIAT"/>
      <sheetName val="Adjustments"/>
      <sheetName val="New Val Summ"/>
      <sheetName val="OIL"/>
      <sheetName val="TrialBal"/>
      <sheetName val="入力３"/>
      <sheetName val="GiaVL"/>
      <sheetName val="定数"/>
      <sheetName val="DGP-2002"/>
      <sheetName val="valn"/>
      <sheetName val="Misc.Liq"/>
      <sheetName val="Ann.VI.2"/>
      <sheetName val="major"/>
      <sheetName val="Marshal"/>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Non Japan Cashflow Assumptions"/>
      <sheetName val="Phillipines_PandL upto Dec10"/>
      <sheetName val="BSHEET"/>
      <sheetName val="P&amp;L-UK"/>
      <sheetName val="fa"/>
      <sheetName val="Assistance"/>
      <sheetName val="EXPENSES"/>
      <sheetName val="Assumptions"/>
      <sheetName val="BRND1299.XLS"/>
      <sheetName val="trial_HO"/>
      <sheetName val="Annexure 1"/>
      <sheetName val="FS"/>
      <sheetName val="Exp Reimb"/>
      <sheetName val="Opdata (2)"/>
      <sheetName val="Assumption"/>
      <sheetName val="Sheet1 (3)"/>
      <sheetName val="List_Information"/>
      <sheetName val="Financing"/>
      <sheetName val="Cost-C"/>
      <sheetName val="Cost-YTD"/>
      <sheetName val="Fin Mar"/>
      <sheetName val="Perf Distribution"/>
      <sheetName val="BS"/>
      <sheetName val="pa-mtly"/>
      <sheetName val="OP. STOCK AS ON 01.09.2005"/>
      <sheetName val="Project Status Report"/>
      <sheetName val="TRIAL BALANCE"/>
      <sheetName val="Consolidation _Rs"/>
      <sheetName val="Misc_Liq"/>
      <sheetName val="Component_Pricing,_Costs"/>
      <sheetName val="Performance_Report"/>
      <sheetName val="Control_Chart-KOFIAT"/>
      <sheetName val=""/>
      <sheetName val="#REF"/>
      <sheetName val="nVision"/>
      <sheetName val="RCC,Ret. Wall"/>
      <sheetName val="P&amp;L-Schedules"/>
      <sheetName val="A"/>
      <sheetName val="Exe_Summary_MD"/>
      <sheetName val="CTC BS"/>
      <sheetName val="Physical Status "/>
      <sheetName val="Summary"/>
      <sheetName val="Delhi"/>
      <sheetName val="Masterdata_Nov"/>
      <sheetName val="Masterdata_Dec"/>
      <sheetName val="Masterdata_Oct "/>
      <sheetName val="FY96 CB Div Pool "/>
      <sheetName val="Dev Bdgt"/>
      <sheetName val="Rates"/>
      <sheetName val="Philippines"/>
      <sheetName val="concrete"/>
      <sheetName val="Challan"/>
      <sheetName val="23000-24990old"/>
      <sheetName val="conc-foot-gradeslab"/>
      <sheetName val="Labor abs-NMR"/>
      <sheetName val="FORM7"/>
      <sheetName val="Sheet1"/>
      <sheetName val="GROUPING"/>
      <sheetName val="P&amp;LSum"/>
      <sheetName val="Inputs"/>
      <sheetName val="269T(final)"/>
      <sheetName val="Intaccrual"/>
      <sheetName val="Market Num50"/>
      <sheetName val="Market Num75"/>
      <sheetName val="Market Val50"/>
      <sheetName val="Market Val75"/>
      <sheetName val="Index"/>
      <sheetName val="Managerial Remuneration-Dec96"/>
      <sheetName val="hmax_2"/>
      <sheetName val="PISCOST"/>
      <sheetName val="MASTER-PIN "/>
      <sheetName val="A&amp;M _ FBT"/>
      <sheetName val="EIL-SAL-CC"/>
      <sheetName val="ANALYSIS(PACKING)"/>
      <sheetName val="CON-I"/>
      <sheetName val="BAW(D)"/>
      <sheetName val="YR 2004 - Firm "/>
      <sheetName val="5(a)"/>
      <sheetName val="L.L Rates"/>
      <sheetName val="PIN -KEY"/>
      <sheetName val="KEY-DATA"/>
      <sheetName val="94RES_D (2)"/>
      <sheetName val="Tax Computation"/>
      <sheetName val="Sheet3 (2)"/>
      <sheetName val="BUDLDD"/>
      <sheetName val="Quantity"/>
      <sheetName val="Jan 2000 Award %"/>
      <sheetName val="Name"/>
      <sheetName val="Mobilephones"/>
      <sheetName val="Company"/>
      <sheetName val="PSY1"/>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Pivotal Usage"/>
      <sheetName val="Grp"/>
      <sheetName val="ITEMS"/>
      <sheetName val="Results PL"/>
      <sheetName val="0"/>
      <sheetName val="Inc.St.-Link"/>
      <sheetName val="95期ﾍﾞ-ｽｺｽﾄ"/>
      <sheetName val="W PlasterVol"/>
      <sheetName val="16-3"/>
      <sheetName val="Perquisites"/>
      <sheetName val="Reqs"/>
      <sheetName val="Original+CC"/>
      <sheetName val="Modality Summary"/>
      <sheetName val="Fill this out first..."/>
      <sheetName val="MIS"/>
      <sheetName val="Form 16"/>
      <sheetName val="ATB NZE - All accs - 28 Jun (2)"/>
      <sheetName val="Cash payments &gt;Rs.20,000"/>
      <sheetName val="pl"/>
      <sheetName val="fixed assets"/>
      <sheetName val="R.O.2"/>
      <sheetName val="FATT"/>
      <sheetName val="Cheat"/>
      <sheetName val="Assumption-EDS Existing"/>
      <sheetName val="INTRST-XIIC"/>
      <sheetName val="formx"/>
      <sheetName val="MISC.1d"/>
      <sheetName val="Balance Sheet "/>
      <sheetName val="Other Notes"/>
      <sheetName val="pacific forms"/>
      <sheetName val="pactbformat"/>
      <sheetName val="HypMGMT-NaturalAcct"/>
      <sheetName val="FORM-16"/>
      <sheetName val="DATA - NI"/>
      <sheetName val="Performance Chart"/>
      <sheetName val="LS"/>
      <sheetName val="Request "/>
      <sheetName val="Master sheet"/>
      <sheetName val="CRITERIA1"/>
      <sheetName val="DEP99"/>
      <sheetName val="R MTL"/>
      <sheetName val="Tax_Computation"/>
      <sheetName val="Ann_VI_2"/>
      <sheetName val="Fin_Mar"/>
      <sheetName val="OP__STOCK_AS_ON_01_09_2005"/>
      <sheetName val="New_Val_Summ"/>
      <sheetName val="Perf_Distribution"/>
      <sheetName val="Phillipines_PandL_upto_Dec10"/>
      <sheetName val="Project_Status_Report"/>
      <sheetName val="P&amp;L Nov 02"/>
      <sheetName val="PRINCIPAL &amp; INTT 96-97"/>
      <sheetName val="POWER-DEPT"/>
      <sheetName val="SALE"/>
      <sheetName val="pack_pnl-996"/>
      <sheetName val="Inputs-Pack_level6"/>
      <sheetName val="Inputs-Brand_level6"/>
      <sheetName val="Sp_&amp;Ma_6"/>
      <sheetName val="F_Depn_6"/>
      <sheetName val="pack_pnl_996"/>
      <sheetName val="P_&amp;_L6"/>
      <sheetName val="Detail_Sheet_(pro)6"/>
      <sheetName val="HAWAII_REGION6"/>
      <sheetName val="TOTAL_WAIKOLOA6"/>
      <sheetName val="HIA_FAC6"/>
      <sheetName val="WAIKIKI_GALLERIA6"/>
      <sheetName val="TOTAL_HHV6"/>
      <sheetName val="TOTAL_WHALERS6"/>
      <sheetName val="Balance_Sht6"/>
      <sheetName val="_January6"/>
      <sheetName val="Comm__Scp6"/>
      <sheetName val="cap_gains6"/>
      <sheetName val="AEB_Intt_Working1"/>
      <sheetName val="Basic_Details1"/>
      <sheetName val="PL_Groupings1"/>
      <sheetName val="BS_Groupings1"/>
      <sheetName val="Fin_Mar1"/>
      <sheetName val="Perf_Distribution1"/>
      <sheetName val="Chiet_tinh1"/>
      <sheetName val="Debit_bal_circularised1"/>
      <sheetName val="Despatches_schedule1"/>
      <sheetName val="OB_OR1"/>
      <sheetName val="OB_PTBF1"/>
      <sheetName val="_1"/>
      <sheetName val="CCO_GM_total1"/>
      <sheetName val="MASTER_LIST_OF_NPD_SKU1"/>
      <sheetName val="Retrieve_2008_per_country1"/>
      <sheetName val="Retrieve_Activity_by_Month1"/>
      <sheetName val="Retrieve_Activity_YTD_ROY_YE1"/>
      <sheetName val="CL_OR1"/>
      <sheetName val="OB_FIXED1"/>
      <sheetName val="Component_Pricing,_Costs1"/>
      <sheetName val="admn_block1"/>
      <sheetName val="Performance_Report1"/>
      <sheetName val="Misc_Liq1"/>
      <sheetName val="Control_Chart-KOFIAT1"/>
      <sheetName val="New_Val_Summ1"/>
      <sheetName val="Ann_VI_21"/>
      <sheetName val="Phillipines_PandL_upto_Dec101"/>
      <sheetName val="Annexure_1"/>
      <sheetName val="Non_Japan_Cashflow_Assumptions"/>
      <sheetName val="Opdata_(2)"/>
      <sheetName val="OP__STOCK_AS_ON_01_09_20051"/>
      <sheetName val="RCC,Ret__Wall"/>
      <sheetName val="Project_Status_Report1"/>
      <sheetName val="CTC_BS"/>
      <sheetName val="Physical_Status_"/>
      <sheetName val="Masterdata_Oct_"/>
      <sheetName val="TRIAL_BALANCE"/>
      <sheetName val="FY96_CB_Div_Pool_"/>
      <sheetName val="Dev_Bdgt"/>
      <sheetName val="Consolidation__Rs"/>
      <sheetName val="Labor_abs-NMR"/>
      <sheetName val="BRND1299_XLS"/>
      <sheetName val="Exp_Reimb"/>
      <sheetName val="Market_Num50"/>
      <sheetName val="Market_Num75"/>
      <sheetName val="Market_Val50"/>
      <sheetName val="Market_Val75"/>
      <sheetName val="Managerial_Remuneration-Dec96"/>
      <sheetName val="MASTER-PIN_"/>
      <sheetName val="A&amp;M___FBT"/>
      <sheetName val="Sheet1_(3)"/>
      <sheetName val="YR_2004_-_Firm_"/>
      <sheetName val="L_L_Rates"/>
      <sheetName val="PIN_-KEY"/>
      <sheetName val="94RES_D_(2)"/>
      <sheetName val="Tax_Computation1"/>
      <sheetName val="Sheet3_(2)"/>
      <sheetName val="Jan_2000_Award_%"/>
      <sheetName val="P&amp;L_February"/>
      <sheetName val="P&amp;L_Feb_2001_cumulative"/>
      <sheetName val="stat_C_(2)"/>
      <sheetName val="Loan_Data"/>
      <sheetName val="Pivotal_Usage"/>
      <sheetName val="Results_PL"/>
      <sheetName val="Inc_St_-Link"/>
      <sheetName val="W_PlasterVol"/>
      <sheetName val="Modality_Summary"/>
      <sheetName val="Fill_this_out_first___"/>
      <sheetName val="Form_16"/>
      <sheetName val="ATB_NZE_-_All_accs_-_28_Jun_(2)"/>
      <sheetName val="Cash_payments_&gt;Rs_20,000"/>
      <sheetName val="fixed_assets"/>
      <sheetName val="R_O_2"/>
      <sheetName val="Assumption-EDS_Existing"/>
      <sheetName val="MISC_1d"/>
      <sheetName val="Balance_Sheet_"/>
      <sheetName val="Other_Notes"/>
      <sheetName val="pacific_forms"/>
      <sheetName val="DATA_-_NI"/>
      <sheetName val="Performance_Chart"/>
      <sheetName val="Request_"/>
      <sheetName val="Master_sheet"/>
      <sheetName val="R_MTL"/>
      <sheetName val="P&amp;L_Nov_02"/>
      <sheetName val="PRINCIPAL_&amp;_INTT_96-9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refreshError="1"/>
      <sheetData sheetId="96" refreshError="1"/>
      <sheetData sheetId="97" refreshError="1"/>
      <sheetData sheetId="98"/>
      <sheetData sheetId="99"/>
      <sheetData sheetId="100"/>
      <sheetData sheetId="101"/>
      <sheetData sheetId="102" refreshError="1"/>
      <sheetData sheetId="103"/>
      <sheetData sheetId="104"/>
      <sheetData sheetId="105"/>
      <sheetData sheetId="106"/>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Jan03"/>
      <sheetName val="Feb03"/>
      <sheetName val="Apr03"/>
      <sheetName val="Mar03"/>
      <sheetName val="May03"/>
      <sheetName val="June03"/>
      <sheetName val="Jul03"/>
      <sheetName val="Aug03"/>
      <sheetName val="Sept03"/>
      <sheetName val="Oct03"/>
      <sheetName val="Nov03"/>
      <sheetName val="Dec03"/>
      <sheetName val="Jan04"/>
      <sheetName val="Feb04"/>
      <sheetName val="Mar04"/>
      <sheetName val="Apr04"/>
      <sheetName val="2004"/>
      <sheetName val="Sheet5"/>
      <sheetName val=" Temp"/>
      <sheetName val="Sheet3"/>
    </sheetNames>
    <sheetDataSet>
      <sheetData sheetId="0" refreshError="1">
        <row r="2">
          <cell r="K2">
            <v>731395.14</v>
          </cell>
        </row>
        <row r="3">
          <cell r="K3">
            <v>-1028537.21</v>
          </cell>
        </row>
        <row r="4">
          <cell r="K4">
            <v>539616.02</v>
          </cell>
        </row>
        <row r="5">
          <cell r="K5">
            <v>-610257.81999999995</v>
          </cell>
        </row>
        <row r="6">
          <cell r="K6">
            <v>-535746.93999999994</v>
          </cell>
        </row>
        <row r="7">
          <cell r="K7">
            <v>-610257.81999999995</v>
          </cell>
        </row>
        <row r="8">
          <cell r="K8">
            <v>1220515.6299999999</v>
          </cell>
        </row>
        <row r="9">
          <cell r="K9">
            <v>-610257.81999999995</v>
          </cell>
        </row>
        <row r="10">
          <cell r="K10">
            <v>-3869.5</v>
          </cell>
        </row>
        <row r="11">
          <cell r="K11">
            <v>-731475.39</v>
          </cell>
        </row>
        <row r="12">
          <cell r="K12">
            <v>731475.39</v>
          </cell>
        </row>
        <row r="13">
          <cell r="K13">
            <v>767922.75</v>
          </cell>
        </row>
        <row r="14">
          <cell r="K14">
            <v>-731359.14</v>
          </cell>
        </row>
        <row r="15">
          <cell r="K15">
            <v>-171496.24</v>
          </cell>
        </row>
        <row r="16">
          <cell r="K16">
            <v>472807.4</v>
          </cell>
        </row>
        <row r="17">
          <cell r="K17">
            <v>22401.43</v>
          </cell>
        </row>
        <row r="18">
          <cell r="K18">
            <v>-32401</v>
          </cell>
        </row>
        <row r="19">
          <cell r="K19">
            <v>989018.73</v>
          </cell>
        </row>
        <row r="20">
          <cell r="K20">
            <v>-3869.5</v>
          </cell>
        </row>
        <row r="21">
          <cell r="K21">
            <v>3869.5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7"/>
      <sheetName val="FCAST96"/>
    </sheetNames>
    <sheetDataSet>
      <sheetData sheetId="0"/>
      <sheetData sheetId="1" refreshError="1">
        <row r="8">
          <cell r="C8" t="str">
            <v>CONTRACT</v>
          </cell>
        </row>
        <row r="9">
          <cell r="C9" t="str">
            <v>NO.</v>
          </cell>
          <cell r="D9" t="str">
            <v>UNDER CONTRACT TO.</v>
          </cell>
          <cell r="E9">
            <v>35065</v>
          </cell>
          <cell r="F9">
            <v>35096</v>
          </cell>
          <cell r="G9">
            <v>35125</v>
          </cell>
          <cell r="H9">
            <v>35156</v>
          </cell>
          <cell r="I9">
            <v>35186</v>
          </cell>
          <cell r="J9">
            <v>35217</v>
          </cell>
          <cell r="K9">
            <v>35247</v>
          </cell>
          <cell r="L9">
            <v>35278</v>
          </cell>
          <cell r="M9">
            <v>35309</v>
          </cell>
          <cell r="N9">
            <v>35339</v>
          </cell>
          <cell r="O9">
            <v>35370</v>
          </cell>
          <cell r="P9">
            <v>35400</v>
          </cell>
          <cell r="Q9" t="str">
            <v>96 TOTALS</v>
          </cell>
        </row>
        <row r="10">
          <cell r="C10" t="str">
            <v>CNN_ _ _ _</v>
          </cell>
          <cell r="D10" t="str">
            <v>Space Time Network</v>
          </cell>
          <cell r="O10">
            <v>21000</v>
          </cell>
          <cell r="P10">
            <v>21000</v>
          </cell>
          <cell r="Q10">
            <v>42000</v>
          </cell>
        </row>
        <row r="11">
          <cell r="C11" t="str">
            <v xml:space="preserve">TNT </v>
          </cell>
          <cell r="D11" t="str">
            <v>Space Time Network</v>
          </cell>
          <cell r="O11">
            <v>9000</v>
          </cell>
          <cell r="P11">
            <v>9000</v>
          </cell>
          <cell r="Q11">
            <v>18000</v>
          </cell>
        </row>
        <row r="12">
          <cell r="Q12">
            <v>0</v>
          </cell>
        </row>
        <row r="13">
          <cell r="C13" t="str">
            <v>CNN</v>
          </cell>
          <cell r="D13" t="str">
            <v>Taj Mahal - Mumbai</v>
          </cell>
          <cell r="Q13">
            <v>0</v>
          </cell>
        </row>
        <row r="14">
          <cell r="C14" t="str">
            <v>CNN</v>
          </cell>
          <cell r="D14" t="str">
            <v>Taj Mahal - Bengal</v>
          </cell>
          <cell r="Q14">
            <v>0</v>
          </cell>
        </row>
        <row r="15">
          <cell r="C15" t="str">
            <v>CNN</v>
          </cell>
          <cell r="D15" t="str">
            <v>Taj Mahal - Westend</v>
          </cell>
          <cell r="Q15">
            <v>0</v>
          </cell>
        </row>
        <row r="16">
          <cell r="C16" t="str">
            <v>CNN</v>
          </cell>
          <cell r="D16" t="str">
            <v>Taj Mahal - Samudra</v>
          </cell>
          <cell r="Q16">
            <v>0</v>
          </cell>
        </row>
        <row r="17">
          <cell r="C17" t="str">
            <v>CNN</v>
          </cell>
          <cell r="D17" t="str">
            <v>Taj Mahal - Madras</v>
          </cell>
          <cell r="Q17">
            <v>0</v>
          </cell>
        </row>
        <row r="18">
          <cell r="C18" t="str">
            <v>CNN</v>
          </cell>
          <cell r="D18" t="str">
            <v>Taj Mahal - Lucknow</v>
          </cell>
          <cell r="Q18">
            <v>0</v>
          </cell>
        </row>
        <row r="19">
          <cell r="C19" t="str">
            <v>CNN</v>
          </cell>
          <cell r="D19" t="str">
            <v>Taj Mahal - Mansingh</v>
          </cell>
          <cell r="Q19">
            <v>0</v>
          </cell>
        </row>
        <row r="20">
          <cell r="C20" t="str">
            <v>CNN</v>
          </cell>
          <cell r="D20" t="str">
            <v>Taj Mahal - Palace</v>
          </cell>
          <cell r="Q20">
            <v>0</v>
          </cell>
        </row>
        <row r="21">
          <cell r="C21" t="str">
            <v>CNN</v>
          </cell>
          <cell r="D21" t="str">
            <v>Hotel Presidents</v>
          </cell>
          <cell r="Q21">
            <v>0</v>
          </cell>
        </row>
        <row r="22">
          <cell r="D22" t="str">
            <v/>
          </cell>
          <cell r="Q22">
            <v>0</v>
          </cell>
        </row>
        <row r="23">
          <cell r="D23" t="str">
            <v>Asia Pacific Comm. P.</v>
          </cell>
          <cell r="P23">
            <v>180000</v>
          </cell>
          <cell r="Q23">
            <v>180000</v>
          </cell>
        </row>
        <row r="24">
          <cell r="Q24">
            <v>0</v>
          </cell>
        </row>
        <row r="25">
          <cell r="D25" t="str">
            <v>TOTALS:</v>
          </cell>
          <cell r="E25">
            <v>0</v>
          </cell>
          <cell r="F25">
            <v>0</v>
          </cell>
          <cell r="G25">
            <v>0</v>
          </cell>
          <cell r="H25">
            <v>0</v>
          </cell>
          <cell r="I25">
            <v>0</v>
          </cell>
          <cell r="J25">
            <v>0</v>
          </cell>
          <cell r="K25">
            <v>0</v>
          </cell>
          <cell r="L25">
            <v>0</v>
          </cell>
          <cell r="M25">
            <v>0</v>
          </cell>
          <cell r="N25">
            <v>0</v>
          </cell>
          <cell r="O25">
            <v>30000</v>
          </cell>
          <cell r="P25">
            <v>210000</v>
          </cell>
          <cell r="Q25">
            <v>240000</v>
          </cell>
        </row>
        <row r="26">
          <cell r="D26" t="str">
            <v>CHARGES  DEDUCTED</v>
          </cell>
          <cell r="E26">
            <v>0</v>
          </cell>
          <cell r="F26">
            <v>0</v>
          </cell>
          <cell r="G26">
            <v>0</v>
          </cell>
          <cell r="H26">
            <v>0</v>
          </cell>
          <cell r="I26">
            <v>0</v>
          </cell>
          <cell r="J26">
            <v>0</v>
          </cell>
          <cell r="K26">
            <v>0</v>
          </cell>
          <cell r="L26">
            <v>0</v>
          </cell>
          <cell r="M26">
            <v>0</v>
          </cell>
          <cell r="N26">
            <v>0</v>
          </cell>
          <cell r="O26">
            <v>0</v>
          </cell>
          <cell r="P26">
            <v>0</v>
          </cell>
          <cell r="Q26">
            <v>0</v>
          </cell>
        </row>
        <row r="27">
          <cell r="D27" t="str">
            <v>NET REVENUE</v>
          </cell>
          <cell r="E27">
            <v>0</v>
          </cell>
          <cell r="F27">
            <v>0</v>
          </cell>
          <cell r="G27">
            <v>0</v>
          </cell>
          <cell r="H27">
            <v>0</v>
          </cell>
          <cell r="I27">
            <v>0</v>
          </cell>
          <cell r="J27">
            <v>0</v>
          </cell>
          <cell r="K27">
            <v>0</v>
          </cell>
          <cell r="L27">
            <v>0</v>
          </cell>
          <cell r="M27">
            <v>0</v>
          </cell>
          <cell r="N27">
            <v>0</v>
          </cell>
          <cell r="O27">
            <v>30000</v>
          </cell>
          <cell r="P27">
            <v>210000</v>
          </cell>
          <cell r="Q27">
            <v>240000</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1"/>
      <sheetName val="ENCL 2"/>
      <sheetName val="ENCL 4"/>
      <sheetName val="ENCL 5"/>
      <sheetName val="ENCL6"/>
      <sheetName val="ENCL7"/>
      <sheetName val="ENCL8"/>
      <sheetName val="ENCL3"/>
      <sheetName val="Fin Mar"/>
      <sheetName val="FORM7"/>
      <sheetName val="Master"/>
      <sheetName val="Grouping"/>
      <sheetName val="EXP. AGU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Ack"/>
      <sheetName val="Ack (2)"/>
      <sheetName val="Page1"/>
      <sheetName val="Page2"/>
      <sheetName val="Page3"/>
      <sheetName val="Page4"/>
      <sheetName val="Page5"/>
      <sheetName val="Page6"/>
      <sheetName val="Page7"/>
      <sheetName val="Page8"/>
      <sheetName val="Page9"/>
      <sheetName val="Page10"/>
      <sheetName val="Direc"/>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W"/>
      <sheetName val="OPS_asia"/>
      <sheetName val="Production"/>
      <sheetName val="PRICE"/>
      <sheetName val="Data"/>
      <sheetName val="OPS_SIMPLIFIE"/>
      <sheetName val="CESSION"/>
      <sheetName val="ORDER"/>
      <sheetName val="income"/>
      <sheetName val="AP RA99-06"/>
      <sheetName val="HV RA99-06"/>
      <sheetName val="IN RA99-06"/>
      <sheetName val="CH RA99-06"/>
      <sheetName val="TH RA99-06"/>
      <sheetName val="HZ RA99-06"/>
      <sheetName val="consolidated Budget"/>
      <sheetName val="Sheet1"/>
      <sheetName val="MAPPINGS"/>
      <sheetName val="RES"/>
      <sheetName val="Total MG "/>
      <sheetName val="riola don't know 9-26-99"/>
      <sheetName val="Rates"/>
      <sheetName val="MR08' Cost Manag"/>
      <sheetName val="Lists"/>
      <sheetName val="Op Plan Sales"/>
      <sheetName val="Input schedule"/>
      <sheetName val="IOPlan"/>
      <sheetName val="Consol"/>
      <sheetName val="IT Only"/>
      <sheetName val="Sales &amp; Marketing Dashboard"/>
      <sheetName val="LIC"/>
      <sheetName val="PropertyList"/>
      <sheetName val="IT-accruals"/>
      <sheetName val="TPM Tot"/>
      <sheetName val="StdMarginRegQtr"/>
      <sheetName val="Sept '99"/>
      <sheetName val=".2 Reserve"/>
      <sheetName val="New form 3CD A"/>
      <sheetName val="データシート"/>
      <sheetName val="Comp"/>
      <sheetName val="TB"/>
      <sheetName val="Schedule"/>
      <sheetName val="AP_RA99-06"/>
      <sheetName val="HV_RA99-06"/>
      <sheetName val="IN_RA99-06"/>
      <sheetName val="CH_RA99-06"/>
      <sheetName val="TH_RA99-06"/>
      <sheetName val="HZ_RA99-06"/>
      <sheetName val="Op_Plan_Sales"/>
      <sheetName val="Rollup_Summary"/>
      <sheetName val="AP_RA99-061"/>
      <sheetName val="HV_RA99-061"/>
      <sheetName val="IN_RA99-061"/>
      <sheetName val="CH_RA99-061"/>
      <sheetName val="TH_RA99-061"/>
      <sheetName val="HZ_RA99-061"/>
      <sheetName val="Op_Plan_Sales1"/>
      <sheetName val="未着品BALANCE"/>
      <sheetName val="Trial Balance"/>
      <sheetName val="Total_MG_"/>
      <sheetName val="IT_Only"/>
      <sheetName val="AP_RA99-062"/>
      <sheetName val="HV_RA99-062"/>
      <sheetName val="IN_RA99-062"/>
      <sheetName val="CH_RA99-062"/>
      <sheetName val="TH_RA99-062"/>
      <sheetName val="HZ_RA99-062"/>
      <sheetName val="Total_MG_1"/>
      <sheetName val="Op_Plan_Sales2"/>
      <sheetName val="IT_Only1"/>
      <sheetName val="Sales_&amp;_Marketing_Dashboard"/>
      <sheetName val="TPM_Tot"/>
      <sheetName val="Sept_'99"/>
      <sheetName val="Other notes"/>
      <sheetName val="Risco-Accts"/>
      <sheetName val="Payroll_Statement"/>
      <sheetName val="Control"/>
      <sheetName val="Opening Balance"/>
      <sheetName val="Jodalli-P&amp;L"/>
      <sheetName val="Graphdata"/>
      <sheetName val="Masters"/>
      <sheetName val="Annexure"/>
      <sheetName val="M B-QtyRecn"/>
      <sheetName val="Main-Material"/>
      <sheetName val="FBT Full"/>
      <sheetName val="M_B-QtyRecn"/>
      <sheetName val="Push Diag on Premise"/>
      <sheetName val="CChannel Attract Input"/>
      <sheetName val="FStratPlan"/>
      <sheetName val="Params"/>
      <sheetName val="POFG"/>
      <sheetName val="Categ"/>
      <sheetName val="Amortization Table"/>
      <sheetName val="COA-IPCL"/>
      <sheetName val="Chart of Accounts"/>
      <sheetName val="Other"/>
      <sheetName val="Summary"/>
      <sheetName val="MAIN"/>
      <sheetName val="BAL96-97"/>
      <sheetName val="Price Testing - Used - 1"/>
      <sheetName val="Price_Testing_-_Used_-_11"/>
      <sheetName val="Price_Testing_-_Used_-_1"/>
      <sheetName val=""/>
      <sheetName val="Rate_dec02"/>
      <sheetName val="BS"/>
      <sheetName val="List"/>
      <sheetName val="Cash Flow.7"/>
      <sheetName val="d"/>
      <sheetName val="5Y_v2.14"/>
      <sheetName val="3 Yr Revenue Analysis(old)"/>
      <sheetName val="Macro1"/>
      <sheetName val="Travel Expense Report(1week)"/>
      <sheetName val="Assum"/>
      <sheetName val="VARFCST"/>
      <sheetName val="Trial_Balance"/>
      <sheetName val="Input_schedule"/>
      <sheetName val="All Data"/>
      <sheetName val="IS"/>
      <sheetName val="May 09"/>
      <sheetName val="Page1"/>
      <sheetName val="Cover"/>
      <sheetName val="EXPENSES"/>
      <sheetName val="exp-m"/>
      <sheetName val="AP_RA99-063"/>
      <sheetName val="HV_RA99-063"/>
      <sheetName val="IN_RA99-063"/>
      <sheetName val="CH_RA99-063"/>
      <sheetName val="TH_RA99-063"/>
      <sheetName val="HZ_RA99-063"/>
      <sheetName val="AP_RA99-064"/>
      <sheetName val="HV_RA99-064"/>
      <sheetName val="IN_RA99-064"/>
      <sheetName val="CH_RA99-064"/>
      <sheetName val="TH_RA99-064"/>
      <sheetName val="HZ_RA99-064"/>
      <sheetName val="Consolidated"/>
      <sheetName val="India"/>
      <sheetName val="BAL0301"/>
      <sheetName val="Reports List"/>
      <sheetName val="Grouping TB"/>
      <sheetName val="AR JAN'02"/>
      <sheetName val="MPCP9899"/>
      <sheetName val="B0_111350"/>
      <sheetName val="A"/>
      <sheetName val="PAP"/>
      <sheetName val="Keyratios"/>
      <sheetName val="Facility"/>
      <sheetName val="P L"/>
      <sheetName val="List_ratios"/>
      <sheetName val="CRITERIA1"/>
      <sheetName val="Maint Def Rev 03-04"/>
      <sheetName val="New-Growth Def Rev 03-04"/>
      <sheetName val="Perpetual Def Rev 03-04"/>
      <sheetName val="Renewal Def Rev 03-04"/>
      <sheetName val="ENCL6"/>
      <sheetName val="Notes"/>
      <sheetName val="Cash Flows"/>
      <sheetName val="Val &amp; Multp"/>
      <sheetName val="Options"/>
      <sheetName val="Heating Div"/>
      <sheetName val="All other Div's"/>
      <sheetName val="CoCapital"/>
      <sheetName val="EPS"/>
      <sheetName val="Mult"/>
      <sheetName val="Synergies"/>
      <sheetName val="Mkt Mult"/>
      <sheetName val="Trans Mult"/>
      <sheetName val="Module1"/>
      <sheetName val="Excess Calc"/>
      <sheetName val="Fx Rates"/>
      <sheetName val="Challan"/>
      <sheetName val="FINAL SHEET"/>
      <sheetName val="Other_notes"/>
      <sheetName val="M_B-QtyRecn1"/>
      <sheetName val="FBT_Full"/>
      <sheetName val="Chart_of_Accounts"/>
      <sheetName val="consolidated_Budget"/>
      <sheetName val="Other_notes1"/>
      <sheetName val="M_B-QtyRecn2"/>
      <sheetName val="Sales_&amp;_Marketing_Dashboard1"/>
      <sheetName val="Trial_Balance1"/>
      <sheetName val="Input_schedule1"/>
      <sheetName val="TPM_Tot1"/>
      <sheetName val="Sept_'991"/>
      <sheetName val="FBT_Full1"/>
      <sheetName val="Chart_of_Accounts1"/>
      <sheetName val="consolidated_Budget1"/>
      <sheetName val="Op_Plan_Sales3"/>
      <sheetName val="Other_notes2"/>
      <sheetName val="M_B-QtyRecn3"/>
      <sheetName val="IT_Only2"/>
      <sheetName val="Sales_&amp;_Marketing_Dashboard2"/>
      <sheetName val="Total_MG_2"/>
      <sheetName val="Trial_Balance2"/>
      <sheetName val="Input_schedule2"/>
      <sheetName val="TPM_Tot2"/>
      <sheetName val="Sept_'992"/>
      <sheetName val="FBT_Full2"/>
      <sheetName val="Chart_of_Accounts2"/>
      <sheetName val="consolidated_Budget2"/>
      <sheetName val="Op_Plan_Sales4"/>
      <sheetName val="Other_notes3"/>
      <sheetName val="M_B-QtyRecn4"/>
      <sheetName val="IT_Only3"/>
      <sheetName val="Sales_&amp;_Marketing_Dashboard3"/>
      <sheetName val="Total_MG_3"/>
      <sheetName val="Trial_Balance3"/>
      <sheetName val="Input_schedule3"/>
      <sheetName val="TPM_Tot3"/>
      <sheetName val="Sept_'993"/>
      <sheetName val="FBT_Full3"/>
      <sheetName val="Chart_of_Accounts3"/>
      <sheetName val="consolidated_Budget3"/>
      <sheetName val="5Y_v2_14"/>
      <sheetName val="Price_Testing_-_Used_-_12"/>
      <sheetName val="Push_Diag_on_Premise"/>
      <sheetName val="CChannel_Attract_Input"/>
      <sheetName val="Cash_Flow_7"/>
      <sheetName val="Opening_Balance"/>
      <sheetName val="AP_RA99-065"/>
      <sheetName val="HV_RA99-065"/>
      <sheetName val="IN_RA99-065"/>
      <sheetName val="CH_RA99-065"/>
      <sheetName val="TH_RA99-065"/>
      <sheetName val="HZ_RA99-065"/>
      <sheetName val="Op_Plan_Sales5"/>
      <sheetName val="Other_notes4"/>
      <sheetName val="M_B-QtyRecn5"/>
      <sheetName val="IT_Only4"/>
      <sheetName val="Sales_&amp;_Marketing_Dashboard4"/>
      <sheetName val="Total_MG_4"/>
      <sheetName val="Trial_Balance4"/>
      <sheetName val="Input_schedule4"/>
      <sheetName val="TPM_Tot4"/>
      <sheetName val="Sept_'994"/>
      <sheetName val="FBT_Full4"/>
      <sheetName val="Chart_of_Accounts4"/>
      <sheetName val="consolidated_Budget4"/>
      <sheetName val="5Y_v2_141"/>
      <sheetName val="Price_Testing_-_Used_-_13"/>
      <sheetName val="Push_Diag_on_Premise1"/>
      <sheetName val="CChannel_Attract_Input1"/>
      <sheetName val="Cash_Flow_71"/>
      <sheetName val="Opening_Balance1"/>
      <sheetName val="AP_RA99-067"/>
      <sheetName val="HV_RA99-067"/>
      <sheetName val="IN_RA99-067"/>
      <sheetName val="CH_RA99-067"/>
      <sheetName val="TH_RA99-067"/>
      <sheetName val="HZ_RA99-067"/>
      <sheetName val="Op_Plan_Sales7"/>
      <sheetName val="Other_notes6"/>
      <sheetName val="M_B-QtyRecn7"/>
      <sheetName val="IT_Only6"/>
      <sheetName val="Sales_&amp;_Marketing_Dashboard6"/>
      <sheetName val="Total_MG_6"/>
      <sheetName val="Trial_Balance6"/>
      <sheetName val="Input_schedule6"/>
      <sheetName val="TPM_Tot6"/>
      <sheetName val="Sept_'996"/>
      <sheetName val="FBT_Full6"/>
      <sheetName val="Chart_of_Accounts6"/>
      <sheetName val="consolidated_Budget6"/>
      <sheetName val="5Y_v2_143"/>
      <sheetName val="Price_Testing_-_Used_-_15"/>
      <sheetName val="Push_Diag_on_Premise3"/>
      <sheetName val="CChannel_Attract_Input3"/>
      <sheetName val="Cash_Flow_73"/>
      <sheetName val="Opening_Balance3"/>
      <sheetName val="AP_RA99-066"/>
      <sheetName val="HV_RA99-066"/>
      <sheetName val="IN_RA99-066"/>
      <sheetName val="CH_RA99-066"/>
      <sheetName val="TH_RA99-066"/>
      <sheetName val="HZ_RA99-066"/>
      <sheetName val="Op_Plan_Sales6"/>
      <sheetName val="Other_notes5"/>
      <sheetName val="M_B-QtyRecn6"/>
      <sheetName val="IT_Only5"/>
      <sheetName val="Sales_&amp;_Marketing_Dashboard5"/>
      <sheetName val="Total_MG_5"/>
      <sheetName val="Trial_Balance5"/>
      <sheetName val="Input_schedule5"/>
      <sheetName val="TPM_Tot5"/>
      <sheetName val="Sept_'995"/>
      <sheetName val="FBT_Full5"/>
      <sheetName val="Chart_of_Accounts5"/>
      <sheetName val="consolidated_Budget5"/>
      <sheetName val="5Y_v2_142"/>
      <sheetName val="Price_Testing_-_Used_-_14"/>
      <sheetName val="Push_Diag_on_Premise2"/>
      <sheetName val="CChannel_Attract_Input2"/>
      <sheetName val="Cash_Flow_72"/>
      <sheetName val="Opening_Balance2"/>
      <sheetName val="AP_RA99-068"/>
      <sheetName val="HV_RA99-068"/>
      <sheetName val="IN_RA99-068"/>
      <sheetName val="CH_RA99-068"/>
      <sheetName val="TH_RA99-068"/>
      <sheetName val="HZ_RA99-068"/>
      <sheetName val="Op_Plan_Sales8"/>
      <sheetName val="Other_notes7"/>
      <sheetName val="M_B-QtyRecn8"/>
      <sheetName val="IT_Only7"/>
      <sheetName val="Sales_&amp;_Marketing_Dashboard7"/>
      <sheetName val="Total_MG_7"/>
      <sheetName val="Trial_Balance7"/>
      <sheetName val="Input_schedule7"/>
      <sheetName val="TPM_Tot7"/>
      <sheetName val="Sept_'997"/>
      <sheetName val="FBT_Full7"/>
      <sheetName val="Chart_of_Accounts7"/>
      <sheetName val="consolidated_Budget7"/>
      <sheetName val="5Y_v2_144"/>
      <sheetName val="Price_Testing_-_Used_-_16"/>
      <sheetName val="Push_Diag_on_Premise4"/>
      <sheetName val="CChannel_Attract_Input4"/>
      <sheetName val="Cash_Flow_74"/>
      <sheetName val="Opening_Balance4"/>
      <sheetName val="AP_RA99-069"/>
      <sheetName val="HV_RA99-069"/>
      <sheetName val="IN_RA99-069"/>
      <sheetName val="CH_RA99-069"/>
      <sheetName val="TH_RA99-069"/>
      <sheetName val="HZ_RA99-069"/>
      <sheetName val="Op_Plan_Sales9"/>
      <sheetName val="Other_notes8"/>
      <sheetName val="M_B-QtyRecn9"/>
      <sheetName val="IT_Only8"/>
      <sheetName val="Sales_&amp;_Marketing_Dashboard8"/>
      <sheetName val="Total_MG_8"/>
      <sheetName val="Trial_Balance8"/>
      <sheetName val="Input_schedule8"/>
      <sheetName val="TPM_Tot8"/>
      <sheetName val="Sept_'998"/>
      <sheetName val="FBT_Full8"/>
      <sheetName val="Chart_of_Accounts8"/>
      <sheetName val="consolidated_Budget8"/>
      <sheetName val="5Y_v2_145"/>
      <sheetName val="Price_Testing_-_Used_-_17"/>
      <sheetName val="Push_Diag_on_Premise5"/>
      <sheetName val="CChannel_Attract_Input5"/>
      <sheetName val="Cash_Flow_75"/>
      <sheetName val="Opening_Balance5"/>
      <sheetName val="AP_RA99-0610"/>
      <sheetName val="HV_RA99-0610"/>
      <sheetName val="IN_RA99-0610"/>
      <sheetName val="CH_RA99-0610"/>
      <sheetName val="TH_RA99-0610"/>
      <sheetName val="HZ_RA99-0610"/>
      <sheetName val="Op_Plan_Sales10"/>
      <sheetName val="Other_notes9"/>
      <sheetName val="M_B-QtyRecn10"/>
      <sheetName val="IT_Only9"/>
      <sheetName val="Sales_&amp;_Marketing_Dashboard9"/>
      <sheetName val="Total_MG_9"/>
      <sheetName val="Trial_Balance9"/>
      <sheetName val="Input_schedule9"/>
      <sheetName val="TPM_Tot9"/>
      <sheetName val="Sept_'999"/>
      <sheetName val="FBT_Full9"/>
      <sheetName val="Chart_of_Accounts9"/>
      <sheetName val="consolidated_Budget9"/>
      <sheetName val="5Y_v2_146"/>
      <sheetName val="Price_Testing_-_Used_-_18"/>
      <sheetName val="Push_Diag_on_Premise6"/>
      <sheetName val="CChannel_Attract_Input6"/>
      <sheetName val="Cash_Flow_76"/>
      <sheetName val="Opening_Balance6"/>
      <sheetName val="AP_RA99-0611"/>
      <sheetName val="HV_RA99-0611"/>
      <sheetName val="IN_RA99-0611"/>
      <sheetName val="CH_RA99-0611"/>
      <sheetName val="TH_RA99-0611"/>
      <sheetName val="HZ_RA99-0611"/>
      <sheetName val="Op_Plan_Sales11"/>
      <sheetName val="Other_notes10"/>
      <sheetName val="M_B-QtyRecn11"/>
      <sheetName val="IT_Only10"/>
      <sheetName val="Sales_&amp;_Marketing_Dashboard10"/>
      <sheetName val="Total_MG_10"/>
      <sheetName val="Trial_Balance10"/>
      <sheetName val="Input_schedule10"/>
      <sheetName val="TPM_Tot10"/>
      <sheetName val="Sept_'9910"/>
      <sheetName val="FBT_Full10"/>
      <sheetName val="Chart_of_Accounts10"/>
      <sheetName val="consolidated_Budget10"/>
      <sheetName val="5Y_v2_147"/>
      <sheetName val="Price_Testing_-_Used_-_19"/>
      <sheetName val="Push_Diag_on_Premise7"/>
      <sheetName val="CChannel_Attract_Input7"/>
      <sheetName val="Cash_Flow_77"/>
      <sheetName val="Opening_Balance7"/>
      <sheetName val="#REF"/>
      <sheetName val="Spiltrates-Latest"/>
      <sheetName val="Rev"/>
      <sheetName val="Results"/>
      <sheetName val="Guide"/>
      <sheetName val="_2_Reserve"/>
      <sheetName val="Maint_Def_Rev_03-04"/>
      <sheetName val="New-Growth_Def_Rev_03-04"/>
      <sheetName val="Perpetual_Def_Rev_03-04"/>
      <sheetName val="Renewal_Def_Rev_03-04"/>
      <sheetName val="New_form_3CD_A"/>
      <sheetName val="_2_Reserve1"/>
      <sheetName val="Maint_Def_Rev_03-041"/>
      <sheetName val="New-Growth_Def_Rev_03-041"/>
      <sheetName val="Perpetual_Def_Rev_03-041"/>
      <sheetName val="Renewal_Def_Rev_03-041"/>
      <sheetName val="New_form_3CD_A1"/>
      <sheetName val="2003"/>
      <sheetName val="NLD - Assum"/>
      <sheetName val="SCH-A"/>
      <sheetName val="Cheops BS"/>
      <sheetName val="mdd &amp; co Fdr jan.02 "/>
      <sheetName val="11400&amp;11405-done"/>
      <sheetName val="Links"/>
      <sheetName val="TB-HK"/>
      <sheetName val="Non-Statistical Sampling Master"/>
      <sheetName val="Two Step Revenue Testing Master"/>
      <sheetName val="Global Data"/>
      <sheetName val="1 - A (Narrative)"/>
      <sheetName val="Base Info"/>
      <sheetName val="RCC,Ret. Wall"/>
      <sheetName val="ValuationInput"/>
      <sheetName val="DebtInput"/>
      <sheetName val="Storage"/>
      <sheetName val="Valuation"/>
      <sheetName val="SAP - Rightpak"/>
      <sheetName val="Listings 96-02"/>
      <sheetName val="Cash Flow-WSL Base Fcst"/>
      <sheetName val="Input Screen"/>
      <sheetName val="TB Round"/>
      <sheetName val="Sales &amp;Sale Cost"/>
      <sheetName val="Project Resource Details"/>
      <sheetName val="Assets"/>
      <sheetName val="AP_RA99-0612"/>
      <sheetName val="HV_RA99-0612"/>
      <sheetName val="IN_RA99-0612"/>
      <sheetName val="CH_RA99-0612"/>
      <sheetName val="TH_RA99-0612"/>
      <sheetName val="HZ_RA99-0612"/>
      <sheetName val="Op_Plan_Sales12"/>
      <sheetName val="Other_notes11"/>
      <sheetName val="M_B-QtyRecn12"/>
      <sheetName val="IT_Only11"/>
      <sheetName val="Sales_&amp;_Marketing_Dashboard11"/>
      <sheetName val="Total_MG_11"/>
      <sheetName val="Trial_Balance11"/>
      <sheetName val="Input_schedule11"/>
      <sheetName val="TPM_Tot11"/>
      <sheetName val="Sept_'9911"/>
      <sheetName val="FBT_Full11"/>
      <sheetName val="Chart_of_Accounts11"/>
      <sheetName val="consolidated_Budget11"/>
      <sheetName val="5Y_v2_148"/>
      <sheetName val="Price_Testing_-_Used_-_110"/>
      <sheetName val="Push_Diag_on_Premise8"/>
      <sheetName val="CChannel_Attract_Input8"/>
      <sheetName val="Cash_Flow_78"/>
      <sheetName val="Opening_Balance8"/>
      <sheetName val="Model"/>
      <sheetName val="COLUMN"/>
      <sheetName val="Balance Sheet "/>
      <sheetName val="P&amp;L Summary Page"/>
      <sheetName val="12-19-00"/>
      <sheetName val="RF2004_vs_OB2004"/>
      <sheetName val="Info on Rupee Cost"/>
      <sheetName val="working"/>
      <sheetName val="Rec"/>
      <sheetName val="Year 2003-04 Plan"/>
      <sheetName val="LCGRAPH"/>
      <sheetName val="STAFFSCHED "/>
      <sheetName val="P&amp;L February"/>
      <sheetName val="P&amp;L Feb 2001 cumulative"/>
      <sheetName val="RUPEE"/>
      <sheetName val="PREFACE"/>
      <sheetName val="QTY. PROV.LAB"/>
      <sheetName val="TAXPRO"/>
      <sheetName val="PopCache"/>
      <sheetName val="Tools Rev"/>
      <sheetName val="OpTrack"/>
      <sheetName val="PropertyPreop-Budget"/>
      <sheetName val="stat C (2)"/>
      <sheetName val="Bal Sheet"/>
      <sheetName val="Lead"/>
      <sheetName val="AR_PL"/>
      <sheetName val="Please do not USE or DELETE"/>
      <sheetName val="PV"/>
      <sheetName val="U1.6"/>
      <sheetName val="E"/>
      <sheetName val="98ordbkg"/>
      <sheetName val="IT_FBT_DDTP"/>
      <sheetName val="Inputs"/>
      <sheetName val="Occ, Other Rev, Exp, Dispo"/>
      <sheetName val="P1 RM"/>
      <sheetName val="5-F-PAR"/>
      <sheetName val="LEGAL GUJ"/>
      <sheetName val="Financials"/>
      <sheetName val="Register"/>
      <sheetName val="12.04.09"/>
      <sheetName val="Intro"/>
      <sheetName val="Staff"/>
      <sheetName val="MORE-MAR'2002"/>
      <sheetName val="SCHE-MARCH'2002"/>
      <sheetName val="PL"/>
      <sheetName val="Sch-PL"/>
      <sheetName val="Sch-FA"/>
      <sheetName val="Détails plans d'actions"/>
      <sheetName val="AP_RA99-0613"/>
      <sheetName val="HV_RA99-0613"/>
      <sheetName val="IN_RA99-0613"/>
      <sheetName val="CH_RA99-0613"/>
      <sheetName val="TH_RA99-0613"/>
      <sheetName val="HZ_RA99-0613"/>
      <sheetName val="Op_Plan_Sales13"/>
      <sheetName val="Other_notes12"/>
      <sheetName val="M_B-QtyRecn13"/>
      <sheetName val="IT_Only12"/>
      <sheetName val="Sales_&amp;_Marketing_Dashboard12"/>
      <sheetName val="Total_MG_12"/>
      <sheetName val="Trial_Balance12"/>
      <sheetName val="Input_schedule12"/>
      <sheetName val="TPM_Tot12"/>
      <sheetName val="Sept_'9912"/>
      <sheetName val="FBT_Full12"/>
      <sheetName val="Chart_of_Accounts12"/>
      <sheetName val="consolidated_Budget12"/>
      <sheetName val="5Y_v2_149"/>
      <sheetName val="Price_Testing_-_Used_-_111"/>
      <sheetName val="Push_Diag_on_Premise9"/>
      <sheetName val="CChannel_Attract_Input9"/>
      <sheetName val="Cash_Flow_79"/>
      <sheetName val="Opening_Balance9"/>
      <sheetName val="FINAL_SHEET"/>
      <sheetName val="May_09"/>
      <sheetName val="3_Yr_Revenue_Analysis(old)"/>
      <sheetName val="All_Data"/>
      <sheetName val="Amortization_Table"/>
      <sheetName val="BKCSTOCKVAL"/>
      <sheetName val="MAHSTOCKVAL"/>
      <sheetName val="目录"/>
      <sheetName val="Aseet1998"/>
      <sheetName val="Debraj Sinha"/>
      <sheetName val="Parameter"/>
      <sheetName val="CABLE DATA"/>
      <sheetName val="mar rep rev"/>
      <sheetName val="Power Cost sheet"/>
      <sheetName val="Steam Cost Sheet"/>
      <sheetName val="LINK GAP"/>
      <sheetName val="ORIGINAL"/>
      <sheetName val="Resource Type"/>
      <sheetName val="LAMINATION-NORDMECCANICA"/>
      <sheetName val="Lic Rev Account Lookup Table"/>
      <sheetName val="Setup"/>
      <sheetName val="Wavg RM"/>
      <sheetName val="COV"/>
      <sheetName val="PARTY DETAILS"/>
      <sheetName val="Power"/>
      <sheetName val="CF SALE.W.OFF 01-02"/>
      <sheetName val="stock data"/>
      <sheetName val="Turnover"/>
      <sheetName val="Sheet2"/>
      <sheetName val="riola_don't_know_9-26-99"/>
      <sheetName val="1_-_A_(Narrative)"/>
      <sheetName val="P_L"/>
      <sheetName val="MR08'_Cost_Manag"/>
      <sheetName val="Wavg_RM"/>
      <sheetName val="12_04_09"/>
      <sheetName val="Travel_Expense_Report(1week)"/>
      <sheetName val="NLD_-_Assum"/>
      <sheetName val="PARTY_DETAILS"/>
      <sheetName val="mar_rep_rev"/>
      <sheetName val="CF_SALE_W_OFF_01-02"/>
      <sheetName val="stock_data"/>
      <sheetName val="P&amp;L_February"/>
      <sheetName val="P&amp;L_Feb_2001_cumulative"/>
      <sheetName val="Payslip"/>
      <sheetName val="Axis Bank Cheques"/>
      <sheetName val="Master Sheet"/>
      <sheetName val="RESULTS-BLR-BB"/>
      <sheetName val="TARGET"/>
      <sheetName val="Debtors Ageing"/>
      <sheetName val="PLAN-BLR-BB"/>
      <sheetName val="RESULTS-REALTY"/>
      <sheetName val="SME"/>
      <sheetName val="Region"/>
      <sheetName val="WO-List"/>
      <sheetName val="K-Summary"/>
      <sheetName val="BST"/>
      <sheetName val="CLP_Value_Driver (14) Dec Old"/>
      <sheetName val="JE"/>
      <sheetName val="Mktg"/>
      <sheetName val="FinMajestic"/>
      <sheetName val="PTRANGE"/>
      <sheetName val="EXPLOT AGUA PVC"/>
      <sheetName val="Balancesheet"/>
      <sheetName val="Classification"/>
      <sheetName val="501frgmar"/>
      <sheetName val="Validation"/>
      <sheetName val="BS-203"/>
      <sheetName val="sept-plan"/>
      <sheetName val="Revenue"/>
      <sheetName val="Tables"/>
      <sheetName val="Project Info"/>
      <sheetName val="Rayala"/>
      <sheetName val="Inflation"/>
      <sheetName val="deb"/>
      <sheetName val="AnnexIII"/>
      <sheetName val="Detail"/>
      <sheetName val="BSPL"/>
      <sheetName val="экспорт"/>
      <sheetName val="Transaction Inputs"/>
      <sheetName val="Res_Area"/>
      <sheetName val="36&quot;"/>
      <sheetName val="ADVTAX"/>
      <sheetName val="List Box"/>
      <sheetName val="Rising Main"/>
      <sheetName val="RECAPITULATION"/>
      <sheetName val="Civil Boq"/>
      <sheetName val="Consolidate Trial Dec 06"/>
      <sheetName val="PLFM01"/>
      <sheetName val="concrete"/>
      <sheetName val="1.2 HDFC Collection"/>
      <sheetName val="PopCache_Sheet1"/>
      <sheetName val="AS21SchE - 9M0708"/>
      <sheetName val="Consolidation _Rs"/>
      <sheetName val="Lookups"/>
      <sheetName val="Query Results ALL"/>
      <sheetName val="M.G.P-2010"/>
      <sheetName val="Locked cell"/>
      <sheetName val="Listings_96-02"/>
      <sheetName val="mdd_&amp;_co_Fdr_jan_02_"/>
      <sheetName val="Project_Resource_Details"/>
      <sheetName val="Balance_Sheet_"/>
      <sheetName val="P&amp;L_Summary_Page"/>
      <sheetName val="Axis_Bank_Cheques"/>
      <sheetName val="Master_Sheet"/>
      <sheetName val="Debtors_Ageing"/>
      <sheetName val="Excess_Calc"/>
      <sheetName val="M_G_P-2010"/>
      <sheetName val="SAP_-_Rightpak"/>
      <sheetName val="Cash_Flows"/>
      <sheetName val="Val_&amp;_Multp"/>
      <sheetName val="Heating_Div"/>
      <sheetName val="All_other_Div's"/>
      <sheetName val="Mkt_Mult"/>
      <sheetName val="Trans_Mult"/>
      <sheetName val="Resources"/>
      <sheetName val="Base Data"/>
      <sheetName val="MB51"/>
      <sheetName val="P&amp;L"/>
      <sheetName val="SCH-A,B,C"/>
      <sheetName val="UK"/>
      <sheetName val="FORM-16"/>
      <sheetName val="Employees"/>
      <sheetName val="Assumptions"/>
      <sheetName val="IIL Payroll"/>
      <sheetName val="Nomenclature"/>
      <sheetName val="License Area"/>
      <sheetName val="LPERDAS"/>
      <sheetName val="Setup Variables"/>
      <sheetName val="Ipotesi"/>
      <sheetName val="csp9597"/>
      <sheetName val="sent to HO"/>
      <sheetName val="Asset_Data"/>
      <sheetName val="Reference"/>
      <sheetName val="61750000 Consultancy Charges"/>
      <sheetName val="YTD"/>
      <sheetName val="Labour &amp; Plant"/>
      <sheetName val="Annexure B"/>
      <sheetName val="Reclass BS 11"/>
      <sheetName val="Reclass PL 11"/>
      <sheetName val="1956 Rates"/>
      <sheetName val="2013 Rates"/>
      <sheetName val="WDV_Illustration"/>
      <sheetName val="SLM_Illustration"/>
      <sheetName val="WDV_Schedule"/>
      <sheetName val="SLM_Schedule"/>
      <sheetName val="Additions_WDV"/>
      <sheetName val="Additions_SLM"/>
      <sheetName val="HCCE01"/>
      <sheetName val="QTY-00-01 (2)"/>
      <sheetName val="NSWSAGasElec_Jan"/>
      <sheetName val="OriginXsell_jan11"/>
      <sheetName val="master"/>
      <sheetName val="hmax_2"/>
      <sheetName val="Addition Ist &amp; IInd Half"/>
      <sheetName val="SysNavigation"/>
      <sheetName val="Amb - Working"/>
      <sheetName val="BS face"/>
      <sheetName val="BS Notes"/>
      <sheetName val="PL face"/>
      <sheetName val="PL Notes"/>
      <sheetName val="CFS"/>
      <sheetName val="Grouping"/>
      <sheetName val="Fixed Assets"/>
      <sheetName val="Deferred tax"/>
      <sheetName val="MAT"/>
      <sheetName val="gp"/>
      <sheetName val="GP Ratio"/>
      <sheetName val="Sheet"/>
      <sheetName val="15"/>
      <sheetName val="Sch 13 Notes 13-16"/>
      <sheetName val="PM (F)"/>
      <sheetName val="BS "/>
      <sheetName val="TBPY"/>
      <sheetName val="TBCY"/>
      <sheetName val="May_091"/>
      <sheetName val="3_Yr_Revenue_Analysis(old)1"/>
      <sheetName val="Amortization_Table1"/>
      <sheetName val="riola_don't_know_9-26-991"/>
      <sheetName val="Listings_96-021"/>
      <sheetName val="All_Data1"/>
      <sheetName val="P_L1"/>
      <sheetName val="mdd_&amp;_co_Fdr_jan_02_1"/>
      <sheetName val="Project_Resource_Details1"/>
      <sheetName val="Balance_Sheet_1"/>
      <sheetName val="P&amp;L_Summary_Page1"/>
      <sheetName val="Axis_Bank_Cheques1"/>
      <sheetName val="Master_Sheet1"/>
      <sheetName val="12_04_091"/>
      <sheetName val="Debtors_Ageing1"/>
      <sheetName val="Excess_Calc1"/>
      <sheetName val="M_G_P-20101"/>
      <sheetName val="SAP_-_Rightpak1"/>
      <sheetName val="Cash_Flows1"/>
      <sheetName val="Val_&amp;_Multp1"/>
      <sheetName val="Heating_Div1"/>
      <sheetName val="All_other_Div's1"/>
      <sheetName val="Mkt_Mult1"/>
      <sheetName val="Trans_Mult1"/>
      <sheetName val="1_-_A_(Narrative)1"/>
      <sheetName val="May_092"/>
      <sheetName val="3_Yr_Revenue_Analysis(old)2"/>
      <sheetName val="Amortization_Table2"/>
      <sheetName val="New_form_3CD_A2"/>
      <sheetName val="riola_don't_know_9-26-992"/>
      <sheetName val="_2_Reserve2"/>
      <sheetName val="Listings_96-022"/>
      <sheetName val="All_Data2"/>
      <sheetName val="P_L2"/>
      <sheetName val="mdd_&amp;_co_Fdr_jan_02_2"/>
      <sheetName val="Project_Resource_Details2"/>
      <sheetName val="Balance_Sheet_2"/>
      <sheetName val="P&amp;L_Summary_Page2"/>
      <sheetName val="Axis_Bank_Cheques2"/>
      <sheetName val="Master_Sheet2"/>
      <sheetName val="12_04_092"/>
      <sheetName val="Debtors_Ageing2"/>
      <sheetName val="Excess_Calc2"/>
      <sheetName val="M_G_P-20102"/>
      <sheetName val="SAP_-_Rightpak2"/>
      <sheetName val="Cash_Flows2"/>
      <sheetName val="Val_&amp;_Multp2"/>
      <sheetName val="Heating_Div2"/>
      <sheetName val="All_other_Div's2"/>
      <sheetName val="Mkt_Mult2"/>
      <sheetName val="Trans_Mult2"/>
      <sheetName val="Maint_Def_Rev_03-042"/>
      <sheetName val="New-Growth_Def_Rev_03-042"/>
      <sheetName val="Perpetual_Def_Rev_03-042"/>
      <sheetName val="Renewal_Def_Rev_03-042"/>
      <sheetName val="1_-_A_(Narrative)2"/>
      <sheetName val="AR_JAN'02"/>
      <sheetName val="Locked_cell"/>
      <sheetName val="Base_Data"/>
      <sheetName val="C-21(b)"/>
      <sheetName val="OpRes"/>
      <sheetName val="INI"/>
      <sheetName val="Output"/>
      <sheetName val="Tickmarks"/>
      <sheetName val="Fin"/>
      <sheetName val="Area"/>
      <sheetName val="SALES-BD"/>
      <sheetName val="PM2"/>
      <sheetName val="Clause16(b) PF"/>
      <sheetName val="STAFF "/>
      <sheetName val="GI 02"/>
      <sheetName val="PARAM (TLI Info)"/>
      <sheetName val="Horus B08"/>
      <sheetName val="Horus F07"/>
      <sheetName val="Invest"/>
      <sheetName val="1612.01AL - INT AM&amp;NIEP"/>
      <sheetName val="Trial Bal"/>
      <sheetName val="DET0900"/>
      <sheetName val="M00100"/>
      <sheetName val="Dim_New"/>
      <sheetName val="PBCLIST"/>
      <sheetName val="Sub-Cont Rev"/>
      <sheetName val="cost centers"/>
      <sheetName val="PAPER"/>
      <sheetName val="Balance sheet"/>
      <sheetName val="LEAVEREC"/>
      <sheetName val="Rev sum"/>
      <sheetName val="details"/>
      <sheetName val="CAPEX'00"/>
      <sheetName val="AP_RA99-0614"/>
      <sheetName val="HV_RA99-0614"/>
      <sheetName val="IN_RA99-0614"/>
      <sheetName val="CH_RA99-0614"/>
      <sheetName val="TH_RA99-0614"/>
      <sheetName val="HZ_RA99-0614"/>
      <sheetName val="Trial_Balance13"/>
      <sheetName val="Total_MG_13"/>
      <sheetName val="Op_Plan_Sales14"/>
      <sheetName val="IT_Only13"/>
      <sheetName val="May_093"/>
      <sheetName val="Price_Testing_-_Used_-_112"/>
      <sheetName val="M_B-QtyRecn14"/>
      <sheetName val="Input_schedule13"/>
      <sheetName val="Sales_&amp;_Marketing_Dashboard13"/>
      <sheetName val="TPM_Tot13"/>
      <sheetName val="Sept_'9913"/>
      <sheetName val="Chart_of_Accounts13"/>
      <sheetName val="Opening_Balance10"/>
      <sheetName val="3_Yr_Revenue_Analysis(old)3"/>
      <sheetName val="Cash_Flow_710"/>
      <sheetName val="FBT_Full13"/>
      <sheetName val="Other_notes13"/>
      <sheetName val="consolidated_Budget13"/>
      <sheetName val="Push_Diag_on_Premise10"/>
      <sheetName val="CChannel_Attract_Input10"/>
      <sheetName val="Amortization_Table3"/>
      <sheetName val="New_form_3CD_A3"/>
      <sheetName val="riola_don't_know_9-26-993"/>
      <sheetName val="_2_Reserve3"/>
      <sheetName val="Listings_96-023"/>
      <sheetName val="5Y_v2_1410"/>
      <sheetName val="All_Data3"/>
      <sheetName val="P_L3"/>
      <sheetName val="mdd_&amp;_co_Fdr_jan_02_3"/>
      <sheetName val="Project_Resource_Details3"/>
      <sheetName val="Balance_Sheet_3"/>
      <sheetName val="P&amp;L_Summary_Page3"/>
      <sheetName val="Axis_Bank_Cheques3"/>
      <sheetName val="Master_Sheet3"/>
      <sheetName val="12_04_093"/>
      <sheetName val="Debtors_Ageing3"/>
      <sheetName val="Excess_Calc3"/>
      <sheetName val="M_G_P-20103"/>
      <sheetName val="SAP_-_Rightpak3"/>
      <sheetName val="Cash_Flows3"/>
      <sheetName val="Val_&amp;_Multp3"/>
      <sheetName val="Heating_Div3"/>
      <sheetName val="All_other_Div's3"/>
      <sheetName val="Mkt_Mult3"/>
      <sheetName val="Trans_Mult3"/>
      <sheetName val="Maint_Def_Rev_03-043"/>
      <sheetName val="New-Growth_Def_Rev_03-043"/>
      <sheetName val="Perpetual_Def_Rev_03-043"/>
      <sheetName val="Renewal_Def_Rev_03-043"/>
      <sheetName val="1_-_A_(Narrative)3"/>
      <sheetName val="P&amp;L_February1"/>
      <sheetName val="P&amp;L_Feb_2001_cumulative1"/>
      <sheetName val="AR_JAN'021"/>
      <sheetName val="NLD_-_Assum1"/>
      <sheetName val="Locked_cell1"/>
      <sheetName val="PARTY_DETAILS1"/>
      <sheetName val="FINAL_SHEET1"/>
      <sheetName val="Base_Data1"/>
      <sheetName val="Q1_Bookings_-_Pers_-_Attainment"/>
      <sheetName val="Q1 Bookings - Pers - Attainment"/>
      <sheetName val="XLR_NoRangeSheet"/>
      <sheetName val="DATABASE"/>
      <sheetName val="Transaction_Inputs"/>
      <sheetName val="Verification "/>
      <sheetName val="F.Assets"/>
      <sheetName val="F_Assets"/>
      <sheetName val="AP_RA99-0615"/>
      <sheetName val="HV_RA99-0615"/>
      <sheetName val="IN_RA99-0615"/>
      <sheetName val="CH_RA99-0615"/>
      <sheetName val="TH_RA99-0615"/>
      <sheetName val="HZ_RA99-0615"/>
      <sheetName val="Trial_Balance14"/>
      <sheetName val="Total_MG_14"/>
      <sheetName val="Op_Plan_Sales15"/>
      <sheetName val="IT_Only14"/>
      <sheetName val="May_094"/>
      <sheetName val="Price_Testing_-_Used_-_113"/>
      <sheetName val="M_B-QtyRecn15"/>
      <sheetName val="Input_schedule14"/>
      <sheetName val="Sales_&amp;_Marketing_Dashboard14"/>
      <sheetName val="TPM_Tot14"/>
      <sheetName val="Sept_'9914"/>
      <sheetName val="Chart_of_Accounts14"/>
      <sheetName val="Opening_Balance11"/>
      <sheetName val="3_Yr_Revenue_Analysis(old)4"/>
      <sheetName val="Cash_Flow_711"/>
      <sheetName val="FBT_Full14"/>
      <sheetName val="Other_notes14"/>
      <sheetName val="consolidated_Budget14"/>
      <sheetName val="Push_Diag_on_Premise11"/>
      <sheetName val="CChannel_Attract_Input11"/>
      <sheetName val="Amortization_Table4"/>
      <sheetName val="New_form_3CD_A4"/>
      <sheetName val="riola_don't_know_9-26-994"/>
      <sheetName val="_2_Reserve4"/>
      <sheetName val="Listings_96-024"/>
      <sheetName val="5Y_v2_1411"/>
      <sheetName val="All_Data4"/>
      <sheetName val="P_L4"/>
      <sheetName val="mdd_&amp;_co_Fdr_jan_02_4"/>
      <sheetName val="Project_Resource_Details4"/>
      <sheetName val="Balance_Sheet_4"/>
      <sheetName val="P&amp;L_Summary_Page4"/>
      <sheetName val="Axis_Bank_Cheques4"/>
      <sheetName val="Master_Sheet4"/>
      <sheetName val="12_04_094"/>
      <sheetName val="Debtors_Ageing4"/>
      <sheetName val="Excess_Calc4"/>
      <sheetName val="M_G_P-20104"/>
      <sheetName val="SAP_-_Rightpak4"/>
      <sheetName val="Cash_Flows4"/>
      <sheetName val="Val_&amp;_Multp4"/>
      <sheetName val="Heating_Div4"/>
      <sheetName val="All_other_Div's4"/>
      <sheetName val="Mkt_Mult4"/>
      <sheetName val="Trans_Mult4"/>
      <sheetName val="Maint_Def_Rev_03-044"/>
      <sheetName val="New-Growth_Def_Rev_03-044"/>
      <sheetName val="Perpetual_Def_Rev_03-044"/>
      <sheetName val="Renewal_Def_Rev_03-044"/>
      <sheetName val="1_-_A_(Narrative)4"/>
      <sheetName val="P&amp;L_February2"/>
      <sheetName val="P&amp;L_Feb_2001_cumulative2"/>
      <sheetName val="AR_JAN'022"/>
      <sheetName val="NLD_-_Assum2"/>
      <sheetName val="Locked_cell2"/>
      <sheetName val="PARTY_DETAILS2"/>
      <sheetName val="FINAL_SHEET2"/>
      <sheetName val="Base_Data2"/>
      <sheetName val="comet cur act"/>
      <sheetName val="유통망계획"/>
      <sheetName val="Consumos"/>
      <sheetName val="line 운영안"/>
      <sheetName val="Quantity"/>
      <sheetName val="KP_List"/>
      <sheetName val="Detail Data"/>
      <sheetName val="(1)-PROFIT SUM."/>
      <sheetName val="OCCUR"/>
      <sheetName val="ANALYSIS(PACKING)"/>
      <sheetName val="PRICE (2)"/>
      <sheetName val="Forex Loss"/>
      <sheetName val="Presentation"/>
      <sheetName val="mar_rep_rev1"/>
      <sheetName val="CF_SALE_W_OFF_01-021"/>
      <sheetName val="stock_data1"/>
      <sheetName val="CLP_Value_Driver_(14)_Dec_Old"/>
      <sheetName val="MR08'_Cost_Manag1"/>
      <sheetName val="Travel_Expense_Report(1week)1"/>
      <sheetName val="Wavg_RM1"/>
      <sheetName val="AS21SchE_-_9M0708"/>
      <sheetName val="Occ,_Other_Rev,_Exp,_Dispo"/>
      <sheetName val="P1_RM"/>
      <sheetName val="LEGAL_GUJ"/>
      <sheetName val="61750000_Consultancy_Charges"/>
      <sheetName val="Labour_&amp;_Plant"/>
      <sheetName val="Annexure_B"/>
      <sheetName val="Input_Screen"/>
      <sheetName val="Grouping_TB"/>
      <sheetName val="Base_Info"/>
      <sheetName val="RCC,Ret__Wall"/>
      <sheetName val="Cash_Flow-WSL_Base_Fcst"/>
      <sheetName val="TB_Round"/>
      <sheetName val="Sales_&amp;Sale_Cost"/>
      <sheetName val="MR08'_Cost_Manag2"/>
      <sheetName val="mar_rep_rev2"/>
      <sheetName val="CF_SALE_W_OFF_01-022"/>
      <sheetName val="stock_data2"/>
      <sheetName val="CLP_Value_Driver_(14)_Dec_Old1"/>
      <sheetName val="Travel_Expense_Report(1week)2"/>
      <sheetName val="Wavg_RM2"/>
      <sheetName val="AS21SchE_-_9M07081"/>
      <sheetName val="Occ,_Other_Rev,_Exp,_Dispo1"/>
      <sheetName val="P1_RM1"/>
      <sheetName val="LEGAL_GUJ1"/>
      <sheetName val="61750000_Consultancy_Charges1"/>
      <sheetName val="Labour_&amp;_Plant1"/>
      <sheetName val="Annexure_B1"/>
      <sheetName val="Input_Screen1"/>
      <sheetName val="Grouping_TB1"/>
      <sheetName val="Base_Info1"/>
      <sheetName val="RCC,Ret__Wall1"/>
      <sheetName val="Cash_Flow-WSL_Base_Fcst1"/>
      <sheetName val="TB_Round1"/>
      <sheetName val="Sales_&amp;Sale_Cost1"/>
      <sheetName val="Please_do_not_USE_or_DELETE"/>
      <sheetName val="recast tb - mar'11"/>
      <sheetName val="ALL"/>
      <sheetName val="telephone deposits written off"/>
      <sheetName val="NLD_-_Assum3"/>
      <sheetName val="FINAL_SHEET3"/>
      <sheetName val="Travel_Expense_Report(1week)3"/>
      <sheetName val="1_2_HDFC_Collection"/>
      <sheetName val="Fx_Rates"/>
      <sheetName val="AS21SchE_-_9M07082"/>
      <sheetName val="Consolidation__Rs"/>
      <sheetName val="Power_Cost_sheet"/>
      <sheetName val="Steam_Cost_Sheet"/>
      <sheetName val="Query_Results_ALL"/>
      <sheetName val="Year_2003-04_Plan1"/>
      <sheetName val="MR08'_Cost_Manag3"/>
      <sheetName val="Lic_Rev_Account_Lookup_Table1"/>
      <sheetName val="Input_Screen2"/>
      <sheetName val="Wavg_RM3"/>
      <sheetName val="PARTY_DETAILS3"/>
      <sheetName val="mar_rep_rev3"/>
      <sheetName val="CF_SALE_W_OFF_01-023"/>
      <sheetName val="stock_data3"/>
      <sheetName val="P&amp;L_February3"/>
      <sheetName val="P&amp;L_Feb_2001_cumulative3"/>
      <sheetName val="Forex_Loss"/>
      <sheetName val="Cheops_BS"/>
      <sheetName val="Please_do_not_USE_or_DELETE1"/>
      <sheetName val="Détails_plans_d'actions"/>
      <sheetName val="Debraj_Sinha"/>
      <sheetName val="STAFFSCHED_"/>
      <sheetName val="Reclass_BS_11"/>
      <sheetName val="Reclass_PL_11"/>
      <sheetName val="QTY__PROV_LAB"/>
      <sheetName val="Base_Info2"/>
      <sheetName val="RCC,Ret__Wall2"/>
      <sheetName val="CLP_Value_Driver_(14)_Dec_Old2"/>
      <sheetName val="Info_on_Rupee_Cost"/>
      <sheetName val="Tools_Rev"/>
      <sheetName val="stat_C_(2)"/>
      <sheetName val="Bal_Sheet"/>
      <sheetName val="Grouping_TB2"/>
      <sheetName val="Cash_Flow-WSL_Base_Fcst2"/>
      <sheetName val="TB_Round2"/>
      <sheetName val="Sales_&amp;Sale_Cost2"/>
      <sheetName val="CABLE_DATA"/>
      <sheetName val="LINK_GAP"/>
      <sheetName val="IIL_Payroll"/>
      <sheetName val="License_Area"/>
      <sheetName val="Project_Info"/>
      <sheetName val="Non-Statistical_Sampling_Master"/>
      <sheetName val="Two_Step_Revenue_Testing_Master"/>
      <sheetName val="Global_Data"/>
      <sheetName val="Resource_Type"/>
      <sheetName val="Reports_List"/>
      <sheetName val="PM_(F)"/>
      <sheetName val="BS_"/>
      <sheetName val="Occ,_Other_Rev,_Exp,_Dispo2"/>
      <sheetName val="P1_RM2"/>
      <sheetName val="LEGAL_GUJ2"/>
      <sheetName val="61750000_Consultancy_Charges2"/>
      <sheetName val="Labour_&amp;_Plant2"/>
      <sheetName val="Annexure_B2"/>
      <sheetName val="Year_2003-04_Plan"/>
      <sheetName val="Lic_Rev_Account_Lookup_Table"/>
      <sheetName val="AP_RA99-0617"/>
      <sheetName val="HV_RA99-0617"/>
      <sheetName val="IN_RA99-0617"/>
      <sheetName val="CH_RA99-0617"/>
      <sheetName val="TH_RA99-0617"/>
      <sheetName val="HZ_RA99-0617"/>
      <sheetName val="Trial_Balance16"/>
      <sheetName val="Total_MG_16"/>
      <sheetName val="Op_Plan_Sales17"/>
      <sheetName val="IT_Only16"/>
      <sheetName val="May_096"/>
      <sheetName val="Price_Testing_-_Used_-_115"/>
      <sheetName val="Chart_of_Accounts16"/>
      <sheetName val="M_B-QtyRecn17"/>
      <sheetName val="Input_schedule16"/>
      <sheetName val="Sales_&amp;_Marketing_Dashboard16"/>
      <sheetName val="TPM_Tot16"/>
      <sheetName val="Sept_'9916"/>
      <sheetName val="Opening_Balance13"/>
      <sheetName val="3_Yr_Revenue_Analysis(old)6"/>
      <sheetName val="Cash_Flow_713"/>
      <sheetName val="FBT_Full16"/>
      <sheetName val="Other_notes16"/>
      <sheetName val="consolidated_Budget16"/>
      <sheetName val="Push_Diag_on_Premise13"/>
      <sheetName val="CChannel_Attract_Input13"/>
      <sheetName val="Amortization_Table6"/>
      <sheetName val="New_form_3CD_A6"/>
      <sheetName val="riola_don't_know_9-26-996"/>
      <sheetName val="Listings_96-026"/>
      <sheetName val="_2_Reserve6"/>
      <sheetName val="SAP_-_Rightpak6"/>
      <sheetName val="All_Data6"/>
      <sheetName val="5Y_v2_1413"/>
      <sheetName val="Excess_Calc6"/>
      <sheetName val="Cash_Flows6"/>
      <sheetName val="Val_&amp;_Multp6"/>
      <sheetName val="Heating_Div6"/>
      <sheetName val="All_other_Div's6"/>
      <sheetName val="Mkt_Mult6"/>
      <sheetName val="Trans_Mult6"/>
      <sheetName val="Maint_Def_Rev_03-046"/>
      <sheetName val="New-Growth_Def_Rev_03-046"/>
      <sheetName val="Perpetual_Def_Rev_03-046"/>
      <sheetName val="Renewal_Def_Rev_03-046"/>
      <sheetName val="mdd_&amp;_co_Fdr_jan_02_6"/>
      <sheetName val="1_-_A_(Narrative)6"/>
      <sheetName val="P_L6"/>
      <sheetName val="Project_Resource_Details6"/>
      <sheetName val="Balance_Sheet_6"/>
      <sheetName val="P&amp;L_Summary_Page6"/>
      <sheetName val="Axis_Bank_Cheques6"/>
      <sheetName val="Master_Sheet6"/>
      <sheetName val="12_04_096"/>
      <sheetName val="Debtors_Ageing6"/>
      <sheetName val="M_G_P-20106"/>
      <sheetName val="P&amp;L_February4"/>
      <sheetName val="P&amp;L_Feb_2001_cumulative4"/>
      <sheetName val="AR_JAN'024"/>
      <sheetName val="NLD_-_Assum4"/>
      <sheetName val="Locked_cell4"/>
      <sheetName val="PARTY_DETAILS4"/>
      <sheetName val="FINAL_SHEET4"/>
      <sheetName val="Base_Data4"/>
      <sheetName val="Power_Cost_sheet1"/>
      <sheetName val="Steam_Cost_Sheet1"/>
      <sheetName val="Transaction_Inputs2"/>
      <sheetName val="Q1_Bookings_-_Pers_-_Attainmen2"/>
      <sheetName val="Verification_1"/>
      <sheetName val="F_Assets2"/>
      <sheetName val="Resource_Type1"/>
      <sheetName val="QTY__PROV_LAB1"/>
      <sheetName val="1_2_HDFC_Collection1"/>
      <sheetName val="Fx_Rates1"/>
      <sheetName val="Consolidation__Rs1"/>
      <sheetName val="Query_Results_ALL1"/>
      <sheetName val="Tools_Rev1"/>
      <sheetName val="Cheops_BS1"/>
      <sheetName val="STAFFSCHED_1"/>
      <sheetName val="Info_on_Rupee_Cost1"/>
      <sheetName val="stat_C_(2)1"/>
      <sheetName val="Bal_Sheet1"/>
      <sheetName val="Non-Statistical_Sampling_Maste1"/>
      <sheetName val="Two_Step_Revenue_Testing_Maste1"/>
      <sheetName val="Global_Data1"/>
      <sheetName val="Project_Info1"/>
      <sheetName val="Détails_plans_d'actions1"/>
      <sheetName val="Debraj_Sinha1"/>
      <sheetName val="IIL_Payroll1"/>
      <sheetName val="License_Area1"/>
      <sheetName val="AP_RA99-0616"/>
      <sheetName val="HV_RA99-0616"/>
      <sheetName val="IN_RA99-0616"/>
      <sheetName val="CH_RA99-0616"/>
      <sheetName val="TH_RA99-0616"/>
      <sheetName val="HZ_RA99-0616"/>
      <sheetName val="Trial_Balance15"/>
      <sheetName val="Total_MG_15"/>
      <sheetName val="Op_Plan_Sales16"/>
      <sheetName val="IT_Only15"/>
      <sheetName val="May_095"/>
      <sheetName val="Price_Testing_-_Used_-_114"/>
      <sheetName val="Chart_of_Accounts15"/>
      <sheetName val="M_B-QtyRecn16"/>
      <sheetName val="Input_schedule15"/>
      <sheetName val="Sales_&amp;_Marketing_Dashboard15"/>
      <sheetName val="TPM_Tot15"/>
      <sheetName val="Sept_'9915"/>
      <sheetName val="Opening_Balance12"/>
      <sheetName val="3_Yr_Revenue_Analysis(old)5"/>
      <sheetName val="Cash_Flow_712"/>
      <sheetName val="FBT_Full15"/>
      <sheetName val="Other_notes15"/>
      <sheetName val="consolidated_Budget15"/>
      <sheetName val="Push_Diag_on_Premise12"/>
      <sheetName val="CChannel_Attract_Input12"/>
      <sheetName val="Amortization_Table5"/>
      <sheetName val="New_form_3CD_A5"/>
      <sheetName val="riola_don't_know_9-26-995"/>
      <sheetName val="Listings_96-025"/>
      <sheetName val="_2_Reserve5"/>
      <sheetName val="SAP_-_Rightpak5"/>
      <sheetName val="All_Data5"/>
      <sheetName val="5Y_v2_1412"/>
      <sheetName val="Excess_Calc5"/>
      <sheetName val="Cash_Flows5"/>
      <sheetName val="Val_&amp;_Multp5"/>
      <sheetName val="Heating_Div5"/>
      <sheetName val="All_other_Div's5"/>
      <sheetName val="Mkt_Mult5"/>
      <sheetName val="Trans_Mult5"/>
      <sheetName val="Maint_Def_Rev_03-045"/>
      <sheetName val="New-Growth_Def_Rev_03-045"/>
      <sheetName val="Perpetual_Def_Rev_03-045"/>
      <sheetName val="Renewal_Def_Rev_03-045"/>
      <sheetName val="mdd_&amp;_co_Fdr_jan_02_5"/>
      <sheetName val="1_-_A_(Narrative)5"/>
      <sheetName val="P_L5"/>
      <sheetName val="Project_Resource_Details5"/>
      <sheetName val="Balance_Sheet_5"/>
      <sheetName val="P&amp;L_Summary_Page5"/>
      <sheetName val="Axis_Bank_Cheques5"/>
      <sheetName val="Master_Sheet5"/>
      <sheetName val="12_04_095"/>
      <sheetName val="Debtors_Ageing5"/>
      <sheetName val="M_G_P-20105"/>
      <sheetName val="AR_JAN'023"/>
      <sheetName val="Locked_cell3"/>
      <sheetName val="Base_Data3"/>
      <sheetName val="Transaction_Inputs1"/>
      <sheetName val="Q1_Bookings_-_Pers_-_Attainmen1"/>
      <sheetName val="Verification_"/>
      <sheetName val="F_Assets1"/>
      <sheetName val="AP_RA99-0618"/>
      <sheetName val="HV_RA99-0618"/>
      <sheetName val="IN_RA99-0618"/>
      <sheetName val="CH_RA99-0618"/>
      <sheetName val="TH_RA99-0618"/>
      <sheetName val="HZ_RA99-0618"/>
      <sheetName val="Trial_Balance17"/>
      <sheetName val="Total_MG_17"/>
      <sheetName val="Op_Plan_Sales18"/>
      <sheetName val="IT_Only17"/>
      <sheetName val="May_097"/>
      <sheetName val="Price_Testing_-_Used_-_116"/>
      <sheetName val="Chart_of_Accounts17"/>
      <sheetName val="M_B-QtyRecn18"/>
      <sheetName val="Input_schedule17"/>
      <sheetName val="Sales_&amp;_Marketing_Dashboard17"/>
      <sheetName val="TPM_Tot17"/>
      <sheetName val="Sept_'9917"/>
      <sheetName val="Opening_Balance14"/>
      <sheetName val="3_Yr_Revenue_Analysis(old)7"/>
      <sheetName val="Cash_Flow_714"/>
      <sheetName val="FBT_Full17"/>
      <sheetName val="Other_notes17"/>
      <sheetName val="consolidated_Budget17"/>
      <sheetName val="Push_Diag_on_Premise14"/>
      <sheetName val="CChannel_Attract_Input14"/>
      <sheetName val="Amortization_Table7"/>
      <sheetName val="New_form_3CD_A7"/>
      <sheetName val="riola_don't_know_9-26-997"/>
      <sheetName val="Listings_96-027"/>
      <sheetName val="_2_Reserve7"/>
      <sheetName val="SAP_-_Rightpak7"/>
      <sheetName val="All_Data7"/>
      <sheetName val="5Y_v2_1414"/>
      <sheetName val="Excess_Calc7"/>
      <sheetName val="Cash_Flows7"/>
      <sheetName val="Val_&amp;_Multp7"/>
      <sheetName val="Heating_Div7"/>
      <sheetName val="All_other_Div's7"/>
      <sheetName val="Mkt_Mult7"/>
      <sheetName val="Trans_Mult7"/>
      <sheetName val="Maint_Def_Rev_03-047"/>
      <sheetName val="New-Growth_Def_Rev_03-047"/>
      <sheetName val="Perpetual_Def_Rev_03-047"/>
      <sheetName val="Renewal_Def_Rev_03-047"/>
      <sheetName val="mdd_&amp;_co_Fdr_jan_02_7"/>
      <sheetName val="1_-_A_(Narrative)7"/>
      <sheetName val="P_L7"/>
      <sheetName val="Project_Resource_Details7"/>
      <sheetName val="Balance_Sheet_7"/>
      <sheetName val="P&amp;L_Summary_Page7"/>
      <sheetName val="Axis_Bank_Cheques7"/>
      <sheetName val="Master_Sheet7"/>
      <sheetName val="12_04_097"/>
      <sheetName val="Debtors_Ageing7"/>
      <sheetName val="M_G_P-20107"/>
      <sheetName val="P&amp;L_February5"/>
      <sheetName val="P&amp;L_Feb_2001_cumulative5"/>
      <sheetName val="AR_JAN'025"/>
      <sheetName val="NLD_-_Assum5"/>
      <sheetName val="Locked_cell5"/>
      <sheetName val="PARTY_DETAILS5"/>
      <sheetName val="FINAL_SHEET5"/>
      <sheetName val="Base_Data5"/>
      <sheetName val="Transaction_Inputs3"/>
      <sheetName val="Q1_Bookings_-_Pers_-_Attainmen3"/>
      <sheetName val="Verification_2"/>
      <sheetName val="F_Assets3"/>
      <sheetName val="Please_do_not_USE_or_DELETE2"/>
      <sheetName val="Resource_Type2"/>
      <sheetName val="Year_2003-04_Plan2"/>
      <sheetName val="Lic_Rev_Account_Lookup_Table2"/>
      <sheetName val="QTY__PROV_LAB2"/>
      <sheetName val="1_2_HDFC_Collection2"/>
      <sheetName val="Fx_Rates2"/>
      <sheetName val="Consolidation__Rs2"/>
      <sheetName val="Power_Cost_sheet2"/>
      <sheetName val="Steam_Cost_Sheet2"/>
      <sheetName val="Query_Results_ALL2"/>
      <sheetName val="Tools_Rev2"/>
      <sheetName val="Cheops_BS2"/>
      <sheetName val="STAFFSCHED_2"/>
      <sheetName val="Info_on_Rupee_Cost2"/>
      <sheetName val="stat_C_(2)2"/>
      <sheetName val="Bal_Sheet2"/>
      <sheetName val="Non-Statistical_Sampling_Maste2"/>
      <sheetName val="Two_Step_Revenue_Testing_Maste2"/>
      <sheetName val="Global_Data2"/>
      <sheetName val="Project_Info2"/>
      <sheetName val="Détails_plans_d'actions2"/>
      <sheetName val="Debraj_Sinha2"/>
      <sheetName val="IIL_Payroll2"/>
      <sheetName val="License_Area2"/>
      <sheetName val="AP_RA99-0619"/>
      <sheetName val="HV_RA99-0619"/>
      <sheetName val="IN_RA99-0619"/>
      <sheetName val="CH_RA99-0619"/>
      <sheetName val="TH_RA99-0619"/>
      <sheetName val="HZ_RA99-0619"/>
      <sheetName val="Trial_Balance18"/>
      <sheetName val="Total_MG_18"/>
      <sheetName val="Op_Plan_Sales19"/>
      <sheetName val="IT_Only18"/>
      <sheetName val="May_098"/>
      <sheetName val="Price_Testing_-_Used_-_117"/>
      <sheetName val="Chart_of_Accounts18"/>
      <sheetName val="M_B-QtyRecn19"/>
      <sheetName val="Input_schedule18"/>
      <sheetName val="Sales_&amp;_Marketing_Dashboard18"/>
      <sheetName val="TPM_Tot18"/>
      <sheetName val="Sept_'9918"/>
      <sheetName val="Opening_Balance15"/>
      <sheetName val="3_Yr_Revenue_Analysis(old)8"/>
      <sheetName val="Cash_Flow_715"/>
      <sheetName val="FBT_Full18"/>
      <sheetName val="Other_notes18"/>
      <sheetName val="consolidated_Budget18"/>
      <sheetName val="Push_Diag_on_Premise15"/>
      <sheetName val="CChannel_Attract_Input15"/>
      <sheetName val="Amortization_Table8"/>
      <sheetName val="New_form_3CD_A8"/>
      <sheetName val="riola_don't_know_9-26-998"/>
      <sheetName val="Listings_96-028"/>
      <sheetName val="_2_Reserve8"/>
      <sheetName val="SAP_-_Rightpak8"/>
      <sheetName val="All_Data8"/>
      <sheetName val="5Y_v2_1415"/>
      <sheetName val="Excess_Calc8"/>
      <sheetName val="Cash_Flows8"/>
      <sheetName val="Val_&amp;_Multp8"/>
      <sheetName val="Heating_Div8"/>
      <sheetName val="All_other_Div's8"/>
      <sheetName val="Mkt_Mult8"/>
      <sheetName val="Trans_Mult8"/>
      <sheetName val="Maint_Def_Rev_03-048"/>
      <sheetName val="New-Growth_Def_Rev_03-048"/>
      <sheetName val="Perpetual_Def_Rev_03-048"/>
      <sheetName val="Renewal_Def_Rev_03-048"/>
      <sheetName val="mdd_&amp;_co_Fdr_jan_02_8"/>
      <sheetName val="1_-_A_(Narrative)8"/>
      <sheetName val="P_L8"/>
      <sheetName val="Project_Resource_Details8"/>
      <sheetName val="Balance_Sheet_8"/>
      <sheetName val="P&amp;L_Summary_Page8"/>
      <sheetName val="Axis_Bank_Cheques8"/>
      <sheetName val="Master_Sheet8"/>
      <sheetName val="12_04_098"/>
      <sheetName val="Debtors_Ageing8"/>
      <sheetName val="M_G_P-20108"/>
      <sheetName val="P&amp;L_February6"/>
      <sheetName val="P&amp;L_Feb_2001_cumulative6"/>
      <sheetName val="AR_JAN'026"/>
      <sheetName val="NLD_-_Assum6"/>
      <sheetName val="Locked_cell6"/>
      <sheetName val="PARTY_DETAILS6"/>
      <sheetName val="FINAL_SHEET6"/>
      <sheetName val="Base_Data6"/>
      <sheetName val="Transaction_Inputs4"/>
      <sheetName val="Q1_Bookings_-_Pers_-_Attainmen4"/>
      <sheetName val="Verification_3"/>
      <sheetName val="F_Assets4"/>
      <sheetName val="Please_do_not_USE_or_DELETE3"/>
      <sheetName val="Grouping_TB3"/>
      <sheetName val="Base_Info3"/>
      <sheetName val="RCC,Ret__Wall3"/>
      <sheetName val="Resource_Type3"/>
      <sheetName val="Year_2003-04_Plan3"/>
      <sheetName val="Lic_Rev_Account_Lookup_Table3"/>
      <sheetName val="Input_Screen3"/>
      <sheetName val="QTY__PROV_LAB3"/>
      <sheetName val="1_2_HDFC_Collection3"/>
      <sheetName val="Fx_Rates3"/>
      <sheetName val="AS21SchE_-_9M07083"/>
      <sheetName val="Consolidation__Rs3"/>
      <sheetName val="Power_Cost_sheet3"/>
      <sheetName val="Steam_Cost_Sheet3"/>
      <sheetName val="Query_Results_ALL3"/>
      <sheetName val="TB_Round3"/>
      <sheetName val="Sales_&amp;Sale_Cost3"/>
      <sheetName val="Cash_Flow-WSL_Base_Fcst3"/>
      <sheetName val="Tools_Rev3"/>
      <sheetName val="Cheops_BS3"/>
      <sheetName val="STAFFSCHED_3"/>
      <sheetName val="Info_on_Rupee_Cost3"/>
      <sheetName val="stat_C_(2)3"/>
      <sheetName val="Bal_Sheet3"/>
      <sheetName val="Non-Statistical_Sampling_Maste3"/>
      <sheetName val="Two_Step_Revenue_Testing_Maste3"/>
      <sheetName val="Global_Data3"/>
      <sheetName val="Project_Info3"/>
      <sheetName val="Détails_plans_d'actions3"/>
      <sheetName val="Debraj_Sinha3"/>
      <sheetName val="Occ,_Other_Rev,_Exp,_Dispo3"/>
      <sheetName val="P1_RM3"/>
      <sheetName val="LEGAL_GUJ3"/>
      <sheetName val="IIL_Payroll3"/>
      <sheetName val="License_Area3"/>
      <sheetName val="AP_RA99-0620"/>
      <sheetName val="HV_RA99-0620"/>
      <sheetName val="IN_RA99-0620"/>
      <sheetName val="CH_RA99-0620"/>
      <sheetName val="TH_RA99-0620"/>
      <sheetName val="HZ_RA99-0620"/>
      <sheetName val="Trial_Balance19"/>
      <sheetName val="Total_MG_19"/>
      <sheetName val="Op_Plan_Sales20"/>
      <sheetName val="IT_Only19"/>
      <sheetName val="May_099"/>
      <sheetName val="Price_Testing_-_Used_-_118"/>
      <sheetName val="Chart_of_Accounts19"/>
      <sheetName val="M_B-QtyRecn20"/>
      <sheetName val="Input_schedule19"/>
      <sheetName val="Sales_&amp;_Marketing_Dashboard19"/>
      <sheetName val="TPM_Tot19"/>
      <sheetName val="Sept_'9919"/>
      <sheetName val="Opening_Balance16"/>
      <sheetName val="3_Yr_Revenue_Analysis(old)9"/>
      <sheetName val="Cash_Flow_716"/>
      <sheetName val="FBT_Full19"/>
      <sheetName val="Other_notes19"/>
      <sheetName val="Push_Diag_on_Premise16"/>
      <sheetName val="CChannel_Attract_Input16"/>
      <sheetName val="consolidated_Budget19"/>
      <sheetName val="Amortization_Table9"/>
      <sheetName val="New_form_3CD_A9"/>
      <sheetName val="riola_don't_know_9-26-999"/>
      <sheetName val="_2_Reserve9"/>
      <sheetName val="Listings_96-029"/>
      <sheetName val="5Y_v2_1416"/>
      <sheetName val="All_Data9"/>
      <sheetName val="P_L9"/>
      <sheetName val="mdd_&amp;_co_Fdr_jan_02_9"/>
      <sheetName val="Project_Resource_Details9"/>
      <sheetName val="Balance_Sheet_9"/>
      <sheetName val="P&amp;L_Summary_Page9"/>
      <sheetName val="Axis_Bank_Cheques9"/>
      <sheetName val="Master_Sheet9"/>
      <sheetName val="12_04_099"/>
      <sheetName val="Debtors_Ageing9"/>
      <sheetName val="Excess_Calc9"/>
      <sheetName val="M_G_P-20109"/>
      <sheetName val="P&amp;L_February7"/>
      <sheetName val="P&amp;L_Feb_2001_cumulative7"/>
      <sheetName val="AR_JAN'027"/>
      <sheetName val="NLD_-_Assum7"/>
      <sheetName val="1_-_A_(Narrative)9"/>
      <sheetName val="Cash_Flows9"/>
      <sheetName val="Val_&amp;_Multp9"/>
      <sheetName val="Heating_Div9"/>
      <sheetName val="All_other_Div's9"/>
      <sheetName val="Mkt_Mult9"/>
      <sheetName val="Trans_Mult9"/>
      <sheetName val="Locked_cell7"/>
      <sheetName val="SAP_-_Rightpak9"/>
      <sheetName val="Maint_Def_Rev_03-049"/>
      <sheetName val="New-Growth_Def_Rev_03-049"/>
      <sheetName val="Perpetual_Def_Rev_03-049"/>
      <sheetName val="Renewal_Def_Rev_03-049"/>
      <sheetName val="FINAL_SHEET7"/>
      <sheetName val="Base_Data7"/>
      <sheetName val="PARTY_DETAILS7"/>
      <sheetName val="Transaction_Inputs5"/>
      <sheetName val="Q1_Bookings_-_Pers_-_Attainmen5"/>
      <sheetName val="Verification_4"/>
      <sheetName val="F_Assets5"/>
      <sheetName val="Please_do_not_USE_or_DELETE4"/>
      <sheetName val="Grouping_TB4"/>
      <sheetName val="Travel_Expense_Report(1week)4"/>
      <sheetName val="Base_Info4"/>
      <sheetName val="RCC,Ret__Wall4"/>
      <sheetName val="MR08'_Cost_Manag4"/>
      <sheetName val="Wavg_RM4"/>
      <sheetName val="Resource_Type4"/>
      <sheetName val="Year_2003-04_Plan4"/>
      <sheetName val="Lic_Rev_Account_Lookup_Table4"/>
      <sheetName val="Input_Screen4"/>
      <sheetName val="QTY__PROV_LAB4"/>
      <sheetName val="1_2_HDFC_Collection4"/>
      <sheetName val="Fx_Rates4"/>
      <sheetName val="AS21SchE_-_9M07084"/>
      <sheetName val="Consolidation__Rs4"/>
      <sheetName val="Power_Cost_sheet4"/>
      <sheetName val="Steam_Cost_Sheet4"/>
      <sheetName val="Query_Results_ALL4"/>
      <sheetName val="TB_Round4"/>
      <sheetName val="Sales_&amp;Sale_Cost4"/>
      <sheetName val="Cash_Flow-WSL_Base_Fcst4"/>
      <sheetName val="mar_rep_rev4"/>
      <sheetName val="CF_SALE_W_OFF_01-024"/>
      <sheetName val="stock_data4"/>
      <sheetName val="Tools_Rev4"/>
      <sheetName val="Cheops_BS4"/>
      <sheetName val="STAFFSCHED_4"/>
      <sheetName val="Info_on_Rupee_Cost4"/>
      <sheetName val="stat_C_(2)4"/>
      <sheetName val="Bal_Sheet4"/>
      <sheetName val="Non-Statistical_Sampling_Maste4"/>
      <sheetName val="Two_Step_Revenue_Testing_Maste4"/>
      <sheetName val="Global_Data4"/>
      <sheetName val="Project_Info4"/>
      <sheetName val="Détails_plans_d'actions4"/>
      <sheetName val="Debraj_Sinha4"/>
      <sheetName val="Occ,_Other_Rev,_Exp,_Dispo4"/>
      <sheetName val="P1_RM4"/>
      <sheetName val="LEGAL_GUJ4"/>
      <sheetName val="IIL_Payroll4"/>
      <sheetName val="License_Area4"/>
      <sheetName val="AP_RA99-0621"/>
      <sheetName val="HV_RA99-0621"/>
      <sheetName val="IN_RA99-0621"/>
      <sheetName val="CH_RA99-0621"/>
      <sheetName val="TH_RA99-0621"/>
      <sheetName val="HZ_RA99-0621"/>
      <sheetName val="Trial_Balance20"/>
      <sheetName val="Total_MG_20"/>
      <sheetName val="Op_Plan_Sales21"/>
      <sheetName val="IT_Only20"/>
      <sheetName val="May_0910"/>
      <sheetName val="Price_Testing_-_Used_-_119"/>
      <sheetName val="Chart_of_Accounts20"/>
      <sheetName val="M_B-QtyRecn21"/>
      <sheetName val="Input_schedule20"/>
      <sheetName val="Sales_&amp;_Marketing_Dashboard20"/>
      <sheetName val="TPM_Tot20"/>
      <sheetName val="Sept_'9920"/>
      <sheetName val="Opening_Balance17"/>
      <sheetName val="3_Yr_Revenue_Analysis(old)10"/>
      <sheetName val="Cash_Flow_717"/>
      <sheetName val="FBT_Full20"/>
      <sheetName val="Other_notes20"/>
      <sheetName val="Push_Diag_on_Premise17"/>
      <sheetName val="CChannel_Attract_Input17"/>
      <sheetName val="consolidated_Budget20"/>
      <sheetName val="Amortization_Table10"/>
      <sheetName val="New_form_3CD_A10"/>
      <sheetName val="riola_don't_know_9-26-9910"/>
      <sheetName val="_2_Reserve10"/>
      <sheetName val="Listings_96-0210"/>
      <sheetName val="5Y_v2_1417"/>
      <sheetName val="All_Data10"/>
      <sheetName val="P_L10"/>
      <sheetName val="mdd_&amp;_co_Fdr_jan_02_10"/>
      <sheetName val="Project_Resource_Details10"/>
      <sheetName val="Balance_Sheet_10"/>
      <sheetName val="P&amp;L_Summary_Page10"/>
      <sheetName val="Axis_Bank_Cheques10"/>
      <sheetName val="Master_Sheet10"/>
      <sheetName val="12_04_0910"/>
      <sheetName val="Debtors_Ageing10"/>
      <sheetName val="Excess_Calc10"/>
      <sheetName val="M_G_P-201010"/>
      <sheetName val="P&amp;L_February8"/>
      <sheetName val="P&amp;L_Feb_2001_cumulative8"/>
      <sheetName val="AR_JAN'028"/>
      <sheetName val="NLD_-_Assum8"/>
      <sheetName val="1_-_A_(Narrative)10"/>
      <sheetName val="Cash_Flows10"/>
      <sheetName val="Val_&amp;_Multp10"/>
      <sheetName val="Heating_Div10"/>
      <sheetName val="All_other_Div's10"/>
      <sheetName val="Mkt_Mult10"/>
      <sheetName val="Trans_Mult10"/>
      <sheetName val="Locked_cell8"/>
      <sheetName val="SAP_-_Rightpak10"/>
      <sheetName val="Maint_Def_Rev_03-0410"/>
      <sheetName val="New-Growth_Def_Rev_03-0410"/>
      <sheetName val="Perpetual_Def_Rev_03-0410"/>
      <sheetName val="Renewal_Def_Rev_03-0410"/>
      <sheetName val="FINAL_SHEET8"/>
      <sheetName val="Base_Data8"/>
      <sheetName val="PARTY_DETAILS8"/>
      <sheetName val="Transaction_Inputs6"/>
      <sheetName val="Q1_Bookings_-_Pers_-_Attainmen6"/>
      <sheetName val="Verification_5"/>
      <sheetName val="F_Assets6"/>
      <sheetName val="Please_do_not_USE_or_DELETE5"/>
      <sheetName val="Grouping_TB5"/>
      <sheetName val="Travel_Expense_Report(1week)5"/>
      <sheetName val="Base_Info5"/>
      <sheetName val="RCC,Ret__Wall5"/>
      <sheetName val="MR08'_Cost_Manag5"/>
      <sheetName val="Wavg_RM5"/>
      <sheetName val="Resource_Type5"/>
      <sheetName val="Year_2003-04_Plan5"/>
      <sheetName val="Lic_Rev_Account_Lookup_Table5"/>
      <sheetName val="Input_Screen5"/>
      <sheetName val="QTY__PROV_LAB5"/>
      <sheetName val="1_2_HDFC_Collection5"/>
      <sheetName val="Fx_Rates5"/>
      <sheetName val="AS21SchE_-_9M07085"/>
      <sheetName val="Consolidation__Rs5"/>
      <sheetName val="Power_Cost_sheet5"/>
      <sheetName val="Steam_Cost_Sheet5"/>
      <sheetName val="Query_Results_ALL5"/>
      <sheetName val="TB_Round5"/>
      <sheetName val="Sales_&amp;Sale_Cost5"/>
      <sheetName val="Cash_Flow-WSL_Base_Fcst5"/>
      <sheetName val="mar_rep_rev5"/>
      <sheetName val="CF_SALE_W_OFF_01-025"/>
      <sheetName val="stock_data5"/>
      <sheetName val="Tools_Rev5"/>
      <sheetName val="Cheops_BS5"/>
      <sheetName val="STAFFSCHED_5"/>
      <sheetName val="Info_on_Rupee_Cost5"/>
      <sheetName val="stat_C_(2)5"/>
      <sheetName val="Bal_Sheet5"/>
      <sheetName val="Non-Statistical_Sampling_Maste5"/>
      <sheetName val="Two_Step_Revenue_Testing_Maste5"/>
      <sheetName val="Global_Data5"/>
      <sheetName val="Project_Info5"/>
      <sheetName val="Détails_plans_d'actions5"/>
      <sheetName val="Debraj_Sinha5"/>
      <sheetName val="Occ,_Other_Rev,_Exp,_Dispo5"/>
      <sheetName val="P1_RM5"/>
      <sheetName val="LEGAL_GUJ5"/>
      <sheetName val="IIL_Payroll5"/>
      <sheetName val="License_Area5"/>
      <sheetName val="Payment Register"/>
      <sheetName val="prg"/>
      <sheetName val="Redelvery provision changed"/>
      <sheetName val="sum"/>
      <sheetName val="LOCAL RATES"/>
      <sheetName val="RAW MATERIAL"/>
      <sheetName val="Input -B_Sheet"/>
      <sheetName val="Macro2"/>
      <sheetName val="Parameters"/>
      <sheetName val="Main Bs Cr"/>
      <sheetName val="Japan Reco"/>
      <sheetName val="TRIALBALANCE"/>
      <sheetName val="Sheet3"/>
      <sheetName val="Reports_List1"/>
      <sheetName val="Setup_Variables1"/>
      <sheetName val="Setup_Variables"/>
      <sheetName val="Reports_List2"/>
      <sheetName val="Setup_Variables2"/>
      <sheetName val="Reports_List3"/>
      <sheetName val="Setup_Variables3"/>
      <sheetName val="Sheet3 (2)"/>
      <sheetName val="PYCurMthTB"/>
      <sheetName val="Year_End"/>
      <sheetName val="Instruction Sheet"/>
      <sheetName val="Narrative"/>
      <sheetName val="List Data"/>
      <sheetName val="Actual Work Progress"/>
      <sheetName val="Planned Work Schedule"/>
      <sheetName val="AP_RA99-0622"/>
      <sheetName val="HV_RA99-0622"/>
      <sheetName val="IN_RA99-0622"/>
      <sheetName val="CH_RA99-0622"/>
      <sheetName val="TH_RA99-0622"/>
      <sheetName val="HZ_RA99-0622"/>
      <sheetName val="Total_MG_21"/>
      <sheetName val="Op_Plan_Sales22"/>
      <sheetName val="IT_Only21"/>
      <sheetName val="3_Yr_Revenue_Analysis(old)11"/>
      <sheetName val="Trial_Balance21"/>
      <sheetName val="Input_schedule21"/>
      <sheetName val="Sales_&amp;_Marketing_Dashboard21"/>
      <sheetName val="TPM_Tot21"/>
      <sheetName val="Sept_'9921"/>
      <sheetName val="Opening_Balance18"/>
      <sheetName val="Chart_of_Accounts21"/>
      <sheetName val="Other_notes21"/>
      <sheetName val="M_B-QtyRecn22"/>
      <sheetName val="FBT_Full21"/>
      <sheetName val="Cash_Flow_718"/>
      <sheetName val="New_form_3CD_A11"/>
      <sheetName val="consolidated_Budget21"/>
      <sheetName val="_2_Reserve11"/>
      <sheetName val="Maint_Def_Rev_03-0411"/>
      <sheetName val="New-Growth_Def_Rev_03-0411"/>
      <sheetName val="Perpetual_Def_Rev_03-0411"/>
      <sheetName val="Renewal_Def_Rev_03-0411"/>
      <sheetName val="Travel_Expense_Report(1week)6"/>
      <sheetName val="Cash_Flows11"/>
      <sheetName val="Val_&amp;_Multp11"/>
      <sheetName val="Heating_Div11"/>
      <sheetName val="All_other_Div's11"/>
      <sheetName val="Mkt_Mult11"/>
      <sheetName val="Trans_Mult11"/>
      <sheetName val="Push_Diag_on_Premise18"/>
      <sheetName val="CChannel_Attract_Input18"/>
      <sheetName val="Price_Testing_-_Used_-_120"/>
      <sheetName val="5Y_v2_1418"/>
      <sheetName val="Amortization_Table11"/>
      <sheetName val="All_Data11"/>
      <sheetName val="Excess_Calc11"/>
      <sheetName val="May_0911"/>
      <sheetName val="riola_don't_know_9-26-9911"/>
      <sheetName val="Fx_Rates6"/>
      <sheetName val="FINAL_SHEET9"/>
      <sheetName val="NLD_-_Assum9"/>
      <sheetName val="Cheops_BS6"/>
      <sheetName val="MR08'_Cost_Manag6"/>
      <sheetName val="Grouping_TB6"/>
      <sheetName val="mdd_&amp;_co_Fdr_jan_02_11"/>
      <sheetName val="Non-Statistical_Sampling_Maste6"/>
      <sheetName val="Two_Step_Revenue_Testing_Maste6"/>
      <sheetName val="Global_Data6"/>
      <sheetName val="1_-_A_(Narrative)11"/>
      <sheetName val="Base_Info6"/>
      <sheetName val="RCC,Ret__Wall6"/>
      <sheetName val="SAP_-_Rightpak11"/>
      <sheetName val="Listings_96-0211"/>
      <sheetName val="Cash_Flow-WSL_Base_Fcst6"/>
      <sheetName val="Input_Screen6"/>
      <sheetName val="TB_Round6"/>
      <sheetName val="Sales_&amp;Sale_Cost6"/>
      <sheetName val="P_L11"/>
      <sheetName val="Project_Resource_Details11"/>
      <sheetName val="Balance_Sheet_11"/>
      <sheetName val="P&amp;L_Summary_Page11"/>
      <sheetName val="Info_on_Rupee_Cost6"/>
      <sheetName val="Year_2003-04_Plan6"/>
      <sheetName val="STAFFSCHED_6"/>
      <sheetName val="P&amp;L_February9"/>
      <sheetName val="P&amp;L_Feb_2001_cumulative9"/>
      <sheetName val="AR_JAN'029"/>
      <sheetName val="QTY__PROV_LAB6"/>
      <sheetName val="Tools_Rev6"/>
      <sheetName val="stat_C_(2)6"/>
      <sheetName val="Bal_Sheet6"/>
      <sheetName val="Please_do_not_USE_or_DELETE6"/>
      <sheetName val="U1_6"/>
      <sheetName val="Occ,_Other_Rev,_Exp,_Dispo6"/>
      <sheetName val="P1_RM6"/>
      <sheetName val="LEGAL_GUJ6"/>
      <sheetName val="12_04_0911"/>
      <sheetName val="Détails_plans_d'actions6"/>
      <sheetName val="Debraj_Sinha6"/>
      <sheetName val="CABLE_DATA1"/>
      <sheetName val="mar_rep_rev6"/>
      <sheetName val="Power_Cost_sheet6"/>
      <sheetName val="Steam_Cost_Sheet6"/>
      <sheetName val="LINK_GAP1"/>
      <sheetName val="Resource_Type6"/>
      <sheetName val="Lic_Rev_Account_Lookup_Table6"/>
      <sheetName val="Wavg_RM6"/>
      <sheetName val="PARTY_DETAILS9"/>
      <sheetName val="CF_SALE_W_OFF_01-026"/>
      <sheetName val="stock_data6"/>
      <sheetName val="Axis_Bank_Cheques11"/>
      <sheetName val="Master_Sheet11"/>
      <sheetName val="Debtors_Ageing11"/>
      <sheetName val="CLP_Value_Driver_(14)_Dec_Old3"/>
      <sheetName val="EXPLOT_AGUA_PVC"/>
      <sheetName val="Project_Info6"/>
      <sheetName val="Transaction_Inputs7"/>
      <sheetName val="List_Box"/>
      <sheetName val="Rising_Main"/>
      <sheetName val="Civil_Boq"/>
      <sheetName val="Consolidate_Trial_Dec_06"/>
      <sheetName val="1_2_HDFC_Collection6"/>
      <sheetName val="AS21SchE_-_9M07086"/>
      <sheetName val="Consolidation__Rs6"/>
      <sheetName val="Query_Results_ALL6"/>
      <sheetName val="M_G_P-201011"/>
      <sheetName val="Locked_cell9"/>
      <sheetName val="Base_Data9"/>
      <sheetName val="IIL_Payroll6"/>
      <sheetName val="License_Area6"/>
      <sheetName val="sent_to_HO"/>
      <sheetName val="61750000_Consultancy_Charges3"/>
      <sheetName val="Labour_&amp;_Plant3"/>
      <sheetName val="Annexure_B3"/>
      <sheetName val="Reclass_BS_111"/>
      <sheetName val="Reclass_PL_111"/>
      <sheetName val="1956_Rates"/>
      <sheetName val="2013_Rates"/>
      <sheetName val="QTY-00-01_(2)"/>
      <sheetName val="Addition_Ist_&amp;_IInd_Half"/>
      <sheetName val="Amb_-_Working"/>
      <sheetName val="BS_face"/>
      <sheetName val="BS_Notes"/>
      <sheetName val="PL_face"/>
      <sheetName val="PL_Notes"/>
      <sheetName val="Fixed_Assets"/>
      <sheetName val="Deferred_tax"/>
      <sheetName val="GP_Ratio"/>
      <sheetName val="Sch_13_Notes_13-16"/>
      <sheetName val="PM_(F)1"/>
      <sheetName val="BS_1"/>
      <sheetName val="Clause16(b)_PF"/>
      <sheetName val="STAFF_"/>
      <sheetName val="GI_02"/>
      <sheetName val="PARAM_(TLI_Info)"/>
      <sheetName val="Horus_B08"/>
      <sheetName val="Horus_F07"/>
      <sheetName val="1612_01AL_-_INT_AM&amp;NIEP"/>
      <sheetName val="Trial_Bal"/>
      <sheetName val="Sub-Cont_Rev"/>
      <sheetName val="cost_centers"/>
      <sheetName val="Balance_sheet"/>
      <sheetName val="Rev_sum"/>
      <sheetName val="Q1_Bookings_-_Pers_-_Attainmen7"/>
      <sheetName val="Verification_6"/>
      <sheetName val="F_Assets7"/>
      <sheetName val="comet_cur_act"/>
      <sheetName val="line_운영안"/>
      <sheetName val="Detail_Data"/>
      <sheetName val="(1)-PROFIT_SUM_"/>
      <sheetName val="PRICE_(2)"/>
      <sheetName val="Forex_Loss1"/>
      <sheetName val="recast_tb_-_mar'11"/>
      <sheetName val="telephone_deposits_written_off"/>
      <sheetName val="Payment_Register"/>
      <sheetName val="Redelvery_provision_changed"/>
      <sheetName val="LOCAL_RATES"/>
      <sheetName val="RAW_MATERIAL"/>
      <sheetName val="Input_-B_Sheet"/>
      <sheetName val="AP_RA99-0623"/>
      <sheetName val="HV_RA99-0623"/>
      <sheetName val="IN_RA99-0623"/>
      <sheetName val="CH_RA99-0623"/>
      <sheetName val="TH_RA99-0623"/>
      <sheetName val="HZ_RA99-0623"/>
      <sheetName val="Total_MG_22"/>
      <sheetName val="Op_Plan_Sales23"/>
      <sheetName val="IT_Only22"/>
      <sheetName val="3_Yr_Revenue_Analysis(old)12"/>
      <sheetName val="Trial_Balance22"/>
      <sheetName val="Input_schedule22"/>
      <sheetName val="Sales_&amp;_Marketing_Dashboard22"/>
      <sheetName val="TPM_Tot22"/>
      <sheetName val="Sept_'9922"/>
      <sheetName val="Opening_Balance19"/>
      <sheetName val="Chart_of_Accounts22"/>
      <sheetName val="Other_notes22"/>
      <sheetName val="M_B-QtyRecn23"/>
      <sheetName val="FBT_Full22"/>
      <sheetName val="Cash_Flow_719"/>
      <sheetName val="New_form_3CD_A12"/>
      <sheetName val="consolidated_Budget22"/>
      <sheetName val="_2_Reserve12"/>
      <sheetName val="Maint_Def_Rev_03-0412"/>
      <sheetName val="New-Growth_Def_Rev_03-0412"/>
      <sheetName val="Perpetual_Def_Rev_03-0412"/>
      <sheetName val="Renewal_Def_Rev_03-0412"/>
      <sheetName val="Travel_Expense_Report(1week)7"/>
      <sheetName val="Cash_Flows12"/>
      <sheetName val="Val_&amp;_Multp12"/>
      <sheetName val="Heating_Div12"/>
      <sheetName val="All_other_Div's12"/>
      <sheetName val="Mkt_Mult12"/>
      <sheetName val="Trans_Mult12"/>
      <sheetName val="Push_Diag_on_Premise19"/>
      <sheetName val="CChannel_Attract_Input19"/>
      <sheetName val="Price_Testing_-_Used_-_121"/>
      <sheetName val="5Y_v2_1419"/>
      <sheetName val="Amortization_Table12"/>
      <sheetName val="All_Data12"/>
      <sheetName val="Excess_Calc12"/>
      <sheetName val="May_0912"/>
      <sheetName val="riola_don't_know_9-26-9912"/>
      <sheetName val="Fx_Rates7"/>
      <sheetName val="FINAL_SHEET10"/>
      <sheetName val="NLD_-_Assum10"/>
      <sheetName val="Cheops_BS7"/>
      <sheetName val="MR08'_Cost_Manag7"/>
      <sheetName val="Grouping_TB7"/>
      <sheetName val="mdd_&amp;_co_Fdr_jan_02_12"/>
      <sheetName val="Non-Statistical_Sampling_Maste7"/>
      <sheetName val="Two_Step_Revenue_Testing_Maste7"/>
      <sheetName val="Global_Data7"/>
      <sheetName val="1_-_A_(Narrative)12"/>
      <sheetName val="Base_Info7"/>
      <sheetName val="RCC,Ret__Wall7"/>
      <sheetName val="SAP_-_Rightpak12"/>
      <sheetName val="Listings_96-0212"/>
      <sheetName val="Cash_Flow-WSL_Base_Fcst7"/>
      <sheetName val="Input_Screen7"/>
      <sheetName val="TB_Round7"/>
      <sheetName val="Sales_&amp;Sale_Cost7"/>
      <sheetName val="P_L12"/>
      <sheetName val="Project_Resource_Details12"/>
      <sheetName val="Balance_Sheet_12"/>
      <sheetName val="P&amp;L_Summary_Page12"/>
      <sheetName val="Info_on_Rupee_Cost7"/>
      <sheetName val="Year_2003-04_Plan7"/>
      <sheetName val="STAFFSCHED_7"/>
      <sheetName val="P&amp;L_February10"/>
      <sheetName val="P&amp;L_Feb_2001_cumulative10"/>
      <sheetName val="AR_JAN'0210"/>
      <sheetName val="QTY__PROV_LAB7"/>
      <sheetName val="Tools_Rev7"/>
      <sheetName val="stat_C_(2)7"/>
      <sheetName val="Bal_Sheet7"/>
      <sheetName val="Please_do_not_USE_or_DELETE7"/>
      <sheetName val="U1_61"/>
      <sheetName val="Occ,_Other_Rev,_Exp,_Dispo7"/>
      <sheetName val="P1_RM7"/>
      <sheetName val="LEGAL_GUJ7"/>
      <sheetName val="12_04_0912"/>
      <sheetName val="Détails_plans_d'actions7"/>
      <sheetName val="Debraj_Sinha7"/>
      <sheetName val="CABLE_DATA2"/>
      <sheetName val="mar_rep_rev7"/>
      <sheetName val="Power_Cost_sheet7"/>
      <sheetName val="Steam_Cost_Sheet7"/>
      <sheetName val="LINK_GAP2"/>
      <sheetName val="Resource_Type7"/>
      <sheetName val="Lic_Rev_Account_Lookup_Table7"/>
      <sheetName val="Wavg_RM7"/>
      <sheetName val="PARTY_DETAILS10"/>
      <sheetName val="CF_SALE_W_OFF_01-027"/>
      <sheetName val="stock_data7"/>
      <sheetName val="Axis_Bank_Cheques12"/>
      <sheetName val="Master_Sheet12"/>
      <sheetName val="Debtors_Ageing12"/>
      <sheetName val="CLP_Value_Driver_(14)_Dec_Old4"/>
      <sheetName val="EXPLOT_AGUA_PVC1"/>
      <sheetName val="Project_Info7"/>
      <sheetName val="Transaction_Inputs8"/>
      <sheetName val="List_Box1"/>
      <sheetName val="Rising_Main1"/>
      <sheetName val="Civil_Boq1"/>
      <sheetName val="Consolidate_Trial_Dec_061"/>
      <sheetName val="1_2_HDFC_Collection7"/>
      <sheetName val="AS21SchE_-_9M07087"/>
      <sheetName val="Consolidation__Rs7"/>
      <sheetName val="Query_Results_ALL7"/>
      <sheetName val="M_G_P-201012"/>
      <sheetName val="Locked_cell10"/>
      <sheetName val="Base_Data10"/>
      <sheetName val="IIL_Payroll7"/>
      <sheetName val="License_Area7"/>
      <sheetName val="sent_to_HO1"/>
      <sheetName val="61750000_Consultancy_Charges4"/>
      <sheetName val="Labour_&amp;_Plant4"/>
      <sheetName val="Annexure_B4"/>
      <sheetName val="Reclass_BS_112"/>
      <sheetName val="Reclass_PL_112"/>
      <sheetName val="1956_Rates1"/>
      <sheetName val="2013_Rates1"/>
      <sheetName val="QTY-00-01_(2)1"/>
      <sheetName val="Addition_Ist_&amp;_IInd_Half1"/>
      <sheetName val="Amb_-_Working1"/>
      <sheetName val="BS_face1"/>
      <sheetName val="BS_Notes1"/>
      <sheetName val="PL_face1"/>
      <sheetName val="PL_Notes1"/>
      <sheetName val="Fixed_Assets1"/>
      <sheetName val="Deferred_tax1"/>
      <sheetName val="GP_Ratio1"/>
      <sheetName val="Sch_13_Notes_13-161"/>
      <sheetName val="PM_(F)2"/>
      <sheetName val="BS_2"/>
      <sheetName val="Clause16(b)_PF1"/>
      <sheetName val="STAFF_1"/>
      <sheetName val="GI_021"/>
      <sheetName val="PARAM_(TLI_Info)1"/>
      <sheetName val="Horus_B081"/>
      <sheetName val="Horus_F071"/>
      <sheetName val="1612_01AL_-_INT_AM&amp;NIEP1"/>
      <sheetName val="Trial_Bal1"/>
      <sheetName val="Sub-Cont_Rev1"/>
      <sheetName val="cost_centers1"/>
      <sheetName val="Balance_sheet1"/>
      <sheetName val="Rev_sum1"/>
      <sheetName val="Q1_Bookings_-_Pers_-_Attainmen8"/>
      <sheetName val="Verification_7"/>
      <sheetName val="F_Assets8"/>
      <sheetName val="comet_cur_act1"/>
      <sheetName val="line_운영안1"/>
      <sheetName val="Detail_Data1"/>
      <sheetName val="(1)-PROFIT_SUM_1"/>
      <sheetName val="PRICE_(2)1"/>
      <sheetName val="Forex_Loss2"/>
      <sheetName val="recast_tb_-_mar'111"/>
      <sheetName val="telephone_deposits_written_off1"/>
      <sheetName val="Payment_Register1"/>
      <sheetName val="Redelvery_provision_changed1"/>
      <sheetName val="LOCAL_RATES1"/>
      <sheetName val="RAW_MATERIAL1"/>
      <sheetName val="Input_-B_Sheet1"/>
      <sheetName val="NKEL O&amp;M"/>
      <sheetName val="p &amp;l stpwise"/>
      <sheetName val="Stores"/>
      <sheetName val="Financial Information"/>
      <sheetName val="Inventory Count Sheet "/>
      <sheetName val="Cost assmpts"/>
      <sheetName val="Net adv.-2015"/>
      <sheetName val="guest charges"/>
      <sheetName val="HideSheet"/>
      <sheetName val="chemkol"/>
      <sheetName val="Query4"/>
      <sheetName val="Cash Flow"/>
      <sheetName val="U-4_Investments &amp; FD"/>
      <sheetName val="entitlements"/>
      <sheetName val="Staatenbeispiel"/>
      <sheetName val="WORKINGS"/>
      <sheetName val="Assmp"/>
      <sheetName val="Seide Customer wise "/>
      <sheetName val="Cntmrs-Recruit"/>
      <sheetName val="Select"/>
      <sheetName val="Ann.VI.2"/>
      <sheetName val="RateTable"/>
      <sheetName val="Zielperiode"/>
      <sheetName val="1998"/>
      <sheetName val="SCHD_WR"/>
      <sheetName val="Desgn(zone I)"/>
      <sheetName val="Settings"/>
      <sheetName val="OC5-Push Diag"/>
      <sheetName val="Franchise Input"/>
      <sheetName val="FINAL 2003"/>
      <sheetName val="Sheet0"/>
      <sheetName val="schedulesAR"/>
    </sheetNames>
    <sheetDataSet>
      <sheetData sheetId="0" refreshError="1"/>
      <sheetData sheetId="1" refreshError="1"/>
      <sheetData sheetId="2" refreshError="1"/>
      <sheetData sheetId="3" refreshError="1"/>
      <sheetData sheetId="4" refreshError="1">
        <row r="10">
          <cell r="D10">
            <v>8.3000000000000007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refreshError="1"/>
      <sheetData sheetId="572" refreshError="1"/>
      <sheetData sheetId="573"/>
      <sheetData sheetId="574"/>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ow r="10">
          <cell r="D10">
            <v>0</v>
          </cell>
        </row>
      </sheetData>
      <sheetData sheetId="693">
        <row r="10">
          <cell r="D10">
            <v>0</v>
          </cell>
        </row>
      </sheetData>
      <sheetData sheetId="694">
        <row r="10">
          <cell r="D10">
            <v>0</v>
          </cell>
        </row>
      </sheetData>
      <sheetData sheetId="695">
        <row r="10">
          <cell r="D10">
            <v>0</v>
          </cell>
        </row>
      </sheetData>
      <sheetData sheetId="696">
        <row r="10">
          <cell r="D10">
            <v>0</v>
          </cell>
        </row>
      </sheetData>
      <sheetData sheetId="697">
        <row r="10">
          <cell r="D10">
            <v>0</v>
          </cell>
        </row>
      </sheetData>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refreshError="1"/>
      <sheetData sheetId="997" refreshError="1"/>
      <sheetData sheetId="998" refreshError="1"/>
      <sheetData sheetId="999" refreshError="1"/>
      <sheetData sheetId="1000" refreshError="1"/>
      <sheetData sheetId="1001" refreshError="1"/>
      <sheetData sheetId="1002" refreshError="1"/>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sheetData sheetId="1639" refreshError="1"/>
      <sheetData sheetId="1640"/>
      <sheetData sheetId="1641"/>
      <sheetData sheetId="1642"/>
      <sheetData sheetId="1643"/>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row r="10">
          <cell r="D10">
            <v>0</v>
          </cell>
        </row>
      </sheetData>
      <sheetData sheetId="1781">
        <row r="10">
          <cell r="D10">
            <v>0</v>
          </cell>
        </row>
      </sheetData>
      <sheetData sheetId="1782">
        <row r="10">
          <cell r="D10">
            <v>0</v>
          </cell>
        </row>
      </sheetData>
      <sheetData sheetId="1783">
        <row r="10">
          <cell r="D10">
            <v>0</v>
          </cell>
        </row>
      </sheetData>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row r="10">
          <cell r="D10">
            <v>0</v>
          </cell>
        </row>
      </sheetData>
      <sheetData sheetId="1946">
        <row r="10">
          <cell r="D10">
            <v>0</v>
          </cell>
        </row>
      </sheetData>
      <sheetData sheetId="1947">
        <row r="10">
          <cell r="D10">
            <v>0</v>
          </cell>
        </row>
      </sheetData>
      <sheetData sheetId="1948">
        <row r="10">
          <cell r="D10">
            <v>0</v>
          </cell>
        </row>
      </sheetData>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
      <sheetName val="BS "/>
      <sheetName val="Cash Flow "/>
      <sheetName val="P&amp;L "/>
      <sheetName val="Revenue  Summary"/>
      <sheetName val="Segmental  Revenue"/>
      <sheetName val="Exps Current"/>
      <sheetName val="Get More"/>
      <sheetName val="Depreciation"/>
      <sheetName val="Financing"/>
      <sheetName val="Option 1-EMI"/>
      <sheetName val="Option 2-Loan"/>
      <sheetName val="PL"/>
      <sheetName val="Index"/>
      <sheetName val="Bsheet-Total"/>
      <sheetName val="Bsheet-GM"/>
      <sheetName val="Bsheet-F&amp;IB"/>
      <sheetName val="Ratios"/>
      <sheetName val="Cashflow-Total"/>
      <sheetName val="Cashflow-GM"/>
      <sheetName val="Cashflow-F&amp;IB"/>
      <sheetName val="P&amp;L Total"/>
      <sheetName val="P&amp;L-F&amp;IB"/>
      <sheetName val="P&amp;L SBU1"/>
      <sheetName val="P&amp;L SBU2"/>
      <sheetName val="P&amp;L SBU3"/>
      <sheetName val="P&amp;L SBU4"/>
      <sheetName val="Reconciliation"/>
      <sheetName val="Assumptions-exps&amp; Rev"/>
      <sheetName val="Expenses Total"/>
      <sheetName val="Expenses-excl GM"/>
      <sheetName val="Var exps-SBU1"/>
      <sheetName val="Var exps SBU2"/>
      <sheetName val="Var exps SBU3"/>
      <sheetName val="Revenue-Summary"/>
      <sheetName val="Revenue-SBU3"/>
      <sheetName val="Revenue-SBU2"/>
      <sheetName val="Revenue-SBU1"/>
      <sheetName val="FC O&amp;T"/>
      <sheetName val="FC S&amp;M"/>
      <sheetName val="FC Corp"/>
      <sheetName val="vc-CD Acqg"/>
      <sheetName val="vc-CD Issg"/>
      <sheetName val="vc-eTopup"/>
      <sheetName val="vc-BPay"/>
      <sheetName val="vc-GM"/>
      <sheetName val="vc-BPCL"/>
      <sheetName val="vc-Others"/>
      <sheetName val="difc-ops-sbu1"/>
      <sheetName val="difc-ops-sbu2"/>
      <sheetName val="difc-ops-sbu3"/>
      <sheetName val="difc-ops-sbu4"/>
      <sheetName val="fc-deptwise"/>
      <sheetName val="fc-O&amp;T-HO"/>
      <sheetName val="fc-O&amp;T-SPD"/>
      <sheetName val="fc-O&amp;T-Acqg"/>
      <sheetName val="fc-O&amp;T-Procg"/>
      <sheetName val="fc-O&amp;T-CM"/>
      <sheetName val="fc-O&amp;T-CPU"/>
      <sheetName val="fc-O&amp;T-IC"/>
      <sheetName val="fc-O&amp;T-RO"/>
      <sheetName val="fc-O&amp;T-FS"/>
      <sheetName val="fc-O&amp;T-SnN"/>
      <sheetName val="fc-O&amp;T-Enbl"/>
      <sheetName val="fc-O&amp;T-OEnQC"/>
      <sheetName val="fc-O&amp;T-PDD"/>
      <sheetName val="fc-O&amp;T-PM"/>
      <sheetName val="fc-S&amp;M-SBU1"/>
      <sheetName val="fc-S&amp;M-SBU2"/>
      <sheetName val="fc-S&amp;M-SBU3"/>
      <sheetName val="fc-S&amp;M-MS"/>
      <sheetName val="fc-Corp-ExcMgt"/>
      <sheetName val="fc-Corp-Others"/>
      <sheetName val="fc-Corp-FnA"/>
      <sheetName val="fc-Corp-HRnA"/>
      <sheetName val="fc-Corp-IS"/>
      <sheetName val="fc-Corp-CnRM"/>
      <sheetName val="fc-Corp-Secy"/>
      <sheetName val="Deprn"/>
      <sheetName val="Capital Purchase"/>
      <sheetName val="Payroll sum"/>
      <sheetName val="Payroll"/>
      <sheetName val="Lease payment"/>
      <sheetName val="Telephone"/>
      <sheetName val="Rent"/>
      <sheetName val="Project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2)"/>
      <sheetName val="TB 310305"/>
      <sheetName val="bal"/>
      <sheetName val="P&amp;L"/>
      <sheetName val="sch"/>
      <sheetName val="Abs"/>
      <sheetName val="Schedule 3_depreciation"/>
      <sheetName val="depn_WDV"/>
      <sheetName val="Dep IT"/>
      <sheetName val="Sub Schedule 4A_Current Assets"/>
      <sheetName val="Sub schedule 5A_crs for exps"/>
      <sheetName val="Sub schedule 5B_provisions"/>
      <sheetName val="Sub Schedule 5C_Other Cur lia"/>
      <sheetName val="Sub schedule 8A_salaries"/>
      <sheetName val="Sub Schedule 8B_PF&amp;ESI"/>
      <sheetName val="Sub Schedule 8C_bonus&amp;EL"/>
      <sheetName val="Admin charges"/>
      <sheetName val="Sub schedule 9A_comp hire"/>
      <sheetName val="Sub schedule 9B_data processing"/>
      <sheetName val="Sub schedule 9C_electricity"/>
      <sheetName val="Sub schedule 9D_security"/>
      <sheetName val="Sub schedule 9E_Rent"/>
      <sheetName val="Sub schedule 9F_consultantcharg"/>
      <sheetName val="Sub schedule 9G_prior period"/>
      <sheetName val="sub schedule 9H_leased line"/>
      <sheetName val="Sub schedule 9I_Misc exps"/>
      <sheetName val="Sub Schedule 9J_rep &amp;maint"/>
      <sheetName val="Sub schedule 9K_rates and taxes"/>
      <sheetName val="Sub schedule 9l_travel &amp; Convey"/>
      <sheetName val="Sub schedule 9M_software"/>
      <sheetName val="Co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SHEET"/>
      <sheetName val="P&amp;L"/>
      <sheetName val="Schd-1"/>
      <sheetName val="Schd2"/>
      <sheetName val="Schd3"/>
      <sheetName val="Schd4"/>
      <sheetName val="SChd-5"/>
      <sheetName val="Schd 6-11"/>
      <sheetName val="Schd 12-13"/>
      <sheetName val="Schd 14-16"/>
      <sheetName val="Groupings"/>
      <sheetName val="March'06"/>
      <sheetName val="Sheet1"/>
      <sheetName val="BS Groupings"/>
      <sheetName val="PL Groupings"/>
      <sheetName val="sch"/>
      <sheetName val="ENCL6"/>
      <sheetName val="BOQ_Direct_selling cost"/>
      <sheetName val="WDV depn"/>
      <sheetName val="CONTRN BY DISTRICT"/>
      <sheetName val="LOCAL RATES"/>
      <sheetName val="RIP1"/>
      <sheetName val="cubes_M20"/>
      <sheetName val="ActualData"/>
      <sheetName val=" Type III"/>
      <sheetName val=" Type I"/>
      <sheetName val="Schedule-1-2"/>
      <sheetName val="CCCPL B.S 31.03.2006(050606)"/>
      <sheetName val="Delhi"/>
      <sheetName val="GLED"/>
      <sheetName val="Balance Sheet"/>
      <sheetName val="Te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Resource Data"/>
      <sheetName val="Utilization Data"/>
      <sheetName val="Utilization Summary"/>
      <sheetName val="Supplementary Data"/>
    </sheetNames>
    <sheetDataSet>
      <sheetData sheetId="0" refreshError="1"/>
      <sheetData sheetId="1" refreshError="1"/>
      <sheetData sheetId="2" refreshError="1"/>
      <sheetData sheetId="3" refreshError="1"/>
      <sheetData sheetId="4">
        <row r="5">
          <cell r="B5" t="str">
            <v>ITSU</v>
          </cell>
        </row>
        <row r="6">
          <cell r="B6" t="str">
            <v>PDSU</v>
          </cell>
        </row>
        <row r="7">
          <cell r="B7" t="str">
            <v>COMM</v>
          </cell>
        </row>
        <row r="11">
          <cell r="B11" t="str">
            <v>ITDG1</v>
          </cell>
        </row>
        <row r="12">
          <cell r="B12" t="str">
            <v>ITDG2</v>
          </cell>
        </row>
        <row r="13">
          <cell r="B13" t="str">
            <v>ITDG3</v>
          </cell>
        </row>
        <row r="14">
          <cell r="B14" t="str">
            <v>ITDG4</v>
          </cell>
        </row>
        <row r="15">
          <cell r="B15" t="str">
            <v>ITDG5</v>
          </cell>
        </row>
        <row r="16">
          <cell r="B16" t="str">
            <v>ITDG6</v>
          </cell>
        </row>
        <row r="17">
          <cell r="B17" t="str">
            <v>ITDG7</v>
          </cell>
        </row>
        <row r="18">
          <cell r="B18" t="str">
            <v>ITCCC</v>
          </cell>
        </row>
        <row r="19">
          <cell r="B19" t="str">
            <v>PDDG1</v>
          </cell>
        </row>
        <row r="20">
          <cell r="B20" t="str">
            <v>PCCCC</v>
          </cell>
        </row>
        <row r="21">
          <cell r="B21" t="str">
            <v>DCCCC</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with Comments"/>
      <sheetName val="TB (Local)"/>
      <sheetName val="TB (USD)"/>
      <sheetName val="13109011-3 Bank (INR)"/>
      <sheetName val="18000300 Investments"/>
      <sheetName val="21000112 AR-Other"/>
      <sheetName val="21000200 AR-Trade unbilled"/>
      <sheetName val="21002007 Trade receivable"/>
      <sheetName val="21999999&amp;27000000 Confirmation"/>
      <sheetName val="21999999 IC AR"/>
      <sheetName val="27000000 IC AP"/>
      <sheetName val="22009433 Allow for bad debt"/>
      <sheetName val="22009433 C&amp;C schedule"/>
      <sheetName val="24001150 Prepaid Telco"/>
      <sheetName val="28000106 Deposits-Others"/>
      <sheetName val="34000003 CIP"/>
      <sheetName val="41000100 AP-trade"/>
      <sheetName val="41001013 AP clearing "/>
      <sheetName val="42000200 Accd acctg fee"/>
      <sheetName val="48000500 Other accrd liabilitie"/>
      <sheetName val="44000000 Telco Liab"/>
      <sheetName val="46000260 Chris Cheung sch"/>
      <sheetName val="48000500 Other Accrued Liab"/>
      <sheetName val="48000800 GRIR"/>
      <sheetName val="48004099 Customer deposits"/>
      <sheetName val="56000000 Paid in capital"/>
      <sheetName val="57000100 Retained earnings"/>
      <sheetName val="21000112 Details fm AR"/>
      <sheetName val="IC acct Confirmation"/>
      <sheetName val="Comp"/>
      <sheetName val="wip FG"/>
    </sheetNames>
    <sheetDataSet>
      <sheetData sheetId="0"/>
      <sheetData sheetId="1" refreshError="1">
        <row r="1">
          <cell r="A1" t="str">
            <v>Wcom Communications India Pte Ltd-2148</v>
          </cell>
        </row>
        <row r="2">
          <cell r="A2" t="str">
            <v>Trial Balance</v>
          </cell>
        </row>
        <row r="3">
          <cell r="A3">
            <v>38412</v>
          </cell>
        </row>
        <row r="5">
          <cell r="A5" t="str">
            <v>Acct No</v>
          </cell>
          <cell r="B5" t="str">
            <v>Acct Name</v>
          </cell>
          <cell r="C5" t="str">
            <v>Curr</v>
          </cell>
          <cell r="D5" t="str">
            <v>Closing Bal</v>
          </cell>
        </row>
        <row r="6">
          <cell r="A6">
            <v>13109011</v>
          </cell>
          <cell r="B6" t="str">
            <v>BOA IN CLEARED INR1 - CURRENT</v>
          </cell>
          <cell r="C6" t="str">
            <v>INR</v>
          </cell>
          <cell r="D6">
            <v>6820092.3799999999</v>
          </cell>
        </row>
        <row r="7">
          <cell r="A7">
            <v>13109012</v>
          </cell>
          <cell r="B7" t="str">
            <v>BOA IN UNCLEARED INR1 - CURRENT</v>
          </cell>
          <cell r="C7" t="str">
            <v>INR</v>
          </cell>
          <cell r="D7">
            <v>551</v>
          </cell>
        </row>
        <row r="8">
          <cell r="A8">
            <v>13109013</v>
          </cell>
          <cell r="B8" t="str">
            <v>BOA IN SUSPENSE INR1 - CURRENT</v>
          </cell>
          <cell r="C8" t="str">
            <v>INR</v>
          </cell>
          <cell r="D8">
            <v>0</v>
          </cell>
        </row>
        <row r="9">
          <cell r="A9">
            <v>18000300</v>
          </cell>
          <cell r="B9" t="str">
            <v>INVESTMENTS</v>
          </cell>
          <cell r="C9" t="str">
            <v>INR</v>
          </cell>
          <cell r="D9">
            <v>0</v>
          </cell>
        </row>
        <row r="10">
          <cell r="A10">
            <v>21000112</v>
          </cell>
          <cell r="B10" t="str">
            <v>A/R - OTHER</v>
          </cell>
          <cell r="C10" t="str">
            <v>INR</v>
          </cell>
          <cell r="D10">
            <v>-246809</v>
          </cell>
        </row>
        <row r="11">
          <cell r="A11">
            <v>21000200</v>
          </cell>
          <cell r="B11" t="str">
            <v>A/R-TRADE UNBILLED</v>
          </cell>
          <cell r="C11" t="str">
            <v>INR</v>
          </cell>
          <cell r="D11">
            <v>-32482.87</v>
          </cell>
        </row>
        <row r="12">
          <cell r="A12">
            <v>21000217</v>
          </cell>
          <cell r="B12" t="str">
            <v>REVENUE CLEARING-ARBOR</v>
          </cell>
          <cell r="C12" t="str">
            <v>INR</v>
          </cell>
          <cell r="D12">
            <v>0</v>
          </cell>
        </row>
        <row r="13">
          <cell r="A13">
            <v>21000222</v>
          </cell>
          <cell r="B13" t="str">
            <v>REVENUE CLEARING-MANUAL</v>
          </cell>
          <cell r="C13" t="str">
            <v>INR</v>
          </cell>
          <cell r="D13">
            <v>0</v>
          </cell>
        </row>
        <row r="14">
          <cell r="A14">
            <v>21002006</v>
          </cell>
          <cell r="B14" t="str">
            <v>F/X Revaluation - Debtors</v>
          </cell>
          <cell r="C14" t="str">
            <v>INR</v>
          </cell>
          <cell r="D14">
            <v>-182166.73</v>
          </cell>
        </row>
        <row r="15">
          <cell r="A15">
            <v>21002007</v>
          </cell>
          <cell r="B15" t="str">
            <v>TRADE A/C RECEIVABLE</v>
          </cell>
          <cell r="C15" t="str">
            <v>INR</v>
          </cell>
          <cell r="D15">
            <v>19512423.579999998</v>
          </cell>
        </row>
        <row r="16">
          <cell r="A16">
            <v>21002010</v>
          </cell>
          <cell r="B16" t="str">
            <v>FX Revaluation InterCo Accounts Receivable</v>
          </cell>
          <cell r="C16" t="str">
            <v>INR</v>
          </cell>
          <cell r="D16">
            <v>-5576755.9299999997</v>
          </cell>
        </row>
        <row r="17">
          <cell r="A17">
            <v>21999999</v>
          </cell>
          <cell r="B17" t="str">
            <v>I/C ACCTS RECEIV</v>
          </cell>
          <cell r="C17" t="str">
            <v>INR</v>
          </cell>
          <cell r="D17">
            <v>198969585.59</v>
          </cell>
        </row>
        <row r="18">
          <cell r="A18">
            <v>22009433</v>
          </cell>
          <cell r="B18" t="str">
            <v>ALLOW FOR BAD DEBT</v>
          </cell>
          <cell r="C18" t="str">
            <v>INR</v>
          </cell>
          <cell r="D18">
            <v>-6359595.2699999996</v>
          </cell>
        </row>
        <row r="19">
          <cell r="A19">
            <v>24001150</v>
          </cell>
          <cell r="B19" t="str">
            <v>PREPAID TELCO</v>
          </cell>
          <cell r="C19" t="str">
            <v>INR</v>
          </cell>
          <cell r="D19">
            <v>2177855.75</v>
          </cell>
        </row>
        <row r="20">
          <cell r="A20">
            <v>26100001</v>
          </cell>
          <cell r="B20" t="str">
            <v>INPUT VAT</v>
          </cell>
          <cell r="C20" t="str">
            <v>INR</v>
          </cell>
          <cell r="D20">
            <v>917049.81</v>
          </cell>
        </row>
        <row r="21">
          <cell r="A21">
            <v>27000000</v>
          </cell>
          <cell r="B21" t="str">
            <v>I/C ACCTS PAYABLE</v>
          </cell>
          <cell r="C21" t="str">
            <v>INR</v>
          </cell>
          <cell r="D21">
            <v>-387935323.52999997</v>
          </cell>
        </row>
        <row r="22">
          <cell r="A22">
            <v>28000106</v>
          </cell>
          <cell r="B22" t="str">
            <v>DEPOSITS-OTHERS</v>
          </cell>
          <cell r="C22" t="str">
            <v>INR</v>
          </cell>
          <cell r="D22">
            <v>1149107.01</v>
          </cell>
        </row>
        <row r="23">
          <cell r="A23">
            <v>34000003</v>
          </cell>
          <cell r="B23" t="str">
            <v>CONSTRUCTION IN PROGRESS</v>
          </cell>
          <cell r="C23" t="str">
            <v>INR</v>
          </cell>
          <cell r="D23">
            <v>-992912.24</v>
          </cell>
        </row>
        <row r="24">
          <cell r="A24">
            <v>39000001</v>
          </cell>
          <cell r="B24" t="str">
            <v>ASSET UNDER CONSTRUCTION</v>
          </cell>
          <cell r="C24" t="str">
            <v>INR</v>
          </cell>
          <cell r="D24">
            <v>97156817.430000007</v>
          </cell>
        </row>
        <row r="25">
          <cell r="A25">
            <v>39000165</v>
          </cell>
          <cell r="B25" t="str">
            <v>DATA EQUIPMENT - COMMUNICATIONS</v>
          </cell>
          <cell r="C25" t="str">
            <v>INR</v>
          </cell>
          <cell r="D25">
            <v>36241321.719999999</v>
          </cell>
        </row>
        <row r="26">
          <cell r="A26">
            <v>39009165</v>
          </cell>
          <cell r="B26" t="str">
            <v>A/D -DATA EQUIPMENT - COMMUNICATIONS</v>
          </cell>
          <cell r="C26" t="str">
            <v>INR</v>
          </cell>
          <cell r="D26">
            <v>-13337116.720000001</v>
          </cell>
        </row>
        <row r="27">
          <cell r="A27">
            <v>41000100</v>
          </cell>
          <cell r="B27" t="str">
            <v>A/P-TRADE</v>
          </cell>
          <cell r="C27" t="str">
            <v>INR</v>
          </cell>
          <cell r="D27">
            <v>-14547117.119999999</v>
          </cell>
        </row>
        <row r="28">
          <cell r="A28">
            <v>41000200</v>
          </cell>
          <cell r="B28" t="str">
            <v>F/X Revaluation - Creditor</v>
          </cell>
          <cell r="C28" t="str">
            <v>INR</v>
          </cell>
          <cell r="D28">
            <v>-16695.75</v>
          </cell>
        </row>
        <row r="29">
          <cell r="A29">
            <v>41000210</v>
          </cell>
          <cell r="B29" t="str">
            <v>F/X revaluation # Intercompany Accounts Payable</v>
          </cell>
          <cell r="C29" t="str">
            <v>INR</v>
          </cell>
          <cell r="D29">
            <v>12272980.99</v>
          </cell>
        </row>
        <row r="30">
          <cell r="A30">
            <v>41001013</v>
          </cell>
          <cell r="B30" t="str">
            <v>A/P CLEARING ACCOUNT</v>
          </cell>
          <cell r="C30" t="str">
            <v>INR</v>
          </cell>
          <cell r="D30">
            <v>-224668</v>
          </cell>
        </row>
        <row r="31">
          <cell r="A31">
            <v>42000200</v>
          </cell>
          <cell r="B31" t="str">
            <v>ACCD ACCOUNTING FEES</v>
          </cell>
          <cell r="C31" t="str">
            <v>INR</v>
          </cell>
          <cell r="D31">
            <v>-4743137</v>
          </cell>
        </row>
        <row r="32">
          <cell r="A32">
            <v>44000000</v>
          </cell>
          <cell r="B32" t="str">
            <v>TELCO LIABILITIES</v>
          </cell>
          <cell r="C32" t="str">
            <v>INR</v>
          </cell>
          <cell r="D32">
            <v>-12101194.529999999</v>
          </cell>
        </row>
        <row r="33">
          <cell r="A33">
            <v>46000260</v>
          </cell>
          <cell r="B33" t="str">
            <v>DEFERRED REVENUES</v>
          </cell>
          <cell r="C33" t="str">
            <v>INR</v>
          </cell>
          <cell r="D33">
            <v>-3756141.14</v>
          </cell>
        </row>
        <row r="34">
          <cell r="A34">
            <v>47100001</v>
          </cell>
          <cell r="B34" t="str">
            <v>OUTPUT VAT</v>
          </cell>
          <cell r="C34" t="str">
            <v>INR</v>
          </cell>
          <cell r="D34">
            <v>-9901373.0999999996</v>
          </cell>
        </row>
        <row r="35">
          <cell r="A35">
            <v>48000500</v>
          </cell>
          <cell r="B35" t="str">
            <v>OTHER ACCRUED LIABS</v>
          </cell>
          <cell r="C35" t="str">
            <v>INR</v>
          </cell>
          <cell r="D35">
            <v>-1462949</v>
          </cell>
        </row>
        <row r="36">
          <cell r="A36">
            <v>48000800</v>
          </cell>
          <cell r="B36" t="str">
            <v>GR/IR CLEARING ACCOU</v>
          </cell>
          <cell r="C36" t="str">
            <v>INR</v>
          </cell>
          <cell r="D36">
            <v>-276726.34000000003</v>
          </cell>
        </row>
        <row r="37">
          <cell r="A37">
            <v>48004099</v>
          </cell>
          <cell r="B37" t="str">
            <v>CUSTOMER DEPOSITS</v>
          </cell>
          <cell r="C37" t="str">
            <v>INR</v>
          </cell>
          <cell r="D37">
            <v>-110214</v>
          </cell>
        </row>
        <row r="38">
          <cell r="A38">
            <v>52005000</v>
          </cell>
          <cell r="B38" t="str">
            <v>INTERCOMPANY CLEARIN</v>
          </cell>
          <cell r="C38" t="str">
            <v>INR</v>
          </cell>
          <cell r="D38">
            <v>0</v>
          </cell>
        </row>
        <row r="39">
          <cell r="A39">
            <v>56000000</v>
          </cell>
          <cell r="B39" t="str">
            <v>PAID IN CAPITAL</v>
          </cell>
          <cell r="C39" t="str">
            <v>INR</v>
          </cell>
          <cell r="D39">
            <v>-100000</v>
          </cell>
        </row>
        <row r="40">
          <cell r="A40">
            <v>57000100</v>
          </cell>
          <cell r="B40" t="str">
            <v>RETAINED EARNINGS</v>
          </cell>
          <cell r="C40" t="str">
            <v>INR</v>
          </cell>
          <cell r="D40">
            <v>64809147.950000003</v>
          </cell>
        </row>
        <row r="41">
          <cell r="A41">
            <v>64000109</v>
          </cell>
          <cell r="B41" t="str">
            <v>WORLD CLASS-PRIVATE LINE</v>
          </cell>
          <cell r="C41" t="str">
            <v>INR</v>
          </cell>
          <cell r="D41">
            <v>0</v>
          </cell>
        </row>
        <row r="42">
          <cell r="A42">
            <v>64000119</v>
          </cell>
          <cell r="B42" t="str">
            <v>INSTALL/OTHER-INT'L PRIVATE LINE</v>
          </cell>
          <cell r="C42" t="str">
            <v>INR</v>
          </cell>
          <cell r="D42">
            <v>0</v>
          </cell>
        </row>
        <row r="43">
          <cell r="A43">
            <v>64000122</v>
          </cell>
          <cell r="B43" t="str">
            <v>INSTALL/OTHER-GLT</v>
          </cell>
          <cell r="C43" t="str">
            <v>INR</v>
          </cell>
          <cell r="D43">
            <v>-335053.53000000003</v>
          </cell>
        </row>
        <row r="44">
          <cell r="A44">
            <v>64000128</v>
          </cell>
          <cell r="B44" t="str">
            <v>UUNET - RETAIL PRODUCTS</v>
          </cell>
          <cell r="C44" t="str">
            <v>INR</v>
          </cell>
          <cell r="D44">
            <v>-25246023.899999999</v>
          </cell>
        </row>
        <row r="45">
          <cell r="A45">
            <v>64000520</v>
          </cell>
          <cell r="B45" t="str">
            <v>Line Fees</v>
          </cell>
          <cell r="C45" t="str">
            <v>INR</v>
          </cell>
          <cell r="D45">
            <v>-616228.47</v>
          </cell>
        </row>
        <row r="46">
          <cell r="A46">
            <v>64000540</v>
          </cell>
          <cell r="B46" t="str">
            <v>Managed Security</v>
          </cell>
          <cell r="C46" t="str">
            <v>INR</v>
          </cell>
          <cell r="D46">
            <v>-405000</v>
          </cell>
        </row>
        <row r="47">
          <cell r="A47">
            <v>64002003</v>
          </cell>
          <cell r="B47" t="str">
            <v>IPVPN - TOTAL ACCESS</v>
          </cell>
          <cell r="C47" t="str">
            <v>INR</v>
          </cell>
          <cell r="D47">
            <v>-68682.679999999993</v>
          </cell>
        </row>
        <row r="48">
          <cell r="A48">
            <v>73301500</v>
          </cell>
          <cell r="B48" t="str">
            <v>TRANSFER COSTS</v>
          </cell>
          <cell r="C48" t="str">
            <v>INR</v>
          </cell>
          <cell r="D48">
            <v>10420289.449999999</v>
          </cell>
        </row>
        <row r="49">
          <cell r="A49">
            <v>73400002</v>
          </cell>
          <cell r="B49" t="str">
            <v>LINES REBILLED 3RD PARTY PROV</v>
          </cell>
          <cell r="C49" t="str">
            <v>INR</v>
          </cell>
          <cell r="D49">
            <v>27039256.780000001</v>
          </cell>
        </row>
        <row r="50">
          <cell r="A50">
            <v>82501382</v>
          </cell>
          <cell r="B50" t="str">
            <v>COGS FACILITIES OPRA SE</v>
          </cell>
          <cell r="C50" t="str">
            <v>INR</v>
          </cell>
          <cell r="D50">
            <v>1271550</v>
          </cell>
        </row>
        <row r="51">
          <cell r="A51">
            <v>82601000</v>
          </cell>
          <cell r="B51" t="str">
            <v>TELEPHONE</v>
          </cell>
          <cell r="C51" t="str">
            <v>INR</v>
          </cell>
          <cell r="D51">
            <v>49590</v>
          </cell>
        </row>
        <row r="52">
          <cell r="A52">
            <v>83407301</v>
          </cell>
          <cell r="B52" t="str">
            <v>R&amp;M NETWORK EQIPMT</v>
          </cell>
          <cell r="C52" t="str">
            <v>INR</v>
          </cell>
          <cell r="D52">
            <v>0</v>
          </cell>
        </row>
        <row r="53">
          <cell r="A53">
            <v>83801030</v>
          </cell>
          <cell r="B53" t="str">
            <v>Database Subscription</v>
          </cell>
          <cell r="C53" t="str">
            <v>INR</v>
          </cell>
          <cell r="D53">
            <v>109412.54</v>
          </cell>
        </row>
        <row r="54">
          <cell r="A54">
            <v>83802550</v>
          </cell>
          <cell r="B54" t="str">
            <v>BANK FEES</v>
          </cell>
          <cell r="C54" t="str">
            <v>INR</v>
          </cell>
          <cell r="D54">
            <v>40917.839999999997</v>
          </cell>
        </row>
        <row r="55">
          <cell r="A55">
            <v>83806030</v>
          </cell>
          <cell r="B55" t="str">
            <v>MISCELLANEOUS</v>
          </cell>
          <cell r="C55" t="str">
            <v>INR</v>
          </cell>
          <cell r="D55">
            <v>698127.23</v>
          </cell>
        </row>
        <row r="56">
          <cell r="A56">
            <v>84301000</v>
          </cell>
          <cell r="B56" t="str">
            <v>LEGAL FEES - CURRENT</v>
          </cell>
          <cell r="C56" t="str">
            <v>INR</v>
          </cell>
          <cell r="D56">
            <v>258740</v>
          </cell>
        </row>
        <row r="57">
          <cell r="A57">
            <v>84303000</v>
          </cell>
          <cell r="B57" t="str">
            <v>ACCOUNTING FEES</v>
          </cell>
          <cell r="C57" t="str">
            <v>INR</v>
          </cell>
          <cell r="D57">
            <v>255754</v>
          </cell>
        </row>
        <row r="58">
          <cell r="A58">
            <v>84303009</v>
          </cell>
          <cell r="B58" t="str">
            <v>AUDIT FEE/ACTG FEES</v>
          </cell>
          <cell r="C58" t="str">
            <v>INR</v>
          </cell>
          <cell r="D58">
            <v>310681</v>
          </cell>
        </row>
        <row r="59">
          <cell r="A59">
            <v>88000100</v>
          </cell>
          <cell r="B59" t="str">
            <v>NON-SOFTWARE INTERNAL LABOR</v>
          </cell>
          <cell r="C59" t="str">
            <v>INR</v>
          </cell>
          <cell r="D59">
            <v>0</v>
          </cell>
        </row>
        <row r="60">
          <cell r="A60">
            <v>88000202</v>
          </cell>
          <cell r="B60" t="str">
            <v>PROJECT CHARGES-NETWORK/WAREHOUSE</v>
          </cell>
          <cell r="C60" t="str">
            <v>INR</v>
          </cell>
          <cell r="D60">
            <v>0</v>
          </cell>
        </row>
        <row r="61">
          <cell r="A61">
            <v>92001000</v>
          </cell>
          <cell r="B61" t="str">
            <v>MANAGEMENT FEE</v>
          </cell>
          <cell r="C61" t="str">
            <v>INR</v>
          </cell>
          <cell r="D61">
            <v>3900000</v>
          </cell>
        </row>
        <row r="62">
          <cell r="A62">
            <v>95000100</v>
          </cell>
          <cell r="B62" t="str">
            <v>PROVISION BAD DEBT</v>
          </cell>
          <cell r="C62" t="str">
            <v>INR</v>
          </cell>
          <cell r="D62">
            <v>993257.09</v>
          </cell>
        </row>
        <row r="63">
          <cell r="A63">
            <v>95000200</v>
          </cell>
          <cell r="B63" t="str">
            <v>BAD DEBT</v>
          </cell>
          <cell r="C63" t="str">
            <v>INR</v>
          </cell>
          <cell r="D63">
            <v>-1791.83</v>
          </cell>
        </row>
        <row r="64">
          <cell r="A64">
            <v>96000130</v>
          </cell>
          <cell r="B64" t="str">
            <v>AP SMALL DIFF WRITE-OFF</v>
          </cell>
          <cell r="C64" t="str">
            <v>INR</v>
          </cell>
          <cell r="D64">
            <v>-412.08</v>
          </cell>
        </row>
        <row r="65">
          <cell r="A65">
            <v>96000405</v>
          </cell>
          <cell r="B65" t="str">
            <v>FOR EXCH REALIZED GAINS</v>
          </cell>
          <cell r="C65" t="str">
            <v>INR</v>
          </cell>
          <cell r="D65">
            <v>-0.01</v>
          </cell>
        </row>
        <row r="66">
          <cell r="A66">
            <v>96000406</v>
          </cell>
          <cell r="B66" t="str">
            <v>FOR EXCH REALIZED LOSS</v>
          </cell>
          <cell r="C66" t="str">
            <v>INR</v>
          </cell>
          <cell r="D66">
            <v>0</v>
          </cell>
        </row>
        <row r="67">
          <cell r="A67">
            <v>96000407</v>
          </cell>
          <cell r="B67" t="str">
            <v>FOREX EXCH UNREALISED GAIN</v>
          </cell>
          <cell r="C67" t="str">
            <v>INR</v>
          </cell>
          <cell r="D67">
            <v>2597629.2999999998</v>
          </cell>
        </row>
        <row r="68">
          <cell r="A68">
            <v>96000409</v>
          </cell>
          <cell r="B68" t="str">
            <v>FOR EXCHANGE UNREALISED LOSSES</v>
          </cell>
          <cell r="C68" t="str">
            <v>INR</v>
          </cell>
          <cell r="D68">
            <v>-1117596.26</v>
          </cell>
        </row>
        <row r="69">
          <cell r="A69">
            <v>96000411</v>
          </cell>
          <cell r="B69" t="str">
            <v>FOR EXCH REALIZED GAINS</v>
          </cell>
          <cell r="C69" t="str">
            <v>INR</v>
          </cell>
          <cell r="D69">
            <v>-29508.06</v>
          </cell>
        </row>
        <row r="70">
          <cell r="A70">
            <v>96000412</v>
          </cell>
          <cell r="B70" t="str">
            <v>FOR EXCH REALIZED LOSSES</v>
          </cell>
          <cell r="C70" t="str">
            <v>INR</v>
          </cell>
          <cell r="D70">
            <v>25682.83</v>
          </cell>
        </row>
        <row r="71">
          <cell r="A71">
            <v>97005010</v>
          </cell>
          <cell r="B71" t="str">
            <v>FOREIGN INCOME TAX</v>
          </cell>
          <cell r="C71" t="str">
            <v>INR</v>
          </cell>
          <cell r="D71">
            <v>179978.25</v>
          </cell>
        </row>
        <row r="72">
          <cell r="A72">
            <v>98003361</v>
          </cell>
          <cell r="B72" t="str">
            <v>DEPRE-DATA EQUIPMENT - COMMUNICATIONS</v>
          </cell>
          <cell r="C72" t="str">
            <v>INR</v>
          </cell>
          <cell r="D72">
            <v>1545875.57</v>
          </cell>
        </row>
        <row r="74">
          <cell r="D74">
            <v>3.2596290111541748E-8</v>
          </cell>
        </row>
      </sheetData>
      <sheetData sheetId="2" refreshError="1">
        <row r="1">
          <cell r="A1" t="str">
            <v>Wcom Communications India Pte Ltd-2148</v>
          </cell>
        </row>
        <row r="2">
          <cell r="A2" t="str">
            <v>Trial Balance</v>
          </cell>
        </row>
        <row r="3">
          <cell r="A3">
            <v>38412</v>
          </cell>
        </row>
        <row r="5">
          <cell r="A5" t="str">
            <v>Acct No</v>
          </cell>
          <cell r="B5" t="str">
            <v>Acct Name</v>
          </cell>
          <cell r="C5" t="str">
            <v>Curr</v>
          </cell>
          <cell r="D5" t="str">
            <v>Closing Bal</v>
          </cell>
        </row>
        <row r="6">
          <cell r="A6">
            <v>13109011</v>
          </cell>
          <cell r="B6" t="str">
            <v>BOA IN CLEARED INR1 - CURRENT</v>
          </cell>
          <cell r="C6" t="str">
            <v>USD</v>
          </cell>
          <cell r="D6">
            <v>140820.98000000001</v>
          </cell>
        </row>
        <row r="7">
          <cell r="A7">
            <v>13109012</v>
          </cell>
          <cell r="B7" t="str">
            <v>BOA IN UNCLEARED INR1 - CURRENT</v>
          </cell>
          <cell r="C7" t="str">
            <v>USD</v>
          </cell>
          <cell r="D7">
            <v>229.14</v>
          </cell>
        </row>
        <row r="8">
          <cell r="A8">
            <v>13109013</v>
          </cell>
          <cell r="B8" t="str">
            <v>BOA IN SUSPENSE INR1 - CURRENT</v>
          </cell>
          <cell r="C8" t="str">
            <v>USD</v>
          </cell>
          <cell r="D8">
            <v>0</v>
          </cell>
        </row>
        <row r="9">
          <cell r="A9">
            <v>18000300</v>
          </cell>
          <cell r="B9" t="str">
            <v>INVESTMENTS</v>
          </cell>
          <cell r="C9" t="str">
            <v>USD</v>
          </cell>
          <cell r="D9">
            <v>0</v>
          </cell>
        </row>
        <row r="10">
          <cell r="A10">
            <v>21000112</v>
          </cell>
          <cell r="B10" t="str">
            <v>A/R - OTHER</v>
          </cell>
          <cell r="C10" t="str">
            <v>USD</v>
          </cell>
          <cell r="D10">
            <v>-5370.64</v>
          </cell>
        </row>
        <row r="11">
          <cell r="A11">
            <v>21000200</v>
          </cell>
          <cell r="B11" t="str">
            <v>A/R-TRADE UNBILLED</v>
          </cell>
          <cell r="C11" t="str">
            <v>USD</v>
          </cell>
          <cell r="D11">
            <v>-740.79</v>
          </cell>
        </row>
        <row r="12">
          <cell r="A12">
            <v>21000217</v>
          </cell>
          <cell r="B12" t="str">
            <v>REVENUE CLEARING-ARBOR</v>
          </cell>
          <cell r="C12" t="str">
            <v>USD</v>
          </cell>
          <cell r="D12">
            <v>0</v>
          </cell>
        </row>
        <row r="13">
          <cell r="A13">
            <v>21000222</v>
          </cell>
          <cell r="B13" t="str">
            <v>REVENUE CLEARING-MANUAL</v>
          </cell>
          <cell r="C13" t="str">
            <v>USD</v>
          </cell>
          <cell r="D13">
            <v>0</v>
          </cell>
        </row>
        <row r="14">
          <cell r="A14">
            <v>21002007</v>
          </cell>
          <cell r="B14" t="str">
            <v>TRADE A/C RECEIVABLE</v>
          </cell>
          <cell r="C14" t="str">
            <v>USD</v>
          </cell>
          <cell r="D14">
            <v>440021.62</v>
          </cell>
        </row>
        <row r="15">
          <cell r="A15">
            <v>21999999</v>
          </cell>
          <cell r="B15" t="str">
            <v>I/C ACCTS RECEIV</v>
          </cell>
          <cell r="C15" t="str">
            <v>USD</v>
          </cell>
          <cell r="D15">
            <v>4419582.68</v>
          </cell>
        </row>
        <row r="16">
          <cell r="A16">
            <v>22009433</v>
          </cell>
          <cell r="B16" t="str">
            <v>ALLOW FOR BAD DEBT</v>
          </cell>
          <cell r="C16" t="str">
            <v>USD</v>
          </cell>
          <cell r="D16">
            <v>-145034.65</v>
          </cell>
        </row>
        <row r="17">
          <cell r="A17">
            <v>24001150</v>
          </cell>
          <cell r="B17" t="str">
            <v>PREPAID TELCO</v>
          </cell>
          <cell r="C17" t="str">
            <v>USD</v>
          </cell>
          <cell r="D17">
            <v>49698.65</v>
          </cell>
        </row>
        <row r="18">
          <cell r="A18">
            <v>26100001</v>
          </cell>
          <cell r="B18" t="str">
            <v>INPUT VAT</v>
          </cell>
          <cell r="C18" t="str">
            <v>USD</v>
          </cell>
          <cell r="D18">
            <v>20943.62</v>
          </cell>
        </row>
        <row r="19">
          <cell r="A19">
            <v>27000000</v>
          </cell>
          <cell r="B19" t="str">
            <v>I/C ACCTS PAYABLE</v>
          </cell>
          <cell r="C19" t="str">
            <v>USD</v>
          </cell>
          <cell r="D19">
            <v>-8585349.6099999994</v>
          </cell>
        </row>
        <row r="20">
          <cell r="A20">
            <v>28000106</v>
          </cell>
          <cell r="B20" t="str">
            <v>DEPOSITS-OTHERS</v>
          </cell>
          <cell r="C20" t="str">
            <v>USD</v>
          </cell>
          <cell r="D20">
            <v>23748.959999999999</v>
          </cell>
        </row>
        <row r="21">
          <cell r="A21">
            <v>34000003</v>
          </cell>
          <cell r="B21" t="str">
            <v>CONSTRUCTION IN PROGRESS</v>
          </cell>
          <cell r="C21" t="str">
            <v>USD</v>
          </cell>
          <cell r="D21">
            <v>-22643.96</v>
          </cell>
        </row>
        <row r="22">
          <cell r="A22">
            <v>39000001</v>
          </cell>
          <cell r="B22" t="str">
            <v>ASSET UNDER CONSTRUCTION</v>
          </cell>
          <cell r="C22" t="str">
            <v>USD</v>
          </cell>
          <cell r="D22">
            <v>2132486.65</v>
          </cell>
        </row>
        <row r="23">
          <cell r="A23">
            <v>39000165</v>
          </cell>
          <cell r="B23" t="str">
            <v>DATA EQUIPMENT - COMMUNICATIONS</v>
          </cell>
          <cell r="C23" t="str">
            <v>USD</v>
          </cell>
          <cell r="D23">
            <v>747058.01</v>
          </cell>
        </row>
        <row r="24">
          <cell r="A24">
            <v>39009165</v>
          </cell>
          <cell r="B24" t="str">
            <v>A/D -DATA EQUIPMENT - COMMUNICATIONS</v>
          </cell>
          <cell r="C24" t="str">
            <v>USD</v>
          </cell>
          <cell r="D24">
            <v>-274768.01</v>
          </cell>
        </row>
        <row r="25">
          <cell r="A25">
            <v>41000100</v>
          </cell>
          <cell r="B25" t="str">
            <v>A/P-TRADE</v>
          </cell>
          <cell r="C25" t="str">
            <v>USD</v>
          </cell>
          <cell r="D25">
            <v>-332778.08</v>
          </cell>
        </row>
        <row r="26">
          <cell r="A26">
            <v>41001013</v>
          </cell>
          <cell r="B26" t="str">
            <v>A/P CLEARING ACCOUNT</v>
          </cell>
          <cell r="C26" t="str">
            <v>USD</v>
          </cell>
          <cell r="D26">
            <v>-5134.54</v>
          </cell>
        </row>
        <row r="27">
          <cell r="A27">
            <v>42000200</v>
          </cell>
          <cell r="B27" t="str">
            <v>ACCD ACCOUNTING FEES</v>
          </cell>
          <cell r="C27" t="str">
            <v>USD</v>
          </cell>
          <cell r="D27">
            <v>-104037.59</v>
          </cell>
        </row>
        <row r="28">
          <cell r="A28">
            <v>44000000</v>
          </cell>
          <cell r="B28" t="str">
            <v>TELCO LIABILITIES</v>
          </cell>
          <cell r="C28" t="str">
            <v>USD</v>
          </cell>
          <cell r="D28">
            <v>-276282.21999999997</v>
          </cell>
        </row>
        <row r="29">
          <cell r="A29">
            <v>46000260</v>
          </cell>
          <cell r="B29" t="str">
            <v>DEFERRED REVENUES</v>
          </cell>
          <cell r="C29" t="str">
            <v>USD</v>
          </cell>
          <cell r="D29">
            <v>-81979.520000000004</v>
          </cell>
        </row>
        <row r="30">
          <cell r="A30">
            <v>47100001</v>
          </cell>
          <cell r="B30" t="str">
            <v>OUTPUT VAT</v>
          </cell>
          <cell r="C30" t="str">
            <v>USD</v>
          </cell>
          <cell r="D30">
            <v>-219463.4</v>
          </cell>
        </row>
        <row r="31">
          <cell r="A31">
            <v>48000500</v>
          </cell>
          <cell r="B31" t="str">
            <v>OTHER ACCRUED LIABS</v>
          </cell>
          <cell r="C31" t="str">
            <v>USD</v>
          </cell>
          <cell r="D31">
            <v>-32044.28</v>
          </cell>
        </row>
        <row r="32">
          <cell r="A32">
            <v>48000800</v>
          </cell>
          <cell r="B32" t="str">
            <v>GR/IR CLEARING ACCOU</v>
          </cell>
          <cell r="C32" t="str">
            <v>USD</v>
          </cell>
          <cell r="D32">
            <v>-6272.03</v>
          </cell>
        </row>
        <row r="33">
          <cell r="A33">
            <v>48004099</v>
          </cell>
          <cell r="B33" t="str">
            <v>CUSTOMER DEPOSITS</v>
          </cell>
          <cell r="C33" t="str">
            <v>USD</v>
          </cell>
          <cell r="D33">
            <v>-2433.79</v>
          </cell>
        </row>
        <row r="34">
          <cell r="A34">
            <v>52005000</v>
          </cell>
          <cell r="B34" t="str">
            <v>INTERCOMPANY CLEARIN</v>
          </cell>
          <cell r="C34" t="str">
            <v>USD</v>
          </cell>
          <cell r="D34">
            <v>0</v>
          </cell>
        </row>
        <row r="35">
          <cell r="A35">
            <v>56000000</v>
          </cell>
          <cell r="B35" t="str">
            <v>PAID IN CAPITAL</v>
          </cell>
          <cell r="C35" t="str">
            <v>USD</v>
          </cell>
          <cell r="D35">
            <v>-2082.9</v>
          </cell>
        </row>
        <row r="36">
          <cell r="A36">
            <v>57000100</v>
          </cell>
          <cell r="B36" t="str">
            <v>RETAINED EARNINGS</v>
          </cell>
          <cell r="C36" t="str">
            <v>USD</v>
          </cell>
          <cell r="D36">
            <v>1658856.21</v>
          </cell>
        </row>
        <row r="37">
          <cell r="A37">
            <v>64000109</v>
          </cell>
          <cell r="B37" t="str">
            <v>WORLD CLASS-PRIVATE LINE</v>
          </cell>
          <cell r="C37" t="str">
            <v>USD</v>
          </cell>
          <cell r="D37">
            <v>0</v>
          </cell>
        </row>
        <row r="38">
          <cell r="A38">
            <v>64000119</v>
          </cell>
          <cell r="B38" t="str">
            <v>INSTALL/OTHER-INT'L PRIVATE LINE</v>
          </cell>
          <cell r="C38" t="str">
            <v>USD</v>
          </cell>
          <cell r="D38">
            <v>0</v>
          </cell>
        </row>
        <row r="39">
          <cell r="A39">
            <v>64000122</v>
          </cell>
          <cell r="B39" t="str">
            <v>INSTALL/OTHER-GLT</v>
          </cell>
          <cell r="C39" t="str">
            <v>USD</v>
          </cell>
          <cell r="D39">
            <v>-7648.25</v>
          </cell>
        </row>
        <row r="40">
          <cell r="A40">
            <v>64000128</v>
          </cell>
          <cell r="B40" t="str">
            <v>UUNET - RETAIL PRODUCTS</v>
          </cell>
          <cell r="C40" t="str">
            <v>USD</v>
          </cell>
          <cell r="D40">
            <v>-577732.24</v>
          </cell>
        </row>
        <row r="41">
          <cell r="A41">
            <v>64000520</v>
          </cell>
          <cell r="B41" t="str">
            <v>Line Fees</v>
          </cell>
          <cell r="C41" t="str">
            <v>USD</v>
          </cell>
          <cell r="D41">
            <v>-14053.46</v>
          </cell>
        </row>
        <row r="42">
          <cell r="A42">
            <v>64000540</v>
          </cell>
          <cell r="B42" t="str">
            <v>Managed Security</v>
          </cell>
          <cell r="C42" t="str">
            <v>USD</v>
          </cell>
          <cell r="D42">
            <v>-9269.73</v>
          </cell>
        </row>
        <row r="43">
          <cell r="A43">
            <v>64002003</v>
          </cell>
          <cell r="B43" t="str">
            <v>IPVPN - TOTAL ACCESS</v>
          </cell>
          <cell r="C43" t="str">
            <v>USD</v>
          </cell>
          <cell r="D43">
            <v>-1572</v>
          </cell>
        </row>
        <row r="44">
          <cell r="A44">
            <v>73301500</v>
          </cell>
          <cell r="B44" t="str">
            <v>TRANSFER COSTS</v>
          </cell>
          <cell r="C44" t="str">
            <v>USD</v>
          </cell>
          <cell r="D44">
            <v>238931.74</v>
          </cell>
        </row>
        <row r="45">
          <cell r="A45">
            <v>73400002</v>
          </cell>
          <cell r="B45" t="str">
            <v>LINES REBILLED 3RD PARTY PROV</v>
          </cell>
          <cell r="C45" t="str">
            <v>USD</v>
          </cell>
          <cell r="D45">
            <v>618903.55000000005</v>
          </cell>
        </row>
        <row r="46">
          <cell r="A46">
            <v>82501382</v>
          </cell>
          <cell r="B46" t="str">
            <v>COGS FACILITIES OPRA SE</v>
          </cell>
          <cell r="C46" t="str">
            <v>USD</v>
          </cell>
          <cell r="D46">
            <v>29103.49</v>
          </cell>
        </row>
        <row r="47">
          <cell r="A47">
            <v>82601000</v>
          </cell>
          <cell r="B47" t="str">
            <v>TELEPHONE</v>
          </cell>
          <cell r="C47" t="str">
            <v>USD</v>
          </cell>
          <cell r="D47">
            <v>1135.02</v>
          </cell>
        </row>
        <row r="48">
          <cell r="A48">
            <v>83407301</v>
          </cell>
          <cell r="B48" t="str">
            <v>R&amp;M NETWORK EQIPMT</v>
          </cell>
          <cell r="C48" t="str">
            <v>USD</v>
          </cell>
          <cell r="D48">
            <v>0</v>
          </cell>
        </row>
        <row r="49">
          <cell r="A49">
            <v>83801030</v>
          </cell>
          <cell r="B49" t="str">
            <v>Database Subscription</v>
          </cell>
          <cell r="C49" t="str">
            <v>USD</v>
          </cell>
          <cell r="D49">
            <v>2500</v>
          </cell>
        </row>
        <row r="50">
          <cell r="A50">
            <v>83802550</v>
          </cell>
          <cell r="B50" t="str">
            <v>BANK FEES</v>
          </cell>
          <cell r="C50" t="str">
            <v>USD</v>
          </cell>
          <cell r="D50">
            <v>936.34</v>
          </cell>
        </row>
        <row r="51">
          <cell r="A51">
            <v>83806030</v>
          </cell>
          <cell r="B51" t="str">
            <v>MISCELLANEOUS</v>
          </cell>
          <cell r="C51" t="str">
            <v>USD</v>
          </cell>
          <cell r="D51">
            <v>15861.06</v>
          </cell>
        </row>
        <row r="52">
          <cell r="A52">
            <v>84301000</v>
          </cell>
          <cell r="B52" t="str">
            <v>LEGAL FEES - CURRENT</v>
          </cell>
          <cell r="C52" t="str">
            <v>USD</v>
          </cell>
          <cell r="D52">
            <v>5912.03</v>
          </cell>
        </row>
        <row r="53">
          <cell r="A53">
            <v>84303000</v>
          </cell>
          <cell r="B53" t="str">
            <v>ACCOUNTING FEES</v>
          </cell>
          <cell r="C53" t="str">
            <v>USD</v>
          </cell>
          <cell r="D53">
            <v>5856.36</v>
          </cell>
        </row>
        <row r="54">
          <cell r="A54">
            <v>84303009</v>
          </cell>
          <cell r="B54" t="str">
            <v>AUDIT FEE/ACTG FEES</v>
          </cell>
          <cell r="C54" t="str">
            <v>USD</v>
          </cell>
          <cell r="D54">
            <v>7116.4</v>
          </cell>
        </row>
        <row r="55">
          <cell r="A55">
            <v>88000100</v>
          </cell>
          <cell r="B55" t="str">
            <v>NON-SOFTWARE INTERNAL LABOR</v>
          </cell>
          <cell r="C55" t="str">
            <v>USD</v>
          </cell>
          <cell r="D55">
            <v>0</v>
          </cell>
        </row>
        <row r="56">
          <cell r="A56">
            <v>88000202</v>
          </cell>
          <cell r="B56" t="str">
            <v>PROJECT CHARGES-NETWORK/WAREHOUSE</v>
          </cell>
          <cell r="C56" t="str">
            <v>USD</v>
          </cell>
          <cell r="D56">
            <v>0</v>
          </cell>
        </row>
        <row r="57">
          <cell r="A57">
            <v>92001000</v>
          </cell>
          <cell r="B57" t="str">
            <v>MANAGEMENT FEE</v>
          </cell>
          <cell r="C57" t="str">
            <v>USD</v>
          </cell>
          <cell r="D57">
            <v>89130.23</v>
          </cell>
        </row>
        <row r="58">
          <cell r="A58">
            <v>95000100</v>
          </cell>
          <cell r="B58" t="str">
            <v>PROVISION BAD DEBT</v>
          </cell>
          <cell r="C58" t="str">
            <v>USD</v>
          </cell>
          <cell r="D58">
            <v>25284.95</v>
          </cell>
        </row>
        <row r="59">
          <cell r="A59">
            <v>95000200</v>
          </cell>
          <cell r="B59" t="str">
            <v>BAD DEBT</v>
          </cell>
          <cell r="C59" t="str">
            <v>USD</v>
          </cell>
          <cell r="D59">
            <v>774.89</v>
          </cell>
        </row>
        <row r="60">
          <cell r="A60">
            <v>96000130</v>
          </cell>
          <cell r="B60" t="str">
            <v>AP SMALL DIFF WRITE-OFF</v>
          </cell>
          <cell r="C60" t="str">
            <v>USD</v>
          </cell>
          <cell r="D60">
            <v>-9.44</v>
          </cell>
        </row>
        <row r="61">
          <cell r="A61">
            <v>96000405</v>
          </cell>
          <cell r="B61" t="str">
            <v>FOR EXCH REALIZED GAINS</v>
          </cell>
          <cell r="C61" t="str">
            <v>USD</v>
          </cell>
          <cell r="D61">
            <v>-1049.6500000000001</v>
          </cell>
        </row>
        <row r="62">
          <cell r="A62">
            <v>96000406</v>
          </cell>
          <cell r="B62" t="str">
            <v>FOR EXCH REALIZED LOSS</v>
          </cell>
          <cell r="C62" t="str">
            <v>USD</v>
          </cell>
          <cell r="D62">
            <v>26.22</v>
          </cell>
        </row>
        <row r="63">
          <cell r="A63">
            <v>96000411</v>
          </cell>
          <cell r="B63" t="str">
            <v>FOR EXCH REALIZED GAINS</v>
          </cell>
          <cell r="C63" t="str">
            <v>USD</v>
          </cell>
          <cell r="D63">
            <v>-9179.7000000000007</v>
          </cell>
        </row>
        <row r="64">
          <cell r="A64">
            <v>96000412</v>
          </cell>
          <cell r="B64" t="str">
            <v>FOR EXCH REALIZED LOSSES</v>
          </cell>
          <cell r="C64" t="str">
            <v>USD</v>
          </cell>
          <cell r="D64">
            <v>6046.11</v>
          </cell>
        </row>
        <row r="65">
          <cell r="A65">
            <v>97005010</v>
          </cell>
          <cell r="B65" t="str">
            <v>FOREIGN INCOME TAX</v>
          </cell>
          <cell r="C65" t="str">
            <v>USD</v>
          </cell>
          <cell r="D65">
            <v>4110.6499999999996</v>
          </cell>
        </row>
        <row r="66">
          <cell r="A66">
            <v>98003361</v>
          </cell>
          <cell r="B66" t="str">
            <v>DEPRE-DATA EQUIPMENT - COMMUNICATIONS</v>
          </cell>
          <cell r="C66" t="str">
            <v>USD</v>
          </cell>
          <cell r="D66">
            <v>31854.92</v>
          </cell>
        </row>
        <row r="68">
          <cell r="D68">
            <v>1.229636836796999E-9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Final Schedule"/>
      <sheetName val="FA register-copy"/>
      <sheetName val="Retirals"/>
      <sheetName val="Reco-updated"/>
      <sheetName val="Sheet1"/>
      <sheetName val="Fixed asset register"/>
      <sheetName val="Add. vehicle"/>
      <sheetName val="Add-Pl. &amp; Mach"/>
      <sheetName val="Add-Off Eqp"/>
      <sheetName val="ADD-Comp"/>
      <sheetName val="ADD-Furn."/>
      <sheetName val="FNDWRR (2)"/>
      <sheetName val="XREF"/>
      <sheetName val="Tickmarks"/>
      <sheetName val="changes"/>
      <sheetName val="BHA dep"/>
      <sheetName val="CF"/>
      <sheetName val="Testing"/>
      <sheetName val="Curr Month Movement"/>
      <sheetName val="P&amp;L-US"/>
      <sheetName val="Input"/>
      <sheetName val="X Aug 02 unique"/>
    </sheetNames>
    <sheetDataSet>
      <sheetData sheetId="0"/>
      <sheetData sheetId="1" refreshError="1"/>
      <sheetData sheetId="2"/>
      <sheetData sheetId="3" refreshError="1"/>
      <sheetData sheetId="4" refreshError="1"/>
      <sheetData sheetId="5"/>
      <sheetData sheetId="6"/>
      <sheetData sheetId="7"/>
      <sheetData sheetId="8" refreshError="1"/>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ated Parties"/>
      <sheetName val="Pl-EXCL"/>
      <sheetName val="pL-iNCL"/>
      <sheetName val="Sheet3"/>
      <sheetName val="P&amp;L"/>
      <sheetName val="BS"/>
      <sheetName val="VARIANCE ANALYSIS "/>
      <sheetName val="cash flow"/>
      <sheetName val="Sch 1-4"/>
      <sheetName val="Sch-5"/>
      <sheetName val="Sch-6-11"/>
      <sheetName val="Sch 12 &amp;13"/>
      <sheetName val="P&amp;L Sch 14-16"/>
      <sheetName val="P&amp;L Sch 17-19"/>
      <sheetName val="Data Entry"/>
      <sheetName val="TRIAL BALANCE (2)"/>
      <sheetName val="TRIAL BALANCE"/>
      <sheetName val="TB Download"/>
      <sheetName val="TBdownload-2002"/>
      <sheetName val="CC wise Download"/>
      <sheetName val="SIFGROUPINGS"/>
      <sheetName val="SIF P&amp;L BS"/>
      <sheetName val="SIF P&amp;L"/>
      <sheetName val="SIF Workings"/>
      <sheetName val="SIF Results Back up"/>
      <sheetName val="PROVISIONS"/>
      <sheetName val="P &amp; L Approach(OB)"/>
      <sheetName val="P &amp; L Approach(CB) "/>
      <sheetName val="AS-22"/>
      <sheetName val="Nagar provisions"/>
      <sheetName val="CL PROVISION"/>
      <sheetName val="SIF R20&amp;R30 "/>
      <sheetName val="SIF-Sent to France"/>
      <sheetName val="sch-IV"/>
      <sheetName val="TBM ANALYSI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1"/>
      <sheetName val="Comp"/>
      <sheetName val="Ack 1"/>
      <sheetName val="Page2"/>
      <sheetName val="Page3"/>
      <sheetName val="Page4"/>
      <sheetName val="Page5"/>
      <sheetName val="Page6"/>
      <sheetName val="Page7"/>
      <sheetName val="Page8"/>
      <sheetName val="Page9"/>
      <sheetName val="Page10"/>
    </sheetNames>
    <sheetDataSet>
      <sheetData sheetId="0">
        <row r="3">
          <cell r="AD3" t="str">
            <v xml:space="preserve">Receipt No.  </v>
          </cell>
        </row>
        <row r="4">
          <cell r="AB4" t="str">
            <v>Date</v>
          </cell>
        </row>
        <row r="6">
          <cell r="K6" t="str">
            <v>FORM NO. 1</v>
          </cell>
          <cell r="AD6" t="str">
            <v/>
          </cell>
        </row>
        <row r="8">
          <cell r="K8" t="str">
            <v>Return of Income</v>
          </cell>
          <cell r="AD8" t="str">
            <v/>
          </cell>
        </row>
        <row r="9">
          <cell r="K9" t="str">
            <v>[See Rule 12(1) (a) of Income-tax Rules, 1962]</v>
          </cell>
        </row>
        <row r="10">
          <cell r="AD10" t="str">
            <v/>
          </cell>
        </row>
        <row r="12">
          <cell r="E12" t="str">
            <v>°</v>
          </cell>
          <cell r="F12" t="str">
            <v xml:space="preserve">This income-tax return form is meant for companies, other than those claiming </v>
          </cell>
        </row>
        <row r="13">
          <cell r="F13" t="str">
            <v xml:space="preserve">exemption u/s 11, for complying with the requirements of section 139/142/148 of the </v>
          </cell>
        </row>
        <row r="14">
          <cell r="F14" t="str">
            <v>Income-tax Act.</v>
          </cell>
        </row>
        <row r="16">
          <cell r="E16" t="str">
            <v>°</v>
          </cell>
          <cell r="F16" t="str">
            <v xml:space="preserve">All the items are required to be filled in.  If any item is not applicable to you, write NA  </v>
          </cell>
        </row>
        <row r="17">
          <cell r="F17" t="str">
            <v xml:space="preserve"> against that. You may write NIL, for any amount asked for where appropriate.</v>
          </cell>
        </row>
        <row r="19">
          <cell r="E19" t="str">
            <v>°</v>
          </cell>
          <cell r="F19" t="str">
            <v>The amount of losses are to be shown within brackets.</v>
          </cell>
        </row>
        <row r="21">
          <cell r="E21" t="str">
            <v>°</v>
          </cell>
          <cell r="F21" t="str">
            <v xml:space="preserve">DO NOT LEAVE ANY PART OF THE RETURN BLANK.  ENCLOSE A SEPARATE </v>
          </cell>
        </row>
        <row r="22">
          <cell r="F22" t="str">
            <v xml:space="preserve">COMPUTATION SHEET IF THE SPACE PROVIDED IN ANY PART OF THE  </v>
          </cell>
        </row>
        <row r="23">
          <cell r="F23" t="str">
            <v xml:space="preserve">RETURN IS INADEQUATE, WRITING THE AGGREGATE AMOUNTS AT THE </v>
          </cell>
        </row>
        <row r="24">
          <cell r="F24" t="str">
            <v>APPROPRIATE PLACE IN THAT PART.</v>
          </cell>
        </row>
        <row r="26">
          <cell r="E26" t="str">
            <v>°</v>
          </cell>
          <cell r="F26" t="str">
            <v>Please go through the instructions.  These will help you in filling in the return.</v>
          </cell>
        </row>
        <row r="29">
          <cell r="B29" t="str">
            <v>Part-I</v>
          </cell>
        </row>
        <row r="30">
          <cell r="B30" t="str">
            <v>General Information</v>
          </cell>
        </row>
        <row r="32">
          <cell r="B32" t="str">
            <v>1. Assessment Year</v>
          </cell>
          <cell r="J32">
            <v>1</v>
          </cell>
          <cell r="K32">
            <v>9</v>
          </cell>
          <cell r="L32">
            <v>9</v>
          </cell>
          <cell r="M32">
            <v>8</v>
          </cell>
          <cell r="N32" t="str">
            <v>-</v>
          </cell>
          <cell r="O32">
            <v>9</v>
          </cell>
          <cell r="P32">
            <v>9</v>
          </cell>
          <cell r="Q32" t="str">
            <v>2. PA No./GIR No.</v>
          </cell>
          <cell r="W32" t="str">
            <v>A</v>
          </cell>
          <cell r="X32" t="str">
            <v>P</v>
          </cell>
          <cell r="Y32" t="str">
            <v>P</v>
          </cell>
          <cell r="Z32" t="str">
            <v>L</v>
          </cell>
          <cell r="AA32" t="str">
            <v>I</v>
          </cell>
          <cell r="AB32" t="str">
            <v>E</v>
          </cell>
          <cell r="AC32" t="str">
            <v>D</v>
          </cell>
          <cell r="AE32" t="str">
            <v>F</v>
          </cell>
          <cell r="AF32" t="str">
            <v>O</v>
          </cell>
          <cell r="AG32" t="str">
            <v>R</v>
          </cell>
        </row>
        <row r="33">
          <cell r="B33" t="str">
            <v>3. Ward/Circle/Special Range</v>
          </cell>
          <cell r="L33" t="str">
            <v>FOREIGN CIRCLE</v>
          </cell>
          <cell r="X33" t="str">
            <v>4. Return u/s 139 /142/148</v>
          </cell>
          <cell r="AF33">
            <v>139</v>
          </cell>
        </row>
        <row r="34">
          <cell r="B34" t="str">
            <v>5. If revised return, receipt no. &amp; date of filing the original</v>
          </cell>
          <cell r="T34" t="str">
            <v>No.</v>
          </cell>
          <cell r="V34" t="str">
            <v>N</v>
          </cell>
          <cell r="W34" t="str">
            <v>A</v>
          </cell>
          <cell r="Y34" t="str">
            <v>Date</v>
          </cell>
          <cell r="AB34" t="str">
            <v>-</v>
          </cell>
          <cell r="AD34" t="str">
            <v>-</v>
          </cell>
          <cell r="AE34">
            <v>1</v>
          </cell>
          <cell r="AF34">
            <v>9</v>
          </cell>
          <cell r="AG34">
            <v>9</v>
          </cell>
        </row>
        <row r="35">
          <cell r="B35" t="str">
            <v>6. Name</v>
          </cell>
          <cell r="E35" t="str">
            <v>P</v>
          </cell>
          <cell r="F35" t="str">
            <v>T</v>
          </cell>
          <cell r="H35" t="str">
            <v>S</v>
          </cell>
          <cell r="I35" t="str">
            <v>A</v>
          </cell>
          <cell r="J35" t="str">
            <v>P</v>
          </cell>
          <cell r="L35" t="str">
            <v>A</v>
          </cell>
          <cell r="M35" t="str">
            <v>S</v>
          </cell>
          <cell r="N35" t="str">
            <v>I</v>
          </cell>
          <cell r="O35" t="str">
            <v>A</v>
          </cell>
        </row>
        <row r="38">
          <cell r="B38" t="str">
            <v>7. Date of incorporation</v>
          </cell>
          <cell r="N38" t="str">
            <v>-</v>
          </cell>
          <cell r="Q38" t="str">
            <v>-</v>
          </cell>
          <cell r="V38" t="str">
            <v>8. Residence in India*</v>
          </cell>
          <cell r="AC38">
            <v>0</v>
          </cell>
          <cell r="AD38">
            <v>2</v>
          </cell>
          <cell r="AE38" t="str">
            <v>9. Status*</v>
          </cell>
          <cell r="AH38">
            <v>15</v>
          </cell>
        </row>
        <row r="39">
          <cell r="B39" t="str">
            <v>10. Office Address</v>
          </cell>
          <cell r="J39" t="str">
            <v>C</v>
          </cell>
          <cell r="K39" t="str">
            <v>/</v>
          </cell>
          <cell r="L39" t="str">
            <v>O</v>
          </cell>
          <cell r="N39" t="str">
            <v>A</v>
          </cell>
          <cell r="O39" t="str">
            <v>R</v>
          </cell>
          <cell r="P39" t="str">
            <v>T</v>
          </cell>
          <cell r="Q39" t="str">
            <v>H</v>
          </cell>
          <cell r="R39" t="str">
            <v>U</v>
          </cell>
          <cell r="S39" t="str">
            <v>R</v>
          </cell>
          <cell r="U39" t="str">
            <v>A</v>
          </cell>
          <cell r="V39" t="str">
            <v>N</v>
          </cell>
          <cell r="W39" t="str">
            <v>D</v>
          </cell>
          <cell r="X39" t="str">
            <v>E</v>
          </cell>
          <cell r="Y39" t="str">
            <v>R</v>
          </cell>
          <cell r="Z39" t="str">
            <v>S</v>
          </cell>
          <cell r="AA39" t="str">
            <v>E</v>
          </cell>
          <cell r="AB39" t="str">
            <v>N</v>
          </cell>
        </row>
        <row r="40">
          <cell r="B40" t="str">
            <v>D</v>
          </cell>
          <cell r="C40" t="str">
            <v>U</v>
          </cell>
          <cell r="E40" t="str">
            <v>P</v>
          </cell>
          <cell r="F40" t="str">
            <v>A</v>
          </cell>
          <cell r="G40" t="str">
            <v>R</v>
          </cell>
          <cell r="H40" t="str">
            <v>C</v>
          </cell>
          <cell r="J40" t="str">
            <v>T</v>
          </cell>
          <cell r="K40" t="str">
            <v>R</v>
          </cell>
          <cell r="L40" t="str">
            <v>I</v>
          </cell>
          <cell r="M40" t="str">
            <v>N</v>
          </cell>
          <cell r="N40" t="str">
            <v>I</v>
          </cell>
          <cell r="O40" t="str">
            <v>T</v>
          </cell>
          <cell r="P40" t="str">
            <v>Y</v>
          </cell>
        </row>
        <row r="41">
          <cell r="B41">
            <v>1</v>
          </cell>
          <cell r="C41">
            <v>7</v>
          </cell>
          <cell r="E41" t="str">
            <v>M</v>
          </cell>
          <cell r="F41" t="str">
            <v>G</v>
          </cell>
          <cell r="H41" t="str">
            <v>R</v>
          </cell>
          <cell r="I41" t="str">
            <v>O</v>
          </cell>
          <cell r="J41" t="str">
            <v>A</v>
          </cell>
          <cell r="K41" t="str">
            <v>D</v>
          </cell>
        </row>
        <row r="42">
          <cell r="B42" t="str">
            <v>B</v>
          </cell>
          <cell r="C42" t="str">
            <v>A</v>
          </cell>
          <cell r="D42" t="str">
            <v>N</v>
          </cell>
          <cell r="E42" t="str">
            <v>G</v>
          </cell>
          <cell r="F42" t="str">
            <v>A</v>
          </cell>
          <cell r="G42" t="str">
            <v>L</v>
          </cell>
          <cell r="H42" t="str">
            <v>O</v>
          </cell>
          <cell r="I42" t="str">
            <v>R</v>
          </cell>
          <cell r="J42" t="str">
            <v>E</v>
          </cell>
          <cell r="Z42" t="str">
            <v>PIN :</v>
          </cell>
          <cell r="AC42">
            <v>5</v>
          </cell>
          <cell r="AD42">
            <v>6</v>
          </cell>
          <cell r="AE42">
            <v>0</v>
          </cell>
          <cell r="AF42">
            <v>0</v>
          </cell>
          <cell r="AG42">
            <v>0</v>
          </cell>
          <cell r="AH42">
            <v>1</v>
          </cell>
        </row>
        <row r="43">
          <cell r="B43" t="str">
            <v>11. Telephone Numbers :</v>
          </cell>
          <cell r="K43">
            <v>5</v>
          </cell>
          <cell r="L43">
            <v>5</v>
          </cell>
          <cell r="M43">
            <v>9</v>
          </cell>
          <cell r="N43">
            <v>6</v>
          </cell>
          <cell r="O43">
            <v>2</v>
          </cell>
          <cell r="P43">
            <v>6</v>
          </cell>
          <cell r="Q43">
            <v>2</v>
          </cell>
        </row>
        <row r="44">
          <cell r="B44" t="str">
            <v xml:space="preserve">12. Is this the first assessment of the </v>
          </cell>
          <cell r="T44" t="str">
            <v>15. Has the company claimed any Double</v>
          </cell>
        </row>
        <row r="45">
          <cell r="B45" t="str">
            <v xml:space="preserve">      company? **</v>
          </cell>
          <cell r="Q45" t="str">
            <v>YES</v>
          </cell>
          <cell r="T45" t="str">
            <v xml:space="preserve">       Taxation Relief?**</v>
          </cell>
          <cell r="AG45" t="str">
            <v>YES</v>
          </cell>
        </row>
        <row r="46">
          <cell r="B46" t="str">
            <v xml:space="preserve">13.  Is the company assessed to </v>
          </cell>
          <cell r="T46" t="str">
            <v>(i)  Under agreement with foreign country **</v>
          </cell>
          <cell r="AG46" t="str">
            <v>YES</v>
          </cell>
        </row>
        <row r="47">
          <cell r="B47" t="str">
            <v xml:space="preserve">       Wealth-tax? **</v>
          </cell>
          <cell r="Q47" t="str">
            <v>NO</v>
          </cell>
          <cell r="T47" t="str">
            <v>(ii)  In respect of a country with which no</v>
          </cell>
          <cell r="AG47" t="str">
            <v>NO</v>
          </cell>
        </row>
        <row r="48">
          <cell r="B48" t="str">
            <v>14.  Is the return being filed as a</v>
          </cell>
          <cell r="T48" t="str">
            <v xml:space="preserve">   agreement exists **</v>
          </cell>
        </row>
        <row r="49">
          <cell r="B49" t="str">
            <v xml:space="preserve">       representative assessee? **</v>
          </cell>
          <cell r="Q49" t="str">
            <v>NO</v>
          </cell>
          <cell r="T49" t="str">
            <v>(iii)  Name of the country</v>
          </cell>
          <cell r="AB49" t="str">
            <v>INDONESIA</v>
          </cell>
        </row>
        <row r="51">
          <cell r="B51" t="str">
            <v>* Select the appropriate code number given below:</v>
          </cell>
          <cell r="AC51" t="str">
            <v>** Write Yes/No</v>
          </cell>
        </row>
        <row r="53">
          <cell r="B53" t="str">
            <v>Residence in India</v>
          </cell>
          <cell r="L53" t="str">
            <v>Status</v>
          </cell>
        </row>
        <row r="54">
          <cell r="D54" t="str">
            <v>Resident</v>
          </cell>
          <cell r="I54" t="str">
            <v>01</v>
          </cell>
          <cell r="L54" t="str">
            <v xml:space="preserve">(a)    A domestic company in which the </v>
          </cell>
        </row>
        <row r="55">
          <cell r="D55" t="str">
            <v>Non-resident</v>
          </cell>
          <cell r="I55" t="str">
            <v>02</v>
          </cell>
          <cell r="M55" t="str">
            <v xml:space="preserve">  public are substantially interested.</v>
          </cell>
          <cell r="Y55" t="str">
            <v>12</v>
          </cell>
        </row>
        <row r="57">
          <cell r="L57" t="str">
            <v xml:space="preserve">(b)    A domestic company which is not </v>
          </cell>
        </row>
        <row r="58">
          <cell r="L58" t="str">
            <v xml:space="preserve">        a company in which the public are </v>
          </cell>
        </row>
        <row r="59">
          <cell r="L59" t="str">
            <v xml:space="preserve">        substantially interested.</v>
          </cell>
          <cell r="Y59" t="str">
            <v>13</v>
          </cell>
        </row>
        <row r="61">
          <cell r="L61" t="str">
            <v>(c)    A company other than a domestic</v>
          </cell>
        </row>
        <row r="62">
          <cell r="M62" t="str">
            <v xml:space="preserve">  company</v>
          </cell>
          <cell r="Y62" t="str">
            <v>15</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agr reddy" id="{EACEB14E-32CA-4DD6-B35B-0864154B59F2}" userId="1e60da83f8a9c611"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T64" dT="2024-07-09T11:57:25.23" personId="{EACEB14E-32CA-4DD6-B35B-0864154B59F2}" id="{7944F21A-7700-4F20-B335-37FDEF23FF08}">
    <text>Assets value to be maintained @5% of original cost as Salvage Value
On the request of Mr.Anwar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https://books.zoho.in/app/60015967871" TargetMode="External"/><Relationship Id="rId2" Type="http://schemas.openxmlformats.org/officeDocument/2006/relationships/hyperlink" Target="https://books.zoho.in/app/60015967871" TargetMode="External"/><Relationship Id="rId1" Type="http://schemas.openxmlformats.org/officeDocument/2006/relationships/hyperlink" Target="https://books.zoho.in/app/60015967871"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240E1-A4C8-4FFB-81D6-22C471160FFE}">
  <dimension ref="B6:D17"/>
  <sheetViews>
    <sheetView showGridLines="0" view="pageBreakPreview" zoomScale="84" zoomScaleNormal="100" zoomScaleSheetLayoutView="84" workbookViewId="0">
      <selection activeCell="B7" sqref="B7"/>
    </sheetView>
  </sheetViews>
  <sheetFormatPr defaultRowHeight="15" x14ac:dyDescent="0.25"/>
  <cols>
    <col min="3" max="3" width="65.5703125" bestFit="1" customWidth="1"/>
  </cols>
  <sheetData>
    <row r="6" spans="2:4" ht="26.25" x14ac:dyDescent="0.25">
      <c r="B6" s="575"/>
    </row>
    <row r="7" spans="2:4" ht="18.75" x14ac:dyDescent="0.25">
      <c r="B7" s="135"/>
    </row>
    <row r="9" spans="2:4" ht="18.75" x14ac:dyDescent="0.25">
      <c r="B9" s="135" t="s">
        <v>1000</v>
      </c>
    </row>
    <row r="11" spans="2:4" ht="16.5" x14ac:dyDescent="0.25">
      <c r="B11" s="584" t="s">
        <v>655</v>
      </c>
      <c r="C11" s="584" t="s">
        <v>691</v>
      </c>
      <c r="D11" s="584" t="s">
        <v>692</v>
      </c>
    </row>
    <row r="12" spans="2:4" ht="15.75" x14ac:dyDescent="0.25">
      <c r="B12" s="585">
        <v>1</v>
      </c>
      <c r="C12" s="586" t="s">
        <v>1001</v>
      </c>
      <c r="D12" s="585">
        <v>1</v>
      </c>
    </row>
    <row r="13" spans="2:4" ht="15.75" x14ac:dyDescent="0.25">
      <c r="B13" s="585">
        <v>2</v>
      </c>
      <c r="C13" s="586" t="s">
        <v>1002</v>
      </c>
      <c r="D13" s="585">
        <v>2</v>
      </c>
    </row>
    <row r="14" spans="2:4" ht="15.75" x14ac:dyDescent="0.25">
      <c r="B14" s="585">
        <v>3</v>
      </c>
      <c r="C14" s="586" t="s">
        <v>1003</v>
      </c>
      <c r="D14" s="585">
        <v>3</v>
      </c>
    </row>
    <row r="15" spans="2:4" ht="15.75" x14ac:dyDescent="0.25">
      <c r="B15" s="585">
        <v>4</v>
      </c>
      <c r="C15" s="586" t="s">
        <v>693</v>
      </c>
      <c r="D15" s="585" t="s">
        <v>694</v>
      </c>
    </row>
    <row r="16" spans="2:4" ht="15.75" x14ac:dyDescent="0.25">
      <c r="B16" s="585">
        <v>5</v>
      </c>
      <c r="C16" s="586" t="s">
        <v>695</v>
      </c>
      <c r="D16" s="585">
        <v>11</v>
      </c>
    </row>
    <row r="17" spans="2:4" ht="15.75" x14ac:dyDescent="0.25">
      <c r="B17" s="585">
        <v>6</v>
      </c>
      <c r="C17" s="586" t="s">
        <v>696</v>
      </c>
      <c r="D17" s="587" t="s">
        <v>697</v>
      </c>
    </row>
  </sheetData>
  <pageMargins left="0.7" right="0.7" top="0.75" bottom="0.75" header="0.3" footer="0.3"/>
  <pageSetup paperSize="9" scale="9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E032-945C-4AB3-8F5B-C570D11E4545}">
  <dimension ref="A1:M86"/>
  <sheetViews>
    <sheetView view="pageBreakPreview" topLeftCell="C66" zoomScale="85" zoomScaleNormal="85" zoomScaleSheetLayoutView="85" workbookViewId="0">
      <selection activeCell="M82" sqref="M82"/>
    </sheetView>
  </sheetViews>
  <sheetFormatPr defaultColWidth="8.7109375" defaultRowHeight="16.5" x14ac:dyDescent="0.3"/>
  <cols>
    <col min="1" max="1" width="6.5703125" style="704" customWidth="1"/>
    <col min="2" max="2" width="55.7109375" style="704" customWidth="1"/>
    <col min="3" max="3" width="15.85546875" style="704" bestFit="1" customWidth="1"/>
    <col min="4" max="4" width="19.28515625" style="804" bestFit="1" customWidth="1"/>
    <col min="5" max="5" width="18.42578125" style="704" bestFit="1" customWidth="1"/>
    <col min="6" max="6" width="28.42578125" style="704" bestFit="1" customWidth="1"/>
    <col min="7" max="7" width="16" style="704" customWidth="1"/>
    <col min="8" max="8" width="16" style="704" bestFit="1" customWidth="1"/>
    <col min="9" max="9" width="30.5703125" style="704" bestFit="1" customWidth="1"/>
    <col min="10" max="10" width="10.28515625" style="704" customWidth="1"/>
    <col min="11" max="11" width="8.7109375" style="704"/>
    <col min="12" max="12" width="10.140625" style="704" bestFit="1" customWidth="1"/>
    <col min="13" max="13" width="11.28515625" style="704" bestFit="1" customWidth="1"/>
    <col min="14" max="16384" width="8.7109375" style="704"/>
  </cols>
  <sheetData>
    <row r="1" spans="1:9" s="708" customFormat="1" ht="18.75" x14ac:dyDescent="0.3">
      <c r="A1" s="704"/>
      <c r="B1" s="135"/>
      <c r="C1" s="706"/>
      <c r="D1" s="707"/>
      <c r="I1" s="709"/>
    </row>
    <row r="2" spans="1:9" s="708" customFormat="1" x14ac:dyDescent="0.3">
      <c r="A2" s="704"/>
      <c r="B2" s="705" t="s">
        <v>916</v>
      </c>
      <c r="C2" s="706"/>
      <c r="D2" s="707"/>
    </row>
    <row r="3" spans="1:9" s="708" customFormat="1" x14ac:dyDescent="0.3">
      <c r="A3" s="704"/>
      <c r="B3" s="705" t="s">
        <v>917</v>
      </c>
      <c r="C3" s="706"/>
      <c r="D3" s="707"/>
    </row>
    <row r="4" spans="1:9" x14ac:dyDescent="0.3">
      <c r="D4" s="704"/>
    </row>
    <row r="5" spans="1:9" x14ac:dyDescent="0.3">
      <c r="B5" s="710" t="s">
        <v>0</v>
      </c>
      <c r="C5" s="711" t="s">
        <v>918</v>
      </c>
      <c r="D5" s="711" t="s">
        <v>918</v>
      </c>
      <c r="F5" s="712" t="s">
        <v>919</v>
      </c>
    </row>
    <row r="6" spans="1:9" x14ac:dyDescent="0.3">
      <c r="B6" s="713" t="s">
        <v>920</v>
      </c>
      <c r="C6" s="714"/>
      <c r="D6" s="715"/>
    </row>
    <row r="7" spans="1:9" x14ac:dyDescent="0.3">
      <c r="B7" s="716" t="s">
        <v>921</v>
      </c>
      <c r="C7" s="717">
        <f>+'P&amp;L'!C26</f>
        <v>12954665.152799999</v>
      </c>
      <c r="D7" s="718"/>
      <c r="F7" s="704" t="s">
        <v>902</v>
      </c>
      <c r="G7" s="719">
        <v>0</v>
      </c>
    </row>
    <row r="8" spans="1:9" x14ac:dyDescent="0.3">
      <c r="B8" s="716" t="s">
        <v>922</v>
      </c>
      <c r="C8" s="717">
        <f>+'P&amp;L'!C21</f>
        <v>4356999.8472000007</v>
      </c>
      <c r="D8" s="718"/>
      <c r="E8" s="720" t="s">
        <v>923</v>
      </c>
      <c r="F8" s="704" t="s">
        <v>521</v>
      </c>
      <c r="G8" s="721">
        <v>0</v>
      </c>
    </row>
    <row r="9" spans="1:9" x14ac:dyDescent="0.3">
      <c r="B9" s="716" t="s">
        <v>924</v>
      </c>
      <c r="C9" s="718">
        <v>0</v>
      </c>
      <c r="D9" s="722"/>
      <c r="E9" s="723"/>
      <c r="G9" s="719">
        <f>+G7-G8</f>
        <v>0</v>
      </c>
    </row>
    <row r="10" spans="1:9" x14ac:dyDescent="0.3">
      <c r="B10" s="716" t="s">
        <v>925</v>
      </c>
      <c r="C10" s="718">
        <v>0</v>
      </c>
      <c r="D10" s="722"/>
      <c r="E10" s="720" t="s">
        <v>926</v>
      </c>
      <c r="F10" s="704" t="s">
        <v>927</v>
      </c>
      <c r="G10" s="721">
        <v>0</v>
      </c>
    </row>
    <row r="11" spans="1:9" x14ac:dyDescent="0.3">
      <c r="B11" s="716" t="s">
        <v>928</v>
      </c>
      <c r="C11" s="718">
        <f>+'P&amp;L'!C22</f>
        <v>0</v>
      </c>
      <c r="D11" s="722"/>
      <c r="E11" s="723"/>
      <c r="G11" s="719">
        <f>+G9+G10</f>
        <v>0</v>
      </c>
    </row>
    <row r="12" spans="1:9" x14ac:dyDescent="0.3">
      <c r="B12" s="716" t="s">
        <v>929</v>
      </c>
      <c r="C12" s="718">
        <f>+'P&amp;L'!C15</f>
        <v>2428249.733</v>
      </c>
      <c r="D12" s="722"/>
      <c r="E12" s="720" t="s">
        <v>923</v>
      </c>
      <c r="F12" s="704" t="s">
        <v>930</v>
      </c>
      <c r="G12" s="721">
        <v>0</v>
      </c>
    </row>
    <row r="13" spans="1:9" x14ac:dyDescent="0.3">
      <c r="B13" s="716" t="s">
        <v>931</v>
      </c>
      <c r="C13" s="724">
        <f>SUM(C7:C12)</f>
        <v>19739914.732999999</v>
      </c>
      <c r="D13" s="722"/>
      <c r="E13" s="723"/>
      <c r="G13" s="719">
        <f>+G11-G12</f>
        <v>0</v>
      </c>
    </row>
    <row r="14" spans="1:9" x14ac:dyDescent="0.3">
      <c r="B14" s="716" t="s">
        <v>932</v>
      </c>
      <c r="C14" s="718">
        <f>-'IT Dep '!M12</f>
        <v>-734417.53</v>
      </c>
      <c r="D14" s="722"/>
      <c r="E14" s="723"/>
      <c r="G14" s="719"/>
    </row>
    <row r="15" spans="1:9" x14ac:dyDescent="0.3">
      <c r="B15" s="725" t="s">
        <v>933</v>
      </c>
      <c r="C15" s="724"/>
      <c r="D15" s="726">
        <f>SUM(C13:C14)</f>
        <v>19005497.202999998</v>
      </c>
      <c r="E15" s="720"/>
      <c r="F15" s="704" t="s">
        <v>934</v>
      </c>
      <c r="G15" s="719">
        <f>+G13*0.15</f>
        <v>0</v>
      </c>
    </row>
    <row r="16" spans="1:9" x14ac:dyDescent="0.3">
      <c r="B16" s="725" t="s">
        <v>935</v>
      </c>
      <c r="C16" s="717"/>
      <c r="D16" s="726"/>
      <c r="E16" s="720"/>
      <c r="F16" s="704" t="s">
        <v>936</v>
      </c>
      <c r="G16" s="721">
        <f>ROUND((G15*4%),0)</f>
        <v>0</v>
      </c>
    </row>
    <row r="17" spans="2:7" x14ac:dyDescent="0.3">
      <c r="B17" s="716" t="s">
        <v>937</v>
      </c>
      <c r="C17" s="717"/>
      <c r="D17" s="726">
        <v>0</v>
      </c>
      <c r="E17" s="723"/>
      <c r="F17" s="704" t="s">
        <v>158</v>
      </c>
      <c r="G17" s="727">
        <f>+G15+G16</f>
        <v>0</v>
      </c>
    </row>
    <row r="18" spans="2:7" x14ac:dyDescent="0.3">
      <c r="B18" s="725" t="s">
        <v>938</v>
      </c>
      <c r="C18" s="717"/>
      <c r="D18" s="728">
        <f>SUM(D15:D17)</f>
        <v>19005497.202999998</v>
      </c>
      <c r="E18" s="723"/>
    </row>
    <row r="19" spans="2:7" x14ac:dyDescent="0.3">
      <c r="B19" s="725" t="s">
        <v>939</v>
      </c>
      <c r="C19" s="717"/>
      <c r="D19" s="728">
        <v>0</v>
      </c>
      <c r="E19" s="720"/>
    </row>
    <row r="20" spans="2:7" x14ac:dyDescent="0.3">
      <c r="B20" s="725" t="s">
        <v>940</v>
      </c>
      <c r="C20" s="717"/>
      <c r="D20" s="726">
        <f>SUM(D18:D19)</f>
        <v>19005497.202999998</v>
      </c>
      <c r="E20" s="720"/>
    </row>
    <row r="21" spans="2:7" x14ac:dyDescent="0.3">
      <c r="B21" s="713" t="s">
        <v>941</v>
      </c>
      <c r="C21" s="717"/>
      <c r="D21" s="718"/>
      <c r="E21" s="720"/>
    </row>
    <row r="22" spans="2:7" x14ac:dyDescent="0.3">
      <c r="B22" s="716" t="s">
        <v>942</v>
      </c>
      <c r="C22" s="717"/>
      <c r="D22" s="718">
        <f>IF(D20&gt;0,D20*22%,0)</f>
        <v>4181209.3846599995</v>
      </c>
      <c r="E22" s="729"/>
    </row>
    <row r="23" spans="2:7" x14ac:dyDescent="0.3">
      <c r="B23" s="716" t="s">
        <v>997</v>
      </c>
      <c r="C23" s="717"/>
      <c r="D23" s="734">
        <f>+D22*0.1</f>
        <v>418120.93846599996</v>
      </c>
      <c r="E23" s="729"/>
    </row>
    <row r="24" spans="2:7" x14ac:dyDescent="0.3">
      <c r="B24" s="716"/>
      <c r="C24" s="717"/>
      <c r="D24" s="718">
        <f>+D22+D23</f>
        <v>4599330.3231259994</v>
      </c>
      <c r="E24" s="729"/>
    </row>
    <row r="25" spans="2:7" x14ac:dyDescent="0.3">
      <c r="B25" s="716" t="s">
        <v>943</v>
      </c>
      <c r="C25" s="717"/>
      <c r="D25" s="730">
        <f>ROUND((D24*4%),0)</f>
        <v>183973</v>
      </c>
    </row>
    <row r="26" spans="2:7" x14ac:dyDescent="0.3">
      <c r="B26" s="725" t="s">
        <v>944</v>
      </c>
      <c r="C26" s="731"/>
      <c r="D26" s="726">
        <f>+D24+D25</f>
        <v>4783303.3231259994</v>
      </c>
    </row>
    <row r="27" spans="2:7" x14ac:dyDescent="0.3">
      <c r="B27" s="716" t="s">
        <v>945</v>
      </c>
      <c r="C27" s="717"/>
      <c r="D27" s="718">
        <v>0</v>
      </c>
    </row>
    <row r="28" spans="2:7" x14ac:dyDescent="0.3">
      <c r="B28" s="716" t="s">
        <v>946</v>
      </c>
      <c r="C28" s="717"/>
      <c r="D28" s="724">
        <f>MAX(D26:D27)</f>
        <v>4783303.3231259994</v>
      </c>
    </row>
    <row r="29" spans="2:7" x14ac:dyDescent="0.3">
      <c r="B29" s="716" t="s">
        <v>947</v>
      </c>
      <c r="C29" s="717"/>
      <c r="D29" s="718">
        <v>0</v>
      </c>
    </row>
    <row r="30" spans="2:7" x14ac:dyDescent="0.3">
      <c r="B30" s="725" t="s">
        <v>944</v>
      </c>
      <c r="C30" s="731"/>
      <c r="D30" s="732">
        <f>SUM(D28:D29)</f>
        <v>4783303.3231259994</v>
      </c>
      <c r="E30" s="733"/>
    </row>
    <row r="31" spans="2:7" x14ac:dyDescent="0.3">
      <c r="B31" s="716" t="s">
        <v>948</v>
      </c>
      <c r="C31" s="731"/>
      <c r="D31" s="726"/>
    </row>
    <row r="32" spans="2:7" x14ac:dyDescent="0.3">
      <c r="B32" s="716" t="s">
        <v>949</v>
      </c>
      <c r="C32" s="731"/>
      <c r="D32" s="726"/>
    </row>
    <row r="33" spans="2:10" x14ac:dyDescent="0.3">
      <c r="B33" s="716" t="s">
        <v>950</v>
      </c>
      <c r="C33" s="717"/>
      <c r="D33" s="724">
        <f>+D30-D31-D32</f>
        <v>4783303.3231259994</v>
      </c>
    </row>
    <row r="34" spans="2:10" x14ac:dyDescent="0.3">
      <c r="B34" s="716" t="s">
        <v>951</v>
      </c>
      <c r="C34" s="717"/>
      <c r="D34" s="718"/>
      <c r="E34" s="733"/>
    </row>
    <row r="35" spans="2:10" x14ac:dyDescent="0.3">
      <c r="B35" s="716" t="s">
        <v>952</v>
      </c>
      <c r="C35" s="717">
        <v>0</v>
      </c>
      <c r="D35" s="718"/>
    </row>
    <row r="36" spans="2:10" x14ac:dyDescent="0.3">
      <c r="B36" s="716" t="s">
        <v>953</v>
      </c>
      <c r="C36" s="717">
        <f>IF(D33&gt;10000,D33*6%,0)</f>
        <v>286998.19938755996</v>
      </c>
      <c r="D36" s="718"/>
    </row>
    <row r="37" spans="2:10" x14ac:dyDescent="0.3">
      <c r="B37" s="716" t="s">
        <v>954</v>
      </c>
      <c r="C37" s="734">
        <v>0</v>
      </c>
      <c r="D37" s="718"/>
      <c r="E37" s="735"/>
    </row>
    <row r="38" spans="2:10" x14ac:dyDescent="0.3">
      <c r="B38" s="725" t="s">
        <v>955</v>
      </c>
      <c r="C38" s="731"/>
      <c r="D38" s="736">
        <f>SUM(C35:C37)</f>
        <v>286998.19938755996</v>
      </c>
    </row>
    <row r="39" spans="2:10" x14ac:dyDescent="0.3">
      <c r="B39" s="716" t="s">
        <v>956</v>
      </c>
      <c r="C39" s="717"/>
      <c r="D39" s="718">
        <f>SUM(D33:D38)</f>
        <v>5070301.5225135591</v>
      </c>
    </row>
    <row r="40" spans="2:10" x14ac:dyDescent="0.3">
      <c r="B40" s="716" t="s">
        <v>957</v>
      </c>
      <c r="C40" s="717"/>
      <c r="D40" s="718">
        <v>0</v>
      </c>
    </row>
    <row r="41" spans="2:10" ht="17.25" thickBot="1" x14ac:dyDescent="0.35">
      <c r="B41" s="737" t="s">
        <v>958</v>
      </c>
      <c r="C41" s="738"/>
      <c r="D41" s="739">
        <f>SUM(D39:D40)</f>
        <v>5070301.5225135591</v>
      </c>
      <c r="E41" s="733"/>
      <c r="F41" s="729"/>
    </row>
    <row r="42" spans="2:10" ht="17.25" thickTop="1" x14ac:dyDescent="0.3">
      <c r="B42" s="740"/>
      <c r="C42" s="741"/>
      <c r="D42" s="742"/>
      <c r="E42" s="733"/>
    </row>
    <row r="45" spans="2:10" x14ac:dyDescent="0.3">
      <c r="B45" s="743" t="s">
        <v>959</v>
      </c>
      <c r="C45" s="744"/>
      <c r="D45" s="745"/>
      <c r="E45" s="745"/>
      <c r="F45" s="745"/>
      <c r="G45" s="745"/>
      <c r="H45" s="745"/>
      <c r="I45" s="745"/>
      <c r="J45" s="745"/>
    </row>
    <row r="46" spans="2:10" ht="17.25" thickBot="1" x14ac:dyDescent="0.35">
      <c r="B46" s="746"/>
      <c r="C46" s="747"/>
      <c r="D46" s="747"/>
      <c r="E46" s="747"/>
      <c r="F46" s="748"/>
      <c r="G46" s="748"/>
      <c r="H46" s="748"/>
      <c r="I46" s="748"/>
      <c r="J46" s="745"/>
    </row>
    <row r="47" spans="2:10" ht="43.5" thickBot="1" x14ac:dyDescent="0.35">
      <c r="B47" s="749" t="s">
        <v>960</v>
      </c>
      <c r="C47" s="750" t="s">
        <v>961</v>
      </c>
      <c r="D47" s="751" t="s">
        <v>962</v>
      </c>
      <c r="E47" s="751" t="s">
        <v>963</v>
      </c>
      <c r="F47" s="752" t="s">
        <v>964</v>
      </c>
      <c r="G47" s="753" t="s">
        <v>965</v>
      </c>
      <c r="H47" s="752" t="s">
        <v>966</v>
      </c>
      <c r="I47" s="754" t="s">
        <v>967</v>
      </c>
      <c r="J47" s="745"/>
    </row>
    <row r="48" spans="2:10" x14ac:dyDescent="0.3">
      <c r="B48" s="755">
        <v>0.15</v>
      </c>
      <c r="C48" s="756">
        <v>45092</v>
      </c>
      <c r="D48" s="757">
        <v>8500</v>
      </c>
      <c r="E48" s="757">
        <v>0</v>
      </c>
      <c r="F48" s="757">
        <v>0</v>
      </c>
      <c r="G48" s="757">
        <f>F48</f>
        <v>0</v>
      </c>
      <c r="H48" s="757">
        <f>IF(G48&lt;E48,(D48-G48),0)</f>
        <v>0</v>
      </c>
      <c r="I48" s="758">
        <f>ROUND(H48*1%*3,0)</f>
        <v>0</v>
      </c>
      <c r="J48" s="745"/>
    </row>
    <row r="49" spans="2:10" x14ac:dyDescent="0.3">
      <c r="B49" s="759">
        <v>0.45</v>
      </c>
      <c r="C49" s="760">
        <v>45184</v>
      </c>
      <c r="D49" s="757"/>
      <c r="E49" s="757">
        <v>0</v>
      </c>
      <c r="F49" s="761">
        <v>0</v>
      </c>
      <c r="G49" s="761">
        <f>G48+F49</f>
        <v>0</v>
      </c>
      <c r="H49" s="761">
        <f>IF(G49&lt;E49,(D49-G49),0)</f>
        <v>0</v>
      </c>
      <c r="I49" s="762">
        <f>ROUND(H49*1%*3,0)</f>
        <v>0</v>
      </c>
      <c r="J49" s="745"/>
    </row>
    <row r="50" spans="2:10" x14ac:dyDescent="0.3">
      <c r="B50" s="759">
        <v>0.75</v>
      </c>
      <c r="C50" s="760">
        <v>45275</v>
      </c>
      <c r="D50" s="757"/>
      <c r="E50" s="757">
        <v>0</v>
      </c>
      <c r="F50" s="761">
        <v>0</v>
      </c>
      <c r="G50" s="761">
        <f>G49+F50</f>
        <v>0</v>
      </c>
      <c r="H50" s="761">
        <f>IF(G50&lt;E50,(D50-G50),0)</f>
        <v>0</v>
      </c>
      <c r="I50" s="762">
        <f>ROUND(H50*1%*3,0)</f>
        <v>0</v>
      </c>
      <c r="J50" s="745"/>
    </row>
    <row r="51" spans="2:10" x14ac:dyDescent="0.3">
      <c r="B51" s="759">
        <v>1</v>
      </c>
      <c r="C51" s="760">
        <v>45366</v>
      </c>
      <c r="D51" s="757">
        <v>0</v>
      </c>
      <c r="E51" s="757">
        <v>0</v>
      </c>
      <c r="F51" s="761">
        <v>0</v>
      </c>
      <c r="G51" s="761">
        <f>G50+F51</f>
        <v>0</v>
      </c>
      <c r="H51" s="761">
        <f>IF(G51&lt;E51,(D51-G51),0)</f>
        <v>0</v>
      </c>
      <c r="I51" s="762">
        <f>ROUND(H51*1%,0)</f>
        <v>0</v>
      </c>
      <c r="J51" s="745"/>
    </row>
    <row r="52" spans="2:10" ht="17.25" thickBot="1" x14ac:dyDescent="0.35">
      <c r="B52" s="763"/>
      <c r="C52" s="764"/>
      <c r="D52" s="765">
        <f>SUM(D48:D51)</f>
        <v>8500</v>
      </c>
      <c r="E52" s="764"/>
      <c r="F52" s="766"/>
      <c r="G52" s="766"/>
      <c r="H52" s="766"/>
      <c r="I52" s="767">
        <f>SUM(I48:I51)</f>
        <v>0</v>
      </c>
      <c r="J52" s="745"/>
    </row>
    <row r="53" spans="2:10" x14ac:dyDescent="0.3">
      <c r="B53" s="746"/>
      <c r="C53" s="747"/>
      <c r="D53" s="747"/>
      <c r="E53" s="747"/>
      <c r="F53" s="768"/>
      <c r="G53" s="768"/>
      <c r="H53" s="768"/>
      <c r="I53" s="768"/>
      <c r="J53" s="745"/>
    </row>
    <row r="54" spans="2:10" x14ac:dyDescent="0.3">
      <c r="B54" s="743" t="s">
        <v>968</v>
      </c>
      <c r="C54" s="769"/>
      <c r="D54" s="769"/>
      <c r="E54" s="769"/>
      <c r="F54" s="769"/>
      <c r="G54" s="770"/>
      <c r="H54" s="770"/>
      <c r="I54" s="771"/>
      <c r="J54" s="745"/>
    </row>
    <row r="55" spans="2:10" ht="17.25" thickBot="1" x14ac:dyDescent="0.35">
      <c r="B55" s="769"/>
      <c r="C55" s="769"/>
      <c r="D55" s="769"/>
      <c r="E55" s="769"/>
      <c r="F55" s="769"/>
      <c r="G55" s="770"/>
      <c r="H55" s="770"/>
      <c r="I55" s="771"/>
      <c r="J55" s="745"/>
    </row>
    <row r="56" spans="2:10" ht="17.25" thickBot="1" x14ac:dyDescent="0.35">
      <c r="B56" s="772" t="s">
        <v>969</v>
      </c>
      <c r="C56" s="773"/>
      <c r="D56" s="773"/>
      <c r="E56" s="773"/>
      <c r="F56" s="773"/>
      <c r="G56" s="774"/>
      <c r="H56" s="775"/>
      <c r="I56" s="776" t="s">
        <v>970</v>
      </c>
      <c r="J56" s="745"/>
    </row>
    <row r="57" spans="2:10" x14ac:dyDescent="0.3">
      <c r="B57" s="777"/>
      <c r="C57" s="769"/>
      <c r="D57" s="769"/>
      <c r="E57" s="769"/>
      <c r="F57" s="769"/>
      <c r="G57" s="778"/>
      <c r="H57" s="778"/>
      <c r="I57" s="779"/>
      <c r="J57" s="745"/>
    </row>
    <row r="58" spans="2:10" x14ac:dyDescent="0.3">
      <c r="B58" s="777" t="s">
        <v>971</v>
      </c>
      <c r="C58" s="769"/>
      <c r="D58" s="769"/>
      <c r="E58" s="769"/>
      <c r="F58" s="769"/>
      <c r="G58" s="778"/>
      <c r="H58" s="778"/>
      <c r="I58" s="779"/>
      <c r="J58" s="745"/>
    </row>
    <row r="59" spans="2:10" x14ac:dyDescent="0.3">
      <c r="B59" s="777"/>
      <c r="C59" s="769"/>
      <c r="D59" s="769"/>
      <c r="E59" s="769"/>
      <c r="F59" s="769"/>
      <c r="G59" s="778"/>
      <c r="H59" s="778"/>
      <c r="I59" s="779"/>
      <c r="J59" s="745"/>
    </row>
    <row r="60" spans="2:10" x14ac:dyDescent="0.3">
      <c r="B60" s="777" t="s">
        <v>972</v>
      </c>
      <c r="C60" s="769"/>
      <c r="D60" s="769"/>
      <c r="E60" s="769"/>
      <c r="F60" s="769"/>
      <c r="G60" s="778"/>
      <c r="H60" s="778"/>
      <c r="I60" s="779"/>
      <c r="J60" s="745"/>
    </row>
    <row r="61" spans="2:10" x14ac:dyDescent="0.3">
      <c r="B61" s="780" t="s">
        <v>973</v>
      </c>
      <c r="C61" s="781"/>
      <c r="D61" s="781"/>
      <c r="E61" s="781"/>
      <c r="F61" s="781"/>
      <c r="G61" s="782"/>
      <c r="H61" s="782"/>
      <c r="I61" s="783">
        <f>I58-I60</f>
        <v>0</v>
      </c>
      <c r="J61" s="745"/>
    </row>
    <row r="62" spans="2:10" x14ac:dyDescent="0.3">
      <c r="B62" s="777"/>
      <c r="C62" s="769"/>
      <c r="D62" s="769"/>
      <c r="E62" s="769"/>
      <c r="F62" s="769"/>
      <c r="G62" s="784"/>
      <c r="H62" s="785" t="s">
        <v>974</v>
      </c>
      <c r="I62" s="786">
        <v>0</v>
      </c>
    </row>
    <row r="63" spans="2:10" x14ac:dyDescent="0.3">
      <c r="B63" s="787" t="s">
        <v>923</v>
      </c>
      <c r="C63" s="743" t="s">
        <v>975</v>
      </c>
      <c r="D63" s="769"/>
      <c r="E63" s="769"/>
      <c r="F63" s="769"/>
      <c r="G63" s="778"/>
      <c r="H63" s="778"/>
      <c r="I63" s="779"/>
      <c r="J63" s="745"/>
    </row>
    <row r="64" spans="2:10" x14ac:dyDescent="0.3">
      <c r="B64" s="777"/>
      <c r="C64" s="769" t="s">
        <v>976</v>
      </c>
      <c r="D64" s="769"/>
      <c r="E64" s="769"/>
      <c r="F64" s="769"/>
      <c r="G64" s="778">
        <f>F48</f>
        <v>0</v>
      </c>
      <c r="H64" s="778"/>
      <c r="I64" s="779"/>
      <c r="J64" s="745"/>
    </row>
    <row r="65" spans="1:10" x14ac:dyDescent="0.3">
      <c r="B65" s="777"/>
      <c r="C65" s="769" t="s">
        <v>977</v>
      </c>
      <c r="D65" s="769"/>
      <c r="E65" s="769"/>
      <c r="F65" s="769"/>
      <c r="G65" s="778">
        <f>F49</f>
        <v>0</v>
      </c>
      <c r="H65" s="778"/>
      <c r="I65" s="779"/>
      <c r="J65" s="745"/>
    </row>
    <row r="66" spans="1:10" x14ac:dyDescent="0.3">
      <c r="B66" s="777"/>
      <c r="C66" s="769" t="s">
        <v>978</v>
      </c>
      <c r="D66" s="769"/>
      <c r="E66" s="769"/>
      <c r="F66" s="769"/>
      <c r="G66" s="778">
        <f>F50</f>
        <v>0</v>
      </c>
      <c r="H66" s="778"/>
      <c r="I66" s="779"/>
      <c r="J66" s="745"/>
    </row>
    <row r="67" spans="1:10" x14ac:dyDescent="0.3">
      <c r="B67" s="777"/>
      <c r="C67" s="769" t="s">
        <v>979</v>
      </c>
      <c r="D67" s="769"/>
      <c r="E67" s="769"/>
      <c r="F67" s="769"/>
      <c r="G67" s="778">
        <f>F51</f>
        <v>0</v>
      </c>
      <c r="H67" s="778"/>
      <c r="I67" s="779">
        <f>G64+G65+G66+G67</f>
        <v>0</v>
      </c>
      <c r="J67" s="745"/>
    </row>
    <row r="68" spans="1:10" x14ac:dyDescent="0.3">
      <c r="B68" s="788"/>
      <c r="C68" s="769"/>
      <c r="D68" s="789"/>
      <c r="E68" s="789"/>
      <c r="F68" s="789"/>
      <c r="G68" s="790"/>
      <c r="H68" s="790"/>
      <c r="I68" s="791"/>
      <c r="J68" s="745"/>
    </row>
    <row r="69" spans="1:10" ht="17.25" thickBot="1" x14ac:dyDescent="0.35">
      <c r="B69" s="792" t="s">
        <v>980</v>
      </c>
      <c r="C69" s="793"/>
      <c r="D69" s="793"/>
      <c r="E69" s="793"/>
      <c r="F69" s="793"/>
      <c r="G69" s="794"/>
      <c r="H69" s="794"/>
      <c r="I69" s="761">
        <f>IF(I62&gt;I67,(I61-I67),0)</f>
        <v>0</v>
      </c>
      <c r="J69" s="745"/>
    </row>
    <row r="70" spans="1:10" ht="18" thickTop="1" thickBot="1" x14ac:dyDescent="0.35">
      <c r="B70" s="795" t="s">
        <v>981</v>
      </c>
      <c r="C70" s="796"/>
      <c r="D70" s="796"/>
      <c r="E70" s="796"/>
      <c r="F70" s="796"/>
      <c r="G70" s="797"/>
      <c r="H70" s="797"/>
      <c r="I70" s="798">
        <f>IF(I69&gt;0,(I69*1%*5),0)</f>
        <v>0</v>
      </c>
      <c r="J70" s="745"/>
    </row>
    <row r="71" spans="1:10" x14ac:dyDescent="0.3">
      <c r="B71" s="799"/>
      <c r="C71" s="800"/>
      <c r="D71" s="800"/>
      <c r="E71" s="800"/>
      <c r="F71" s="800"/>
      <c r="G71" s="801"/>
      <c r="H71" s="801"/>
      <c r="I71" s="802"/>
      <c r="J71" s="745"/>
    </row>
    <row r="72" spans="1:10" x14ac:dyDescent="0.3">
      <c r="B72" s="746"/>
      <c r="C72" s="747"/>
      <c r="D72" s="747"/>
      <c r="E72" s="747"/>
      <c r="F72" s="748"/>
      <c r="G72" s="748"/>
      <c r="H72" s="748" t="s">
        <v>982</v>
      </c>
      <c r="I72" s="803">
        <f>I70+I52</f>
        <v>0</v>
      </c>
      <c r="J72" s="745"/>
    </row>
    <row r="74" spans="1:10" x14ac:dyDescent="0.3">
      <c r="H74" s="704" t="s">
        <v>983</v>
      </c>
      <c r="I74" s="719"/>
    </row>
    <row r="76" spans="1:10" x14ac:dyDescent="0.3">
      <c r="A76" s="912" t="s">
        <v>984</v>
      </c>
      <c r="B76" s="912"/>
      <c r="C76" s="912"/>
      <c r="D76" s="912"/>
      <c r="E76" s="912"/>
      <c r="F76" s="912"/>
    </row>
    <row r="77" spans="1:10" x14ac:dyDescent="0.3">
      <c r="A77" s="805" t="s">
        <v>655</v>
      </c>
      <c r="B77" s="805" t="s">
        <v>0</v>
      </c>
      <c r="C77" s="805" t="s">
        <v>985</v>
      </c>
      <c r="D77" s="805" t="s">
        <v>986</v>
      </c>
      <c r="E77" s="805" t="s">
        <v>987</v>
      </c>
      <c r="F77" s="805" t="s">
        <v>988</v>
      </c>
    </row>
    <row r="78" spans="1:10" x14ac:dyDescent="0.3">
      <c r="A78" s="806">
        <v>1</v>
      </c>
      <c r="B78" s="807" t="s">
        <v>989</v>
      </c>
      <c r="C78" s="807" t="s">
        <v>990</v>
      </c>
      <c r="D78" s="807" t="s">
        <v>991</v>
      </c>
      <c r="E78" s="808">
        <v>208688.59</v>
      </c>
      <c r="F78" s="808">
        <v>20868</v>
      </c>
    </row>
    <row r="79" spans="1:10" x14ac:dyDescent="0.3">
      <c r="A79" s="806">
        <v>2</v>
      </c>
      <c r="B79" s="807" t="s">
        <v>992</v>
      </c>
      <c r="C79" s="807" t="s">
        <v>993</v>
      </c>
      <c r="D79" s="807" t="s">
        <v>994</v>
      </c>
      <c r="E79" s="808">
        <v>78552</v>
      </c>
      <c r="F79" s="808">
        <v>7855</v>
      </c>
    </row>
    <row r="80" spans="1:10" x14ac:dyDescent="0.3">
      <c r="A80" s="805" t="s">
        <v>995</v>
      </c>
      <c r="B80" s="805"/>
      <c r="C80" s="805"/>
      <c r="D80" s="805"/>
      <c r="E80" s="809">
        <f>SUM(E78:E79)</f>
        <v>287240.58999999997</v>
      </c>
      <c r="F80" s="809">
        <f>SUM(F78:F79)</f>
        <v>28723</v>
      </c>
      <c r="H80" s="727"/>
      <c r="J80" s="727"/>
    </row>
    <row r="81" spans="4:13" x14ac:dyDescent="0.3">
      <c r="G81" s="727"/>
      <c r="H81" s="727"/>
      <c r="I81" s="727"/>
      <c r="M81" s="729"/>
    </row>
    <row r="82" spans="4:13" x14ac:dyDescent="0.3">
      <c r="D82" s="744" t="s">
        <v>996</v>
      </c>
      <c r="E82" s="810">
        <f>+F80/E80*100</f>
        <v>9.9996313195151156</v>
      </c>
      <c r="I82" s="727"/>
      <c r="L82" s="727"/>
      <c r="M82" s="729"/>
    </row>
    <row r="83" spans="4:13" x14ac:dyDescent="0.3">
      <c r="G83" s="811"/>
      <c r="H83" s="811"/>
      <c r="I83" s="811"/>
      <c r="J83" s="811"/>
      <c r="K83" s="727"/>
      <c r="L83" s="727"/>
    </row>
    <row r="84" spans="4:13" x14ac:dyDescent="0.3">
      <c r="G84" s="727"/>
      <c r="H84" s="727"/>
      <c r="I84" s="727"/>
      <c r="L84" s="811"/>
    </row>
    <row r="85" spans="4:13" x14ac:dyDescent="0.3">
      <c r="G85" s="811"/>
      <c r="H85" s="811"/>
      <c r="I85" s="811"/>
    </row>
    <row r="86" spans="4:13" x14ac:dyDescent="0.3">
      <c r="G86" s="727"/>
      <c r="H86" s="727"/>
      <c r="I86" s="727"/>
    </row>
  </sheetData>
  <mergeCells count="1">
    <mergeCell ref="A76:F76"/>
  </mergeCells>
  <pageMargins left="0.70866141732283472" right="0.70866141732283472" top="0.74803149606299213" bottom="0.74803149606299213" header="0.31496062992125984" footer="0.31496062992125984"/>
  <pageSetup paperSize="9" scale="8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8AD3B-BEFC-4DA6-9C49-B4D02F5E814E}">
  <dimension ref="A1:F156"/>
  <sheetViews>
    <sheetView view="pageBreakPreview" zoomScale="74" zoomScaleNormal="100" zoomScaleSheetLayoutView="74" workbookViewId="0">
      <selection activeCell="A4" sqref="A4"/>
    </sheetView>
  </sheetViews>
  <sheetFormatPr defaultColWidth="8.85546875" defaultRowHeight="16.5" x14ac:dyDescent="0.3"/>
  <cols>
    <col min="1" max="1" width="59.140625" style="232" bestFit="1" customWidth="1"/>
    <col min="2" max="2" width="18.140625" style="856" bestFit="1" customWidth="1"/>
    <col min="3" max="3" width="18.7109375" style="525" customWidth="1"/>
    <col min="4" max="4" width="17.5703125" style="525" bestFit="1" customWidth="1"/>
    <col min="5" max="5" width="8.85546875" style="232"/>
    <col min="6" max="6" width="17.7109375" style="232" bestFit="1" customWidth="1"/>
    <col min="7" max="16384" width="8.85546875" style="232"/>
  </cols>
  <sheetData>
    <row r="1" spans="1:6" x14ac:dyDescent="0.3">
      <c r="A1" s="245"/>
      <c r="B1" s="860"/>
      <c r="C1" s="630"/>
    </row>
    <row r="2" spans="1:6" x14ac:dyDescent="0.3">
      <c r="A2" s="232" t="s">
        <v>193</v>
      </c>
    </row>
    <row r="3" spans="1:6" x14ac:dyDescent="0.3">
      <c r="A3" s="232" t="s">
        <v>194</v>
      </c>
    </row>
    <row r="4" spans="1:6" x14ac:dyDescent="0.3">
      <c r="B4" s="914" t="s">
        <v>1012</v>
      </c>
      <c r="C4" s="913" t="s">
        <v>896</v>
      </c>
      <c r="D4" s="913" t="s">
        <v>194</v>
      </c>
    </row>
    <row r="5" spans="1:6" x14ac:dyDescent="0.3">
      <c r="B5" s="914"/>
      <c r="C5" s="913"/>
      <c r="D5" s="913"/>
    </row>
    <row r="6" spans="1:6" x14ac:dyDescent="0.3">
      <c r="A6" s="247" t="s">
        <v>565</v>
      </c>
      <c r="B6" s="855"/>
      <c r="C6" s="631"/>
      <c r="D6" s="640"/>
    </row>
    <row r="7" spans="1:6" x14ac:dyDescent="0.3">
      <c r="A7" s="232" t="s">
        <v>430</v>
      </c>
      <c r="B7" s="856">
        <f>'Trail Balance'!E112</f>
        <v>303087796.62</v>
      </c>
      <c r="C7" s="525">
        <f>'TB 23-24'!E124</f>
        <v>155613652</v>
      </c>
      <c r="D7" s="525">
        <f>+'TB 22-23'!F127-'TB 22-23'!E143</f>
        <v>152959603.77999997</v>
      </c>
    </row>
    <row r="8" spans="1:6" x14ac:dyDescent="0.3">
      <c r="A8" s="232" t="s">
        <v>570</v>
      </c>
      <c r="C8" s="525">
        <v>0</v>
      </c>
      <c r="D8" s="525">
        <f>+'TB 22-23'!F139</f>
        <v>25000</v>
      </c>
    </row>
    <row r="9" spans="1:6" x14ac:dyDescent="0.3">
      <c r="A9" s="232" t="s">
        <v>358</v>
      </c>
      <c r="B9" s="856">
        <f>'Trail Balance'!E97</f>
        <v>507558.52</v>
      </c>
      <c r="C9" s="525">
        <f>'TB 23-24'!E112</f>
        <v>382595.82</v>
      </c>
      <c r="D9" s="525">
        <f>+'TB 22-23'!F112</f>
        <v>84290</v>
      </c>
    </row>
    <row r="10" spans="1:6" ht="18.75" x14ac:dyDescent="0.45">
      <c r="A10" s="232" t="s">
        <v>427</v>
      </c>
      <c r="C10" s="632">
        <v>0</v>
      </c>
      <c r="D10" s="634">
        <v>0</v>
      </c>
    </row>
    <row r="11" spans="1:6" ht="18" x14ac:dyDescent="0.4">
      <c r="B11" s="857">
        <f>SUM(B7:B10)</f>
        <v>303595355.13999999</v>
      </c>
      <c r="C11" s="633">
        <f>SUM(C7:C10)</f>
        <v>155996247.81999999</v>
      </c>
      <c r="D11" s="633">
        <f>SUM(D7:D10)</f>
        <v>153068893.77999997</v>
      </c>
      <c r="F11" s="874"/>
    </row>
    <row r="12" spans="1:6" x14ac:dyDescent="0.3">
      <c r="F12" s="856"/>
    </row>
    <row r="13" spans="1:6" x14ac:dyDescent="0.3">
      <c r="A13" s="247" t="s">
        <v>561</v>
      </c>
      <c r="B13" s="855"/>
      <c r="C13" s="631"/>
      <c r="F13" s="856"/>
    </row>
    <row r="14" spans="1:6" x14ac:dyDescent="0.3">
      <c r="A14" s="232" t="s">
        <v>536</v>
      </c>
      <c r="B14" s="856">
        <f>'Trail Balance'!E100</f>
        <v>16227045</v>
      </c>
      <c r="C14" s="525">
        <f>'TB 23-24'!E115</f>
        <v>10675444</v>
      </c>
      <c r="D14" s="525">
        <f>+'TB 22-23'!F116</f>
        <v>10719630</v>
      </c>
      <c r="F14" s="874"/>
    </row>
    <row r="15" spans="1:6" x14ac:dyDescent="0.3">
      <c r="A15" s="232" t="s">
        <v>545</v>
      </c>
      <c r="B15" s="856">
        <f>'Trail Balance'!E114</f>
        <v>779595</v>
      </c>
      <c r="C15" s="525">
        <f>'TB 23-24'!E126</f>
        <v>520280</v>
      </c>
      <c r="D15" s="525">
        <f>+'TB 22-23'!F129</f>
        <v>537022</v>
      </c>
    </row>
    <row r="16" spans="1:6" ht="18.75" x14ac:dyDescent="0.45">
      <c r="A16" s="232" t="s">
        <v>538</v>
      </c>
      <c r="B16" s="856">
        <f>'Trail Balance'!E101</f>
        <v>5333587</v>
      </c>
      <c r="C16" s="632">
        <f>'TB 23-24'!E116</f>
        <v>5087080</v>
      </c>
      <c r="D16" s="634">
        <f>-+'TB 22-23'!G117</f>
        <v>-926426</v>
      </c>
    </row>
    <row r="17" spans="1:4" ht="18" x14ac:dyDescent="0.4">
      <c r="B17" s="857">
        <f>SUM(B14:B16)</f>
        <v>22340227</v>
      </c>
      <c r="C17" s="633">
        <f>SUM(C14:C16)</f>
        <v>16282804</v>
      </c>
      <c r="D17" s="633">
        <f>SUM(D14:D16)</f>
        <v>10330226</v>
      </c>
    </row>
    <row r="19" spans="1:4" x14ac:dyDescent="0.3">
      <c r="A19" s="247" t="s">
        <v>131</v>
      </c>
      <c r="B19" s="855"/>
      <c r="C19" s="631"/>
    </row>
    <row r="20" spans="1:4" x14ac:dyDescent="0.3">
      <c r="A20" s="232" t="s">
        <v>426</v>
      </c>
      <c r="D20" s="525">
        <f>+'TB 22-23'!F113</f>
        <v>29832.79</v>
      </c>
    </row>
    <row r="21" spans="1:4" x14ac:dyDescent="0.3">
      <c r="A21" s="232" t="s">
        <v>596</v>
      </c>
      <c r="B21" s="856">
        <f>'Trail Balance'!E98</f>
        <v>268758.40999999997</v>
      </c>
      <c r="C21" s="525">
        <f>'TB 23-24'!E113</f>
        <v>194413.5</v>
      </c>
      <c r="D21" s="525">
        <f>+'TB 22-23'!F114</f>
        <v>233850.57</v>
      </c>
    </row>
    <row r="22" spans="1:4" x14ac:dyDescent="0.3">
      <c r="A22" s="232" t="s">
        <v>597</v>
      </c>
      <c r="B22" s="856">
        <f>'Trail Balance'!E99</f>
        <v>1755619.32</v>
      </c>
      <c r="C22" s="525">
        <f>'TB 23-24'!E114</f>
        <v>1589686.24</v>
      </c>
      <c r="D22" s="525">
        <f>+'TB 22-23'!F115</f>
        <v>1734981.15</v>
      </c>
    </row>
    <row r="23" spans="1:4" ht="18.75" x14ac:dyDescent="0.45">
      <c r="A23" s="232" t="s">
        <v>173</v>
      </c>
      <c r="B23" s="858">
        <f>'Trail Balance'!E122</f>
        <v>234619.5</v>
      </c>
      <c r="C23" s="632">
        <f>'TB 23-24'!E135</f>
        <v>157719.5</v>
      </c>
      <c r="D23" s="634">
        <f>+'TB 22-23'!F137</f>
        <v>635516</v>
      </c>
    </row>
    <row r="24" spans="1:4" ht="18" x14ac:dyDescent="0.4">
      <c r="B24" s="446">
        <f>SUM(B21:B23)</f>
        <v>2258997.23</v>
      </c>
      <c r="C24" s="633">
        <f>SUM(C21:C23)</f>
        <v>1941819.24</v>
      </c>
      <c r="D24" s="633">
        <f>SUM(D20:D23)</f>
        <v>2634180.5099999998</v>
      </c>
    </row>
    <row r="26" spans="1:4" x14ac:dyDescent="0.3">
      <c r="A26" s="247" t="s">
        <v>566</v>
      </c>
      <c r="B26" s="855"/>
      <c r="C26" s="631"/>
    </row>
    <row r="28" spans="1:4" x14ac:dyDescent="0.3">
      <c r="A28" s="232" t="s">
        <v>132</v>
      </c>
      <c r="B28" s="856">
        <f>'Trail Balance'!E109+'Trail Balance'!E111</f>
        <v>2498068.44</v>
      </c>
      <c r="C28" s="525">
        <f>'TB 23-24'!E122</f>
        <v>2975349</v>
      </c>
      <c r="D28" s="525">
        <f>+'TB 22-23'!F125</f>
        <v>3249002</v>
      </c>
    </row>
    <row r="30" spans="1:4" x14ac:dyDescent="0.3">
      <c r="A30" s="232" t="s">
        <v>568</v>
      </c>
      <c r="B30" s="856">
        <f>'Trail Balance'!E108</f>
        <v>4090054.71</v>
      </c>
      <c r="C30" s="525">
        <f>'TB 23-24'!E120+'TB 23-24'!E121</f>
        <v>1848933.14</v>
      </c>
      <c r="D30" s="525">
        <f>+'TB 22-23'!F123</f>
        <v>2425909.33</v>
      </c>
    </row>
    <row r="32" spans="1:4" x14ac:dyDescent="0.3">
      <c r="A32" s="247" t="s">
        <v>572</v>
      </c>
      <c r="B32" s="855"/>
      <c r="C32" s="631"/>
    </row>
    <row r="33" spans="1:4" x14ac:dyDescent="0.3">
      <c r="A33" s="232" t="s">
        <v>593</v>
      </c>
      <c r="B33" s="856">
        <f>'Trail Balance'!E96</f>
        <v>4944728.45</v>
      </c>
      <c r="C33" s="525">
        <f>'TB 23-24'!E111</f>
        <v>4174382</v>
      </c>
      <c r="D33" s="525">
        <f>+'TB 22-23'!F111</f>
        <v>3492542.38</v>
      </c>
    </row>
    <row r="34" spans="1:4" x14ac:dyDescent="0.3">
      <c r="A34" s="232" t="s">
        <v>592</v>
      </c>
      <c r="B34" s="856">
        <f>'Trail Balance'!E119</f>
        <v>22717</v>
      </c>
      <c r="C34" s="525">
        <f>'TB 23-24'!E131</f>
        <v>17500</v>
      </c>
      <c r="D34" s="525">
        <f>+'TB 22-23'!F133</f>
        <v>37870</v>
      </c>
    </row>
    <row r="35" spans="1:4" x14ac:dyDescent="0.3">
      <c r="A35" s="232" t="s">
        <v>539</v>
      </c>
      <c r="B35" s="856">
        <v>0</v>
      </c>
      <c r="D35" s="525">
        <v>0</v>
      </c>
    </row>
    <row r="36" spans="1:4" ht="18.75" x14ac:dyDescent="0.45">
      <c r="A36" s="232" t="s">
        <v>543</v>
      </c>
      <c r="C36" s="634">
        <v>0</v>
      </c>
      <c r="D36" s="634">
        <v>0</v>
      </c>
    </row>
    <row r="37" spans="1:4" ht="18" x14ac:dyDescent="0.4">
      <c r="B37" s="857">
        <f>SUM(B33:B36)</f>
        <v>4967445.45</v>
      </c>
      <c r="C37" s="633">
        <f>SUM(C33:C36)</f>
        <v>4191882</v>
      </c>
      <c r="D37" s="633">
        <f>SUM(D33:D36)</f>
        <v>3530412.38</v>
      </c>
    </row>
    <row r="39" spans="1:4" x14ac:dyDescent="0.3">
      <c r="A39" s="247" t="s">
        <v>569</v>
      </c>
      <c r="B39" s="855"/>
      <c r="C39" s="631"/>
    </row>
    <row r="40" spans="1:4" x14ac:dyDescent="0.3">
      <c r="A40" s="232" t="s">
        <v>591</v>
      </c>
      <c r="B40" s="856">
        <f>'Trail Balance'!E93</f>
        <v>152620.79999999999</v>
      </c>
      <c r="C40" s="525">
        <f>'TB 23-24'!E107</f>
        <v>325983.86</v>
      </c>
      <c r="D40" s="525">
        <f>+'TB 22-23'!F109</f>
        <v>4130</v>
      </c>
    </row>
    <row r="41" spans="1:4" x14ac:dyDescent="0.3">
      <c r="A41" s="232" t="s">
        <v>590</v>
      </c>
      <c r="B41" s="856">
        <f>'Trail Balance'!E117</f>
        <v>1856250</v>
      </c>
      <c r="C41" s="525">
        <f>'TB 23-24'!E129</f>
        <v>310000</v>
      </c>
      <c r="D41" s="525">
        <f>+'TB 22-23'!F132</f>
        <v>27500</v>
      </c>
    </row>
    <row r="42" spans="1:4" x14ac:dyDescent="0.3">
      <c r="A42" s="232" t="s">
        <v>551</v>
      </c>
      <c r="D42" s="525">
        <f>'TB 22-23'!F106</f>
        <v>20000</v>
      </c>
    </row>
    <row r="43" spans="1:4" x14ac:dyDescent="0.3">
      <c r="A43" s="232" t="s">
        <v>552</v>
      </c>
      <c r="D43" s="525">
        <f>'TB 22-23'!F107</f>
        <v>100000</v>
      </c>
    </row>
    <row r="44" spans="1:4" ht="18.75" x14ac:dyDescent="0.45">
      <c r="A44" s="232" t="s">
        <v>380</v>
      </c>
      <c r="B44" s="856">
        <f>'Trail Balance'!E120</f>
        <v>720000</v>
      </c>
      <c r="C44" s="632">
        <f>'TB 23-24'!E132</f>
        <v>540000</v>
      </c>
      <c r="D44" s="634">
        <f>+'TB 22-23'!F134</f>
        <v>540000</v>
      </c>
    </row>
    <row r="45" spans="1:4" ht="18" x14ac:dyDescent="0.4">
      <c r="B45" s="857">
        <f>SUM(B40:B44)</f>
        <v>2728870.8</v>
      </c>
      <c r="C45" s="633">
        <f>SUM(C40:C44)</f>
        <v>1175983.8599999999</v>
      </c>
      <c r="D45" s="633">
        <f>SUM(D40:D44)</f>
        <v>691630</v>
      </c>
    </row>
    <row r="47" spans="1:4" x14ac:dyDescent="0.3">
      <c r="A47" s="247" t="s">
        <v>584</v>
      </c>
      <c r="B47" s="855"/>
      <c r="C47" s="631"/>
    </row>
    <row r="48" spans="1:4" x14ac:dyDescent="0.3">
      <c r="A48" s="232" t="s">
        <v>542</v>
      </c>
      <c r="B48" s="856">
        <v>0</v>
      </c>
      <c r="D48" s="525">
        <f>+'TB 22-23'!F124</f>
        <v>13650</v>
      </c>
    </row>
    <row r="49" spans="1:5" ht="18.75" x14ac:dyDescent="0.45">
      <c r="A49" s="232" t="s">
        <v>594</v>
      </c>
      <c r="B49" s="856">
        <v>0</v>
      </c>
      <c r="C49" s="632">
        <f>'TB 23-24'!E134</f>
        <v>1.24</v>
      </c>
      <c r="D49" s="634">
        <f>'TB 22-23'!F136</f>
        <v>23.05</v>
      </c>
    </row>
    <row r="50" spans="1:5" ht="18" x14ac:dyDescent="0.4">
      <c r="B50" s="857">
        <f>SUM(B48:B49)</f>
        <v>0</v>
      </c>
      <c r="C50" s="633">
        <f>SUM(C48:C49)</f>
        <v>1.24</v>
      </c>
      <c r="D50" s="633">
        <f>SUM(D48:D49)</f>
        <v>13673.05</v>
      </c>
    </row>
    <row r="52" spans="1:5" x14ac:dyDescent="0.3">
      <c r="A52" s="247" t="s">
        <v>573</v>
      </c>
      <c r="B52" s="855"/>
      <c r="C52" s="631"/>
    </row>
    <row r="53" spans="1:5" x14ac:dyDescent="0.3">
      <c r="A53" s="232" t="s">
        <v>533</v>
      </c>
      <c r="D53" s="525">
        <v>0</v>
      </c>
    </row>
    <row r="54" spans="1:5" x14ac:dyDescent="0.3">
      <c r="A54" s="232" t="s">
        <v>899</v>
      </c>
      <c r="B54" s="856">
        <f>'Trail Balance'!E106</f>
        <v>165413.18</v>
      </c>
      <c r="C54" s="525">
        <f>'TB 23-24'!E103</f>
        <v>181495.88</v>
      </c>
    </row>
    <row r="55" spans="1:5" x14ac:dyDescent="0.3">
      <c r="A55" s="866" t="s">
        <v>595</v>
      </c>
      <c r="B55" s="867">
        <f>'Trail Balance'!E105</f>
        <v>317723.17</v>
      </c>
      <c r="C55" s="868">
        <f>'TB 23-24'!E118</f>
        <v>84367</v>
      </c>
      <c r="D55" s="868">
        <f>+'TB 22-23'!F121</f>
        <v>82813.19</v>
      </c>
      <c r="E55" s="232" t="s">
        <v>1043</v>
      </c>
    </row>
    <row r="56" spans="1:5" ht="18.75" x14ac:dyDescent="0.45">
      <c r="A56" s="232" t="s">
        <v>537</v>
      </c>
      <c r="B56" s="856">
        <f>'Trail Balance'!E107</f>
        <v>357547.18</v>
      </c>
      <c r="C56" s="632">
        <f>'TB 23-24'!E119</f>
        <v>241724.45</v>
      </c>
      <c r="D56" s="634">
        <f>+'TB 22-23'!F122</f>
        <v>196880.25</v>
      </c>
    </row>
    <row r="57" spans="1:5" ht="18" x14ac:dyDescent="0.4">
      <c r="B57" s="857">
        <f>SUM(B53:B56)</f>
        <v>840683.53</v>
      </c>
      <c r="C57" s="633">
        <f>SUM(C53:C56)</f>
        <v>507587.33</v>
      </c>
      <c r="D57" s="633">
        <f t="shared" ref="D57" si="0">SUM(D53:D56)</f>
        <v>279693.44</v>
      </c>
    </row>
    <row r="59" spans="1:5" x14ac:dyDescent="0.3">
      <c r="A59" s="247" t="s">
        <v>188</v>
      </c>
      <c r="B59" s="855"/>
      <c r="C59" s="631"/>
    </row>
    <row r="60" spans="1:5" x14ac:dyDescent="0.3">
      <c r="A60" s="232" t="s">
        <v>598</v>
      </c>
      <c r="D60" s="525">
        <f>-+'TB 22-23'!G120</f>
        <v>-34497</v>
      </c>
    </row>
    <row r="61" spans="1:5" ht="18.75" x14ac:dyDescent="0.45">
      <c r="A61" s="232" t="s">
        <v>432</v>
      </c>
      <c r="B61" s="856">
        <f>'Trail Balance'!E124</f>
        <v>35302.730000000003</v>
      </c>
      <c r="C61" s="525">
        <f>'TB 23-24'!E137</f>
        <v>40732.76</v>
      </c>
      <c r="D61" s="634">
        <f>+'TB 22-23'!F138</f>
        <v>21433.56</v>
      </c>
    </row>
    <row r="62" spans="1:5" ht="18" x14ac:dyDescent="0.4">
      <c r="B62" s="857">
        <f>SUM(B60:B61)</f>
        <v>35302.730000000003</v>
      </c>
      <c r="C62" s="869">
        <f>SUM(C60:C61)</f>
        <v>40732.76</v>
      </c>
      <c r="D62" s="633">
        <f>SUM(D60:D61)</f>
        <v>-13063.439999999999</v>
      </c>
    </row>
    <row r="64" spans="1:5" x14ac:dyDescent="0.3">
      <c r="A64" s="232" t="s">
        <v>571</v>
      </c>
      <c r="D64" s="525">
        <v>0</v>
      </c>
    </row>
    <row r="66" spans="1:4" x14ac:dyDescent="0.3">
      <c r="A66" s="247" t="s">
        <v>187</v>
      </c>
      <c r="B66" s="855"/>
      <c r="C66" s="631"/>
    </row>
    <row r="67" spans="1:4" x14ac:dyDescent="0.3">
      <c r="A67" s="232" t="s">
        <v>577</v>
      </c>
      <c r="B67" s="856">
        <f>'Trail Balance'!E91</f>
        <v>17418.509999999998</v>
      </c>
      <c r="C67" s="525">
        <f>'TB 23-24'!E105</f>
        <v>16222.11</v>
      </c>
      <c r="D67" s="525">
        <f>+'TB 22-23'!F105</f>
        <v>8013.7</v>
      </c>
    </row>
    <row r="68" spans="1:4" ht="18.75" x14ac:dyDescent="0.45">
      <c r="A68" s="232" t="s">
        <v>578</v>
      </c>
      <c r="B68" s="856">
        <v>0</v>
      </c>
      <c r="C68" s="632"/>
      <c r="D68" s="634">
        <f>+'TB 22-23'!F140</f>
        <v>6740</v>
      </c>
    </row>
    <row r="69" spans="1:4" ht="18" x14ac:dyDescent="0.4">
      <c r="B69" s="857">
        <f>SUM(B67:B68)</f>
        <v>17418.509999999998</v>
      </c>
      <c r="C69" s="633">
        <f>SUM(C67:C68)</f>
        <v>16222.11</v>
      </c>
      <c r="D69" s="633">
        <f>SUM(D67:D68)</f>
        <v>14753.7</v>
      </c>
    </row>
    <row r="71" spans="1:4" x14ac:dyDescent="0.3">
      <c r="A71" s="232" t="s">
        <v>547</v>
      </c>
      <c r="B71" s="856">
        <f>'Trail Balance'!E116</f>
        <v>39716</v>
      </c>
      <c r="C71" s="525">
        <f>'TB 23-24'!E128</f>
        <v>8779</v>
      </c>
      <c r="D71" s="525">
        <f>+'TB 22-23'!F131</f>
        <v>940</v>
      </c>
    </row>
    <row r="73" spans="1:4" x14ac:dyDescent="0.3">
      <c r="A73" s="232" t="s">
        <v>575</v>
      </c>
      <c r="B73" s="856">
        <f>'Trail Balance'!E115</f>
        <v>261946.61</v>
      </c>
      <c r="C73" s="525">
        <f>'TB 23-24'!E127</f>
        <v>84955.1</v>
      </c>
      <c r="D73" s="525">
        <f>+'TB 22-23'!F130</f>
        <v>105463.95</v>
      </c>
    </row>
    <row r="75" spans="1:4" x14ac:dyDescent="0.3">
      <c r="A75" s="247" t="s">
        <v>576</v>
      </c>
      <c r="B75" s="855"/>
      <c r="C75" s="631"/>
    </row>
    <row r="76" spans="1:4" x14ac:dyDescent="0.3">
      <c r="A76" s="232" t="s">
        <v>381</v>
      </c>
      <c r="B76" s="856">
        <f>'Trail Balance'!E121</f>
        <v>600</v>
      </c>
      <c r="C76" s="525">
        <f>'TB 23-24'!E133</f>
        <v>1500</v>
      </c>
      <c r="D76" s="525">
        <f>+'TB 22-23'!F135</f>
        <v>1200</v>
      </c>
    </row>
    <row r="77" spans="1:4" x14ac:dyDescent="0.3">
      <c r="A77" s="232" t="s">
        <v>554</v>
      </c>
      <c r="D77" s="525">
        <v>0</v>
      </c>
    </row>
    <row r="78" spans="1:4" ht="18.75" x14ac:dyDescent="0.45">
      <c r="A78" s="232" t="s">
        <v>579</v>
      </c>
      <c r="B78" s="856">
        <f>'Trail Balance'!E90</f>
        <v>5000</v>
      </c>
      <c r="C78" s="632">
        <f>'TB 23-24'!E104</f>
        <v>5000</v>
      </c>
      <c r="D78" s="634">
        <f>+'TB 22-23'!F104</f>
        <v>5000</v>
      </c>
    </row>
    <row r="79" spans="1:4" ht="18" x14ac:dyDescent="0.4">
      <c r="B79" s="857">
        <f>SUM(B76:B78)</f>
        <v>5600</v>
      </c>
      <c r="C79" s="633">
        <f>SUM(C76:C78)</f>
        <v>6500</v>
      </c>
      <c r="D79" s="633">
        <f>SUM(D76:D78)</f>
        <v>6200</v>
      </c>
    </row>
    <row r="81" spans="1:4" x14ac:dyDescent="0.3">
      <c r="A81" s="232" t="s">
        <v>587</v>
      </c>
      <c r="B81" s="856">
        <f>'Trail Balance'!E123++'Trail Balance'!E118</f>
        <v>120000</v>
      </c>
      <c r="C81" s="525">
        <f>20000+100000</f>
        <v>120000</v>
      </c>
      <c r="D81" s="525">
        <v>20000</v>
      </c>
    </row>
    <row r="84" spans="1:4" x14ac:dyDescent="0.3">
      <c r="A84" s="247" t="s">
        <v>136</v>
      </c>
      <c r="B84" s="855"/>
      <c r="C84" s="631"/>
    </row>
    <row r="85" spans="1:4" x14ac:dyDescent="0.3">
      <c r="A85" s="232" t="s">
        <v>176</v>
      </c>
      <c r="B85" s="856">
        <f>'Trail Balance'!E104</f>
        <v>106986</v>
      </c>
      <c r="D85" s="525">
        <f>+'TB 22-23'!F119</f>
        <v>45</v>
      </c>
    </row>
    <row r="86" spans="1:4" x14ac:dyDescent="0.3">
      <c r="A86" s="232" t="s">
        <v>580</v>
      </c>
      <c r="B86" s="856">
        <f>'Trail Balance'!E125</f>
        <v>175438</v>
      </c>
      <c r="C86" s="525">
        <f>'TB 23-24'!E138</f>
        <v>169599</v>
      </c>
      <c r="D86" s="525">
        <f>+'TB 22-23'!F141</f>
        <v>180370</v>
      </c>
    </row>
    <row r="87" spans="1:4" x14ac:dyDescent="0.3">
      <c r="A87" s="835" t="s">
        <v>900</v>
      </c>
      <c r="B87" s="870">
        <f>'Trail Balance'!E94</f>
        <v>5300</v>
      </c>
      <c r="C87" s="525">
        <f>'TB 23-24'!E108</f>
        <v>3350</v>
      </c>
    </row>
    <row r="88" spans="1:4" x14ac:dyDescent="0.3">
      <c r="A88" s="639" t="s">
        <v>903</v>
      </c>
      <c r="B88" s="855"/>
      <c r="C88" s="525">
        <f>'TB 23-24'!C139</f>
        <v>89249.44</v>
      </c>
    </row>
    <row r="89" spans="1:4" x14ac:dyDescent="0.3">
      <c r="A89" s="232" t="s">
        <v>548</v>
      </c>
      <c r="B89" s="855"/>
      <c r="D89" s="525">
        <v>0</v>
      </c>
    </row>
    <row r="90" spans="1:4" x14ac:dyDescent="0.3">
      <c r="A90" s="232" t="s">
        <v>567</v>
      </c>
      <c r="B90" s="856">
        <f>'Trail Balance'!E113</f>
        <v>1134186</v>
      </c>
      <c r="C90" s="525">
        <f>'TB 23-24'!E125</f>
        <v>1864159</v>
      </c>
      <c r="D90" s="525">
        <f>+'TB 22-23'!F128</f>
        <v>39714</v>
      </c>
    </row>
    <row r="91" spans="1:4" ht="18.75" x14ac:dyDescent="0.45">
      <c r="A91" s="232" t="s">
        <v>34</v>
      </c>
      <c r="B91" s="856">
        <f>'Trail Balance'!E103</f>
        <v>325</v>
      </c>
      <c r="C91" s="632">
        <f>'TB 23-24'!E123</f>
        <v>7.0000000000000007E-2</v>
      </c>
      <c r="D91" s="634">
        <f>+'TB 22-23'!F126</f>
        <v>0.93</v>
      </c>
    </row>
    <row r="92" spans="1:4" ht="18" x14ac:dyDescent="0.4">
      <c r="B92" s="857">
        <f>SUM(B85:B91)</f>
        <v>1422235</v>
      </c>
      <c r="C92" s="633">
        <f>SUM(C85:C91)</f>
        <v>2126357.5099999998</v>
      </c>
      <c r="D92" s="633">
        <f>SUM(D85:D91)</f>
        <v>220129.93</v>
      </c>
    </row>
    <row r="94" spans="1:4" x14ac:dyDescent="0.3">
      <c r="A94" s="232" t="s">
        <v>589</v>
      </c>
      <c r="B94" s="856">
        <f>'Trail Balance'!E95</f>
        <v>2428249.73</v>
      </c>
      <c r="C94" s="524"/>
      <c r="D94" s="524"/>
    </row>
    <row r="96" spans="1:4" x14ac:dyDescent="0.3">
      <c r="A96" s="232" t="s">
        <v>423</v>
      </c>
      <c r="B96" s="856">
        <f>'Trail Balance'!E92</f>
        <v>29839.5</v>
      </c>
      <c r="C96" s="525">
        <f>'TB 23-24'!E106</f>
        <v>81468.19</v>
      </c>
      <c r="D96" s="525">
        <f>+'TB 22-23'!F108</f>
        <v>63958.87</v>
      </c>
    </row>
    <row r="98" spans="1:4" x14ac:dyDescent="0.3">
      <c r="A98" s="247" t="s">
        <v>609</v>
      </c>
      <c r="B98" s="855"/>
      <c r="C98" s="631"/>
    </row>
    <row r="99" spans="1:4" x14ac:dyDescent="0.3">
      <c r="A99" s="232" t="s">
        <v>612</v>
      </c>
      <c r="B99" s="856">
        <f>'Trail Balance'!H66+'Trail Balance'!H67</f>
        <v>478801</v>
      </c>
      <c r="D99" s="525">
        <f>217281+2320</f>
        <v>219601</v>
      </c>
    </row>
    <row r="100" spans="1:4" x14ac:dyDescent="0.3">
      <c r="A100" s="232" t="s">
        <v>613</v>
      </c>
      <c r="B100" s="856">
        <f>'Trail Balance'!H69</f>
        <v>5625</v>
      </c>
      <c r="D100" s="525">
        <v>5625</v>
      </c>
    </row>
    <row r="101" spans="1:4" ht="18.75" x14ac:dyDescent="0.45">
      <c r="A101" s="232" t="s">
        <v>614</v>
      </c>
      <c r="B101" s="856">
        <f>'Trail Balance'!H70+'Trail Balance'!H68</f>
        <v>3536</v>
      </c>
      <c r="D101" s="634">
        <v>3521</v>
      </c>
    </row>
    <row r="102" spans="1:4" ht="18" x14ac:dyDescent="0.4">
      <c r="B102" s="857">
        <f>SUM(B99:B101)</f>
        <v>487962</v>
      </c>
      <c r="C102" s="437">
        <f>SUM(C99:C101)</f>
        <v>0</v>
      </c>
      <c r="D102" s="633">
        <f>SUM(D99:D101)</f>
        <v>228747</v>
      </c>
    </row>
    <row r="104" spans="1:4" x14ac:dyDescent="0.3">
      <c r="A104" s="247" t="s">
        <v>615</v>
      </c>
      <c r="B104" s="855"/>
      <c r="C104" s="631"/>
    </row>
    <row r="105" spans="1:4" x14ac:dyDescent="0.3">
      <c r="A105" s="232" t="s">
        <v>616</v>
      </c>
      <c r="B105" s="856">
        <f>-'Trail Balance'!E80</f>
        <v>1105182</v>
      </c>
      <c r="C105" s="525">
        <f>-+'TB 23-24'!E94</f>
        <v>1105182</v>
      </c>
      <c r="D105" s="525">
        <f>+'TB 22-23'!G88</f>
        <v>1089108</v>
      </c>
    </row>
    <row r="106" spans="1:4" x14ac:dyDescent="0.3">
      <c r="A106" s="232" t="s">
        <v>617</v>
      </c>
      <c r="B106" s="856">
        <f>-'Trail Balance'!E72</f>
        <v>28388</v>
      </c>
      <c r="C106" s="525">
        <f>-'TB 23-24'!E86</f>
        <v>128700.61</v>
      </c>
      <c r="D106" s="525">
        <f>+'TB 22-23'!G82</f>
        <v>1476580.61</v>
      </c>
    </row>
    <row r="107" spans="1:4" x14ac:dyDescent="0.3">
      <c r="A107" s="232" t="s">
        <v>519</v>
      </c>
      <c r="B107" s="856">
        <f>-'Trail Balance'!E76</f>
        <v>100000</v>
      </c>
      <c r="C107" s="525">
        <f>-'TB 23-24'!E90</f>
        <v>100000</v>
      </c>
      <c r="D107" s="576">
        <f>+'TB 22-23'!G81</f>
        <v>100000</v>
      </c>
    </row>
    <row r="108" spans="1:4" ht="18.75" x14ac:dyDescent="0.45">
      <c r="A108" s="232" t="s">
        <v>618</v>
      </c>
      <c r="B108" s="856">
        <f>-'Trail Balance'!E77</f>
        <v>20000</v>
      </c>
      <c r="C108" s="525">
        <f>-'TB 23-24'!E91</f>
        <v>20000</v>
      </c>
      <c r="D108" s="634">
        <f>+'TB 22-23'!G80</f>
        <v>20000</v>
      </c>
    </row>
    <row r="109" spans="1:4" ht="18" x14ac:dyDescent="0.4">
      <c r="B109" s="857">
        <f>SUM(B105:B108)</f>
        <v>1253570</v>
      </c>
      <c r="C109" s="633">
        <f>SUM(C105:C108)</f>
        <v>1353882.61</v>
      </c>
      <c r="D109" s="633">
        <f>SUM(D105:D108)</f>
        <v>2685688.6100000003</v>
      </c>
    </row>
    <row r="110" spans="1:4" ht="18" x14ac:dyDescent="0.4">
      <c r="B110" s="836"/>
      <c r="C110" s="633"/>
      <c r="D110" s="633"/>
    </row>
    <row r="111" spans="1:4" ht="18" x14ac:dyDescent="0.4">
      <c r="A111" s="232" t="s">
        <v>1052</v>
      </c>
      <c r="B111" s="856">
        <f>-'Trail Balance'!E75</f>
        <v>17189228</v>
      </c>
      <c r="C111" s="633"/>
      <c r="D111" s="633"/>
    </row>
    <row r="113" spans="1:4" x14ac:dyDescent="0.3">
      <c r="A113" s="247" t="s">
        <v>116</v>
      </c>
      <c r="B113" s="855"/>
      <c r="C113" s="631"/>
    </row>
    <row r="114" spans="1:4" x14ac:dyDescent="0.3">
      <c r="A114" s="232" t="s">
        <v>1049</v>
      </c>
      <c r="B114" s="856">
        <f>-'Trail Balance'!E68</f>
        <v>45241.61</v>
      </c>
      <c r="C114" s="631"/>
    </row>
    <row r="115" spans="1:4" x14ac:dyDescent="0.3">
      <c r="A115" s="232" t="s">
        <v>1050</v>
      </c>
      <c r="B115" s="856">
        <v>0</v>
      </c>
      <c r="C115" s="631"/>
    </row>
    <row r="116" spans="1:4" x14ac:dyDescent="0.3">
      <c r="A116" s="232" t="s">
        <v>1051</v>
      </c>
      <c r="B116" s="856">
        <f>-'Trail Balance'!E69</f>
        <v>45241.61</v>
      </c>
      <c r="C116" s="631"/>
    </row>
    <row r="117" spans="1:4" x14ac:dyDescent="0.3">
      <c r="A117" s="232" t="s">
        <v>338</v>
      </c>
      <c r="B117" s="856">
        <f>-'Trail Balance'!E73</f>
        <v>30600</v>
      </c>
      <c r="C117" s="525">
        <f>-'TB 23-24'!E87</f>
        <v>19000</v>
      </c>
      <c r="D117" s="525">
        <f>+'TB 22-23'!G83</f>
        <v>16600</v>
      </c>
    </row>
    <row r="118" spans="1:4" x14ac:dyDescent="0.3">
      <c r="A118" s="232" t="s">
        <v>339</v>
      </c>
      <c r="B118" s="856">
        <f>-'Trail Balance'!E74</f>
        <v>3495644</v>
      </c>
      <c r="C118" s="525">
        <f>-'TB 23-24'!E88</f>
        <v>2329781</v>
      </c>
      <c r="D118" s="525">
        <f>+'TB 22-23'!G84</f>
        <v>1551989</v>
      </c>
    </row>
    <row r="119" spans="1:4" ht="18.75" x14ac:dyDescent="0.45">
      <c r="A119" s="232" t="s">
        <v>342</v>
      </c>
      <c r="B119" s="856">
        <f>-'Trail Balance'!E79</f>
        <v>10416754.02</v>
      </c>
      <c r="C119" s="632">
        <f>-'TB 23-24'!E93</f>
        <v>3669498.25</v>
      </c>
      <c r="D119" s="634">
        <f>+'TB 22-23'!G87</f>
        <v>2499254.23</v>
      </c>
    </row>
    <row r="120" spans="1:4" ht="18" x14ac:dyDescent="0.4">
      <c r="B120" s="857">
        <f>SUM(B114:B119)</f>
        <v>14033481.24</v>
      </c>
      <c r="C120" s="437">
        <f>SUM(C117:C119)</f>
        <v>6018279.25</v>
      </c>
      <c r="D120" s="633">
        <f>SUM(D117:D119)</f>
        <v>4067843.23</v>
      </c>
    </row>
    <row r="121" spans="1:4" ht="18" x14ac:dyDescent="0.4">
      <c r="D121" s="633"/>
    </row>
    <row r="122" spans="1:4" ht="18" x14ac:dyDescent="0.4">
      <c r="A122" s="247" t="s">
        <v>12</v>
      </c>
      <c r="B122" s="855"/>
      <c r="C122" s="631"/>
      <c r="D122" s="633"/>
    </row>
    <row r="123" spans="1:4" ht="18" x14ac:dyDescent="0.4">
      <c r="A123" s="450" t="s">
        <v>653</v>
      </c>
      <c r="B123" s="879">
        <f>-'Trail Balance'!E78</f>
        <v>15617119.02</v>
      </c>
      <c r="C123" s="632">
        <f>-'TB 23-24'!E92</f>
        <v>9421273.737304002</v>
      </c>
      <c r="D123" s="633">
        <f>'TB 22-23'!F147</f>
        <v>9091652.4800000004</v>
      </c>
    </row>
    <row r="125" spans="1:4" x14ac:dyDescent="0.3">
      <c r="A125" s="247" t="s">
        <v>192</v>
      </c>
      <c r="B125" s="855"/>
      <c r="C125" s="631"/>
    </row>
    <row r="126" spans="1:4" x14ac:dyDescent="0.3">
      <c r="A126" s="232" t="s">
        <v>620</v>
      </c>
      <c r="B126" s="856">
        <v>0</v>
      </c>
      <c r="D126" s="525">
        <f>+'TB 22-23'!F74</f>
        <v>675000</v>
      </c>
    </row>
    <row r="127" spans="1:4" x14ac:dyDescent="0.3">
      <c r="A127" s="232" t="s">
        <v>621</v>
      </c>
      <c r="B127" s="856">
        <f>'Trail Balance'!E62</f>
        <v>376200</v>
      </c>
      <c r="C127" s="525">
        <f>'TB 23-24'!E80</f>
        <v>376200</v>
      </c>
      <c r="D127" s="525">
        <f>+'TB 22-23'!F71</f>
        <v>376200</v>
      </c>
    </row>
    <row r="128" spans="1:4" x14ac:dyDescent="0.3">
      <c r="A128" s="232" t="s">
        <v>898</v>
      </c>
      <c r="B128" s="856">
        <f>'Trail Balance'!E61</f>
        <v>75000</v>
      </c>
      <c r="C128" s="525">
        <f>'TB 23-24'!E79</f>
        <v>75000</v>
      </c>
    </row>
    <row r="129" spans="1:5" x14ac:dyDescent="0.3">
      <c r="A129" s="232" t="s">
        <v>622</v>
      </c>
      <c r="B129" s="856">
        <v>0</v>
      </c>
      <c r="D129" s="525">
        <v>0</v>
      </c>
    </row>
    <row r="130" spans="1:5" x14ac:dyDescent="0.3">
      <c r="A130" s="232" t="s">
        <v>897</v>
      </c>
      <c r="B130" s="856">
        <f>'Trail Balance'!E64</f>
        <v>675000</v>
      </c>
      <c r="C130" s="525">
        <f>'TB 23-24'!E83</f>
        <v>675000</v>
      </c>
      <c r="E130" s="232" t="s">
        <v>1046</v>
      </c>
    </row>
    <row r="131" spans="1:5" x14ac:dyDescent="0.3">
      <c r="A131" s="232" t="s">
        <v>331</v>
      </c>
      <c r="B131" s="856">
        <v>0</v>
      </c>
      <c r="C131" s="525">
        <f>'TB 23-24'!E81</f>
        <v>0</v>
      </c>
      <c r="D131" s="525">
        <f>+'TB 22-23'!F72</f>
        <v>78000</v>
      </c>
    </row>
    <row r="132" spans="1:5" ht="18.75" x14ac:dyDescent="0.45">
      <c r="A132" s="232" t="s">
        <v>332</v>
      </c>
      <c r="B132" s="856">
        <f>'Trail Balance'!E63</f>
        <v>29400</v>
      </c>
      <c r="C132" s="632">
        <f>'TB 23-24'!E82</f>
        <v>29400</v>
      </c>
      <c r="D132" s="634">
        <f>+'TB 22-23'!F73</f>
        <v>84000</v>
      </c>
      <c r="E132" s="232" t="s">
        <v>1046</v>
      </c>
    </row>
    <row r="133" spans="1:5" ht="18" x14ac:dyDescent="0.4">
      <c r="B133" s="857">
        <f>SUM(B126:B132)</f>
        <v>1155600</v>
      </c>
      <c r="C133" s="437">
        <f>SUM(C126:C132)</f>
        <v>1155600</v>
      </c>
      <c r="D133" s="633">
        <f>SUM(D126:D132)</f>
        <v>1213200</v>
      </c>
    </row>
    <row r="135" spans="1:5" x14ac:dyDescent="0.3">
      <c r="A135" s="247" t="s">
        <v>1044</v>
      </c>
      <c r="B135" s="855"/>
      <c r="C135" s="631"/>
    </row>
    <row r="136" spans="1:5" x14ac:dyDescent="0.3">
      <c r="A136" s="232" t="s">
        <v>1045</v>
      </c>
      <c r="B136" s="856">
        <f>'Trail Balance'!E51</f>
        <v>31886</v>
      </c>
      <c r="C136" s="630">
        <v>0</v>
      </c>
      <c r="D136" s="525">
        <v>0</v>
      </c>
    </row>
    <row r="137" spans="1:5" x14ac:dyDescent="0.3">
      <c r="A137" s="232" t="s">
        <v>274</v>
      </c>
      <c r="B137" s="856">
        <f>'Trail Balance'!E20</f>
        <v>23006655.219999999</v>
      </c>
      <c r="C137" s="525">
        <f>'TB 23-24'!E19</f>
        <v>14091759.130000001</v>
      </c>
      <c r="D137" s="525">
        <f>+'TB 22-23'!F15</f>
        <v>8789995.1799999997</v>
      </c>
    </row>
    <row r="138" spans="1:5" x14ac:dyDescent="0.3">
      <c r="A138" s="232" t="s">
        <v>291</v>
      </c>
      <c r="B138" s="856">
        <v>0</v>
      </c>
      <c r="C138" s="525">
        <f>'TB 23-24'!E38</f>
        <v>0</v>
      </c>
      <c r="D138" s="525">
        <f>+'TB 22-23'!F32</f>
        <v>1457611.78</v>
      </c>
    </row>
    <row r="139" spans="1:5" ht="18.75" x14ac:dyDescent="0.45">
      <c r="A139" s="232" t="s">
        <v>292</v>
      </c>
      <c r="B139" s="856">
        <v>0</v>
      </c>
      <c r="C139" s="525">
        <f>'TB 23-24'!E39</f>
        <v>0</v>
      </c>
      <c r="D139" s="634">
        <f>+'TB 22-23'!F33</f>
        <v>662127.46</v>
      </c>
    </row>
    <row r="140" spans="1:5" ht="18" x14ac:dyDescent="0.4">
      <c r="B140" s="857">
        <f>SUM(B136:B139)</f>
        <v>23038541.219999999</v>
      </c>
      <c r="C140" s="437">
        <f>SUM(C137:C139)</f>
        <v>14091759.130000001</v>
      </c>
      <c r="D140" s="633">
        <f>SUM(D137:D139)</f>
        <v>10909734.419999998</v>
      </c>
    </row>
    <row r="142" spans="1:5" x14ac:dyDescent="0.3">
      <c r="A142" s="247" t="s">
        <v>625</v>
      </c>
      <c r="B142" s="855"/>
      <c r="C142" s="631"/>
    </row>
    <row r="143" spans="1:5" x14ac:dyDescent="0.3">
      <c r="A143" s="232" t="s">
        <v>610</v>
      </c>
      <c r="D143" s="525">
        <v>0</v>
      </c>
    </row>
    <row r="144" spans="1:5" x14ac:dyDescent="0.3">
      <c r="A144" s="232" t="s">
        <v>627</v>
      </c>
      <c r="D144" s="525">
        <v>0</v>
      </c>
    </row>
    <row r="145" spans="1:4" ht="18.75" x14ac:dyDescent="0.45">
      <c r="A145" s="232" t="s">
        <v>611</v>
      </c>
      <c r="D145" s="634">
        <v>0</v>
      </c>
    </row>
    <row r="146" spans="1:4" ht="18" x14ac:dyDescent="0.4">
      <c r="D146" s="633">
        <f>SUM(D143:D145)</f>
        <v>0</v>
      </c>
    </row>
    <row r="148" spans="1:4" x14ac:dyDescent="0.3">
      <c r="A148" s="247" t="s">
        <v>129</v>
      </c>
      <c r="B148" s="855"/>
      <c r="C148" s="631"/>
    </row>
    <row r="149" spans="1:4" x14ac:dyDescent="0.3">
      <c r="A149" s="232" t="s">
        <v>407</v>
      </c>
      <c r="B149" s="856">
        <f>'Trail Balance'!E32</f>
        <v>2187751.77</v>
      </c>
      <c r="C149" s="525">
        <f>'TB 23-24'!E32</f>
        <v>2232078.7599999998</v>
      </c>
      <c r="D149" s="525">
        <f>+'TB 22-23'!F28</f>
        <v>2638601.21</v>
      </c>
    </row>
    <row r="150" spans="1:4" x14ac:dyDescent="0.3">
      <c r="A150" s="232" t="s">
        <v>409</v>
      </c>
      <c r="B150" s="856">
        <f>'Trail Balance'!E33</f>
        <v>1960378.57</v>
      </c>
      <c r="C150" s="525">
        <f>'TB 23-24'!E33</f>
        <v>1628567.55</v>
      </c>
      <c r="D150" s="525">
        <f>+'TB 22-23'!F29</f>
        <v>790911.78</v>
      </c>
    </row>
    <row r="151" spans="1:4" x14ac:dyDescent="0.3">
      <c r="A151" s="232" t="s">
        <v>411</v>
      </c>
      <c r="B151" s="856">
        <f>'Trail Balance'!E34</f>
        <v>2117478.67</v>
      </c>
      <c r="C151" s="525">
        <f>'TB 23-24'!E34</f>
        <v>2161805.7199999997</v>
      </c>
      <c r="D151" s="525">
        <f>+'TB 22-23'!F30</f>
        <v>2568328.21</v>
      </c>
    </row>
    <row r="152" spans="1:4" x14ac:dyDescent="0.3">
      <c r="A152" s="232" t="s">
        <v>626</v>
      </c>
      <c r="D152" s="576"/>
    </row>
    <row r="153" spans="1:4" x14ac:dyDescent="0.3">
      <c r="A153" s="232" t="s">
        <v>652</v>
      </c>
      <c r="B153" s="859"/>
      <c r="C153" s="632"/>
      <c r="D153" s="576"/>
    </row>
    <row r="154" spans="1:4" ht="18" x14ac:dyDescent="0.4">
      <c r="B154" s="857">
        <f>SUM(B149:B153)</f>
        <v>6265609.0099999998</v>
      </c>
      <c r="C154" s="446">
        <f>SUM(C149:C153)</f>
        <v>6022452.0299999993</v>
      </c>
      <c r="D154" s="663">
        <f>SUM(D149:D153)</f>
        <v>5997841.2000000002</v>
      </c>
    </row>
    <row r="156" spans="1:4" x14ac:dyDescent="0.3">
      <c r="A156" s="450" t="s">
        <v>652</v>
      </c>
      <c r="B156" s="859">
        <f>'Trail Balance'!E102</f>
        <v>15626612.18</v>
      </c>
      <c r="C156" s="576"/>
      <c r="D156" s="576">
        <f>'TB 22-23'!E146</f>
        <v>9487093</v>
      </c>
    </row>
  </sheetData>
  <mergeCells count="3">
    <mergeCell ref="D4:D5"/>
    <mergeCell ref="C4:C5"/>
    <mergeCell ref="B4:B5"/>
  </mergeCells>
  <pageMargins left="0.7" right="0.7" top="0.75" bottom="0.75" header="0.3" footer="0.3"/>
  <pageSetup paperSize="9" scale="71" orientation="portrait" r:id="rId1"/>
  <rowBreaks count="2" manualBreakCount="2">
    <brk id="58" max="3" man="1"/>
    <brk id="121"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4E681-5864-40B6-A26B-2AED41677D38}">
  <dimension ref="A1:K146"/>
  <sheetViews>
    <sheetView topLeftCell="A67" zoomScaleNormal="100" zoomScaleSheetLayoutView="54" workbookViewId="0">
      <selection activeCell="E85" sqref="E85"/>
    </sheetView>
  </sheetViews>
  <sheetFormatPr defaultRowHeight="15" x14ac:dyDescent="0.25"/>
  <cols>
    <col min="1" max="1" width="47.7109375" customWidth="1"/>
    <col min="2" max="2" width="15.7109375" customWidth="1"/>
    <col min="3" max="3" width="16.85546875" style="224" bestFit="1" customWidth="1"/>
    <col min="4" max="4" width="18.42578125" bestFit="1" customWidth="1"/>
    <col min="5" max="5" width="16.28515625" customWidth="1"/>
    <col min="7" max="7" width="19.140625" customWidth="1"/>
    <col min="8" max="8" width="12" bestFit="1" customWidth="1"/>
    <col min="9" max="9" width="28.5703125" bestFit="1" customWidth="1"/>
    <col min="10" max="10" width="24.28515625" style="224" bestFit="1" customWidth="1"/>
    <col min="11" max="11" width="23.5703125" style="224" customWidth="1"/>
  </cols>
  <sheetData>
    <row r="1" spans="1:11" ht="69.95" customHeight="1" x14ac:dyDescent="0.25">
      <c r="A1" s="915" t="s">
        <v>763</v>
      </c>
      <c r="B1" s="916"/>
      <c r="C1" s="916"/>
      <c r="D1" s="916"/>
      <c r="E1" s="916"/>
    </row>
    <row r="2" spans="1:11" x14ac:dyDescent="0.25">
      <c r="A2" s="621" t="s">
        <v>764</v>
      </c>
      <c r="B2" s="622" t="s">
        <v>765</v>
      </c>
      <c r="C2" s="651" t="s">
        <v>766</v>
      </c>
      <c r="D2" s="622" t="s">
        <v>767</v>
      </c>
      <c r="E2" s="625" t="s">
        <v>768</v>
      </c>
      <c r="H2" s="649" t="s">
        <v>905</v>
      </c>
      <c r="I2" s="649" t="s">
        <v>0</v>
      </c>
      <c r="J2" s="650" t="s">
        <v>904</v>
      </c>
      <c r="K2" s="650" t="s">
        <v>906</v>
      </c>
    </row>
    <row r="3" spans="1:11" x14ac:dyDescent="0.25">
      <c r="H3" s="642"/>
      <c r="I3" s="642"/>
      <c r="J3" s="643"/>
      <c r="K3" s="643"/>
    </row>
    <row r="4" spans="1:11" x14ac:dyDescent="0.25">
      <c r="A4" s="623" t="s">
        <v>14</v>
      </c>
      <c r="B4" t="s">
        <v>172</v>
      </c>
      <c r="C4" s="224" t="s">
        <v>172</v>
      </c>
      <c r="D4" t="s">
        <v>172</v>
      </c>
      <c r="E4" t="s">
        <v>172</v>
      </c>
      <c r="H4" s="644">
        <v>1</v>
      </c>
      <c r="I4" s="602" t="s">
        <v>907</v>
      </c>
      <c r="J4" s="645">
        <v>94883608.219999999</v>
      </c>
      <c r="K4" s="645">
        <v>-102885599.66</v>
      </c>
    </row>
    <row r="5" spans="1:11" x14ac:dyDescent="0.25">
      <c r="A5" s="623" t="s">
        <v>753</v>
      </c>
      <c r="B5" s="625">
        <v>9487093</v>
      </c>
      <c r="C5" s="652">
        <f>60465.16+9059</f>
        <v>69524.160000000003</v>
      </c>
      <c r="D5" s="625">
        <v>0</v>
      </c>
      <c r="E5" s="703">
        <f>+B5+C5</f>
        <v>9556617.1600000001</v>
      </c>
      <c r="H5" s="644"/>
      <c r="I5" s="602"/>
      <c r="J5" s="645"/>
      <c r="K5" s="645"/>
    </row>
    <row r="6" spans="1:11" x14ac:dyDescent="0.25">
      <c r="A6" s="623" t="s">
        <v>769</v>
      </c>
      <c r="B6" s="625">
        <v>1750</v>
      </c>
      <c r="C6" s="652">
        <v>0</v>
      </c>
      <c r="D6" s="625">
        <v>0</v>
      </c>
      <c r="E6" s="625">
        <v>1750</v>
      </c>
      <c r="H6" s="646">
        <v>2</v>
      </c>
      <c r="I6" s="602" t="s">
        <v>908</v>
      </c>
      <c r="J6" s="645">
        <v>31588863</v>
      </c>
      <c r="K6" s="645">
        <f>-+D96</f>
        <v>-28495512.642695997</v>
      </c>
    </row>
    <row r="7" spans="1:11" x14ac:dyDescent="0.25">
      <c r="A7" s="623" t="s">
        <v>770</v>
      </c>
      <c r="B7" s="625">
        <v>3229</v>
      </c>
      <c r="C7" s="652">
        <v>0</v>
      </c>
      <c r="D7" s="625">
        <v>1184</v>
      </c>
      <c r="E7" s="625">
        <v>2045</v>
      </c>
      <c r="H7" s="644"/>
      <c r="I7" s="602"/>
      <c r="J7" s="645"/>
      <c r="K7" s="645"/>
    </row>
    <row r="8" spans="1:11" x14ac:dyDescent="0.25">
      <c r="A8" s="623" t="s">
        <v>771</v>
      </c>
      <c r="B8" s="625">
        <v>15934</v>
      </c>
      <c r="C8" s="652">
        <v>0</v>
      </c>
      <c r="D8" s="625">
        <v>9734</v>
      </c>
      <c r="E8" s="625">
        <v>6200</v>
      </c>
      <c r="H8" s="646">
        <v>3</v>
      </c>
      <c r="I8" s="602" t="s">
        <v>909</v>
      </c>
      <c r="J8" s="645">
        <v>-126472471.22</v>
      </c>
      <c r="K8" s="645">
        <f>+C96</f>
        <v>126472471.22</v>
      </c>
    </row>
    <row r="9" spans="1:11" x14ac:dyDescent="0.25">
      <c r="A9" s="623" t="s">
        <v>772</v>
      </c>
      <c r="B9" s="625">
        <v>17044</v>
      </c>
      <c r="C9" s="652">
        <v>0</v>
      </c>
      <c r="D9" s="625">
        <v>10809</v>
      </c>
      <c r="E9" s="625">
        <v>6235</v>
      </c>
      <c r="H9" s="644"/>
      <c r="I9" s="602"/>
      <c r="J9" s="645"/>
      <c r="K9" s="645"/>
    </row>
    <row r="10" spans="1:11" x14ac:dyDescent="0.25">
      <c r="A10" s="623" t="s">
        <v>773</v>
      </c>
      <c r="B10" s="625">
        <v>3408</v>
      </c>
      <c r="C10" s="652">
        <v>0</v>
      </c>
      <c r="D10" s="625">
        <v>0</v>
      </c>
      <c r="E10" s="625">
        <v>3408</v>
      </c>
      <c r="H10" s="646">
        <v>4</v>
      </c>
      <c r="I10" s="647" t="s">
        <v>910</v>
      </c>
      <c r="J10" s="648">
        <f>+J4+J6+J8</f>
        <v>0</v>
      </c>
      <c r="K10" s="648">
        <f>+K4+K6+K8</f>
        <v>-4908641.0826959908</v>
      </c>
    </row>
    <row r="11" spans="1:11" x14ac:dyDescent="0.25">
      <c r="A11" s="623" t="s">
        <v>754</v>
      </c>
      <c r="B11" s="625">
        <v>0</v>
      </c>
      <c r="C11" s="652">
        <v>113025</v>
      </c>
      <c r="D11" s="625">
        <v>0</v>
      </c>
      <c r="E11" s="625">
        <v>113025</v>
      </c>
    </row>
    <row r="12" spans="1:11" x14ac:dyDescent="0.25">
      <c r="A12" s="623" t="s">
        <v>755</v>
      </c>
      <c r="B12" s="625">
        <v>0</v>
      </c>
      <c r="C12" s="652">
        <v>177070.38</v>
      </c>
      <c r="D12" s="625">
        <v>0</v>
      </c>
      <c r="E12" s="625">
        <v>177070.38</v>
      </c>
    </row>
    <row r="13" spans="1:11" x14ac:dyDescent="0.25">
      <c r="A13" s="623" t="s">
        <v>774</v>
      </c>
      <c r="B13" s="625">
        <v>1</v>
      </c>
      <c r="C13" s="652">
        <v>0</v>
      </c>
      <c r="D13" s="625">
        <v>0</v>
      </c>
      <c r="E13" s="625">
        <v>1</v>
      </c>
    </row>
    <row r="14" spans="1:11" x14ac:dyDescent="0.25">
      <c r="A14" s="623" t="s">
        <v>775</v>
      </c>
      <c r="B14" s="625">
        <v>828</v>
      </c>
      <c r="C14" s="652">
        <v>0</v>
      </c>
      <c r="D14" s="625">
        <v>0</v>
      </c>
      <c r="E14" s="625">
        <v>828</v>
      </c>
    </row>
    <row r="15" spans="1:11" x14ac:dyDescent="0.25">
      <c r="A15" s="623" t="s">
        <v>776</v>
      </c>
      <c r="B15" s="625">
        <v>1</v>
      </c>
      <c r="C15" s="652">
        <v>0</v>
      </c>
      <c r="D15" s="625">
        <v>0</v>
      </c>
      <c r="E15" s="625">
        <v>1</v>
      </c>
    </row>
    <row r="16" spans="1:11" x14ac:dyDescent="0.25">
      <c r="A16" s="623" t="s">
        <v>777</v>
      </c>
      <c r="B16" s="625">
        <v>1</v>
      </c>
      <c r="C16" s="652">
        <v>0</v>
      </c>
      <c r="D16" s="625">
        <v>0</v>
      </c>
      <c r="E16" s="625">
        <v>1</v>
      </c>
    </row>
    <row r="17" spans="1:5" x14ac:dyDescent="0.25">
      <c r="A17" s="623" t="s">
        <v>778</v>
      </c>
      <c r="B17" s="625">
        <v>216685.04</v>
      </c>
      <c r="C17" s="652">
        <v>0</v>
      </c>
      <c r="D17" s="625">
        <v>95256.84</v>
      </c>
      <c r="E17" s="625">
        <v>121428.2</v>
      </c>
    </row>
    <row r="18" spans="1:5" x14ac:dyDescent="0.25">
      <c r="A18" s="623" t="s">
        <v>779</v>
      </c>
      <c r="B18" s="625">
        <v>0</v>
      </c>
      <c r="C18" s="652">
        <v>36013.339999999997</v>
      </c>
      <c r="D18" s="625">
        <v>0</v>
      </c>
      <c r="E18" s="625">
        <v>36013.339999999997</v>
      </c>
    </row>
    <row r="19" spans="1:5" x14ac:dyDescent="0.25">
      <c r="A19" s="623" t="s">
        <v>780</v>
      </c>
      <c r="B19" s="625">
        <v>8789995.1799999997</v>
      </c>
      <c r="C19" s="652">
        <v>5301763.95</v>
      </c>
      <c r="D19" s="625">
        <v>0</v>
      </c>
      <c r="E19" s="625">
        <v>14091759.130000001</v>
      </c>
    </row>
    <row r="20" spans="1:5" x14ac:dyDescent="0.25">
      <c r="A20" s="623" t="s">
        <v>781</v>
      </c>
      <c r="B20" s="625">
        <v>94883608.219999999</v>
      </c>
      <c r="C20" s="652">
        <v>31588863</v>
      </c>
      <c r="D20" s="625">
        <f>94883608.22+C20</f>
        <v>126472471.22</v>
      </c>
      <c r="E20" s="664">
        <v>0</v>
      </c>
    </row>
    <row r="21" spans="1:5" x14ac:dyDescent="0.25">
      <c r="A21" s="623" t="s">
        <v>782</v>
      </c>
      <c r="B21" s="625">
        <v>473286</v>
      </c>
      <c r="C21" s="652">
        <v>0</v>
      </c>
      <c r="D21" s="625">
        <v>159481</v>
      </c>
      <c r="E21" s="625">
        <v>313805</v>
      </c>
    </row>
    <row r="22" spans="1:5" x14ac:dyDescent="0.25">
      <c r="A22" s="623" t="s">
        <v>783</v>
      </c>
      <c r="B22" s="625">
        <v>85889.600000000006</v>
      </c>
      <c r="C22" s="652">
        <v>0</v>
      </c>
      <c r="D22" s="625">
        <v>47952</v>
      </c>
      <c r="E22" s="625">
        <v>37937.599999999999</v>
      </c>
    </row>
    <row r="23" spans="1:5" x14ac:dyDescent="0.25">
      <c r="A23" s="623" t="s">
        <v>784</v>
      </c>
      <c r="B23" s="625">
        <v>150950.42000000001</v>
      </c>
      <c r="C23" s="652">
        <v>0</v>
      </c>
      <c r="D23" s="625">
        <v>94043</v>
      </c>
      <c r="E23" s="625">
        <v>56907.42</v>
      </c>
    </row>
    <row r="24" spans="1:5" x14ac:dyDescent="0.25">
      <c r="A24" s="623" t="s">
        <v>785</v>
      </c>
      <c r="B24" s="625">
        <v>341019</v>
      </c>
      <c r="C24" s="652">
        <v>0</v>
      </c>
      <c r="D24" s="625">
        <v>221695</v>
      </c>
      <c r="E24" s="625">
        <v>119324</v>
      </c>
    </row>
    <row r="25" spans="1:5" x14ac:dyDescent="0.25">
      <c r="A25" s="623" t="s">
        <v>786</v>
      </c>
      <c r="B25" s="625">
        <v>1</v>
      </c>
      <c r="C25" s="652">
        <v>0</v>
      </c>
      <c r="D25" s="625">
        <v>760</v>
      </c>
      <c r="E25" s="625">
        <v>-759</v>
      </c>
    </row>
    <row r="26" spans="1:5" x14ac:dyDescent="0.25">
      <c r="A26" s="623" t="s">
        <v>787</v>
      </c>
      <c r="B26" s="625">
        <v>9620</v>
      </c>
      <c r="C26" s="652">
        <v>0</v>
      </c>
      <c r="D26" s="625">
        <v>0</v>
      </c>
      <c r="E26" s="625">
        <v>9620</v>
      </c>
    </row>
    <row r="27" spans="1:5" x14ac:dyDescent="0.25">
      <c r="A27" s="623" t="s">
        <v>788</v>
      </c>
      <c r="B27" s="625">
        <v>1</v>
      </c>
      <c r="C27" s="652">
        <v>0</v>
      </c>
      <c r="D27" s="625">
        <v>0</v>
      </c>
      <c r="E27" s="625">
        <v>1</v>
      </c>
    </row>
    <row r="28" spans="1:5" x14ac:dyDescent="0.25">
      <c r="A28" s="623" t="s">
        <v>789</v>
      </c>
      <c r="B28" s="625">
        <v>3457</v>
      </c>
      <c r="C28" s="652">
        <v>0</v>
      </c>
      <c r="D28" s="625">
        <v>895</v>
      </c>
      <c r="E28" s="625">
        <v>2562</v>
      </c>
    </row>
    <row r="29" spans="1:5" x14ac:dyDescent="0.25">
      <c r="A29" s="623" t="s">
        <v>790</v>
      </c>
      <c r="B29" s="625">
        <v>6512</v>
      </c>
      <c r="C29" s="652">
        <v>0</v>
      </c>
      <c r="D29" s="625">
        <v>1686</v>
      </c>
      <c r="E29" s="625">
        <v>4826</v>
      </c>
    </row>
    <row r="30" spans="1:5" x14ac:dyDescent="0.25">
      <c r="A30" s="623" t="s">
        <v>791</v>
      </c>
      <c r="B30" s="625">
        <v>710</v>
      </c>
      <c r="C30" s="652">
        <v>0</v>
      </c>
      <c r="D30" s="625">
        <v>0</v>
      </c>
      <c r="E30" s="625">
        <v>710</v>
      </c>
    </row>
    <row r="31" spans="1:5" x14ac:dyDescent="0.25">
      <c r="A31" s="623" t="s">
        <v>792</v>
      </c>
      <c r="B31" s="625">
        <v>0</v>
      </c>
      <c r="C31" s="652">
        <v>0</v>
      </c>
      <c r="D31" s="625">
        <v>0</v>
      </c>
      <c r="E31" s="625">
        <v>0</v>
      </c>
    </row>
    <row r="32" spans="1:5" x14ac:dyDescent="0.25">
      <c r="A32" s="623" t="s">
        <v>793</v>
      </c>
      <c r="B32" s="625">
        <v>2638601.21</v>
      </c>
      <c r="C32" s="652">
        <v>0</v>
      </c>
      <c r="D32" s="625">
        <f>133861.73+227480+45180.72</f>
        <v>406522.44999999995</v>
      </c>
      <c r="E32" s="625">
        <f>B32-D32</f>
        <v>2232078.7599999998</v>
      </c>
    </row>
    <row r="33" spans="1:10" x14ac:dyDescent="0.25">
      <c r="A33" s="623" t="s">
        <v>794</v>
      </c>
      <c r="B33" s="625">
        <v>790911.78</v>
      </c>
      <c r="C33" s="652">
        <f>381582.31+454961.46+1112</f>
        <v>837655.77</v>
      </c>
      <c r="D33" s="625">
        <v>0</v>
      </c>
      <c r="E33" s="625">
        <f>B33+C33</f>
        <v>1628567.55</v>
      </c>
    </row>
    <row r="34" spans="1:10" x14ac:dyDescent="0.25">
      <c r="A34" s="623" t="s">
        <v>795</v>
      </c>
      <c r="B34" s="625">
        <v>2568328.21</v>
      </c>
      <c r="C34" s="652">
        <v>0</v>
      </c>
      <c r="D34" s="625">
        <f>133861.77+227480+45180.72</f>
        <v>406522.49</v>
      </c>
      <c r="E34" s="625">
        <f>B34-D34</f>
        <v>2161805.7199999997</v>
      </c>
    </row>
    <row r="35" spans="1:10" ht="15.75" x14ac:dyDescent="0.25">
      <c r="G35" s="624" t="s">
        <v>796</v>
      </c>
    </row>
    <row r="36" spans="1:10" ht="15.75" x14ac:dyDescent="0.25">
      <c r="H36" s="626">
        <v>5997841.2000000002</v>
      </c>
      <c r="I36" s="626">
        <v>113858.81</v>
      </c>
      <c r="J36" s="641">
        <v>6111700.0099999998</v>
      </c>
    </row>
    <row r="37" spans="1:10" x14ac:dyDescent="0.25">
      <c r="A37" s="623" t="s">
        <v>797</v>
      </c>
      <c r="B37" s="625">
        <v>11235</v>
      </c>
      <c r="C37" s="652">
        <v>0</v>
      </c>
      <c r="D37" s="625">
        <v>0</v>
      </c>
      <c r="E37" s="625">
        <v>11235</v>
      </c>
    </row>
    <row r="38" spans="1:10" x14ac:dyDescent="0.25">
      <c r="A38" s="623" t="s">
        <v>798</v>
      </c>
      <c r="B38" s="625">
        <v>1457611.78</v>
      </c>
      <c r="C38" s="652">
        <v>0</v>
      </c>
      <c r="D38" s="625">
        <v>1457611.78</v>
      </c>
      <c r="E38" s="625">
        <v>0</v>
      </c>
    </row>
    <row r="39" spans="1:10" x14ac:dyDescent="0.25">
      <c r="A39" s="623" t="s">
        <v>799</v>
      </c>
      <c r="B39" s="625">
        <v>662127.46</v>
      </c>
      <c r="C39" s="652">
        <v>0</v>
      </c>
      <c r="D39" s="625">
        <v>662127.46</v>
      </c>
      <c r="E39" s="625">
        <v>0</v>
      </c>
    </row>
    <row r="40" spans="1:10" x14ac:dyDescent="0.25">
      <c r="A40" s="623" t="s">
        <v>800</v>
      </c>
      <c r="B40" s="625">
        <v>1</v>
      </c>
      <c r="C40" s="652">
        <v>0</v>
      </c>
      <c r="D40" s="625">
        <v>0</v>
      </c>
      <c r="E40" s="625"/>
    </row>
    <row r="41" spans="1:10" x14ac:dyDescent="0.25">
      <c r="A41" s="623" t="s">
        <v>801</v>
      </c>
      <c r="B41" s="625">
        <v>18950</v>
      </c>
      <c r="C41" s="652">
        <v>0</v>
      </c>
      <c r="D41" s="625">
        <v>0</v>
      </c>
      <c r="E41" s="625">
        <v>18950</v>
      </c>
    </row>
    <row r="42" spans="1:10" x14ac:dyDescent="0.25">
      <c r="A42" s="623" t="s">
        <v>802</v>
      </c>
      <c r="B42" s="625">
        <v>1</v>
      </c>
      <c r="C42" s="652">
        <v>0</v>
      </c>
      <c r="D42" s="625">
        <v>0</v>
      </c>
      <c r="E42" s="625">
        <v>1</v>
      </c>
    </row>
    <row r="43" spans="1:10" x14ac:dyDescent="0.25">
      <c r="A43" s="623" t="s">
        <v>803</v>
      </c>
      <c r="B43" s="625">
        <v>1</v>
      </c>
      <c r="C43" s="652">
        <v>0</v>
      </c>
      <c r="D43" s="625">
        <v>0</v>
      </c>
      <c r="E43" s="625">
        <v>1</v>
      </c>
    </row>
    <row r="44" spans="1:10" x14ac:dyDescent="0.25">
      <c r="A44" s="623" t="s">
        <v>804</v>
      </c>
      <c r="B44" s="625">
        <v>1</v>
      </c>
      <c r="C44" s="652">
        <v>0</v>
      </c>
      <c r="D44" s="625">
        <v>0</v>
      </c>
      <c r="E44" s="625">
        <v>1</v>
      </c>
    </row>
    <row r="45" spans="1:10" x14ac:dyDescent="0.25">
      <c r="A45" s="623" t="s">
        <v>805</v>
      </c>
      <c r="B45" s="625">
        <v>1</v>
      </c>
      <c r="C45" s="652">
        <v>0</v>
      </c>
      <c r="D45" s="625">
        <v>0</v>
      </c>
      <c r="E45" s="625">
        <v>1</v>
      </c>
    </row>
    <row r="46" spans="1:10" x14ac:dyDescent="0.25">
      <c r="A46" s="623" t="s">
        <v>806</v>
      </c>
      <c r="B46" s="625">
        <v>1</v>
      </c>
      <c r="C46" s="652">
        <v>0</v>
      </c>
      <c r="D46" s="625">
        <v>0</v>
      </c>
      <c r="E46" s="625">
        <v>1</v>
      </c>
    </row>
    <row r="47" spans="1:10" x14ac:dyDescent="0.25">
      <c r="A47" s="623" t="s">
        <v>807</v>
      </c>
      <c r="B47" s="625">
        <v>1</v>
      </c>
      <c r="C47" s="652">
        <v>0</v>
      </c>
      <c r="D47" s="625">
        <v>0</v>
      </c>
      <c r="E47" s="625">
        <v>1</v>
      </c>
    </row>
    <row r="48" spans="1:10" x14ac:dyDescent="0.25">
      <c r="A48" s="623" t="s">
        <v>808</v>
      </c>
      <c r="B48" s="625">
        <v>1</v>
      </c>
      <c r="C48" s="652">
        <v>0</v>
      </c>
      <c r="D48" s="625">
        <v>0</v>
      </c>
      <c r="E48" s="625">
        <v>1</v>
      </c>
    </row>
    <row r="49" spans="1:5" x14ac:dyDescent="0.25">
      <c r="A49" s="623" t="s">
        <v>809</v>
      </c>
      <c r="B49" s="625">
        <v>1</v>
      </c>
      <c r="C49" s="652">
        <v>0</v>
      </c>
      <c r="D49" s="625">
        <v>0</v>
      </c>
      <c r="E49" s="625">
        <v>1</v>
      </c>
    </row>
    <row r="50" spans="1:5" x14ac:dyDescent="0.25">
      <c r="A50" s="623" t="s">
        <v>810</v>
      </c>
      <c r="B50" s="625">
        <v>27000</v>
      </c>
      <c r="C50" s="652">
        <v>0</v>
      </c>
      <c r="D50" s="625">
        <v>0</v>
      </c>
      <c r="E50" s="625">
        <v>27000</v>
      </c>
    </row>
    <row r="51" spans="1:5" x14ac:dyDescent="0.25">
      <c r="A51" s="623" t="s">
        <v>811</v>
      </c>
      <c r="B51" s="625">
        <v>84941</v>
      </c>
      <c r="C51" s="652">
        <v>0</v>
      </c>
      <c r="D51" s="625">
        <v>21380</v>
      </c>
      <c r="E51" s="625">
        <v>63561</v>
      </c>
    </row>
    <row r="52" spans="1:5" x14ac:dyDescent="0.25">
      <c r="A52" s="623" t="s">
        <v>812</v>
      </c>
      <c r="B52" s="625">
        <v>1</v>
      </c>
      <c r="C52" s="652">
        <v>0</v>
      </c>
      <c r="D52" s="625">
        <v>0</v>
      </c>
      <c r="E52" s="625">
        <v>1</v>
      </c>
    </row>
    <row r="53" spans="1:5" x14ac:dyDescent="0.25">
      <c r="A53" s="623" t="s">
        <v>813</v>
      </c>
      <c r="B53" s="625">
        <v>1</v>
      </c>
      <c r="C53" s="652">
        <v>0</v>
      </c>
      <c r="D53" s="625">
        <v>0</v>
      </c>
      <c r="E53" s="625">
        <v>1</v>
      </c>
    </row>
    <row r="54" spans="1:5" x14ac:dyDescent="0.25">
      <c r="A54" s="623" t="s">
        <v>814</v>
      </c>
      <c r="B54" s="625">
        <v>1</v>
      </c>
      <c r="C54" s="652">
        <v>0</v>
      </c>
      <c r="D54" s="625">
        <v>0</v>
      </c>
      <c r="E54" s="625">
        <v>1</v>
      </c>
    </row>
    <row r="55" spans="1:5" x14ac:dyDescent="0.25">
      <c r="A55" s="623" t="s">
        <v>815</v>
      </c>
      <c r="B55" s="625">
        <v>1</v>
      </c>
      <c r="C55" s="652">
        <v>0</v>
      </c>
      <c r="D55" s="625">
        <v>0</v>
      </c>
      <c r="E55" s="625">
        <v>1</v>
      </c>
    </row>
    <row r="56" spans="1:5" x14ac:dyDescent="0.25">
      <c r="A56" s="623" t="s">
        <v>816</v>
      </c>
      <c r="B56" s="625">
        <v>1</v>
      </c>
      <c r="C56" s="652">
        <v>0</v>
      </c>
      <c r="D56" s="625">
        <v>0</v>
      </c>
      <c r="E56" s="625">
        <v>1</v>
      </c>
    </row>
    <row r="57" spans="1:5" x14ac:dyDescent="0.25">
      <c r="A57" s="623" t="s">
        <v>817</v>
      </c>
      <c r="B57" s="625">
        <v>1</v>
      </c>
      <c r="C57" s="652">
        <v>0</v>
      </c>
      <c r="D57" s="625">
        <v>0</v>
      </c>
      <c r="E57" s="625">
        <v>1</v>
      </c>
    </row>
    <row r="58" spans="1:5" x14ac:dyDescent="0.25">
      <c r="A58" s="623" t="s">
        <v>818</v>
      </c>
      <c r="B58" s="625">
        <v>1</v>
      </c>
      <c r="C58" s="652">
        <v>0</v>
      </c>
      <c r="D58" s="625">
        <v>0</v>
      </c>
      <c r="E58" s="625">
        <v>1</v>
      </c>
    </row>
    <row r="59" spans="1:5" x14ac:dyDescent="0.25">
      <c r="A59" s="623" t="s">
        <v>819</v>
      </c>
      <c r="B59" s="625">
        <v>1</v>
      </c>
      <c r="C59" s="652">
        <v>0</v>
      </c>
      <c r="D59" s="625">
        <v>0</v>
      </c>
      <c r="E59" s="625">
        <v>1</v>
      </c>
    </row>
    <row r="60" spans="1:5" x14ac:dyDescent="0.25">
      <c r="A60" s="623" t="s">
        <v>820</v>
      </c>
      <c r="B60" s="625">
        <v>3375</v>
      </c>
      <c r="C60" s="652">
        <v>0</v>
      </c>
      <c r="D60" s="625">
        <v>0</v>
      </c>
      <c r="E60" s="625">
        <v>3375</v>
      </c>
    </row>
    <row r="61" spans="1:5" x14ac:dyDescent="0.25">
      <c r="A61" s="623" t="s">
        <v>821</v>
      </c>
      <c r="B61" s="625">
        <v>1</v>
      </c>
      <c r="C61" s="652">
        <v>0</v>
      </c>
      <c r="D61" s="625">
        <v>0</v>
      </c>
      <c r="E61" s="625">
        <v>1</v>
      </c>
    </row>
    <row r="62" spans="1:5" x14ac:dyDescent="0.25">
      <c r="A62" s="623" t="s">
        <v>822</v>
      </c>
      <c r="B62" s="625">
        <v>1</v>
      </c>
      <c r="C62" s="652">
        <v>0</v>
      </c>
      <c r="D62" s="625">
        <v>0</v>
      </c>
      <c r="E62" s="625">
        <v>1</v>
      </c>
    </row>
    <row r="63" spans="1:5" x14ac:dyDescent="0.25">
      <c r="A63" s="623" t="s">
        <v>823</v>
      </c>
      <c r="B63" s="625">
        <v>1</v>
      </c>
      <c r="C63" s="652">
        <v>0</v>
      </c>
      <c r="D63" s="625">
        <v>0</v>
      </c>
      <c r="E63" s="625">
        <v>1</v>
      </c>
    </row>
    <row r="64" spans="1:5" x14ac:dyDescent="0.25">
      <c r="A64" s="623" t="s">
        <v>824</v>
      </c>
      <c r="B64" s="625">
        <v>19880</v>
      </c>
      <c r="C64" s="652">
        <v>8517</v>
      </c>
      <c r="D64" s="625">
        <v>0</v>
      </c>
      <c r="E64" s="625">
        <v>28397</v>
      </c>
    </row>
    <row r="65" spans="1:5" x14ac:dyDescent="0.25">
      <c r="A65" s="623" t="s">
        <v>825</v>
      </c>
      <c r="B65" s="625">
        <v>87573.64</v>
      </c>
      <c r="C65" s="652">
        <v>0</v>
      </c>
      <c r="D65" s="625">
        <v>40302.29</v>
      </c>
      <c r="E65" s="625">
        <v>47271.35</v>
      </c>
    </row>
    <row r="66" spans="1:5" x14ac:dyDescent="0.25">
      <c r="A66" s="623" t="s">
        <v>826</v>
      </c>
      <c r="B66" s="625">
        <v>6986.3</v>
      </c>
      <c r="C66" s="652">
        <v>0.89</v>
      </c>
      <c r="D66" s="625">
        <v>0</v>
      </c>
      <c r="E66" s="625">
        <v>6987.19</v>
      </c>
    </row>
    <row r="67" spans="1:5" x14ac:dyDescent="0.25">
      <c r="A67" s="623" t="s">
        <v>827</v>
      </c>
      <c r="B67" s="625">
        <v>0</v>
      </c>
      <c r="C67" s="652">
        <v>126653.12</v>
      </c>
      <c r="D67" s="625">
        <v>0</v>
      </c>
      <c r="E67" s="625">
        <v>126653.12</v>
      </c>
    </row>
    <row r="68" spans="1:5" x14ac:dyDescent="0.25">
      <c r="A68" s="623" t="s">
        <v>828</v>
      </c>
      <c r="B68" s="625">
        <v>175599.41</v>
      </c>
      <c r="C68" s="652">
        <v>74714.28</v>
      </c>
      <c r="D68" s="625">
        <v>0</v>
      </c>
      <c r="E68" s="625">
        <v>250313.69</v>
      </c>
    </row>
    <row r="69" spans="1:5" x14ac:dyDescent="0.25">
      <c r="A69" s="623" t="s">
        <v>829</v>
      </c>
      <c r="B69" s="625">
        <v>1475249.81</v>
      </c>
      <c r="C69" s="652">
        <v>0</v>
      </c>
      <c r="D69" s="625">
        <v>112780.24</v>
      </c>
      <c r="E69" s="625">
        <v>1362469.57</v>
      </c>
    </row>
    <row r="70" spans="1:5" x14ac:dyDescent="0.25">
      <c r="A70" s="623" t="s">
        <v>830</v>
      </c>
      <c r="B70" s="625">
        <v>1</v>
      </c>
      <c r="C70" s="652">
        <v>0</v>
      </c>
      <c r="D70" s="625">
        <v>0</v>
      </c>
      <c r="E70" s="625">
        <v>1</v>
      </c>
    </row>
    <row r="71" spans="1:5" x14ac:dyDescent="0.25">
      <c r="A71" s="623" t="s">
        <v>831</v>
      </c>
      <c r="B71" s="625">
        <v>1</v>
      </c>
      <c r="C71" s="652">
        <v>0</v>
      </c>
      <c r="D71" s="625">
        <v>0</v>
      </c>
      <c r="E71" s="625">
        <v>1</v>
      </c>
    </row>
    <row r="72" spans="1:5" x14ac:dyDescent="0.25">
      <c r="A72" s="623" t="s">
        <v>832</v>
      </c>
      <c r="B72" s="625">
        <v>1</v>
      </c>
      <c r="C72" s="652">
        <v>0</v>
      </c>
      <c r="D72" s="625">
        <v>0</v>
      </c>
      <c r="E72" s="625">
        <v>1</v>
      </c>
    </row>
    <row r="73" spans="1:5" x14ac:dyDescent="0.25">
      <c r="A73" s="623" t="s">
        <v>833</v>
      </c>
      <c r="B73" s="625">
        <v>847.14</v>
      </c>
      <c r="C73" s="652">
        <v>0</v>
      </c>
      <c r="D73" s="625">
        <v>0</v>
      </c>
      <c r="E73" s="625">
        <v>847.14</v>
      </c>
    </row>
    <row r="74" spans="1:5" x14ac:dyDescent="0.25">
      <c r="A74" s="623" t="s">
        <v>834</v>
      </c>
      <c r="B74" s="625">
        <v>2968</v>
      </c>
      <c r="C74" s="652">
        <v>0</v>
      </c>
      <c r="D74" s="625">
        <v>0</v>
      </c>
      <c r="E74" s="625">
        <v>2968</v>
      </c>
    </row>
    <row r="75" spans="1:5" x14ac:dyDescent="0.25">
      <c r="A75" s="623" t="s">
        <v>835</v>
      </c>
      <c r="B75" s="625">
        <v>1</v>
      </c>
      <c r="C75" s="652">
        <v>0</v>
      </c>
      <c r="D75" s="625">
        <v>0</v>
      </c>
      <c r="E75" s="625">
        <v>1</v>
      </c>
    </row>
    <row r="76" spans="1:5" x14ac:dyDescent="0.25">
      <c r="A76" s="623" t="s">
        <v>836</v>
      </c>
      <c r="B76" s="625">
        <v>1</v>
      </c>
      <c r="C76" s="652">
        <v>0</v>
      </c>
      <c r="D76" s="625">
        <v>0</v>
      </c>
      <c r="E76" s="625">
        <v>1</v>
      </c>
    </row>
    <row r="77" spans="1:5" x14ac:dyDescent="0.25">
      <c r="A77" s="623" t="s">
        <v>837</v>
      </c>
      <c r="B77" s="625">
        <v>1656.14</v>
      </c>
      <c r="C77" s="652">
        <v>0</v>
      </c>
      <c r="D77" s="625">
        <v>0</v>
      </c>
      <c r="E77" s="625">
        <v>1656.14</v>
      </c>
    </row>
    <row r="78" spans="1:5" x14ac:dyDescent="0.25">
      <c r="A78" s="623" t="s">
        <v>838</v>
      </c>
      <c r="B78" s="625">
        <v>1</v>
      </c>
      <c r="C78" s="652">
        <v>0</v>
      </c>
      <c r="D78" s="625">
        <v>0</v>
      </c>
      <c r="E78" s="625">
        <v>1</v>
      </c>
    </row>
    <row r="79" spans="1:5" x14ac:dyDescent="0.25">
      <c r="A79" s="623" t="s">
        <v>839</v>
      </c>
      <c r="B79" s="625">
        <v>0</v>
      </c>
      <c r="C79" s="652">
        <v>75000</v>
      </c>
      <c r="D79" s="625">
        <v>0</v>
      </c>
      <c r="E79" s="625">
        <v>75000</v>
      </c>
    </row>
    <row r="80" spans="1:5" x14ac:dyDescent="0.25">
      <c r="A80" s="623" t="s">
        <v>840</v>
      </c>
      <c r="B80" s="625">
        <v>376200</v>
      </c>
      <c r="C80" s="652">
        <v>0</v>
      </c>
      <c r="D80" s="625">
        <v>0</v>
      </c>
      <c r="E80" s="625">
        <v>376200</v>
      </c>
    </row>
    <row r="81" spans="1:7" x14ac:dyDescent="0.25">
      <c r="A81" s="623" t="s">
        <v>841</v>
      </c>
      <c r="B81" s="625">
        <v>78000</v>
      </c>
      <c r="C81" s="652">
        <v>0</v>
      </c>
      <c r="D81" s="625">
        <v>78000</v>
      </c>
      <c r="E81" s="625">
        <v>0</v>
      </c>
    </row>
    <row r="82" spans="1:7" x14ac:dyDescent="0.25">
      <c r="A82" s="623" t="s">
        <v>842</v>
      </c>
      <c r="B82" s="625">
        <v>84000</v>
      </c>
      <c r="C82" s="652">
        <v>0</v>
      </c>
      <c r="D82" s="625">
        <v>54600</v>
      </c>
      <c r="E82" s="625">
        <v>29400</v>
      </c>
    </row>
    <row r="83" spans="1:7" x14ac:dyDescent="0.25">
      <c r="A83" s="623" t="s">
        <v>843</v>
      </c>
      <c r="B83" s="625">
        <v>675000</v>
      </c>
      <c r="C83" s="652">
        <v>0</v>
      </c>
      <c r="D83" s="625">
        <v>0</v>
      </c>
      <c r="E83" s="625">
        <v>675000</v>
      </c>
    </row>
    <row r="84" spans="1:7" x14ac:dyDescent="0.25">
      <c r="A84" s="623" t="s">
        <v>335</v>
      </c>
      <c r="B84" t="s">
        <v>172</v>
      </c>
      <c r="C84" s="224" t="s">
        <v>172</v>
      </c>
      <c r="D84" t="s">
        <v>172</v>
      </c>
      <c r="E84" t="s">
        <v>172</v>
      </c>
    </row>
    <row r="85" spans="1:7" x14ac:dyDescent="0.25">
      <c r="A85" s="623" t="s">
        <v>844</v>
      </c>
      <c r="B85" s="625">
        <v>-228747</v>
      </c>
      <c r="C85" s="652">
        <v>5385</v>
      </c>
      <c r="D85" s="625">
        <v>0</v>
      </c>
      <c r="E85" s="625">
        <v>-223362</v>
      </c>
    </row>
    <row r="86" spans="1:7" x14ac:dyDescent="0.25">
      <c r="A86" s="623" t="s">
        <v>845</v>
      </c>
      <c r="B86" s="625">
        <v>-1476580.61</v>
      </c>
      <c r="C86" s="652">
        <v>1347880</v>
      </c>
      <c r="D86" s="625">
        <v>0</v>
      </c>
      <c r="E86" s="625">
        <v>-128700.61</v>
      </c>
    </row>
    <row r="87" spans="1:7" x14ac:dyDescent="0.25">
      <c r="A87" s="623" t="s">
        <v>846</v>
      </c>
      <c r="B87" s="625">
        <v>-16600</v>
      </c>
      <c r="C87" s="652">
        <v>0</v>
      </c>
      <c r="D87" s="625">
        <v>2400</v>
      </c>
      <c r="E87" s="625">
        <v>-19000</v>
      </c>
    </row>
    <row r="88" spans="1:7" x14ac:dyDescent="0.25">
      <c r="A88" s="623" t="s">
        <v>847</v>
      </c>
      <c r="B88" s="625">
        <v>-1551989</v>
      </c>
      <c r="C88" s="652">
        <v>0</v>
      </c>
      <c r="D88" s="625">
        <v>777792</v>
      </c>
      <c r="E88" s="625">
        <v>-2329781</v>
      </c>
    </row>
    <row r="89" spans="1:7" x14ac:dyDescent="0.25">
      <c r="A89" s="623" t="s">
        <v>848</v>
      </c>
      <c r="B89" s="625">
        <v>-6768561</v>
      </c>
      <c r="C89" s="652">
        <v>0</v>
      </c>
      <c r="D89" s="625">
        <v>5087080</v>
      </c>
      <c r="E89" s="625">
        <f>+B89-D89</f>
        <v>-11855641</v>
      </c>
    </row>
    <row r="90" spans="1:7" x14ac:dyDescent="0.25">
      <c r="A90" s="623" t="s">
        <v>849</v>
      </c>
      <c r="B90" s="625">
        <v>-100000</v>
      </c>
      <c r="C90" s="652">
        <v>0</v>
      </c>
      <c r="D90" s="625">
        <v>0</v>
      </c>
      <c r="E90" s="625">
        <v>-100000</v>
      </c>
    </row>
    <row r="91" spans="1:7" x14ac:dyDescent="0.25">
      <c r="A91" s="623" t="s">
        <v>850</v>
      </c>
      <c r="B91" s="625">
        <v>-20000</v>
      </c>
      <c r="C91" s="652">
        <v>0</v>
      </c>
      <c r="D91" s="625">
        <v>0</v>
      </c>
      <c r="E91" s="625">
        <v>-20000</v>
      </c>
    </row>
    <row r="92" spans="1:7" x14ac:dyDescent="0.25">
      <c r="A92" s="623" t="s">
        <v>851</v>
      </c>
      <c r="B92" s="625">
        <v>-9091651.8399999999</v>
      </c>
      <c r="C92" s="652">
        <v>0</v>
      </c>
      <c r="D92" s="701">
        <v>329621.89730400202</v>
      </c>
      <c r="E92" s="701">
        <f>+B92-D92</f>
        <v>-9421273.737304002</v>
      </c>
      <c r="G92" s="617">
        <f>+B92-D92</f>
        <v>-9421273.737304002</v>
      </c>
    </row>
    <row r="93" spans="1:7" x14ac:dyDescent="0.25">
      <c r="A93" s="623" t="s">
        <v>852</v>
      </c>
      <c r="B93" s="625">
        <v>-2499254.23</v>
      </c>
      <c r="C93" s="652">
        <v>0</v>
      </c>
      <c r="D93" s="625">
        <v>1170244.02</v>
      </c>
      <c r="E93" s="625">
        <v>-3669498.25</v>
      </c>
    </row>
    <row r="94" spans="1:7" x14ac:dyDescent="0.25">
      <c r="A94" s="623" t="s">
        <v>853</v>
      </c>
      <c r="B94" s="625">
        <v>-1089108</v>
      </c>
      <c r="C94" s="652">
        <v>0</v>
      </c>
      <c r="D94" s="625">
        <v>16074</v>
      </c>
      <c r="E94" s="665">
        <v>-1105182</v>
      </c>
    </row>
    <row r="95" spans="1:7" x14ac:dyDescent="0.25">
      <c r="A95" s="623" t="s">
        <v>345</v>
      </c>
      <c r="B95" t="s">
        <v>172</v>
      </c>
      <c r="C95" s="224" t="s">
        <v>172</v>
      </c>
      <c r="D95" t="s">
        <v>172</v>
      </c>
      <c r="E95" t="s">
        <v>172</v>
      </c>
    </row>
    <row r="96" spans="1:7" x14ac:dyDescent="0.25">
      <c r="A96" s="623" t="s">
        <v>854</v>
      </c>
      <c r="B96" s="625">
        <v>-102885599.66</v>
      </c>
      <c r="C96" s="652">
        <v>126472471.22</v>
      </c>
      <c r="D96" s="625">
        <f>'Note 2 - 7'!E44+9059+1.38</f>
        <v>28495512.642695997</v>
      </c>
      <c r="E96" s="703">
        <v>-4770085.2614159957</v>
      </c>
    </row>
    <row r="97" spans="1:7" x14ac:dyDescent="0.25">
      <c r="A97" s="623" t="s">
        <v>855</v>
      </c>
      <c r="B97" s="625">
        <v>-20</v>
      </c>
      <c r="C97" s="652">
        <v>0</v>
      </c>
      <c r="D97" s="625">
        <v>0</v>
      </c>
      <c r="E97" s="625">
        <v>-20</v>
      </c>
    </row>
    <row r="98" spans="1:7" x14ac:dyDescent="0.25">
      <c r="A98" s="623" t="s">
        <v>856</v>
      </c>
      <c r="B98" s="625">
        <v>-10</v>
      </c>
      <c r="C98" s="652">
        <v>0</v>
      </c>
      <c r="D98" s="625">
        <v>0</v>
      </c>
      <c r="E98" s="625">
        <v>-10</v>
      </c>
    </row>
    <row r="99" spans="1:7" x14ac:dyDescent="0.25">
      <c r="A99" s="623" t="s">
        <v>857</v>
      </c>
      <c r="B99" s="625">
        <v>-9970</v>
      </c>
      <c r="C99" s="652">
        <v>0</v>
      </c>
      <c r="D99" s="625">
        <v>0</v>
      </c>
      <c r="E99" s="625">
        <v>-9970</v>
      </c>
    </row>
    <row r="100" spans="1:7" x14ac:dyDescent="0.25">
      <c r="A100" s="623" t="s">
        <v>28</v>
      </c>
      <c r="B100" t="s">
        <v>172</v>
      </c>
      <c r="C100" s="224" t="s">
        <v>172</v>
      </c>
      <c r="D100" t="s">
        <v>172</v>
      </c>
      <c r="E100" t="s">
        <v>172</v>
      </c>
    </row>
    <row r="101" spans="1:7" x14ac:dyDescent="0.25">
      <c r="A101" s="623" t="s">
        <v>858</v>
      </c>
      <c r="B101" s="625">
        <v>0</v>
      </c>
      <c r="C101" s="652">
        <v>0</v>
      </c>
      <c r="D101" s="625">
        <v>225987800</v>
      </c>
      <c r="E101" s="625">
        <v>-225987800</v>
      </c>
    </row>
    <row r="102" spans="1:7" x14ac:dyDescent="0.25">
      <c r="A102" s="623" t="s">
        <v>351</v>
      </c>
      <c r="B102" t="s">
        <v>172</v>
      </c>
      <c r="C102" s="224" t="s">
        <v>172</v>
      </c>
      <c r="D102" t="s">
        <v>172</v>
      </c>
      <c r="E102" t="s">
        <v>172</v>
      </c>
      <c r="G102" s="248">
        <f>-E101</f>
        <v>225987800</v>
      </c>
    </row>
    <row r="103" spans="1:7" x14ac:dyDescent="0.25">
      <c r="A103" s="623" t="s">
        <v>859</v>
      </c>
      <c r="B103" s="625">
        <v>0</v>
      </c>
      <c r="C103" s="652">
        <v>181495.88</v>
      </c>
      <c r="D103" s="625">
        <v>0</v>
      </c>
      <c r="E103" s="625">
        <v>181495.88</v>
      </c>
      <c r="G103" s="248"/>
    </row>
    <row r="104" spans="1:7" x14ac:dyDescent="0.25">
      <c r="A104" s="623" t="s">
        <v>860</v>
      </c>
      <c r="B104" s="625">
        <v>0</v>
      </c>
      <c r="C104" s="652">
        <v>5000</v>
      </c>
      <c r="D104" s="625">
        <v>0</v>
      </c>
      <c r="E104" s="625">
        <v>5000</v>
      </c>
      <c r="G104" s="248">
        <f>SUM(E103:E138)</f>
        <v>197365500.79362398</v>
      </c>
    </row>
    <row r="105" spans="1:7" x14ac:dyDescent="0.25">
      <c r="A105" s="623" t="s">
        <v>861</v>
      </c>
      <c r="B105" s="625">
        <v>0</v>
      </c>
      <c r="C105" s="652">
        <v>16222.11</v>
      </c>
      <c r="D105" s="625">
        <v>0</v>
      </c>
      <c r="E105" s="625">
        <v>16222.11</v>
      </c>
      <c r="G105" s="248"/>
    </row>
    <row r="106" spans="1:7" x14ac:dyDescent="0.25">
      <c r="A106" s="623" t="s">
        <v>862</v>
      </c>
      <c r="B106" s="625">
        <v>0</v>
      </c>
      <c r="C106" s="652">
        <v>81468.19</v>
      </c>
      <c r="D106" s="625">
        <v>0</v>
      </c>
      <c r="E106" s="625">
        <v>81468.19</v>
      </c>
      <c r="G106" s="248">
        <f>G102-G104</f>
        <v>28622299.206376016</v>
      </c>
    </row>
    <row r="107" spans="1:7" x14ac:dyDescent="0.25">
      <c r="A107" s="623" t="s">
        <v>863</v>
      </c>
      <c r="B107" s="625">
        <v>0</v>
      </c>
      <c r="C107" s="652">
        <v>325983.86</v>
      </c>
      <c r="D107" s="625">
        <v>0</v>
      </c>
      <c r="E107" s="625">
        <v>325983.86</v>
      </c>
    </row>
    <row r="108" spans="1:7" x14ac:dyDescent="0.25">
      <c r="A108" s="623" t="s">
        <v>864</v>
      </c>
      <c r="B108" s="625">
        <v>0</v>
      </c>
      <c r="C108" s="652">
        <v>3350</v>
      </c>
      <c r="D108" s="625">
        <v>0</v>
      </c>
      <c r="E108" s="625">
        <v>3350</v>
      </c>
    </row>
    <row r="109" spans="1:7" x14ac:dyDescent="0.25">
      <c r="A109" s="623" t="s">
        <v>865</v>
      </c>
      <c r="B109" s="625">
        <v>0</v>
      </c>
      <c r="C109" s="652">
        <f>-+'Ratios &amp; Deferred Tax'!D46</f>
        <v>159480.92045600002</v>
      </c>
      <c r="D109" s="625">
        <v>0</v>
      </c>
      <c r="E109" s="625">
        <v>159481</v>
      </c>
    </row>
    <row r="110" spans="1:7" x14ac:dyDescent="0.25">
      <c r="A110" s="623" t="s">
        <v>866</v>
      </c>
      <c r="B110" s="625">
        <v>0</v>
      </c>
      <c r="C110" s="652">
        <v>514972</v>
      </c>
      <c r="D110" s="625">
        <v>0</v>
      </c>
      <c r="E110" s="625">
        <v>514972</v>
      </c>
    </row>
    <row r="111" spans="1:7" x14ac:dyDescent="0.25">
      <c r="A111" s="623" t="s">
        <v>867</v>
      </c>
      <c r="B111" s="625">
        <v>0</v>
      </c>
      <c r="C111" s="652">
        <v>4174382</v>
      </c>
      <c r="D111" s="625">
        <v>0</v>
      </c>
      <c r="E111" s="625">
        <v>4174382</v>
      </c>
    </row>
    <row r="112" spans="1:7" x14ac:dyDescent="0.25">
      <c r="A112" s="623" t="s">
        <v>868</v>
      </c>
      <c r="B112" s="625">
        <v>0</v>
      </c>
      <c r="C112" s="652">
        <v>382595.82</v>
      </c>
      <c r="D112" s="625">
        <v>0</v>
      </c>
      <c r="E112" s="625">
        <v>382595.82</v>
      </c>
    </row>
    <row r="113" spans="1:5" x14ac:dyDescent="0.25">
      <c r="A113" s="623" t="s">
        <v>869</v>
      </c>
      <c r="B113" s="625">
        <v>0</v>
      </c>
      <c r="C113" s="652">
        <v>194413.5</v>
      </c>
      <c r="D113" s="625">
        <v>0</v>
      </c>
      <c r="E113" s="625">
        <v>194413.5</v>
      </c>
    </row>
    <row r="114" spans="1:5" x14ac:dyDescent="0.25">
      <c r="A114" s="623" t="s">
        <v>870</v>
      </c>
      <c r="B114" s="625">
        <v>0</v>
      </c>
      <c r="C114" s="652">
        <v>1589686.24</v>
      </c>
      <c r="D114" s="625">
        <v>0</v>
      </c>
      <c r="E114" s="625">
        <v>1589686.24</v>
      </c>
    </row>
    <row r="115" spans="1:5" x14ac:dyDescent="0.25">
      <c r="A115" s="623" t="s">
        <v>871</v>
      </c>
      <c r="B115" s="625">
        <v>0</v>
      </c>
      <c r="C115" s="652">
        <v>10675444</v>
      </c>
      <c r="D115" s="625">
        <v>0</v>
      </c>
      <c r="E115" s="625">
        <v>10675444</v>
      </c>
    </row>
    <row r="116" spans="1:5" x14ac:dyDescent="0.25">
      <c r="A116" s="623" t="s">
        <v>872</v>
      </c>
      <c r="B116" s="625">
        <v>0</v>
      </c>
      <c r="C116" s="652">
        <v>5087080</v>
      </c>
      <c r="D116" s="625">
        <v>0</v>
      </c>
      <c r="E116" s="625">
        <v>5087080</v>
      </c>
    </row>
    <row r="117" spans="1:5" x14ac:dyDescent="0.25">
      <c r="A117" s="623" t="s">
        <v>873</v>
      </c>
      <c r="B117" s="625">
        <v>0</v>
      </c>
      <c r="C117" s="652" t="e">
        <f>+#REF!</f>
        <v>#REF!</v>
      </c>
      <c r="D117" s="625">
        <v>0</v>
      </c>
      <c r="E117" s="702">
        <v>9374674.9336240012</v>
      </c>
    </row>
    <row r="118" spans="1:5" x14ac:dyDescent="0.25">
      <c r="A118" s="623" t="s">
        <v>874</v>
      </c>
      <c r="B118" s="625">
        <v>0</v>
      </c>
      <c r="C118" s="652">
        <v>84367</v>
      </c>
      <c r="D118" s="625">
        <v>0</v>
      </c>
      <c r="E118" s="625">
        <v>84367</v>
      </c>
    </row>
    <row r="119" spans="1:5" x14ac:dyDescent="0.25">
      <c r="A119" s="623" t="s">
        <v>875</v>
      </c>
      <c r="B119" s="625">
        <v>0</v>
      </c>
      <c r="C119" s="652">
        <v>241724.45</v>
      </c>
      <c r="D119" s="625">
        <v>0</v>
      </c>
      <c r="E119" s="625">
        <v>241724.45</v>
      </c>
    </row>
    <row r="120" spans="1:5" x14ac:dyDescent="0.25">
      <c r="A120" s="623" t="s">
        <v>876</v>
      </c>
      <c r="B120" s="625">
        <v>0</v>
      </c>
      <c r="C120" s="652">
        <v>16074</v>
      </c>
      <c r="D120" s="625">
        <v>0</v>
      </c>
      <c r="E120" s="625">
        <v>16074</v>
      </c>
    </row>
    <row r="121" spans="1:5" x14ac:dyDescent="0.25">
      <c r="A121" s="623" t="s">
        <v>877</v>
      </c>
      <c r="B121" s="625">
        <v>0</v>
      </c>
      <c r="C121" s="652">
        <v>1832859.14</v>
      </c>
      <c r="D121" s="625">
        <v>0</v>
      </c>
      <c r="E121" s="625">
        <v>1832859.14</v>
      </c>
    </row>
    <row r="122" spans="1:5" x14ac:dyDescent="0.25">
      <c r="A122" s="623" t="s">
        <v>878</v>
      </c>
      <c r="B122" s="625">
        <v>0</v>
      </c>
      <c r="C122" s="652">
        <v>2975349</v>
      </c>
      <c r="D122" s="625">
        <v>0</v>
      </c>
      <c r="E122" s="625">
        <v>2975349</v>
      </c>
    </row>
    <row r="123" spans="1:5" x14ac:dyDescent="0.25">
      <c r="A123" s="623" t="s">
        <v>879</v>
      </c>
      <c r="B123" s="625">
        <v>0</v>
      </c>
      <c r="C123" s="652">
        <v>7.0000000000000007E-2</v>
      </c>
      <c r="D123" s="625">
        <v>0</v>
      </c>
      <c r="E123" s="625">
        <v>7.0000000000000007E-2</v>
      </c>
    </row>
    <row r="124" spans="1:5" x14ac:dyDescent="0.25">
      <c r="A124" s="623" t="s">
        <v>880</v>
      </c>
      <c r="B124" s="625">
        <v>0</v>
      </c>
      <c r="C124" s="652">
        <f>187202515-31588863</f>
        <v>155613652</v>
      </c>
      <c r="D124" s="625">
        <v>0</v>
      </c>
      <c r="E124" s="625">
        <f>187202515-31588863</f>
        <v>155613652</v>
      </c>
    </row>
    <row r="125" spans="1:5" x14ac:dyDescent="0.25">
      <c r="A125" s="623" t="s">
        <v>881</v>
      </c>
      <c r="B125" s="625">
        <v>0</v>
      </c>
      <c r="C125" s="652">
        <v>1864159</v>
      </c>
      <c r="D125" s="625">
        <v>0</v>
      </c>
      <c r="E125" s="625">
        <v>1864159</v>
      </c>
    </row>
    <row r="126" spans="1:5" x14ac:dyDescent="0.25">
      <c r="A126" s="623" t="s">
        <v>882</v>
      </c>
      <c r="B126" s="625">
        <v>0</v>
      </c>
      <c r="C126" s="652">
        <v>520280</v>
      </c>
      <c r="D126" s="625">
        <v>0</v>
      </c>
      <c r="E126" s="625">
        <v>520280</v>
      </c>
    </row>
    <row r="127" spans="1:5" x14ac:dyDescent="0.25">
      <c r="A127" s="623" t="s">
        <v>883</v>
      </c>
      <c r="B127" s="625">
        <v>0</v>
      </c>
      <c r="C127" s="652">
        <v>84955.1</v>
      </c>
      <c r="D127" s="625">
        <v>0</v>
      </c>
      <c r="E127" s="625">
        <v>84955.1</v>
      </c>
    </row>
    <row r="128" spans="1:5" x14ac:dyDescent="0.25">
      <c r="A128" s="623" t="s">
        <v>884</v>
      </c>
      <c r="B128" s="625">
        <v>0</v>
      </c>
      <c r="C128" s="652">
        <v>8779</v>
      </c>
      <c r="D128" s="625">
        <v>0</v>
      </c>
      <c r="E128" s="625">
        <v>8779</v>
      </c>
    </row>
    <row r="129" spans="1:7" x14ac:dyDescent="0.25">
      <c r="A129" s="623" t="s">
        <v>885</v>
      </c>
      <c r="B129" s="625">
        <v>0</v>
      </c>
      <c r="C129" s="652">
        <v>310000</v>
      </c>
      <c r="D129" s="625">
        <v>0</v>
      </c>
      <c r="E129" s="625">
        <v>310000</v>
      </c>
    </row>
    <row r="130" spans="1:7" x14ac:dyDescent="0.25">
      <c r="A130" s="623" t="s">
        <v>886</v>
      </c>
      <c r="B130" s="625">
        <v>0</v>
      </c>
      <c r="C130" s="652">
        <v>100000</v>
      </c>
      <c r="D130" s="625">
        <v>0</v>
      </c>
      <c r="E130" s="625">
        <v>100000</v>
      </c>
    </row>
    <row r="131" spans="1:7" x14ac:dyDescent="0.25">
      <c r="A131" s="623" t="s">
        <v>887</v>
      </c>
      <c r="B131" s="625">
        <v>0</v>
      </c>
      <c r="C131" s="652">
        <v>17500</v>
      </c>
      <c r="D131" s="625">
        <v>0</v>
      </c>
      <c r="E131" s="625">
        <v>17500</v>
      </c>
    </row>
    <row r="132" spans="1:7" x14ac:dyDescent="0.25">
      <c r="A132" s="623" t="s">
        <v>888</v>
      </c>
      <c r="B132" s="625">
        <v>0</v>
      </c>
      <c r="C132" s="652">
        <v>540000</v>
      </c>
      <c r="D132" s="625">
        <v>0</v>
      </c>
      <c r="E132" s="625">
        <v>540000</v>
      </c>
    </row>
    <row r="133" spans="1:7" x14ac:dyDescent="0.25">
      <c r="A133" s="623" t="s">
        <v>889</v>
      </c>
      <c r="B133" s="625">
        <v>0</v>
      </c>
      <c r="C133" s="652">
        <v>1500</v>
      </c>
      <c r="D133" s="625">
        <v>0</v>
      </c>
      <c r="E133" s="625">
        <v>1500</v>
      </c>
    </row>
    <row r="134" spans="1:7" x14ac:dyDescent="0.25">
      <c r="A134" s="623" t="s">
        <v>890</v>
      </c>
      <c r="B134" s="625">
        <v>0</v>
      </c>
      <c r="C134" s="652">
        <v>1.24</v>
      </c>
      <c r="D134" s="625">
        <v>0</v>
      </c>
      <c r="E134" s="625">
        <v>1.24</v>
      </c>
    </row>
    <row r="135" spans="1:7" x14ac:dyDescent="0.25">
      <c r="A135" s="623" t="s">
        <v>891</v>
      </c>
      <c r="B135" s="625">
        <v>0</v>
      </c>
      <c r="C135" s="652">
        <v>157719.5</v>
      </c>
      <c r="D135" s="625">
        <v>0</v>
      </c>
      <c r="E135" s="625">
        <v>157719.5</v>
      </c>
    </row>
    <row r="136" spans="1:7" x14ac:dyDescent="0.25">
      <c r="A136" s="623" t="s">
        <v>892</v>
      </c>
      <c r="B136" s="625">
        <v>0</v>
      </c>
      <c r="C136" s="652">
        <v>20000</v>
      </c>
      <c r="D136" s="625">
        <v>0</v>
      </c>
      <c r="E136" s="625">
        <v>20000</v>
      </c>
    </row>
    <row r="137" spans="1:7" x14ac:dyDescent="0.25">
      <c r="A137" s="623" t="s">
        <v>893</v>
      </c>
      <c r="B137" s="625">
        <v>0</v>
      </c>
      <c r="C137" s="652">
        <v>40732.76</v>
      </c>
      <c r="D137" s="625">
        <v>0</v>
      </c>
      <c r="E137" s="625">
        <v>40732.76</v>
      </c>
    </row>
    <row r="138" spans="1:7" x14ac:dyDescent="0.25">
      <c r="A138" s="623" t="s">
        <v>894</v>
      </c>
      <c r="B138" s="625">
        <v>0</v>
      </c>
      <c r="C138" s="652">
        <v>169599</v>
      </c>
      <c r="D138" s="625">
        <v>0</v>
      </c>
      <c r="E138" s="625">
        <v>169599</v>
      </c>
    </row>
    <row r="139" spans="1:7" x14ac:dyDescent="0.25">
      <c r="A139" s="623" t="s">
        <v>903</v>
      </c>
      <c r="B139" s="625"/>
      <c r="C139" s="652">
        <v>89249.44</v>
      </c>
      <c r="D139" s="625"/>
      <c r="E139" s="625"/>
    </row>
    <row r="140" spans="1:7" x14ac:dyDescent="0.25">
      <c r="A140" s="623"/>
      <c r="B140" s="625"/>
      <c r="C140" s="652"/>
      <c r="D140" s="638"/>
      <c r="E140" s="625"/>
    </row>
    <row r="141" spans="1:7" x14ac:dyDescent="0.25">
      <c r="A141" s="620" t="s">
        <v>902</v>
      </c>
      <c r="B141" s="625"/>
      <c r="C141" s="652">
        <f>'P&amp;L'!D26</f>
        <v>28486452.262695998</v>
      </c>
      <c r="E141" s="625"/>
    </row>
    <row r="142" spans="1:7" ht="15.75" x14ac:dyDescent="0.25">
      <c r="A142" s="624" t="s">
        <v>895</v>
      </c>
      <c r="B142" s="625"/>
      <c r="C142" s="652" t="e">
        <f>SUM(C4:C141)</f>
        <v>#REF!</v>
      </c>
      <c r="D142" s="652">
        <f>SUM(D4:D141)</f>
        <v>392222338.32999998</v>
      </c>
      <c r="E142" s="625"/>
      <c r="G142" s="224" t="e">
        <f>+D142-C142</f>
        <v>#REF!</v>
      </c>
    </row>
    <row r="143" spans="1:7" x14ac:dyDescent="0.25">
      <c r="A143" s="915" t="s">
        <v>172</v>
      </c>
      <c r="B143" s="916"/>
      <c r="C143" s="916"/>
      <c r="D143" s="916"/>
      <c r="E143" s="916"/>
    </row>
    <row r="146" spans="4:4" x14ac:dyDescent="0.25">
      <c r="D146" s="248"/>
    </row>
  </sheetData>
  <mergeCells count="2">
    <mergeCell ref="A143:E143"/>
    <mergeCell ref="A1:E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C0AB0-8AF7-40FA-91E3-104F6CD551F9}">
  <dimension ref="A1:H126"/>
  <sheetViews>
    <sheetView workbookViewId="0">
      <selection activeCell="A2" sqref="A2"/>
    </sheetView>
  </sheetViews>
  <sheetFormatPr defaultRowHeight="15" x14ac:dyDescent="0.25"/>
  <cols>
    <col min="1" max="1" width="65.7109375" bestFit="1" customWidth="1"/>
    <col min="2" max="2" width="18" bestFit="1" customWidth="1"/>
    <col min="3" max="4" width="21.28515625" bestFit="1" customWidth="1"/>
    <col min="5" max="5" width="18.28515625" bestFit="1" customWidth="1"/>
    <col min="6" max="6" width="15.85546875" bestFit="1" customWidth="1"/>
    <col min="7" max="7" width="35" bestFit="1" customWidth="1"/>
    <col min="8" max="8" width="12.140625" bestFit="1" customWidth="1"/>
  </cols>
  <sheetData>
    <row r="1" spans="1:5" x14ac:dyDescent="0.25">
      <c r="A1" s="1002" t="s">
        <v>1078</v>
      </c>
      <c r="B1" s="916"/>
      <c r="C1" s="916"/>
      <c r="D1" s="916"/>
      <c r="E1" s="916"/>
    </row>
    <row r="2" spans="1:5" x14ac:dyDescent="0.25">
      <c r="A2" s="849" t="s">
        <v>764</v>
      </c>
      <c r="B2" s="850" t="s">
        <v>765</v>
      </c>
      <c r="C2" s="850" t="s">
        <v>1041</v>
      </c>
      <c r="D2" s="850" t="s">
        <v>1040</v>
      </c>
      <c r="E2" s="850" t="s">
        <v>768</v>
      </c>
    </row>
    <row r="3" spans="1:5" x14ac:dyDescent="0.25">
      <c r="A3" s="851" t="s">
        <v>14</v>
      </c>
      <c r="B3" s="918" t="s">
        <v>172</v>
      </c>
      <c r="C3" s="918" t="s">
        <v>172</v>
      </c>
      <c r="D3" s="918" t="s">
        <v>172</v>
      </c>
      <c r="E3" s="918" t="s">
        <v>172</v>
      </c>
    </row>
    <row r="4" spans="1:5" x14ac:dyDescent="0.25">
      <c r="A4" s="851" t="s">
        <v>1039</v>
      </c>
      <c r="B4" s="853">
        <v>0</v>
      </c>
      <c r="C4" s="853">
        <v>365023932</v>
      </c>
      <c r="D4" s="853">
        <v>365023932</v>
      </c>
      <c r="E4" s="853">
        <v>0</v>
      </c>
    </row>
    <row r="5" spans="1:5" x14ac:dyDescent="0.25">
      <c r="A5" s="861" t="s">
        <v>753</v>
      </c>
      <c r="B5" s="862">
        <v>9556617.1600000001</v>
      </c>
      <c r="C5" s="862">
        <v>15617119</v>
      </c>
      <c r="D5" s="862">
        <v>9556617.1600000001</v>
      </c>
      <c r="E5" s="862">
        <v>15617119</v>
      </c>
    </row>
    <row r="6" spans="1:5" x14ac:dyDescent="0.25">
      <c r="A6" s="851" t="s">
        <v>769</v>
      </c>
      <c r="B6" s="853">
        <v>1750</v>
      </c>
      <c r="C6" s="853">
        <v>0</v>
      </c>
      <c r="D6" s="853">
        <v>0</v>
      </c>
      <c r="E6" s="853">
        <v>1750</v>
      </c>
    </row>
    <row r="7" spans="1:5" x14ac:dyDescent="0.25">
      <c r="A7" s="851" t="s">
        <v>770</v>
      </c>
      <c r="B7" s="853">
        <v>2045</v>
      </c>
      <c r="C7" s="853">
        <v>0</v>
      </c>
      <c r="D7" s="853">
        <v>0</v>
      </c>
      <c r="E7" s="853">
        <v>2045</v>
      </c>
    </row>
    <row r="8" spans="1:5" x14ac:dyDescent="0.25">
      <c r="A8" s="851" t="s">
        <v>771</v>
      </c>
      <c r="B8" s="853">
        <v>6200</v>
      </c>
      <c r="C8" s="853">
        <v>0</v>
      </c>
      <c r="D8" s="853">
        <v>0</v>
      </c>
      <c r="E8" s="853">
        <v>6200</v>
      </c>
    </row>
    <row r="9" spans="1:5" x14ac:dyDescent="0.25">
      <c r="A9" s="851" t="s">
        <v>772</v>
      </c>
      <c r="B9" s="853">
        <v>6235</v>
      </c>
      <c r="C9" s="853">
        <v>0</v>
      </c>
      <c r="D9" s="853">
        <v>85</v>
      </c>
      <c r="E9" s="853">
        <v>6150</v>
      </c>
    </row>
    <row r="10" spans="1:5" x14ac:dyDescent="0.25">
      <c r="A10" s="851" t="s">
        <v>773</v>
      </c>
      <c r="B10" s="853">
        <v>3408</v>
      </c>
      <c r="C10" s="853">
        <v>0</v>
      </c>
      <c r="D10" s="853">
        <v>0</v>
      </c>
      <c r="E10" s="853">
        <v>3408</v>
      </c>
    </row>
    <row r="11" spans="1:5" x14ac:dyDescent="0.25">
      <c r="A11" s="851" t="s">
        <v>754</v>
      </c>
      <c r="B11" s="853">
        <v>113025</v>
      </c>
      <c r="C11" s="853">
        <v>0</v>
      </c>
      <c r="D11" s="853">
        <v>71387.009999999995</v>
      </c>
      <c r="E11" s="853">
        <v>41637.99</v>
      </c>
    </row>
    <row r="12" spans="1:5" x14ac:dyDescent="0.25">
      <c r="A12" s="851" t="s">
        <v>755</v>
      </c>
      <c r="B12" s="853">
        <v>177070.38</v>
      </c>
      <c r="C12" s="853">
        <v>0</v>
      </c>
      <c r="D12" s="853">
        <v>111837.98</v>
      </c>
      <c r="E12" s="853">
        <v>65232.4</v>
      </c>
    </row>
    <row r="13" spans="1:5" x14ac:dyDescent="0.25">
      <c r="A13" s="851" t="s">
        <v>774</v>
      </c>
      <c r="B13" s="853">
        <v>1</v>
      </c>
      <c r="C13" s="853">
        <v>0</v>
      </c>
      <c r="D13" s="853">
        <v>0</v>
      </c>
      <c r="E13" s="853">
        <v>1</v>
      </c>
    </row>
    <row r="14" spans="1:5" x14ac:dyDescent="0.25">
      <c r="A14" s="851" t="s">
        <v>775</v>
      </c>
      <c r="B14" s="853">
        <v>828</v>
      </c>
      <c r="C14" s="853">
        <v>0</v>
      </c>
      <c r="D14" s="853">
        <v>0</v>
      </c>
      <c r="E14" s="853">
        <v>828</v>
      </c>
    </row>
    <row r="15" spans="1:5" x14ac:dyDescent="0.25">
      <c r="A15" s="851" t="s">
        <v>776</v>
      </c>
      <c r="B15" s="853">
        <v>1</v>
      </c>
      <c r="C15" s="853">
        <v>0</v>
      </c>
      <c r="D15" s="853">
        <v>0</v>
      </c>
      <c r="E15" s="853">
        <v>1</v>
      </c>
    </row>
    <row r="16" spans="1:5" x14ac:dyDescent="0.25">
      <c r="A16" s="851" t="s">
        <v>777</v>
      </c>
      <c r="B16" s="853">
        <v>1</v>
      </c>
      <c r="C16" s="853">
        <v>0</v>
      </c>
      <c r="D16" s="853">
        <v>0</v>
      </c>
      <c r="E16" s="853">
        <v>1</v>
      </c>
    </row>
    <row r="17" spans="1:5" x14ac:dyDescent="0.25">
      <c r="A17" s="861" t="s">
        <v>778</v>
      </c>
      <c r="B17" s="862">
        <v>121428.2</v>
      </c>
      <c r="C17" s="862">
        <v>389187</v>
      </c>
      <c r="D17" s="862">
        <v>321373.56</v>
      </c>
      <c r="E17" s="862">
        <v>189241.64</v>
      </c>
    </row>
    <row r="18" spans="1:5" x14ac:dyDescent="0.25">
      <c r="A18" s="861" t="s">
        <v>1038</v>
      </c>
      <c r="B18" s="862">
        <v>0</v>
      </c>
      <c r="C18" s="862">
        <v>200000</v>
      </c>
      <c r="D18" s="862">
        <v>0</v>
      </c>
      <c r="E18" s="862">
        <v>200000</v>
      </c>
    </row>
    <row r="19" spans="1:5" x14ac:dyDescent="0.25">
      <c r="A19" s="861" t="s">
        <v>779</v>
      </c>
      <c r="B19" s="862">
        <v>36013.339999999997</v>
      </c>
      <c r="C19" s="862">
        <v>52481.33</v>
      </c>
      <c r="D19" s="862">
        <v>50039.86</v>
      </c>
      <c r="E19" s="862">
        <v>38454.81</v>
      </c>
    </row>
    <row r="20" spans="1:5" x14ac:dyDescent="0.25">
      <c r="A20" s="861" t="s">
        <v>780</v>
      </c>
      <c r="B20" s="862">
        <v>14091759.130000001</v>
      </c>
      <c r="C20" s="862">
        <v>366112220</v>
      </c>
      <c r="D20" s="862">
        <v>357197323.91000003</v>
      </c>
      <c r="E20" s="862">
        <v>23006655.219999999</v>
      </c>
    </row>
    <row r="21" spans="1:5" x14ac:dyDescent="0.25">
      <c r="A21" s="861" t="s">
        <v>782</v>
      </c>
      <c r="B21" s="862">
        <v>313805</v>
      </c>
      <c r="C21" s="862">
        <v>0</v>
      </c>
      <c r="D21" s="862">
        <v>0</v>
      </c>
      <c r="E21" s="862">
        <v>313805</v>
      </c>
    </row>
    <row r="22" spans="1:5" x14ac:dyDescent="0.25">
      <c r="A22" s="851" t="s">
        <v>783</v>
      </c>
      <c r="B22" s="853">
        <v>37937.599999999999</v>
      </c>
      <c r="C22" s="853">
        <v>0</v>
      </c>
      <c r="D22" s="853">
        <v>0</v>
      </c>
      <c r="E22" s="853">
        <v>37937.599999999999</v>
      </c>
    </row>
    <row r="23" spans="1:5" x14ac:dyDescent="0.25">
      <c r="A23" s="851" t="s">
        <v>784</v>
      </c>
      <c r="B23" s="853">
        <v>56907.42</v>
      </c>
      <c r="C23" s="853">
        <v>0</v>
      </c>
      <c r="D23" s="853">
        <v>0</v>
      </c>
      <c r="E23" s="853">
        <v>56907.42</v>
      </c>
    </row>
    <row r="24" spans="1:5" x14ac:dyDescent="0.25">
      <c r="A24" s="851" t="s">
        <v>785</v>
      </c>
      <c r="B24" s="853">
        <v>119324</v>
      </c>
      <c r="C24" s="853">
        <v>0</v>
      </c>
      <c r="D24" s="853">
        <v>47580</v>
      </c>
      <c r="E24" s="853">
        <v>71744</v>
      </c>
    </row>
    <row r="25" spans="1:5" x14ac:dyDescent="0.25">
      <c r="A25" s="851" t="s">
        <v>786</v>
      </c>
      <c r="B25" s="853">
        <v>1</v>
      </c>
      <c r="C25" s="853">
        <v>0</v>
      </c>
      <c r="D25" s="853">
        <v>0</v>
      </c>
      <c r="E25" s="853">
        <v>1</v>
      </c>
    </row>
    <row r="26" spans="1:5" x14ac:dyDescent="0.25">
      <c r="A26" s="851" t="s">
        <v>787</v>
      </c>
      <c r="B26" s="853">
        <v>9620</v>
      </c>
      <c r="C26" s="853">
        <v>0</v>
      </c>
      <c r="D26" s="853">
        <v>0</v>
      </c>
      <c r="E26" s="853">
        <v>9620</v>
      </c>
    </row>
    <row r="27" spans="1:5" x14ac:dyDescent="0.25">
      <c r="A27" s="851" t="s">
        <v>788</v>
      </c>
      <c r="B27" s="853">
        <v>1</v>
      </c>
      <c r="C27" s="853">
        <v>0</v>
      </c>
      <c r="D27" s="853">
        <v>0</v>
      </c>
      <c r="E27" s="853">
        <v>1</v>
      </c>
    </row>
    <row r="28" spans="1:5" x14ac:dyDescent="0.25">
      <c r="A28" s="851" t="s">
        <v>789</v>
      </c>
      <c r="B28" s="853">
        <v>2562</v>
      </c>
      <c r="C28" s="853">
        <v>0</v>
      </c>
      <c r="D28" s="853">
        <v>662.99</v>
      </c>
      <c r="E28" s="853">
        <v>1899.01</v>
      </c>
    </row>
    <row r="29" spans="1:5" x14ac:dyDescent="0.25">
      <c r="A29" s="851" t="s">
        <v>790</v>
      </c>
      <c r="B29" s="853">
        <v>4826</v>
      </c>
      <c r="C29" s="853">
        <v>0</v>
      </c>
      <c r="D29" s="853">
        <v>1249.02</v>
      </c>
      <c r="E29" s="853">
        <v>3576.98</v>
      </c>
    </row>
    <row r="30" spans="1:5" x14ac:dyDescent="0.25">
      <c r="A30" s="851" t="s">
        <v>791</v>
      </c>
      <c r="B30" s="853">
        <v>710</v>
      </c>
      <c r="C30" s="853">
        <v>0</v>
      </c>
      <c r="D30" s="853">
        <v>0</v>
      </c>
      <c r="E30" s="853">
        <v>710</v>
      </c>
    </row>
    <row r="31" spans="1:5" s="863" customFormat="1" x14ac:dyDescent="0.25">
      <c r="A31" s="861" t="s">
        <v>792</v>
      </c>
      <c r="B31" s="862">
        <v>0</v>
      </c>
      <c r="C31" s="862">
        <v>0</v>
      </c>
      <c r="D31" s="862">
        <v>0</v>
      </c>
      <c r="E31" s="862">
        <v>0</v>
      </c>
    </row>
    <row r="32" spans="1:5" s="863" customFormat="1" x14ac:dyDescent="0.25">
      <c r="A32" s="861" t="s">
        <v>793</v>
      </c>
      <c r="B32" s="862">
        <v>2232078.2599999998</v>
      </c>
      <c r="C32" s="862">
        <v>349764.51</v>
      </c>
      <c r="D32" s="862">
        <v>394091</v>
      </c>
      <c r="E32" s="862">
        <v>2187751.77</v>
      </c>
    </row>
    <row r="33" spans="1:5" s="863" customFormat="1" x14ac:dyDescent="0.25">
      <c r="A33" s="861" t="s">
        <v>794</v>
      </c>
      <c r="B33" s="862">
        <v>1628567.09</v>
      </c>
      <c r="C33" s="862">
        <v>1015249.48</v>
      </c>
      <c r="D33" s="862">
        <v>683438</v>
      </c>
      <c r="E33" s="862">
        <v>1960378.57</v>
      </c>
    </row>
    <row r="34" spans="1:5" s="863" customFormat="1" x14ac:dyDescent="0.25">
      <c r="A34" s="861" t="s">
        <v>795</v>
      </c>
      <c r="B34" s="862">
        <v>2161805.2200000002</v>
      </c>
      <c r="C34" s="862">
        <v>349764.45</v>
      </c>
      <c r="D34" s="862">
        <v>394091</v>
      </c>
      <c r="E34" s="862">
        <v>2117478.67</v>
      </c>
    </row>
    <row r="35" spans="1:5" ht="15.75" x14ac:dyDescent="0.25">
      <c r="A35" s="852" t="s">
        <v>796</v>
      </c>
      <c r="B35" s="854">
        <v>6022450.5700000003</v>
      </c>
      <c r="C35" s="854">
        <v>1714778.44</v>
      </c>
      <c r="D35" s="854">
        <v>1471620</v>
      </c>
      <c r="E35" s="854">
        <v>6265609.0099999998</v>
      </c>
    </row>
    <row r="36" spans="1:5" x14ac:dyDescent="0.25">
      <c r="A36" s="602"/>
      <c r="B36" s="645"/>
      <c r="C36" s="645"/>
      <c r="D36" s="645"/>
      <c r="E36" s="645"/>
    </row>
    <row r="37" spans="1:5" x14ac:dyDescent="0.25">
      <c r="A37" s="851" t="s">
        <v>797</v>
      </c>
      <c r="B37" s="853">
        <v>11235</v>
      </c>
      <c r="C37" s="853">
        <v>0</v>
      </c>
      <c r="D37" s="853">
        <v>0</v>
      </c>
      <c r="E37" s="853">
        <v>11235</v>
      </c>
    </row>
    <row r="38" spans="1:5" x14ac:dyDescent="0.25">
      <c r="A38" s="851" t="s">
        <v>800</v>
      </c>
      <c r="B38" s="853">
        <v>1</v>
      </c>
      <c r="C38" s="853">
        <v>0</v>
      </c>
      <c r="D38" s="853">
        <v>0</v>
      </c>
      <c r="E38" s="853">
        <v>1</v>
      </c>
    </row>
    <row r="39" spans="1:5" x14ac:dyDescent="0.25">
      <c r="A39" s="851" t="s">
        <v>801</v>
      </c>
      <c r="B39" s="853">
        <v>18950</v>
      </c>
      <c r="C39" s="853">
        <v>0</v>
      </c>
      <c r="D39" s="853">
        <v>15160</v>
      </c>
      <c r="E39" s="853">
        <v>3790</v>
      </c>
    </row>
    <row r="40" spans="1:5" x14ac:dyDescent="0.25">
      <c r="A40" s="851" t="s">
        <v>1037</v>
      </c>
      <c r="B40" s="853">
        <v>0</v>
      </c>
      <c r="C40" s="853">
        <v>825487</v>
      </c>
      <c r="D40" s="853">
        <v>479953.02</v>
      </c>
      <c r="E40" s="853">
        <v>345533.98</v>
      </c>
    </row>
    <row r="41" spans="1:5" x14ac:dyDescent="0.25">
      <c r="A41" s="851" t="s">
        <v>1036</v>
      </c>
      <c r="B41" s="853">
        <v>0</v>
      </c>
      <c r="C41" s="853">
        <v>1375023.26</v>
      </c>
      <c r="D41" s="853">
        <v>660053.99</v>
      </c>
      <c r="E41" s="853">
        <v>714969.27</v>
      </c>
    </row>
    <row r="42" spans="1:5" x14ac:dyDescent="0.25">
      <c r="A42" s="851" t="s">
        <v>1035</v>
      </c>
      <c r="B42" s="853">
        <v>0</v>
      </c>
      <c r="C42" s="853">
        <v>1423670</v>
      </c>
      <c r="D42" s="853">
        <v>519806</v>
      </c>
      <c r="E42" s="853">
        <v>903864</v>
      </c>
    </row>
    <row r="43" spans="1:5" x14ac:dyDescent="0.25">
      <c r="A43" s="851" t="s">
        <v>1034</v>
      </c>
      <c r="B43" s="853">
        <v>0</v>
      </c>
      <c r="C43" s="853">
        <v>1498600</v>
      </c>
      <c r="D43" s="853">
        <v>344895</v>
      </c>
      <c r="E43" s="853">
        <v>1153705</v>
      </c>
    </row>
    <row r="44" spans="1:5" x14ac:dyDescent="0.25">
      <c r="A44" s="851" t="s">
        <v>1033</v>
      </c>
      <c r="B44" s="853">
        <v>0</v>
      </c>
      <c r="C44" s="853">
        <v>749300</v>
      </c>
      <c r="D44" s="853">
        <v>77796</v>
      </c>
      <c r="E44" s="853">
        <v>671504</v>
      </c>
    </row>
    <row r="45" spans="1:5" x14ac:dyDescent="0.25">
      <c r="A45" s="851" t="s">
        <v>1032</v>
      </c>
      <c r="B45" s="853">
        <v>0</v>
      </c>
      <c r="C45" s="853">
        <v>1049020</v>
      </c>
      <c r="D45" s="853">
        <v>71054</v>
      </c>
      <c r="E45" s="853">
        <v>977966</v>
      </c>
    </row>
    <row r="46" spans="1:5" x14ac:dyDescent="0.25">
      <c r="A46" s="851" t="s">
        <v>1031</v>
      </c>
      <c r="B46" s="853">
        <v>0</v>
      </c>
      <c r="C46" s="853">
        <v>468342</v>
      </c>
      <c r="D46" s="853">
        <v>45384.01</v>
      </c>
      <c r="E46" s="853">
        <v>422957.99</v>
      </c>
    </row>
    <row r="47" spans="1:5" x14ac:dyDescent="0.25">
      <c r="A47" s="851" t="s">
        <v>810</v>
      </c>
      <c r="B47" s="853">
        <v>27000</v>
      </c>
      <c r="C47" s="853">
        <v>0</v>
      </c>
      <c r="D47" s="853">
        <v>0</v>
      </c>
      <c r="E47" s="853">
        <v>27000</v>
      </c>
    </row>
    <row r="48" spans="1:5" x14ac:dyDescent="0.25">
      <c r="A48" s="851" t="s">
        <v>811</v>
      </c>
      <c r="B48" s="853">
        <v>63561</v>
      </c>
      <c r="C48" s="853">
        <v>0</v>
      </c>
      <c r="D48" s="853">
        <v>0</v>
      </c>
      <c r="E48" s="853">
        <v>63561</v>
      </c>
    </row>
    <row r="49" spans="1:6" x14ac:dyDescent="0.25">
      <c r="A49" s="851" t="s">
        <v>820</v>
      </c>
      <c r="B49" s="853">
        <v>3375</v>
      </c>
      <c r="C49" s="853">
        <v>0</v>
      </c>
      <c r="D49" s="853">
        <v>0</v>
      </c>
      <c r="E49" s="853">
        <v>3375</v>
      </c>
    </row>
    <row r="50" spans="1:6" x14ac:dyDescent="0.25">
      <c r="A50" s="851"/>
      <c r="B50" s="853"/>
      <c r="C50" s="853"/>
      <c r="D50" s="853"/>
      <c r="E50" s="853"/>
    </row>
    <row r="51" spans="1:6" x14ac:dyDescent="0.25">
      <c r="A51" s="861" t="s">
        <v>824</v>
      </c>
      <c r="B51" s="862">
        <v>28397</v>
      </c>
      <c r="C51" s="862">
        <v>185257</v>
      </c>
      <c r="D51" s="862">
        <v>181768</v>
      </c>
      <c r="E51" s="862">
        <v>31886</v>
      </c>
    </row>
    <row r="52" spans="1:6" x14ac:dyDescent="0.25">
      <c r="A52" s="861" t="s">
        <v>825</v>
      </c>
      <c r="B52" s="862">
        <v>47271.35</v>
      </c>
      <c r="C52" s="862">
        <v>231693</v>
      </c>
      <c r="D52" s="862">
        <v>221199.88</v>
      </c>
      <c r="E52" s="862">
        <v>57764.47</v>
      </c>
    </row>
    <row r="53" spans="1:6" x14ac:dyDescent="0.25">
      <c r="A53" s="861" t="s">
        <v>826</v>
      </c>
      <c r="B53" s="862">
        <v>6987.19</v>
      </c>
      <c r="C53" s="862">
        <v>6520.36</v>
      </c>
      <c r="D53" s="862">
        <v>6987.19</v>
      </c>
      <c r="E53" s="862">
        <v>6520.36</v>
      </c>
    </row>
    <row r="54" spans="1:6" x14ac:dyDescent="0.25">
      <c r="A54" s="851" t="s">
        <v>1030</v>
      </c>
      <c r="B54" s="853">
        <v>0</v>
      </c>
      <c r="C54" s="853">
        <v>7730866.5700000003</v>
      </c>
      <c r="D54" s="853">
        <v>7730866.5700000003</v>
      </c>
      <c r="E54" s="853">
        <v>0</v>
      </c>
    </row>
    <row r="55" spans="1:6" x14ac:dyDescent="0.25">
      <c r="A55" s="861" t="s">
        <v>827</v>
      </c>
      <c r="B55" s="862">
        <v>126653.12</v>
      </c>
      <c r="C55" s="862">
        <v>95250</v>
      </c>
      <c r="D55" s="862">
        <v>135584.54</v>
      </c>
      <c r="E55" s="862">
        <v>86318.58</v>
      </c>
    </row>
    <row r="56" spans="1:6" x14ac:dyDescent="0.25">
      <c r="A56" s="861" t="s">
        <v>828</v>
      </c>
      <c r="B56" s="862">
        <v>250313.69</v>
      </c>
      <c r="C56" s="862">
        <v>161700</v>
      </c>
      <c r="D56" s="862">
        <v>357547.18</v>
      </c>
      <c r="E56" s="862">
        <v>54466.51</v>
      </c>
    </row>
    <row r="57" spans="1:6" x14ac:dyDescent="0.25">
      <c r="A57" s="861" t="s">
        <v>829</v>
      </c>
      <c r="B57" s="862">
        <v>1362469.57</v>
      </c>
      <c r="C57" s="862">
        <v>2548055.79</v>
      </c>
      <c r="D57" s="862">
        <v>1362469.55</v>
      </c>
      <c r="E57" s="862">
        <v>2548055.81</v>
      </c>
    </row>
    <row r="58" spans="1:6" x14ac:dyDescent="0.25">
      <c r="A58" s="851" t="s">
        <v>833</v>
      </c>
      <c r="B58" s="853">
        <v>847.14</v>
      </c>
      <c r="C58" s="853">
        <v>0</v>
      </c>
      <c r="D58" s="853">
        <v>0</v>
      </c>
      <c r="E58" s="853">
        <v>847.14</v>
      </c>
    </row>
    <row r="59" spans="1:6" x14ac:dyDescent="0.25">
      <c r="A59" s="851" t="s">
        <v>834</v>
      </c>
      <c r="B59" s="853">
        <v>2968</v>
      </c>
      <c r="C59" s="853">
        <v>0</v>
      </c>
      <c r="D59" s="853">
        <v>0</v>
      </c>
      <c r="E59" s="853">
        <v>2968</v>
      </c>
    </row>
    <row r="60" spans="1:6" x14ac:dyDescent="0.25">
      <c r="A60" s="851" t="s">
        <v>837</v>
      </c>
      <c r="B60" s="853">
        <v>896.14</v>
      </c>
      <c r="C60" s="853">
        <v>0</v>
      </c>
      <c r="D60" s="853">
        <v>281.70999999999998</v>
      </c>
      <c r="E60" s="853">
        <v>614.42999999999995</v>
      </c>
    </row>
    <row r="61" spans="1:6" x14ac:dyDescent="0.25">
      <c r="A61" s="861" t="s">
        <v>839</v>
      </c>
      <c r="B61" s="862">
        <v>75000</v>
      </c>
      <c r="C61" s="862">
        <v>0</v>
      </c>
      <c r="D61" s="862">
        <v>0</v>
      </c>
      <c r="E61" s="862">
        <v>75000</v>
      </c>
      <c r="F61" t="s">
        <v>1048</v>
      </c>
    </row>
    <row r="62" spans="1:6" x14ac:dyDescent="0.25">
      <c r="A62" s="861" t="s">
        <v>840</v>
      </c>
      <c r="B62" s="862">
        <v>376200</v>
      </c>
      <c r="C62" s="862">
        <v>0</v>
      </c>
      <c r="D62" s="862">
        <v>0</v>
      </c>
      <c r="E62" s="862">
        <v>376200</v>
      </c>
    </row>
    <row r="63" spans="1:6" x14ac:dyDescent="0.25">
      <c r="A63" s="861" t="s">
        <v>842</v>
      </c>
      <c r="B63" s="862">
        <v>29400</v>
      </c>
      <c r="C63" s="862">
        <v>0</v>
      </c>
      <c r="D63" s="862">
        <v>0</v>
      </c>
      <c r="E63" s="862">
        <v>29400</v>
      </c>
      <c r="F63" t="s">
        <v>1048</v>
      </c>
    </row>
    <row r="64" spans="1:6" x14ac:dyDescent="0.25">
      <c r="A64" s="861" t="s">
        <v>843</v>
      </c>
      <c r="B64" s="862">
        <v>675000</v>
      </c>
      <c r="C64" s="862">
        <v>0</v>
      </c>
      <c r="D64" s="862">
        <v>0</v>
      </c>
      <c r="E64" s="862">
        <v>675000</v>
      </c>
      <c r="F64" t="s">
        <v>1048</v>
      </c>
    </row>
    <row r="65" spans="1:8" ht="15.75" thickBot="1" x14ac:dyDescent="0.3">
      <c r="A65" s="851" t="s">
        <v>335</v>
      </c>
      <c r="B65" s="917" t="s">
        <v>172</v>
      </c>
      <c r="C65" s="917" t="s">
        <v>172</v>
      </c>
      <c r="D65" s="917" t="s">
        <v>172</v>
      </c>
      <c r="E65" s="917" t="s">
        <v>172</v>
      </c>
    </row>
    <row r="66" spans="1:8" x14ac:dyDescent="0.25">
      <c r="A66" s="861" t="s">
        <v>844</v>
      </c>
      <c r="B66" s="862">
        <v>-223362</v>
      </c>
      <c r="C66" s="862">
        <v>22142567.57</v>
      </c>
      <c r="D66" s="862">
        <v>22407167.57</v>
      </c>
      <c r="E66" s="862">
        <v>-487962</v>
      </c>
      <c r="G66" s="880" t="s">
        <v>1053</v>
      </c>
      <c r="H66" s="881">
        <v>476481</v>
      </c>
    </row>
    <row r="67" spans="1:8" x14ac:dyDescent="0.25">
      <c r="A67" s="851" t="s">
        <v>1029</v>
      </c>
      <c r="B67" s="853">
        <v>0</v>
      </c>
      <c r="C67" s="853">
        <v>0</v>
      </c>
      <c r="D67" s="853">
        <v>0</v>
      </c>
      <c r="E67" s="853">
        <v>0</v>
      </c>
      <c r="G67" s="882" t="s">
        <v>1054</v>
      </c>
      <c r="H67" s="883">
        <v>2320</v>
      </c>
    </row>
    <row r="68" spans="1:8" x14ac:dyDescent="0.25">
      <c r="A68" s="861" t="s">
        <v>1028</v>
      </c>
      <c r="B68" s="862">
        <v>0</v>
      </c>
      <c r="C68" s="862">
        <v>0</v>
      </c>
      <c r="D68" s="862">
        <v>45241.61</v>
      </c>
      <c r="E68" s="862">
        <v>-45241.61</v>
      </c>
      <c r="G68" s="882" t="s">
        <v>1055</v>
      </c>
      <c r="H68" s="883">
        <v>15</v>
      </c>
    </row>
    <row r="69" spans="1:8" x14ac:dyDescent="0.25">
      <c r="A69" s="861" t="s">
        <v>1027</v>
      </c>
      <c r="B69" s="862">
        <v>0</v>
      </c>
      <c r="C69" s="862">
        <v>0</v>
      </c>
      <c r="D69" s="862">
        <v>45241.61</v>
      </c>
      <c r="E69" s="862">
        <v>-45241.61</v>
      </c>
      <c r="G69" s="882" t="s">
        <v>613</v>
      </c>
      <c r="H69" s="883">
        <v>5625</v>
      </c>
    </row>
    <row r="70" spans="1:8" ht="16.5" thickBot="1" x14ac:dyDescent="0.3">
      <c r="A70" s="852" t="s">
        <v>1026</v>
      </c>
      <c r="B70" s="854">
        <v>0</v>
      </c>
      <c r="C70" s="854">
        <v>0</v>
      </c>
      <c r="D70" s="854">
        <v>90483.22</v>
      </c>
      <c r="E70" s="854">
        <v>-90483.22</v>
      </c>
      <c r="G70" s="882" t="s">
        <v>614</v>
      </c>
      <c r="H70" s="883">
        <v>3521</v>
      </c>
    </row>
    <row r="71" spans="1:8" ht="15.75" thickBot="1" x14ac:dyDescent="0.3">
      <c r="A71" s="602"/>
      <c r="B71" s="645"/>
      <c r="C71" s="645"/>
      <c r="D71" s="645"/>
      <c r="E71" s="645"/>
      <c r="G71" s="885" t="s">
        <v>158</v>
      </c>
      <c r="H71" s="884">
        <f>SUM(H66:H70)</f>
        <v>487962</v>
      </c>
    </row>
    <row r="72" spans="1:8" x14ac:dyDescent="0.25">
      <c r="A72" s="861" t="s">
        <v>845</v>
      </c>
      <c r="B72" s="862">
        <v>-128700.61</v>
      </c>
      <c r="C72" s="862">
        <v>234737870.61000001</v>
      </c>
      <c r="D72" s="862">
        <v>234637558</v>
      </c>
      <c r="E72" s="862">
        <v>-28388</v>
      </c>
    </row>
    <row r="73" spans="1:8" x14ac:dyDescent="0.25">
      <c r="A73" s="861" t="s">
        <v>846</v>
      </c>
      <c r="B73" s="862">
        <v>-19000</v>
      </c>
      <c r="C73" s="862">
        <v>275000</v>
      </c>
      <c r="D73" s="862">
        <v>286600</v>
      </c>
      <c r="E73" s="862">
        <v>-30600</v>
      </c>
    </row>
    <row r="74" spans="1:8" x14ac:dyDescent="0.25">
      <c r="A74" s="861" t="s">
        <v>847</v>
      </c>
      <c r="B74" s="862">
        <v>-2329781</v>
      </c>
      <c r="C74" s="862">
        <v>32403759</v>
      </c>
      <c r="D74" s="862">
        <v>33569622</v>
      </c>
      <c r="E74" s="862">
        <v>-3495644</v>
      </c>
    </row>
    <row r="75" spans="1:8" x14ac:dyDescent="0.25">
      <c r="A75" s="861" t="s">
        <v>848</v>
      </c>
      <c r="B75" s="862">
        <v>-11855641</v>
      </c>
      <c r="C75" s="862">
        <v>0</v>
      </c>
      <c r="D75" s="862">
        <v>5333587</v>
      </c>
      <c r="E75" s="862">
        <v>-17189228</v>
      </c>
    </row>
    <row r="76" spans="1:8" x14ac:dyDescent="0.25">
      <c r="A76" s="861" t="s">
        <v>849</v>
      </c>
      <c r="B76" s="862">
        <v>-100000</v>
      </c>
      <c r="C76" s="862">
        <v>100000</v>
      </c>
      <c r="D76" s="862">
        <v>100000</v>
      </c>
      <c r="E76" s="862">
        <v>-100000</v>
      </c>
    </row>
    <row r="77" spans="1:8" x14ac:dyDescent="0.25">
      <c r="A77" s="861" t="s">
        <v>850</v>
      </c>
      <c r="B77" s="862">
        <v>-20000</v>
      </c>
      <c r="C77" s="862">
        <v>20000</v>
      </c>
      <c r="D77" s="862">
        <v>20000</v>
      </c>
      <c r="E77" s="862">
        <v>-20000</v>
      </c>
    </row>
    <row r="78" spans="1:8" x14ac:dyDescent="0.25">
      <c r="A78" s="861" t="s">
        <v>851</v>
      </c>
      <c r="B78" s="862">
        <v>-9421274</v>
      </c>
      <c r="C78" s="862">
        <v>9421274</v>
      </c>
      <c r="D78" s="862">
        <v>15617119.02</v>
      </c>
      <c r="E78" s="862">
        <v>-15617119.02</v>
      </c>
    </row>
    <row r="79" spans="1:8" x14ac:dyDescent="0.25">
      <c r="A79" s="861" t="s">
        <v>852</v>
      </c>
      <c r="B79" s="862">
        <v>-3669498.25</v>
      </c>
      <c r="C79" s="862">
        <v>45611668</v>
      </c>
      <c r="D79" s="862">
        <v>52358923.770000003</v>
      </c>
      <c r="E79" s="862">
        <v>-10416754.02</v>
      </c>
    </row>
    <row r="80" spans="1:8" x14ac:dyDescent="0.25">
      <c r="A80" s="861" t="s">
        <v>853</v>
      </c>
      <c r="B80" s="862">
        <v>-1105182</v>
      </c>
      <c r="C80" s="862">
        <v>0</v>
      </c>
      <c r="D80" s="862">
        <v>0</v>
      </c>
      <c r="E80" s="862">
        <v>-1105182</v>
      </c>
      <c r="F80" t="s">
        <v>1047</v>
      </c>
    </row>
    <row r="81" spans="1:5" x14ac:dyDescent="0.25">
      <c r="A81" s="851" t="s">
        <v>345</v>
      </c>
      <c r="B81" s="917" t="s">
        <v>172</v>
      </c>
      <c r="C81" s="917" t="s">
        <v>172</v>
      </c>
      <c r="D81" s="917" t="s">
        <v>172</v>
      </c>
      <c r="E81" s="917" t="s">
        <v>172</v>
      </c>
    </row>
    <row r="82" spans="1:5" x14ac:dyDescent="0.25">
      <c r="A82" s="851" t="s">
        <v>854</v>
      </c>
      <c r="B82" s="853">
        <v>-4908638.1399999997</v>
      </c>
      <c r="C82" s="853">
        <v>0</v>
      </c>
      <c r="D82" s="853">
        <v>0</v>
      </c>
      <c r="E82" s="853">
        <v>-4908638.1399999997</v>
      </c>
    </row>
    <row r="83" spans="1:5" x14ac:dyDescent="0.25">
      <c r="A83" s="851" t="s">
        <v>855</v>
      </c>
      <c r="B83" s="853">
        <v>-20</v>
      </c>
      <c r="C83" s="853">
        <v>0</v>
      </c>
      <c r="D83" s="853">
        <v>0</v>
      </c>
      <c r="E83" s="853">
        <v>-20</v>
      </c>
    </row>
    <row r="84" spans="1:5" x14ac:dyDescent="0.25">
      <c r="A84" s="851" t="s">
        <v>856</v>
      </c>
      <c r="B84" s="853">
        <v>-10</v>
      </c>
      <c r="C84" s="853">
        <v>0</v>
      </c>
      <c r="D84" s="853">
        <v>0</v>
      </c>
      <c r="E84" s="853">
        <v>-10</v>
      </c>
    </row>
    <row r="85" spans="1:5" x14ac:dyDescent="0.25">
      <c r="A85" s="851" t="s">
        <v>857</v>
      </c>
      <c r="B85" s="853">
        <v>-9970</v>
      </c>
      <c r="C85" s="853">
        <v>0</v>
      </c>
      <c r="D85" s="853">
        <v>0</v>
      </c>
      <c r="E85" s="853">
        <v>-9970</v>
      </c>
    </row>
    <row r="86" spans="1:5" x14ac:dyDescent="0.25">
      <c r="A86" s="851" t="s">
        <v>28</v>
      </c>
      <c r="B86" s="917" t="s">
        <v>172</v>
      </c>
      <c r="C86" s="917" t="s">
        <v>172</v>
      </c>
      <c r="D86" s="917" t="s">
        <v>172</v>
      </c>
      <c r="E86" s="917" t="s">
        <v>172</v>
      </c>
    </row>
    <row r="87" spans="1:5" s="863" customFormat="1" x14ac:dyDescent="0.25">
      <c r="A87" s="861" t="s">
        <v>1025</v>
      </c>
      <c r="B87" s="862">
        <v>0</v>
      </c>
      <c r="C87" s="862">
        <v>0</v>
      </c>
      <c r="D87" s="862">
        <v>576084.78</v>
      </c>
      <c r="E87" s="862">
        <v>-576084.78</v>
      </c>
    </row>
    <row r="88" spans="1:5" s="863" customFormat="1" x14ac:dyDescent="0.25">
      <c r="A88" s="861" t="s">
        <v>858</v>
      </c>
      <c r="B88" s="862">
        <v>0</v>
      </c>
      <c r="C88" s="862">
        <v>0</v>
      </c>
      <c r="D88" s="862">
        <v>364415590</v>
      </c>
      <c r="E88" s="862">
        <v>-364415590</v>
      </c>
    </row>
    <row r="89" spans="1:5" x14ac:dyDescent="0.25">
      <c r="A89" s="851" t="s">
        <v>351</v>
      </c>
      <c r="B89" s="917" t="s">
        <v>172</v>
      </c>
      <c r="C89" s="917" t="s">
        <v>172</v>
      </c>
      <c r="D89" s="917" t="s">
        <v>172</v>
      </c>
      <c r="E89" s="917" t="s">
        <v>172</v>
      </c>
    </row>
    <row r="90" spans="1:5" s="863" customFormat="1" x14ac:dyDescent="0.25">
      <c r="A90" s="861" t="s">
        <v>860</v>
      </c>
      <c r="B90" s="862">
        <v>0</v>
      </c>
      <c r="C90" s="862">
        <v>5000</v>
      </c>
      <c r="D90" s="862">
        <v>0</v>
      </c>
      <c r="E90" s="862">
        <v>5000</v>
      </c>
    </row>
    <row r="91" spans="1:5" s="863" customFormat="1" x14ac:dyDescent="0.25">
      <c r="A91" s="861" t="s">
        <v>861</v>
      </c>
      <c r="B91" s="862">
        <v>0</v>
      </c>
      <c r="C91" s="862">
        <v>17418.509999999998</v>
      </c>
      <c r="D91" s="862">
        <v>0</v>
      </c>
      <c r="E91" s="862">
        <v>17418.509999999998</v>
      </c>
    </row>
    <row r="92" spans="1:5" s="863" customFormat="1" x14ac:dyDescent="0.25">
      <c r="A92" s="861" t="s">
        <v>862</v>
      </c>
      <c r="B92" s="862">
        <v>0</v>
      </c>
      <c r="C92" s="862">
        <v>29839.5</v>
      </c>
      <c r="D92" s="862">
        <v>0</v>
      </c>
      <c r="E92" s="862">
        <v>29839.5</v>
      </c>
    </row>
    <row r="93" spans="1:5" s="863" customFormat="1" x14ac:dyDescent="0.25">
      <c r="A93" s="861" t="s">
        <v>863</v>
      </c>
      <c r="B93" s="862">
        <v>0</v>
      </c>
      <c r="C93" s="862">
        <v>152620.79999999999</v>
      </c>
      <c r="D93" s="862">
        <v>0</v>
      </c>
      <c r="E93" s="862">
        <v>152620.79999999999</v>
      </c>
    </row>
    <row r="94" spans="1:5" s="863" customFormat="1" x14ac:dyDescent="0.25">
      <c r="A94" s="861" t="s">
        <v>864</v>
      </c>
      <c r="B94" s="862">
        <v>0</v>
      </c>
      <c r="C94" s="862">
        <v>5300</v>
      </c>
      <c r="D94" s="862">
        <v>0</v>
      </c>
      <c r="E94" s="862">
        <v>5300</v>
      </c>
    </row>
    <row r="95" spans="1:5" s="863" customFormat="1" x14ac:dyDescent="0.25">
      <c r="A95" s="861" t="s">
        <v>866</v>
      </c>
      <c r="B95" s="862">
        <v>0</v>
      </c>
      <c r="C95" s="862">
        <v>2428249.73</v>
      </c>
      <c r="D95" s="862">
        <v>0</v>
      </c>
      <c r="E95" s="862">
        <v>2428249.73</v>
      </c>
    </row>
    <row r="96" spans="1:5" s="863" customFormat="1" x14ac:dyDescent="0.25">
      <c r="A96" s="861" t="s">
        <v>867</v>
      </c>
      <c r="B96" s="862">
        <v>0</v>
      </c>
      <c r="C96" s="862">
        <v>4944728.45</v>
      </c>
      <c r="D96" s="862">
        <v>0</v>
      </c>
      <c r="E96" s="862">
        <v>4944728.45</v>
      </c>
    </row>
    <row r="97" spans="1:7" s="863" customFormat="1" x14ac:dyDescent="0.25">
      <c r="A97" s="861" t="s">
        <v>868</v>
      </c>
      <c r="B97" s="862">
        <v>0</v>
      </c>
      <c r="C97" s="862">
        <v>507558.52</v>
      </c>
      <c r="D97" s="862">
        <v>0</v>
      </c>
      <c r="E97" s="862">
        <v>507558.52</v>
      </c>
    </row>
    <row r="98" spans="1:7" s="863" customFormat="1" x14ac:dyDescent="0.25">
      <c r="A98" s="861" t="s">
        <v>869</v>
      </c>
      <c r="B98" s="862">
        <v>0</v>
      </c>
      <c r="C98" s="862">
        <v>271239.74</v>
      </c>
      <c r="D98" s="862">
        <v>2481.33</v>
      </c>
      <c r="E98" s="862">
        <v>268758.40999999997</v>
      </c>
    </row>
    <row r="99" spans="1:7" s="863" customFormat="1" x14ac:dyDescent="0.25">
      <c r="A99" s="861" t="s">
        <v>870</v>
      </c>
      <c r="B99" s="862">
        <v>0</v>
      </c>
      <c r="C99" s="862">
        <v>1755619.32</v>
      </c>
      <c r="D99" s="862">
        <v>0</v>
      </c>
      <c r="E99" s="862">
        <v>1755619.32</v>
      </c>
    </row>
    <row r="100" spans="1:7" s="863" customFormat="1" x14ac:dyDescent="0.25">
      <c r="A100" s="861" t="s">
        <v>871</v>
      </c>
      <c r="B100" s="862">
        <v>0</v>
      </c>
      <c r="C100" s="862">
        <v>16227045</v>
      </c>
      <c r="D100" s="862">
        <v>0</v>
      </c>
      <c r="E100" s="862">
        <v>16227045</v>
      </c>
    </row>
    <row r="101" spans="1:7" s="863" customFormat="1" x14ac:dyDescent="0.25">
      <c r="A101" s="861" t="s">
        <v>872</v>
      </c>
      <c r="B101" s="862">
        <v>0</v>
      </c>
      <c r="C101" s="862">
        <v>5333587</v>
      </c>
      <c r="D101" s="862">
        <v>0</v>
      </c>
      <c r="E101" s="862">
        <v>5333587</v>
      </c>
    </row>
    <row r="102" spans="1:7" x14ac:dyDescent="0.25">
      <c r="A102" s="871" t="s">
        <v>873</v>
      </c>
      <c r="B102" s="872">
        <v>0</v>
      </c>
      <c r="C102" s="872">
        <v>15626612.18</v>
      </c>
      <c r="D102" s="872">
        <v>0</v>
      </c>
      <c r="E102" s="872">
        <v>15626612.18</v>
      </c>
      <c r="G102" s="876"/>
    </row>
    <row r="103" spans="1:7" s="863" customFormat="1" x14ac:dyDescent="0.25">
      <c r="A103" s="861" t="s">
        <v>1024</v>
      </c>
      <c r="B103" s="862">
        <v>0</v>
      </c>
      <c r="C103" s="862">
        <v>325</v>
      </c>
      <c r="D103" s="862">
        <v>0</v>
      </c>
      <c r="E103" s="862">
        <v>325</v>
      </c>
      <c r="G103" s="873"/>
    </row>
    <row r="104" spans="1:7" s="863" customFormat="1" x14ac:dyDescent="0.25">
      <c r="A104" s="861" t="s">
        <v>1023</v>
      </c>
      <c r="B104" s="862">
        <v>0</v>
      </c>
      <c r="C104" s="862">
        <v>106986</v>
      </c>
      <c r="D104" s="862">
        <v>0</v>
      </c>
      <c r="E104" s="862">
        <v>106986</v>
      </c>
    </row>
    <row r="105" spans="1:7" s="863" customFormat="1" x14ac:dyDescent="0.25">
      <c r="A105" s="861" t="s">
        <v>874</v>
      </c>
      <c r="B105" s="862">
        <v>0</v>
      </c>
      <c r="C105" s="862">
        <v>367322.17</v>
      </c>
      <c r="D105" s="862">
        <v>49599</v>
      </c>
      <c r="E105" s="862">
        <v>317723.17</v>
      </c>
    </row>
    <row r="106" spans="1:7" s="863" customFormat="1" x14ac:dyDescent="0.25">
      <c r="A106" s="861" t="s">
        <v>1022</v>
      </c>
      <c r="B106" s="862">
        <v>0</v>
      </c>
      <c r="C106" s="862">
        <v>165413.18</v>
      </c>
      <c r="D106" s="862">
        <v>0</v>
      </c>
      <c r="E106" s="862">
        <v>165413.18</v>
      </c>
    </row>
    <row r="107" spans="1:7" s="863" customFormat="1" x14ac:dyDescent="0.25">
      <c r="A107" s="861" t="s">
        <v>875</v>
      </c>
      <c r="B107" s="862">
        <v>0</v>
      </c>
      <c r="C107" s="862">
        <v>357547.18</v>
      </c>
      <c r="D107" s="862">
        <v>0</v>
      </c>
      <c r="E107" s="862">
        <v>357547.18</v>
      </c>
    </row>
    <row r="108" spans="1:7" s="863" customFormat="1" x14ac:dyDescent="0.25">
      <c r="A108" s="861" t="s">
        <v>877</v>
      </c>
      <c r="B108" s="862">
        <v>0</v>
      </c>
      <c r="C108" s="862">
        <v>4090054.71</v>
      </c>
      <c r="D108" s="862">
        <v>0</v>
      </c>
      <c r="E108" s="862">
        <v>4090054.71</v>
      </c>
    </row>
    <row r="109" spans="1:7" s="863" customFormat="1" x14ac:dyDescent="0.25">
      <c r="A109" s="861" t="s">
        <v>878</v>
      </c>
      <c r="B109" s="862">
        <v>0</v>
      </c>
      <c r="C109" s="862">
        <v>2498064</v>
      </c>
      <c r="D109" s="862">
        <v>0</v>
      </c>
      <c r="E109" s="862">
        <v>2498064</v>
      </c>
    </row>
    <row r="110" spans="1:7" x14ac:dyDescent="0.25">
      <c r="A110" s="851" t="s">
        <v>1021</v>
      </c>
      <c r="B110" s="853">
        <v>0</v>
      </c>
      <c r="C110" s="853">
        <v>77176</v>
      </c>
      <c r="D110" s="853">
        <v>77176</v>
      </c>
      <c r="E110" s="853">
        <v>0</v>
      </c>
    </row>
    <row r="111" spans="1:7" s="863" customFormat="1" x14ac:dyDescent="0.25">
      <c r="A111" s="861" t="s">
        <v>879</v>
      </c>
      <c r="B111" s="862">
        <v>0</v>
      </c>
      <c r="C111" s="862">
        <v>9.15</v>
      </c>
      <c r="D111" s="862">
        <f>4.71+14.44</f>
        <v>19.149999999999999</v>
      </c>
      <c r="E111" s="862">
        <v>4.4400000000000004</v>
      </c>
    </row>
    <row r="112" spans="1:7" s="863" customFormat="1" x14ac:dyDescent="0.25">
      <c r="A112" s="861" t="s">
        <v>880</v>
      </c>
      <c r="B112" s="862">
        <v>0</v>
      </c>
      <c r="C112" s="862">
        <v>303157350</v>
      </c>
      <c r="D112" s="862">
        <v>69553.38</v>
      </c>
      <c r="E112" s="862">
        <v>303087796.62</v>
      </c>
    </row>
    <row r="113" spans="1:8" s="863" customFormat="1" x14ac:dyDescent="0.25">
      <c r="A113" s="861" t="s">
        <v>881</v>
      </c>
      <c r="B113" s="862">
        <v>0</v>
      </c>
      <c r="C113" s="862">
        <v>1134186</v>
      </c>
      <c r="D113" s="862">
        <v>0</v>
      </c>
      <c r="E113" s="862">
        <v>1134186</v>
      </c>
    </row>
    <row r="114" spans="1:8" s="863" customFormat="1" x14ac:dyDescent="0.25">
      <c r="A114" s="861" t="s">
        <v>882</v>
      </c>
      <c r="B114" s="862">
        <v>0</v>
      </c>
      <c r="C114" s="862">
        <v>779595</v>
      </c>
      <c r="D114" s="862">
        <v>0</v>
      </c>
      <c r="E114" s="862">
        <v>779595</v>
      </c>
    </row>
    <row r="115" spans="1:8" s="863" customFormat="1" x14ac:dyDescent="0.25">
      <c r="A115" s="861" t="s">
        <v>883</v>
      </c>
      <c r="B115" s="862">
        <v>0</v>
      </c>
      <c r="C115" s="862">
        <v>261946.61</v>
      </c>
      <c r="D115" s="862">
        <v>0</v>
      </c>
      <c r="E115" s="862">
        <v>261946.61</v>
      </c>
    </row>
    <row r="116" spans="1:8" s="863" customFormat="1" x14ac:dyDescent="0.25">
      <c r="A116" s="861" t="s">
        <v>884</v>
      </c>
      <c r="B116" s="862">
        <v>0</v>
      </c>
      <c r="C116" s="862">
        <v>39716</v>
      </c>
      <c r="D116" s="862">
        <v>0</v>
      </c>
      <c r="E116" s="862">
        <v>39716</v>
      </c>
    </row>
    <row r="117" spans="1:8" s="863" customFormat="1" x14ac:dyDescent="0.25">
      <c r="A117" s="861" t="s">
        <v>885</v>
      </c>
      <c r="B117" s="862">
        <v>0</v>
      </c>
      <c r="C117" s="862">
        <v>1856250</v>
      </c>
      <c r="D117" s="862">
        <v>0</v>
      </c>
      <c r="E117" s="862">
        <v>1856250</v>
      </c>
    </row>
    <row r="118" spans="1:8" s="863" customFormat="1" x14ac:dyDescent="0.25">
      <c r="A118" s="861" t="s">
        <v>886</v>
      </c>
      <c r="B118" s="862">
        <v>0</v>
      </c>
      <c r="C118" s="862">
        <v>100000</v>
      </c>
      <c r="D118" s="862">
        <v>0</v>
      </c>
      <c r="E118" s="862">
        <v>100000</v>
      </c>
    </row>
    <row r="119" spans="1:8" s="863" customFormat="1" x14ac:dyDescent="0.25">
      <c r="A119" s="861" t="s">
        <v>887</v>
      </c>
      <c r="B119" s="862">
        <v>0</v>
      </c>
      <c r="C119" s="862">
        <v>22717</v>
      </c>
      <c r="D119" s="862">
        <v>0</v>
      </c>
      <c r="E119" s="862">
        <v>22717</v>
      </c>
      <c r="G119" s="878"/>
      <c r="H119" s="873"/>
    </row>
    <row r="120" spans="1:8" s="863" customFormat="1" x14ac:dyDescent="0.25">
      <c r="A120" s="861" t="s">
        <v>888</v>
      </c>
      <c r="B120" s="862">
        <v>0</v>
      </c>
      <c r="C120" s="862">
        <v>720000</v>
      </c>
      <c r="D120" s="862">
        <v>0</v>
      </c>
      <c r="E120" s="862">
        <v>720000</v>
      </c>
    </row>
    <row r="121" spans="1:8" s="863" customFormat="1" x14ac:dyDescent="0.25">
      <c r="A121" s="861" t="s">
        <v>889</v>
      </c>
      <c r="B121" s="862">
        <v>0</v>
      </c>
      <c r="C121" s="862">
        <v>600</v>
      </c>
      <c r="D121" s="862">
        <v>0</v>
      </c>
      <c r="E121" s="862">
        <v>600</v>
      </c>
      <c r="G121" s="873"/>
    </row>
    <row r="122" spans="1:8" s="863" customFormat="1" x14ac:dyDescent="0.25">
      <c r="A122" s="861" t="s">
        <v>891</v>
      </c>
      <c r="B122" s="862">
        <v>0</v>
      </c>
      <c r="C122" s="862">
        <v>234619.5</v>
      </c>
      <c r="D122" s="862">
        <v>0</v>
      </c>
      <c r="E122" s="862">
        <v>234619.5</v>
      </c>
      <c r="G122" s="878"/>
    </row>
    <row r="123" spans="1:8" s="863" customFormat="1" x14ac:dyDescent="0.25">
      <c r="A123" s="861" t="s">
        <v>892</v>
      </c>
      <c r="B123" s="862">
        <v>0</v>
      </c>
      <c r="C123" s="862">
        <v>20000</v>
      </c>
      <c r="D123" s="862">
        <v>0</v>
      </c>
      <c r="E123" s="862">
        <v>20000</v>
      </c>
      <c r="G123" s="873"/>
    </row>
    <row r="124" spans="1:8" s="863" customFormat="1" x14ac:dyDescent="0.25">
      <c r="A124" s="861" t="s">
        <v>893</v>
      </c>
      <c r="B124" s="862">
        <v>0</v>
      </c>
      <c r="C124" s="862">
        <v>35302.730000000003</v>
      </c>
      <c r="D124" s="862">
        <v>0</v>
      </c>
      <c r="E124" s="862">
        <v>35302.730000000003</v>
      </c>
      <c r="F124" s="873">
        <f>D87+D88</f>
        <v>364991674.77999997</v>
      </c>
      <c r="G124" s="877"/>
    </row>
    <row r="125" spans="1:8" s="863" customFormat="1" x14ac:dyDescent="0.25">
      <c r="A125" s="861" t="s">
        <v>894</v>
      </c>
      <c r="B125" s="862">
        <v>0</v>
      </c>
      <c r="C125" s="862">
        <v>175438</v>
      </c>
      <c r="D125" s="862">
        <v>0</v>
      </c>
      <c r="E125" s="862">
        <v>175438</v>
      </c>
      <c r="F125" s="877">
        <f>SUM(E90:E125)</f>
        <v>363306622.56000006</v>
      </c>
      <c r="G125" s="873"/>
    </row>
    <row r="126" spans="1:8" ht="15.75" x14ac:dyDescent="0.25">
      <c r="A126" s="852" t="s">
        <v>895</v>
      </c>
      <c r="B126" s="854"/>
      <c r="C126" s="854">
        <v>1475676078.9100001</v>
      </c>
      <c r="D126" s="854">
        <v>1475676078.9100001</v>
      </c>
      <c r="E126" s="854"/>
      <c r="F126" s="898">
        <f>F124-F125</f>
        <v>1685052.2199999094</v>
      </c>
    </row>
  </sheetData>
  <mergeCells count="6">
    <mergeCell ref="B89:E89"/>
    <mergeCell ref="A1:E1"/>
    <mergeCell ref="B3:E3"/>
    <mergeCell ref="B65:E65"/>
    <mergeCell ref="B81:E81"/>
    <mergeCell ref="B86:E8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F20D9-C88D-471E-A175-2E409B33E24E}">
  <sheetPr>
    <pageSetUpPr fitToPage="1"/>
  </sheetPr>
  <dimension ref="A1:XFC224"/>
  <sheetViews>
    <sheetView showGridLines="0" view="pageBreakPreview" topLeftCell="A42" zoomScaleNormal="95" zoomScaleSheetLayoutView="100" workbookViewId="0">
      <selection activeCell="A55" sqref="A55"/>
    </sheetView>
  </sheetViews>
  <sheetFormatPr defaultColWidth="0" defaultRowHeight="15" zeroHeight="1" x14ac:dyDescent="0.25"/>
  <cols>
    <col min="1" max="1" width="46.5703125" style="255" customWidth="1"/>
    <col min="2" max="2" width="10.42578125" style="255" customWidth="1"/>
    <col min="3" max="3" width="18.85546875" style="255" customWidth="1"/>
    <col min="4" max="4" width="18.42578125" style="256" customWidth="1"/>
    <col min="5" max="5" width="8.42578125" style="43" hidden="1" customWidth="1"/>
    <col min="6" max="9" width="15.7109375" style="255" hidden="1" customWidth="1"/>
    <col min="10" max="10" width="1.42578125" style="255" hidden="1" customWidth="1"/>
    <col min="11" max="13" width="12.42578125" style="255" hidden="1" customWidth="1"/>
    <col min="14" max="15" width="12.42578125" style="255" hidden="1"/>
    <col min="16" max="255" width="0" style="255" hidden="1"/>
    <col min="256" max="256" width="48.140625" style="255" hidden="1" customWidth="1"/>
    <col min="257" max="257" width="10.42578125" style="255" hidden="1" customWidth="1"/>
    <col min="258" max="258" width="20.5703125" style="255" hidden="1" customWidth="1"/>
    <col min="259" max="259" width="19.7109375" style="255" hidden="1" customWidth="1"/>
    <col min="260" max="262" width="15.7109375" style="255" hidden="1" customWidth="1"/>
    <col min="263" max="511" width="0" style="255" hidden="1"/>
    <col min="512" max="512" width="48.140625" style="255" hidden="1" customWidth="1"/>
    <col min="513" max="513" width="10.42578125" style="255" hidden="1" customWidth="1"/>
    <col min="514" max="514" width="20.5703125" style="255" hidden="1" customWidth="1"/>
    <col min="515" max="515" width="19.7109375" style="255" hidden="1" customWidth="1"/>
    <col min="516" max="518" width="15.7109375" style="255" hidden="1" customWidth="1"/>
    <col min="519" max="767" width="0" style="255" hidden="1"/>
    <col min="768" max="768" width="48.140625" style="255" hidden="1" customWidth="1"/>
    <col min="769" max="769" width="10.42578125" style="255" hidden="1" customWidth="1"/>
    <col min="770" max="770" width="20.5703125" style="255" hidden="1" customWidth="1"/>
    <col min="771" max="771" width="19.7109375" style="255" hidden="1" customWidth="1"/>
    <col min="772" max="774" width="15.7109375" style="255" hidden="1" customWidth="1"/>
    <col min="775" max="1023" width="0" style="255" hidden="1"/>
    <col min="1024" max="1024" width="48.140625" style="255" hidden="1" customWidth="1"/>
    <col min="1025" max="1025" width="10.42578125" style="255" hidden="1" customWidth="1"/>
    <col min="1026" max="1026" width="20.5703125" style="255" hidden="1" customWidth="1"/>
    <col min="1027" max="1027" width="19.7109375" style="255" hidden="1" customWidth="1"/>
    <col min="1028" max="1030" width="15.7109375" style="255" hidden="1" customWidth="1"/>
    <col min="1031" max="1279" width="0" style="255" hidden="1"/>
    <col min="1280" max="1280" width="48.140625" style="255" hidden="1" customWidth="1"/>
    <col min="1281" max="1281" width="10.42578125" style="255" hidden="1" customWidth="1"/>
    <col min="1282" max="1282" width="20.5703125" style="255" hidden="1" customWidth="1"/>
    <col min="1283" max="1283" width="19.7109375" style="255" hidden="1" customWidth="1"/>
    <col min="1284" max="1286" width="15.7109375" style="255" hidden="1" customWidth="1"/>
    <col min="1287" max="1535" width="0" style="255" hidden="1"/>
    <col min="1536" max="1536" width="48.140625" style="255" hidden="1" customWidth="1"/>
    <col min="1537" max="1537" width="10.42578125" style="255" hidden="1" customWidth="1"/>
    <col min="1538" max="1538" width="20.5703125" style="255" hidden="1" customWidth="1"/>
    <col min="1539" max="1539" width="19.7109375" style="255" hidden="1" customWidth="1"/>
    <col min="1540" max="1542" width="15.7109375" style="255" hidden="1" customWidth="1"/>
    <col min="1543" max="1791" width="0" style="255" hidden="1"/>
    <col min="1792" max="1792" width="48.140625" style="255" hidden="1" customWidth="1"/>
    <col min="1793" max="1793" width="10.42578125" style="255" hidden="1" customWidth="1"/>
    <col min="1794" max="1794" width="20.5703125" style="255" hidden="1" customWidth="1"/>
    <col min="1795" max="1795" width="19.7109375" style="255" hidden="1" customWidth="1"/>
    <col min="1796" max="1798" width="15.7109375" style="255" hidden="1" customWidth="1"/>
    <col min="1799" max="2047" width="0" style="255" hidden="1"/>
    <col min="2048" max="2048" width="48.140625" style="255" hidden="1" customWidth="1"/>
    <col min="2049" max="2049" width="10.42578125" style="255" hidden="1" customWidth="1"/>
    <col min="2050" max="2050" width="20.5703125" style="255" hidden="1" customWidth="1"/>
    <col min="2051" max="2051" width="19.7109375" style="255" hidden="1" customWidth="1"/>
    <col min="2052" max="2054" width="15.7109375" style="255" hidden="1" customWidth="1"/>
    <col min="2055" max="2303" width="0" style="255" hidden="1"/>
    <col min="2304" max="2304" width="48.140625" style="255" hidden="1" customWidth="1"/>
    <col min="2305" max="2305" width="10.42578125" style="255" hidden="1" customWidth="1"/>
    <col min="2306" max="2306" width="20.5703125" style="255" hidden="1" customWidth="1"/>
    <col min="2307" max="2307" width="19.7109375" style="255" hidden="1" customWidth="1"/>
    <col min="2308" max="2310" width="15.7109375" style="255" hidden="1" customWidth="1"/>
    <col min="2311" max="2559" width="0" style="255" hidden="1"/>
    <col min="2560" max="2560" width="48.140625" style="255" hidden="1" customWidth="1"/>
    <col min="2561" max="2561" width="10.42578125" style="255" hidden="1" customWidth="1"/>
    <col min="2562" max="2562" width="20.5703125" style="255" hidden="1" customWidth="1"/>
    <col min="2563" max="2563" width="19.7109375" style="255" hidden="1" customWidth="1"/>
    <col min="2564" max="2566" width="15.7109375" style="255" hidden="1" customWidth="1"/>
    <col min="2567" max="2815" width="0" style="255" hidden="1"/>
    <col min="2816" max="2816" width="48.140625" style="255" hidden="1" customWidth="1"/>
    <col min="2817" max="2817" width="10.42578125" style="255" hidden="1" customWidth="1"/>
    <col min="2818" max="2818" width="20.5703125" style="255" hidden="1" customWidth="1"/>
    <col min="2819" max="2819" width="19.7109375" style="255" hidden="1" customWidth="1"/>
    <col min="2820" max="2822" width="15.7109375" style="255" hidden="1" customWidth="1"/>
    <col min="2823" max="3071" width="0" style="255" hidden="1"/>
    <col min="3072" max="3072" width="48.140625" style="255" hidden="1" customWidth="1"/>
    <col min="3073" max="3073" width="10.42578125" style="255" hidden="1" customWidth="1"/>
    <col min="3074" max="3074" width="20.5703125" style="255" hidden="1" customWidth="1"/>
    <col min="3075" max="3075" width="19.7109375" style="255" hidden="1" customWidth="1"/>
    <col min="3076" max="3078" width="15.7109375" style="255" hidden="1" customWidth="1"/>
    <col min="3079" max="3327" width="0" style="255" hidden="1"/>
    <col min="3328" max="3328" width="48.140625" style="255" hidden="1" customWidth="1"/>
    <col min="3329" max="3329" width="10.42578125" style="255" hidden="1" customWidth="1"/>
    <col min="3330" max="3330" width="20.5703125" style="255" hidden="1" customWidth="1"/>
    <col min="3331" max="3331" width="19.7109375" style="255" hidden="1" customWidth="1"/>
    <col min="3332" max="3334" width="15.7109375" style="255" hidden="1" customWidth="1"/>
    <col min="3335" max="3583" width="0" style="255" hidden="1"/>
    <col min="3584" max="3584" width="48.140625" style="255" hidden="1" customWidth="1"/>
    <col min="3585" max="3585" width="10.42578125" style="255" hidden="1" customWidth="1"/>
    <col min="3586" max="3586" width="20.5703125" style="255" hidden="1" customWidth="1"/>
    <col min="3587" max="3587" width="19.7109375" style="255" hidden="1" customWidth="1"/>
    <col min="3588" max="3590" width="15.7109375" style="255" hidden="1" customWidth="1"/>
    <col min="3591" max="3839" width="0" style="255" hidden="1"/>
    <col min="3840" max="3840" width="48.140625" style="255" hidden="1" customWidth="1"/>
    <col min="3841" max="3841" width="10.42578125" style="255" hidden="1" customWidth="1"/>
    <col min="3842" max="3842" width="20.5703125" style="255" hidden="1" customWidth="1"/>
    <col min="3843" max="3843" width="19.7109375" style="255" hidden="1" customWidth="1"/>
    <col min="3844" max="3846" width="15.7109375" style="255" hidden="1" customWidth="1"/>
    <col min="3847" max="4095" width="0" style="255" hidden="1"/>
    <col min="4096" max="4096" width="48.140625" style="255" hidden="1" customWidth="1"/>
    <col min="4097" max="4097" width="10.42578125" style="255" hidden="1" customWidth="1"/>
    <col min="4098" max="4098" width="20.5703125" style="255" hidden="1" customWidth="1"/>
    <col min="4099" max="4099" width="19.7109375" style="255" hidden="1" customWidth="1"/>
    <col min="4100" max="4102" width="15.7109375" style="255" hidden="1" customWidth="1"/>
    <col min="4103" max="4351" width="0" style="255" hidden="1"/>
    <col min="4352" max="4352" width="48.140625" style="255" hidden="1" customWidth="1"/>
    <col min="4353" max="4353" width="10.42578125" style="255" hidden="1" customWidth="1"/>
    <col min="4354" max="4354" width="20.5703125" style="255" hidden="1" customWidth="1"/>
    <col min="4355" max="4355" width="19.7109375" style="255" hidden="1" customWidth="1"/>
    <col min="4356" max="4358" width="15.7109375" style="255" hidden="1" customWidth="1"/>
    <col min="4359" max="4607" width="0" style="255" hidden="1"/>
    <col min="4608" max="4608" width="48.140625" style="255" hidden="1" customWidth="1"/>
    <col min="4609" max="4609" width="10.42578125" style="255" hidden="1" customWidth="1"/>
    <col min="4610" max="4610" width="20.5703125" style="255" hidden="1" customWidth="1"/>
    <col min="4611" max="4611" width="19.7109375" style="255" hidden="1" customWidth="1"/>
    <col min="4612" max="4614" width="15.7109375" style="255" hidden="1" customWidth="1"/>
    <col min="4615" max="4863" width="0" style="255" hidden="1"/>
    <col min="4864" max="4864" width="48.140625" style="255" hidden="1" customWidth="1"/>
    <col min="4865" max="4865" width="10.42578125" style="255" hidden="1" customWidth="1"/>
    <col min="4866" max="4866" width="20.5703125" style="255" hidden="1" customWidth="1"/>
    <col min="4867" max="4867" width="19.7109375" style="255" hidden="1" customWidth="1"/>
    <col min="4868" max="4870" width="15.7109375" style="255" hidden="1" customWidth="1"/>
    <col min="4871" max="5119" width="0" style="255" hidden="1"/>
    <col min="5120" max="5120" width="48.140625" style="255" hidden="1" customWidth="1"/>
    <col min="5121" max="5121" width="10.42578125" style="255" hidden="1" customWidth="1"/>
    <col min="5122" max="5122" width="20.5703125" style="255" hidden="1" customWidth="1"/>
    <col min="5123" max="5123" width="19.7109375" style="255" hidden="1" customWidth="1"/>
    <col min="5124" max="5126" width="15.7109375" style="255" hidden="1" customWidth="1"/>
    <col min="5127" max="5375" width="0" style="255" hidden="1"/>
    <col min="5376" max="5376" width="48.140625" style="255" hidden="1" customWidth="1"/>
    <col min="5377" max="5377" width="10.42578125" style="255" hidden="1" customWidth="1"/>
    <col min="5378" max="5378" width="20.5703125" style="255" hidden="1" customWidth="1"/>
    <col min="5379" max="5379" width="19.7109375" style="255" hidden="1" customWidth="1"/>
    <col min="5380" max="5382" width="15.7109375" style="255" hidden="1" customWidth="1"/>
    <col min="5383" max="5631" width="0" style="255" hidden="1"/>
    <col min="5632" max="5632" width="48.140625" style="255" hidden="1" customWidth="1"/>
    <col min="5633" max="5633" width="10.42578125" style="255" hidden="1" customWidth="1"/>
    <col min="5634" max="5634" width="20.5703125" style="255" hidden="1" customWidth="1"/>
    <col min="5635" max="5635" width="19.7109375" style="255" hidden="1" customWidth="1"/>
    <col min="5636" max="5638" width="15.7109375" style="255" hidden="1" customWidth="1"/>
    <col min="5639" max="5887" width="0" style="255" hidden="1"/>
    <col min="5888" max="5888" width="48.140625" style="255" hidden="1" customWidth="1"/>
    <col min="5889" max="5889" width="10.42578125" style="255" hidden="1" customWidth="1"/>
    <col min="5890" max="5890" width="20.5703125" style="255" hidden="1" customWidth="1"/>
    <col min="5891" max="5891" width="19.7109375" style="255" hidden="1" customWidth="1"/>
    <col min="5892" max="5894" width="15.7109375" style="255" hidden="1" customWidth="1"/>
    <col min="5895" max="6143" width="0" style="255" hidden="1"/>
    <col min="6144" max="6144" width="48.140625" style="255" hidden="1" customWidth="1"/>
    <col min="6145" max="6145" width="10.42578125" style="255" hidden="1" customWidth="1"/>
    <col min="6146" max="6146" width="20.5703125" style="255" hidden="1" customWidth="1"/>
    <col min="6147" max="6147" width="19.7109375" style="255" hidden="1" customWidth="1"/>
    <col min="6148" max="6150" width="15.7109375" style="255" hidden="1" customWidth="1"/>
    <col min="6151" max="6399" width="0" style="255" hidden="1"/>
    <col min="6400" max="6400" width="48.140625" style="255" hidden="1" customWidth="1"/>
    <col min="6401" max="6401" width="10.42578125" style="255" hidden="1" customWidth="1"/>
    <col min="6402" max="6402" width="20.5703125" style="255" hidden="1" customWidth="1"/>
    <col min="6403" max="6403" width="19.7109375" style="255" hidden="1" customWidth="1"/>
    <col min="6404" max="6406" width="15.7109375" style="255" hidden="1" customWidth="1"/>
    <col min="6407" max="6655" width="0" style="255" hidden="1"/>
    <col min="6656" max="6656" width="48.140625" style="255" hidden="1" customWidth="1"/>
    <col min="6657" max="6657" width="10.42578125" style="255" hidden="1" customWidth="1"/>
    <col min="6658" max="6658" width="20.5703125" style="255" hidden="1" customWidth="1"/>
    <col min="6659" max="6659" width="19.7109375" style="255" hidden="1" customWidth="1"/>
    <col min="6660" max="6662" width="15.7109375" style="255" hidden="1" customWidth="1"/>
    <col min="6663" max="6911" width="0" style="255" hidden="1"/>
    <col min="6912" max="6912" width="48.140625" style="255" hidden="1" customWidth="1"/>
    <col min="6913" max="6913" width="10.42578125" style="255" hidden="1" customWidth="1"/>
    <col min="6914" max="6914" width="20.5703125" style="255" hidden="1" customWidth="1"/>
    <col min="6915" max="6915" width="19.7109375" style="255" hidden="1" customWidth="1"/>
    <col min="6916" max="6918" width="15.7109375" style="255" hidden="1" customWidth="1"/>
    <col min="6919" max="7167" width="0" style="255" hidden="1"/>
    <col min="7168" max="7168" width="48.140625" style="255" hidden="1" customWidth="1"/>
    <col min="7169" max="7169" width="10.42578125" style="255" hidden="1" customWidth="1"/>
    <col min="7170" max="7170" width="20.5703125" style="255" hidden="1" customWidth="1"/>
    <col min="7171" max="7171" width="19.7109375" style="255" hidden="1" customWidth="1"/>
    <col min="7172" max="7174" width="15.7109375" style="255" hidden="1" customWidth="1"/>
    <col min="7175" max="7423" width="0" style="255" hidden="1"/>
    <col min="7424" max="7424" width="48.140625" style="255" hidden="1" customWidth="1"/>
    <col min="7425" max="7425" width="10.42578125" style="255" hidden="1" customWidth="1"/>
    <col min="7426" max="7426" width="20.5703125" style="255" hidden="1" customWidth="1"/>
    <col min="7427" max="7427" width="19.7109375" style="255" hidden="1" customWidth="1"/>
    <col min="7428" max="7430" width="15.7109375" style="255" hidden="1" customWidth="1"/>
    <col min="7431" max="7679" width="0" style="255" hidden="1"/>
    <col min="7680" max="7680" width="48.140625" style="255" hidden="1" customWidth="1"/>
    <col min="7681" max="7681" width="10.42578125" style="255" hidden="1" customWidth="1"/>
    <col min="7682" max="7682" width="20.5703125" style="255" hidden="1" customWidth="1"/>
    <col min="7683" max="7683" width="19.7109375" style="255" hidden="1" customWidth="1"/>
    <col min="7684" max="7686" width="15.7109375" style="255" hidden="1" customWidth="1"/>
    <col min="7687" max="7935" width="0" style="255" hidden="1"/>
    <col min="7936" max="7936" width="48.140625" style="255" hidden="1" customWidth="1"/>
    <col min="7937" max="7937" width="10.42578125" style="255" hidden="1" customWidth="1"/>
    <col min="7938" max="7938" width="20.5703125" style="255" hidden="1" customWidth="1"/>
    <col min="7939" max="7939" width="19.7109375" style="255" hidden="1" customWidth="1"/>
    <col min="7940" max="7942" width="15.7109375" style="255" hidden="1" customWidth="1"/>
    <col min="7943" max="8191" width="0" style="255" hidden="1"/>
    <col min="8192" max="8192" width="48.140625" style="255" hidden="1" customWidth="1"/>
    <col min="8193" max="8193" width="10.42578125" style="255" hidden="1" customWidth="1"/>
    <col min="8194" max="8194" width="20.5703125" style="255" hidden="1" customWidth="1"/>
    <col min="8195" max="8195" width="19.7109375" style="255" hidden="1" customWidth="1"/>
    <col min="8196" max="8198" width="15.7109375" style="255" hidden="1" customWidth="1"/>
    <col min="8199" max="8447" width="0" style="255" hidden="1"/>
    <col min="8448" max="8448" width="48.140625" style="255" hidden="1" customWidth="1"/>
    <col min="8449" max="8449" width="10.42578125" style="255" hidden="1" customWidth="1"/>
    <col min="8450" max="8450" width="20.5703125" style="255" hidden="1" customWidth="1"/>
    <col min="8451" max="8451" width="19.7109375" style="255" hidden="1" customWidth="1"/>
    <col min="8452" max="8454" width="15.7109375" style="255" hidden="1" customWidth="1"/>
    <col min="8455" max="8703" width="0" style="255" hidden="1"/>
    <col min="8704" max="8704" width="48.140625" style="255" hidden="1" customWidth="1"/>
    <col min="8705" max="8705" width="10.42578125" style="255" hidden="1" customWidth="1"/>
    <col min="8706" max="8706" width="20.5703125" style="255" hidden="1" customWidth="1"/>
    <col min="8707" max="8707" width="19.7109375" style="255" hidden="1" customWidth="1"/>
    <col min="8708" max="8710" width="15.7109375" style="255" hidden="1" customWidth="1"/>
    <col min="8711" max="8959" width="0" style="255" hidden="1"/>
    <col min="8960" max="8960" width="48.140625" style="255" hidden="1" customWidth="1"/>
    <col min="8961" max="8961" width="10.42578125" style="255" hidden="1" customWidth="1"/>
    <col min="8962" max="8962" width="20.5703125" style="255" hidden="1" customWidth="1"/>
    <col min="8963" max="8963" width="19.7109375" style="255" hidden="1" customWidth="1"/>
    <col min="8964" max="8966" width="15.7109375" style="255" hidden="1" customWidth="1"/>
    <col min="8967" max="9215" width="0" style="255" hidden="1"/>
    <col min="9216" max="9216" width="48.140625" style="255" hidden="1" customWidth="1"/>
    <col min="9217" max="9217" width="10.42578125" style="255" hidden="1" customWidth="1"/>
    <col min="9218" max="9218" width="20.5703125" style="255" hidden="1" customWidth="1"/>
    <col min="9219" max="9219" width="19.7109375" style="255" hidden="1" customWidth="1"/>
    <col min="9220" max="9222" width="15.7109375" style="255" hidden="1" customWidth="1"/>
    <col min="9223" max="9471" width="0" style="255" hidden="1"/>
    <col min="9472" max="9472" width="48.140625" style="255" hidden="1" customWidth="1"/>
    <col min="9473" max="9473" width="10.42578125" style="255" hidden="1" customWidth="1"/>
    <col min="9474" max="9474" width="20.5703125" style="255" hidden="1" customWidth="1"/>
    <col min="9475" max="9475" width="19.7109375" style="255" hidden="1" customWidth="1"/>
    <col min="9476" max="9478" width="15.7109375" style="255" hidden="1" customWidth="1"/>
    <col min="9479" max="9727" width="0" style="255" hidden="1"/>
    <col min="9728" max="9728" width="48.140625" style="255" hidden="1" customWidth="1"/>
    <col min="9729" max="9729" width="10.42578125" style="255" hidden="1" customWidth="1"/>
    <col min="9730" max="9730" width="20.5703125" style="255" hidden="1" customWidth="1"/>
    <col min="9731" max="9731" width="19.7109375" style="255" hidden="1" customWidth="1"/>
    <col min="9732" max="9734" width="15.7109375" style="255" hidden="1" customWidth="1"/>
    <col min="9735" max="9983" width="0" style="255" hidden="1"/>
    <col min="9984" max="9984" width="48.140625" style="255" hidden="1" customWidth="1"/>
    <col min="9985" max="9985" width="10.42578125" style="255" hidden="1" customWidth="1"/>
    <col min="9986" max="9986" width="20.5703125" style="255" hidden="1" customWidth="1"/>
    <col min="9987" max="9987" width="19.7109375" style="255" hidden="1" customWidth="1"/>
    <col min="9988" max="9990" width="15.7109375" style="255" hidden="1" customWidth="1"/>
    <col min="9991" max="10239" width="0" style="255" hidden="1"/>
    <col min="10240" max="10240" width="48.140625" style="255" hidden="1" customWidth="1"/>
    <col min="10241" max="10241" width="10.42578125" style="255" hidden="1" customWidth="1"/>
    <col min="10242" max="10242" width="20.5703125" style="255" hidden="1" customWidth="1"/>
    <col min="10243" max="10243" width="19.7109375" style="255" hidden="1" customWidth="1"/>
    <col min="10244" max="10246" width="15.7109375" style="255" hidden="1" customWidth="1"/>
    <col min="10247" max="10495" width="0" style="255" hidden="1"/>
    <col min="10496" max="10496" width="48.140625" style="255" hidden="1" customWidth="1"/>
    <col min="10497" max="10497" width="10.42578125" style="255" hidden="1" customWidth="1"/>
    <col min="10498" max="10498" width="20.5703125" style="255" hidden="1" customWidth="1"/>
    <col min="10499" max="10499" width="19.7109375" style="255" hidden="1" customWidth="1"/>
    <col min="10500" max="10502" width="15.7109375" style="255" hidden="1" customWidth="1"/>
    <col min="10503" max="10751" width="0" style="255" hidden="1"/>
    <col min="10752" max="10752" width="48.140625" style="255" hidden="1" customWidth="1"/>
    <col min="10753" max="10753" width="10.42578125" style="255" hidden="1" customWidth="1"/>
    <col min="10754" max="10754" width="20.5703125" style="255" hidden="1" customWidth="1"/>
    <col min="10755" max="10755" width="19.7109375" style="255" hidden="1" customWidth="1"/>
    <col min="10756" max="10758" width="15.7109375" style="255" hidden="1" customWidth="1"/>
    <col min="10759" max="11007" width="0" style="255" hidden="1"/>
    <col min="11008" max="11008" width="48.140625" style="255" hidden="1" customWidth="1"/>
    <col min="11009" max="11009" width="10.42578125" style="255" hidden="1" customWidth="1"/>
    <col min="11010" max="11010" width="20.5703125" style="255" hidden="1" customWidth="1"/>
    <col min="11011" max="11011" width="19.7109375" style="255" hidden="1" customWidth="1"/>
    <col min="11012" max="11014" width="15.7109375" style="255" hidden="1" customWidth="1"/>
    <col min="11015" max="11263" width="0" style="255" hidden="1"/>
    <col min="11264" max="11264" width="48.140625" style="255" hidden="1" customWidth="1"/>
    <col min="11265" max="11265" width="10.42578125" style="255" hidden="1" customWidth="1"/>
    <col min="11266" max="11266" width="20.5703125" style="255" hidden="1" customWidth="1"/>
    <col min="11267" max="11267" width="19.7109375" style="255" hidden="1" customWidth="1"/>
    <col min="11268" max="11270" width="15.7109375" style="255" hidden="1" customWidth="1"/>
    <col min="11271" max="11519" width="0" style="255" hidden="1"/>
    <col min="11520" max="11520" width="48.140625" style="255" hidden="1" customWidth="1"/>
    <col min="11521" max="11521" width="10.42578125" style="255" hidden="1" customWidth="1"/>
    <col min="11522" max="11522" width="20.5703125" style="255" hidden="1" customWidth="1"/>
    <col min="11523" max="11523" width="19.7109375" style="255" hidden="1" customWidth="1"/>
    <col min="11524" max="11526" width="15.7109375" style="255" hidden="1" customWidth="1"/>
    <col min="11527" max="11775" width="0" style="255" hidden="1"/>
    <col min="11776" max="11776" width="48.140625" style="255" hidden="1" customWidth="1"/>
    <col min="11777" max="11777" width="10.42578125" style="255" hidden="1" customWidth="1"/>
    <col min="11778" max="11778" width="20.5703125" style="255" hidden="1" customWidth="1"/>
    <col min="11779" max="11779" width="19.7109375" style="255" hidden="1" customWidth="1"/>
    <col min="11780" max="11782" width="15.7109375" style="255" hidden="1" customWidth="1"/>
    <col min="11783" max="12031" width="0" style="255" hidden="1"/>
    <col min="12032" max="12032" width="48.140625" style="255" hidden="1" customWidth="1"/>
    <col min="12033" max="12033" width="10.42578125" style="255" hidden="1" customWidth="1"/>
    <col min="12034" max="12034" width="20.5703125" style="255" hidden="1" customWidth="1"/>
    <col min="12035" max="12035" width="19.7109375" style="255" hidden="1" customWidth="1"/>
    <col min="12036" max="12038" width="15.7109375" style="255" hidden="1" customWidth="1"/>
    <col min="12039" max="12287" width="0" style="255" hidden="1"/>
    <col min="12288" max="12288" width="48.140625" style="255" hidden="1" customWidth="1"/>
    <col min="12289" max="12289" width="10.42578125" style="255" hidden="1" customWidth="1"/>
    <col min="12290" max="12290" width="20.5703125" style="255" hidden="1" customWidth="1"/>
    <col min="12291" max="12291" width="19.7109375" style="255" hidden="1" customWidth="1"/>
    <col min="12292" max="12294" width="15.7109375" style="255" hidden="1" customWidth="1"/>
    <col min="12295" max="12543" width="0" style="255" hidden="1"/>
    <col min="12544" max="12544" width="48.140625" style="255" hidden="1" customWidth="1"/>
    <col min="12545" max="12545" width="10.42578125" style="255" hidden="1" customWidth="1"/>
    <col min="12546" max="12546" width="20.5703125" style="255" hidden="1" customWidth="1"/>
    <col min="12547" max="12547" width="19.7109375" style="255" hidden="1" customWidth="1"/>
    <col min="12548" max="12550" width="15.7109375" style="255" hidden="1" customWidth="1"/>
    <col min="12551" max="12799" width="0" style="255" hidden="1"/>
    <col min="12800" max="12800" width="48.140625" style="255" hidden="1" customWidth="1"/>
    <col min="12801" max="12801" width="10.42578125" style="255" hidden="1" customWidth="1"/>
    <col min="12802" max="12802" width="20.5703125" style="255" hidden="1" customWidth="1"/>
    <col min="12803" max="12803" width="19.7109375" style="255" hidden="1" customWidth="1"/>
    <col min="12804" max="12806" width="15.7109375" style="255" hidden="1" customWidth="1"/>
    <col min="12807" max="13055" width="0" style="255" hidden="1"/>
    <col min="13056" max="13056" width="48.140625" style="255" hidden="1" customWidth="1"/>
    <col min="13057" max="13057" width="10.42578125" style="255" hidden="1" customWidth="1"/>
    <col min="13058" max="13058" width="20.5703125" style="255" hidden="1" customWidth="1"/>
    <col min="13059" max="13059" width="19.7109375" style="255" hidden="1" customWidth="1"/>
    <col min="13060" max="13062" width="15.7109375" style="255" hidden="1" customWidth="1"/>
    <col min="13063" max="13311" width="0" style="255" hidden="1"/>
    <col min="13312" max="13312" width="48.140625" style="255" hidden="1" customWidth="1"/>
    <col min="13313" max="13313" width="10.42578125" style="255" hidden="1" customWidth="1"/>
    <col min="13314" max="13314" width="20.5703125" style="255" hidden="1" customWidth="1"/>
    <col min="13315" max="13315" width="19.7109375" style="255" hidden="1" customWidth="1"/>
    <col min="13316" max="13318" width="15.7109375" style="255" hidden="1" customWidth="1"/>
    <col min="13319" max="13567" width="0" style="255" hidden="1"/>
    <col min="13568" max="13568" width="48.140625" style="255" hidden="1" customWidth="1"/>
    <col min="13569" max="13569" width="10.42578125" style="255" hidden="1" customWidth="1"/>
    <col min="13570" max="13570" width="20.5703125" style="255" hidden="1" customWidth="1"/>
    <col min="13571" max="13571" width="19.7109375" style="255" hidden="1" customWidth="1"/>
    <col min="13572" max="13574" width="15.7109375" style="255" hidden="1" customWidth="1"/>
    <col min="13575" max="13823" width="0" style="255" hidden="1"/>
    <col min="13824" max="13824" width="48.140625" style="255" hidden="1" customWidth="1"/>
    <col min="13825" max="13825" width="10.42578125" style="255" hidden="1" customWidth="1"/>
    <col min="13826" max="13826" width="20.5703125" style="255" hidden="1" customWidth="1"/>
    <col min="13827" max="13827" width="19.7109375" style="255" hidden="1" customWidth="1"/>
    <col min="13828" max="13830" width="15.7109375" style="255" hidden="1" customWidth="1"/>
    <col min="13831" max="14079" width="0" style="255" hidden="1"/>
    <col min="14080" max="14080" width="48.140625" style="255" hidden="1" customWidth="1"/>
    <col min="14081" max="14081" width="10.42578125" style="255" hidden="1" customWidth="1"/>
    <col min="14082" max="14082" width="20.5703125" style="255" hidden="1" customWidth="1"/>
    <col min="14083" max="14083" width="19.7109375" style="255" hidden="1" customWidth="1"/>
    <col min="14084" max="14086" width="15.7109375" style="255" hidden="1" customWidth="1"/>
    <col min="14087" max="14335" width="0" style="255" hidden="1"/>
    <col min="14336" max="14336" width="48.140625" style="255" hidden="1" customWidth="1"/>
    <col min="14337" max="14337" width="10.42578125" style="255" hidden="1" customWidth="1"/>
    <col min="14338" max="14338" width="20.5703125" style="255" hidden="1" customWidth="1"/>
    <col min="14339" max="14339" width="19.7109375" style="255" hidden="1" customWidth="1"/>
    <col min="14340" max="14342" width="15.7109375" style="255" hidden="1" customWidth="1"/>
    <col min="14343" max="14591" width="0" style="255" hidden="1"/>
    <col min="14592" max="14592" width="48.140625" style="255" hidden="1" customWidth="1"/>
    <col min="14593" max="14593" width="10.42578125" style="255" hidden="1" customWidth="1"/>
    <col min="14594" max="14594" width="20.5703125" style="255" hidden="1" customWidth="1"/>
    <col min="14595" max="14595" width="19.7109375" style="255" hidden="1" customWidth="1"/>
    <col min="14596" max="14598" width="15.7109375" style="255" hidden="1" customWidth="1"/>
    <col min="14599" max="14847" width="0" style="255" hidden="1"/>
    <col min="14848" max="14848" width="48.140625" style="255" hidden="1" customWidth="1"/>
    <col min="14849" max="14849" width="10.42578125" style="255" hidden="1" customWidth="1"/>
    <col min="14850" max="14850" width="20.5703125" style="255" hidden="1" customWidth="1"/>
    <col min="14851" max="14851" width="19.7109375" style="255" hidden="1" customWidth="1"/>
    <col min="14852" max="14854" width="15.7109375" style="255" hidden="1" customWidth="1"/>
    <col min="14855" max="15103" width="0" style="255" hidden="1"/>
    <col min="15104" max="15104" width="48.140625" style="255" hidden="1" customWidth="1"/>
    <col min="15105" max="15105" width="10.42578125" style="255" hidden="1" customWidth="1"/>
    <col min="15106" max="15106" width="20.5703125" style="255" hidden="1" customWidth="1"/>
    <col min="15107" max="15107" width="19.7109375" style="255" hidden="1" customWidth="1"/>
    <col min="15108" max="15110" width="15.7109375" style="255" hidden="1" customWidth="1"/>
    <col min="15111" max="15359" width="0" style="255" hidden="1"/>
    <col min="15360" max="15360" width="48.140625" style="255" hidden="1" customWidth="1"/>
    <col min="15361" max="15361" width="10.42578125" style="255" hidden="1" customWidth="1"/>
    <col min="15362" max="15362" width="20.5703125" style="255" hidden="1" customWidth="1"/>
    <col min="15363" max="15363" width="19.7109375" style="255" hidden="1" customWidth="1"/>
    <col min="15364" max="15366" width="15.7109375" style="255" hidden="1" customWidth="1"/>
    <col min="15367" max="15615" width="0" style="255" hidden="1"/>
    <col min="15616" max="15616" width="48.140625" style="255" hidden="1" customWidth="1"/>
    <col min="15617" max="15617" width="10.42578125" style="255" hidden="1" customWidth="1"/>
    <col min="15618" max="15618" width="20.5703125" style="255" hidden="1" customWidth="1"/>
    <col min="15619" max="15619" width="19.7109375" style="255" hidden="1" customWidth="1"/>
    <col min="15620" max="15622" width="15.7109375" style="255" hidden="1" customWidth="1"/>
    <col min="15623" max="15871" width="0" style="255" hidden="1"/>
    <col min="15872" max="15872" width="48.140625" style="255" hidden="1" customWidth="1"/>
    <col min="15873" max="15873" width="10.42578125" style="255" hidden="1" customWidth="1"/>
    <col min="15874" max="15874" width="20.5703125" style="255" hidden="1" customWidth="1"/>
    <col min="15875" max="15875" width="19.7109375" style="255" hidden="1" customWidth="1"/>
    <col min="15876" max="15878" width="15.7109375" style="255" hidden="1" customWidth="1"/>
    <col min="15879" max="16127" width="0" style="255" hidden="1"/>
    <col min="16128" max="16128" width="48.140625" style="255" hidden="1" customWidth="1"/>
    <col min="16129" max="16129" width="10.42578125" style="255" hidden="1" customWidth="1"/>
    <col min="16130" max="16130" width="20.5703125" style="255" hidden="1" customWidth="1"/>
    <col min="16131" max="16131" width="19.7109375" style="255" hidden="1" customWidth="1"/>
    <col min="16132" max="16134" width="15.7109375" style="255" hidden="1" customWidth="1"/>
    <col min="16135" max="16382" width="0" style="255" hidden="1"/>
    <col min="16383" max="16383" width="14.5703125" style="255" bestFit="1" customWidth="1"/>
    <col min="16384" max="16384" width="8.28515625" style="255" customWidth="1"/>
  </cols>
  <sheetData>
    <row r="1" spans="1:257 16383:16383" ht="18.75" x14ac:dyDescent="0.25">
      <c r="A1" s="135"/>
      <c r="H1" s="249"/>
    </row>
    <row r="2" spans="1:257 16383:16383" ht="16.5" x14ac:dyDescent="0.25">
      <c r="A2" s="257" t="s">
        <v>999</v>
      </c>
      <c r="C2" s="250"/>
      <c r="D2" s="282"/>
    </row>
    <row r="3" spans="1:257 16383:16383" ht="16.5" x14ac:dyDescent="0.25">
      <c r="A3" s="257"/>
      <c r="C3" s="241" t="str">
        <f>IF(D22=D40,"",D40-D22)</f>
        <v/>
      </c>
      <c r="D3" s="241"/>
      <c r="E3" s="258"/>
      <c r="F3" s="249"/>
      <c r="G3" s="249"/>
      <c r="H3" s="249"/>
      <c r="I3" s="249"/>
      <c r="IW3" s="43"/>
    </row>
    <row r="4" spans="1:257 16383:16383" x14ac:dyDescent="0.25">
      <c r="C4" s="251"/>
      <c r="D4" s="259" t="s">
        <v>671</v>
      </c>
      <c r="F4" s="251"/>
      <c r="G4" s="251"/>
      <c r="H4" s="251"/>
      <c r="I4" s="251"/>
      <c r="K4" s="251"/>
    </row>
    <row r="5" spans="1:257 16383:16383" x14ac:dyDescent="0.25">
      <c r="A5" s="260"/>
      <c r="B5" s="261" t="s">
        <v>3</v>
      </c>
      <c r="C5" s="262">
        <v>45747</v>
      </c>
      <c r="D5" s="262">
        <v>45382</v>
      </c>
      <c r="E5" s="264"/>
      <c r="F5" s="263"/>
      <c r="G5" s="263"/>
      <c r="H5" s="263"/>
      <c r="I5" s="263"/>
    </row>
    <row r="6" spans="1:257 16383:16383" x14ac:dyDescent="0.25">
      <c r="B6" s="265"/>
      <c r="C6" s="266"/>
      <c r="D6" s="266"/>
      <c r="E6" s="264"/>
      <c r="F6" s="263"/>
      <c r="G6" s="263"/>
      <c r="H6" s="263"/>
      <c r="I6" s="263"/>
    </row>
    <row r="7" spans="1:257 16383:16383" ht="17.25" x14ac:dyDescent="0.25">
      <c r="A7" s="267" t="s">
        <v>4</v>
      </c>
      <c r="B7" s="256"/>
      <c r="C7" s="256"/>
    </row>
    <row r="8" spans="1:257 16383:16383" x14ac:dyDescent="0.25">
      <c r="A8" s="268" t="s">
        <v>5</v>
      </c>
      <c r="B8" s="269"/>
      <c r="C8" s="268"/>
      <c r="D8" s="268"/>
    </row>
    <row r="9" spans="1:257 16383:16383" ht="16.5" x14ac:dyDescent="0.25">
      <c r="A9" s="78" t="s">
        <v>6</v>
      </c>
      <c r="B9" s="270">
        <v>2</v>
      </c>
      <c r="C9" s="481">
        <f>'Note 2 - 7'!D11</f>
        <v>10000</v>
      </c>
      <c r="D9" s="481">
        <f>ROUND('Note 2 - 7'!D12,0)</f>
        <v>10000</v>
      </c>
      <c r="E9" s="28"/>
      <c r="F9" s="28"/>
      <c r="G9" s="28"/>
      <c r="H9" s="28"/>
      <c r="I9" s="28"/>
    </row>
    <row r="10" spans="1:257 16383:16383" ht="16.5" x14ac:dyDescent="0.25">
      <c r="A10" s="78" t="s">
        <v>7</v>
      </c>
      <c r="B10" s="270">
        <v>3</v>
      </c>
      <c r="C10" s="481">
        <f>+'Note 2 - 7'!D47</f>
        <v>17863303.843789704</v>
      </c>
      <c r="D10" s="481">
        <f>+'Note 2 - 7'!E47</f>
        <v>4908638.6909897029</v>
      </c>
      <c r="F10" s="28"/>
      <c r="G10" s="28"/>
      <c r="H10" s="28"/>
      <c r="I10" s="28"/>
    </row>
    <row r="11" spans="1:257 16383:16383" ht="16.5" x14ac:dyDescent="0.25">
      <c r="A11" s="78"/>
      <c r="B11" s="269"/>
      <c r="C11" s="482">
        <f>ROUND(SUM(C9:C10),0)</f>
        <v>17873304</v>
      </c>
      <c r="D11" s="482">
        <f>ROUND(SUM(D9:D10),0)</f>
        <v>4918639</v>
      </c>
      <c r="F11" s="28"/>
      <c r="G11" s="28"/>
      <c r="H11" s="28"/>
      <c r="I11" s="28"/>
      <c r="IV11" s="28"/>
    </row>
    <row r="12" spans="1:257 16383:16383" ht="16.5" x14ac:dyDescent="0.25">
      <c r="A12" s="78"/>
      <c r="B12" s="269"/>
      <c r="C12" s="483"/>
      <c r="D12" s="483"/>
      <c r="E12" s="28"/>
      <c r="F12" s="28"/>
      <c r="G12" s="28"/>
      <c r="H12" s="28"/>
      <c r="I12" s="28"/>
      <c r="IV12" s="28"/>
      <c r="XFC12" s="251"/>
    </row>
    <row r="13" spans="1:257 16383:16383" ht="16.5" x14ac:dyDescent="0.25">
      <c r="A13" s="78"/>
      <c r="B13" s="269"/>
      <c r="C13" s="483"/>
      <c r="D13" s="483"/>
      <c r="E13" s="28"/>
      <c r="F13" s="28"/>
      <c r="G13" s="28"/>
      <c r="H13" s="28"/>
      <c r="I13" s="28"/>
    </row>
    <row r="14" spans="1:257 16383:16383" x14ac:dyDescent="0.25">
      <c r="A14" s="268" t="s">
        <v>8</v>
      </c>
      <c r="B14" s="269"/>
      <c r="C14" s="483"/>
      <c r="D14" s="483"/>
      <c r="E14" s="28"/>
      <c r="F14" s="28"/>
      <c r="G14" s="28"/>
      <c r="H14" s="28"/>
      <c r="I14" s="28"/>
    </row>
    <row r="15" spans="1:257 16383:16383" ht="16.5" x14ac:dyDescent="0.25">
      <c r="A15" s="78" t="s">
        <v>603</v>
      </c>
      <c r="B15" s="270">
        <v>4</v>
      </c>
      <c r="C15" s="481">
        <f>ROUND('Note 2 - 7'!D53,0)</f>
        <v>17189228</v>
      </c>
      <c r="D15" s="481">
        <f>ROUND('Note 2 - 7'!E53,0)</f>
        <v>11855641</v>
      </c>
      <c r="E15" s="28"/>
      <c r="F15" s="28"/>
      <c r="G15" s="28"/>
      <c r="H15" s="28"/>
      <c r="I15" s="28"/>
      <c r="XFC15" s="635"/>
    </row>
    <row r="16" spans="1:257 16383:16383" ht="16.5" x14ac:dyDescent="0.25">
      <c r="A16" s="78"/>
      <c r="B16" s="270"/>
      <c r="C16" s="481"/>
      <c r="D16" s="481"/>
      <c r="E16" s="28"/>
      <c r="F16" s="28"/>
      <c r="G16" s="28"/>
      <c r="H16" s="28"/>
      <c r="I16" s="28"/>
    </row>
    <row r="17" spans="1:256 16383:16383" ht="16.5" x14ac:dyDescent="0.25">
      <c r="A17" s="268" t="s">
        <v>9</v>
      </c>
      <c r="B17" s="270"/>
      <c r="C17" s="483"/>
      <c r="D17" s="483"/>
      <c r="E17" s="28"/>
      <c r="F17" s="28"/>
      <c r="G17" s="28"/>
      <c r="H17" s="43"/>
      <c r="I17" s="28"/>
      <c r="K17" s="43"/>
    </row>
    <row r="18" spans="1:256 16383:16383" ht="16.5" x14ac:dyDescent="0.25">
      <c r="A18" s="78" t="s">
        <v>10</v>
      </c>
      <c r="B18" s="270">
        <v>5</v>
      </c>
      <c r="C18" s="481">
        <f>ROUND('Note 2 - 7'!D61,0)</f>
        <v>487962</v>
      </c>
      <c r="D18" s="481">
        <f>ROUND('Note 2 - 7'!E61,0)</f>
        <v>223362</v>
      </c>
      <c r="E18" s="28"/>
      <c r="F18" s="28"/>
      <c r="G18" s="28"/>
      <c r="H18" s="43"/>
      <c r="I18" s="28"/>
      <c r="K18" s="43"/>
      <c r="XFC18" s="635"/>
    </row>
    <row r="19" spans="1:256 16383:16383" ht="16.5" x14ac:dyDescent="0.25">
      <c r="A19" s="78" t="s">
        <v>11</v>
      </c>
      <c r="B19" s="270">
        <v>6</v>
      </c>
      <c r="C19" s="481">
        <f>ROUND('Note 2 - 7'!D91,0)</f>
        <v>15287051</v>
      </c>
      <c r="D19" s="481">
        <f>ROUND('Note 2 - 7'!E91,0)</f>
        <v>7372162</v>
      </c>
      <c r="E19" s="28"/>
      <c r="F19" s="28"/>
      <c r="G19" s="28"/>
      <c r="H19" s="43"/>
      <c r="I19" s="28"/>
      <c r="K19" s="43"/>
      <c r="XFC19" s="635"/>
    </row>
    <row r="20" spans="1:256 16383:16383" ht="16.5" x14ac:dyDescent="0.25">
      <c r="A20" s="78" t="s">
        <v>12</v>
      </c>
      <c r="B20" s="270">
        <v>7</v>
      </c>
      <c r="C20" s="481">
        <f>ROUND('Note 2 - 7'!D97,0)</f>
        <v>4357000</v>
      </c>
      <c r="D20" s="481">
        <f>ROUND('Note 2 - 7'!E97,0)</f>
        <v>9421274</v>
      </c>
      <c r="E20" s="28"/>
      <c r="F20" s="28"/>
      <c r="G20" s="28"/>
      <c r="H20" s="43"/>
      <c r="I20" s="28"/>
      <c r="K20" s="43"/>
      <c r="IV20" s="293"/>
      <c r="XFC20" s="635"/>
    </row>
    <row r="21" spans="1:256 16383:16383" ht="16.5" x14ac:dyDescent="0.25">
      <c r="A21" s="78"/>
      <c r="B21" s="270"/>
      <c r="C21" s="484">
        <f>ROUND(SUM(C15:C20),0)</f>
        <v>37321241</v>
      </c>
      <c r="D21" s="484">
        <f>ROUND(SUM(D15:D20),0)</f>
        <v>28872439</v>
      </c>
      <c r="E21" s="28"/>
      <c r="F21" s="28"/>
      <c r="G21" s="28"/>
      <c r="H21" s="43"/>
      <c r="I21" s="28"/>
      <c r="K21" s="43"/>
    </row>
    <row r="22" spans="1:256 16383:16383" ht="15.75" thickBot="1" x14ac:dyDescent="0.3">
      <c r="A22" s="271" t="s">
        <v>13</v>
      </c>
      <c r="B22" s="272"/>
      <c r="C22" s="485">
        <f>+C11+C21</f>
        <v>55194545</v>
      </c>
      <c r="D22" s="485">
        <f>+D11+D21</f>
        <v>33791078</v>
      </c>
      <c r="E22" s="28"/>
      <c r="F22" s="28"/>
      <c r="G22" s="28"/>
      <c r="H22" s="28"/>
      <c r="I22" s="28"/>
    </row>
    <row r="23" spans="1:256 16383:16383" x14ac:dyDescent="0.25">
      <c r="A23" s="256"/>
      <c r="B23" s="273"/>
      <c r="C23" s="483"/>
      <c r="D23" s="483"/>
      <c r="E23" s="28"/>
      <c r="F23" s="28"/>
      <c r="G23" s="28"/>
      <c r="H23" s="28"/>
      <c r="I23" s="28"/>
    </row>
    <row r="24" spans="1:256 16383:16383" ht="17.25" x14ac:dyDescent="0.25">
      <c r="A24" s="267" t="s">
        <v>14</v>
      </c>
      <c r="B24" s="270"/>
      <c r="C24" s="483"/>
      <c r="D24" s="483"/>
      <c r="E24" s="28"/>
      <c r="F24" s="28"/>
      <c r="G24" s="28"/>
      <c r="H24" s="28"/>
      <c r="I24" s="28"/>
    </row>
    <row r="25" spans="1:256 16383:16383" ht="16.5" x14ac:dyDescent="0.25">
      <c r="A25" s="81" t="s">
        <v>15</v>
      </c>
      <c r="B25" s="270"/>
      <c r="C25" s="483"/>
      <c r="D25" s="483"/>
      <c r="E25" s="28"/>
      <c r="F25" s="28"/>
      <c r="G25" s="28"/>
      <c r="H25" s="28"/>
      <c r="I25" s="28"/>
    </row>
    <row r="26" spans="1:256 16383:16383" ht="16.5" x14ac:dyDescent="0.25">
      <c r="A26" s="275" t="s">
        <v>16</v>
      </c>
      <c r="B26" s="270">
        <v>8</v>
      </c>
      <c r="C26" s="483"/>
      <c r="D26" s="483"/>
      <c r="E26" s="28"/>
      <c r="F26" s="28"/>
      <c r="G26" s="28"/>
      <c r="H26" s="28"/>
      <c r="I26" s="28"/>
    </row>
    <row r="27" spans="1:256 16383:16383" ht="16.5" x14ac:dyDescent="0.25">
      <c r="A27" s="276" t="s">
        <v>17</v>
      </c>
      <c r="B27" s="270"/>
      <c r="C27" s="481">
        <f>'Dep Final FY 24-25'!AB86+2</f>
        <v>5613555.5240000002</v>
      </c>
      <c r="D27" s="481">
        <f>'Dep Final 23-24'!T73</f>
        <v>671310.99699999997</v>
      </c>
      <c r="E27" s="28"/>
      <c r="F27" s="28"/>
      <c r="G27" s="28"/>
      <c r="H27" s="28"/>
      <c r="I27" s="28"/>
    </row>
    <row r="28" spans="1:256 16383:16383" ht="16.5" x14ac:dyDescent="0.25">
      <c r="A28" s="276" t="s">
        <v>18</v>
      </c>
      <c r="B28" s="270"/>
      <c r="C28" s="481">
        <v>0</v>
      </c>
      <c r="D28" s="481">
        <v>0</v>
      </c>
      <c r="E28" s="28"/>
      <c r="F28" s="28"/>
      <c r="G28" s="28"/>
      <c r="I28" s="28"/>
    </row>
    <row r="29" spans="1:256 16383:16383" ht="16.5" x14ac:dyDescent="0.25">
      <c r="A29" s="275" t="s">
        <v>19</v>
      </c>
      <c r="B29" s="270">
        <v>9</v>
      </c>
      <c r="C29" s="481">
        <f>'Note 9-13'!B9</f>
        <v>1155600</v>
      </c>
      <c r="D29" s="481">
        <f>'Note 9-13'!C9</f>
        <v>1155600</v>
      </c>
      <c r="E29" s="28"/>
      <c r="F29" s="28"/>
      <c r="G29" s="28"/>
      <c r="H29" s="28"/>
      <c r="I29" s="28"/>
      <c r="XFC29" s="635"/>
    </row>
    <row r="30" spans="1:256 16383:16383" ht="16.5" x14ac:dyDescent="0.25">
      <c r="A30" s="275"/>
      <c r="B30" s="270"/>
      <c r="C30" s="486">
        <f>ROUND(ROUND(ROUND(ROUND(SUM(C26:C29),0),0),0),0)</f>
        <v>6769156</v>
      </c>
      <c r="D30" s="486">
        <f>ROUND(ROUND(ROUND(ROUND(SUM(D26:D29),0),0),0),0)</f>
        <v>1826911</v>
      </c>
      <c r="E30" s="28"/>
      <c r="F30" s="28"/>
      <c r="G30" s="28"/>
      <c r="H30" s="28"/>
      <c r="I30" s="28"/>
    </row>
    <row r="31" spans="1:256 16383:16383" ht="16.5" x14ac:dyDescent="0.25">
      <c r="A31" s="275"/>
      <c r="B31" s="270"/>
      <c r="C31" s="487"/>
      <c r="D31" s="487"/>
      <c r="E31" s="28"/>
      <c r="F31" s="28"/>
      <c r="G31" s="28"/>
      <c r="H31" s="28"/>
      <c r="I31" s="28"/>
    </row>
    <row r="32" spans="1:256 16383:16383" ht="16.5" x14ac:dyDescent="0.25">
      <c r="A32" s="275" t="s">
        <v>502</v>
      </c>
      <c r="B32" s="270">
        <v>10</v>
      </c>
      <c r="C32" s="487">
        <f>+'Note 9-13'!B14</f>
        <v>313805.15829370014</v>
      </c>
      <c r="D32" s="487">
        <f>+'Note 9-13'!C14</f>
        <v>313805.15829370014</v>
      </c>
      <c r="E32" s="28"/>
      <c r="F32" s="28"/>
      <c r="G32" s="28"/>
      <c r="H32" s="28"/>
      <c r="I32" s="28"/>
    </row>
    <row r="33" spans="1:256 16383:16383" ht="16.5" x14ac:dyDescent="0.25">
      <c r="A33" s="275"/>
      <c r="B33" s="270"/>
      <c r="C33" s="487"/>
      <c r="D33" s="487"/>
      <c r="E33" s="28"/>
      <c r="F33" s="28"/>
      <c r="G33" s="28"/>
      <c r="H33" s="28"/>
      <c r="I33" s="28"/>
    </row>
    <row r="34" spans="1:256 16383:16383" ht="16.5" x14ac:dyDescent="0.25">
      <c r="A34" s="81" t="s">
        <v>20</v>
      </c>
      <c r="B34" s="270"/>
      <c r="C34" s="483"/>
      <c r="D34" s="483"/>
      <c r="F34" s="28"/>
      <c r="G34" s="28"/>
      <c r="H34" s="28"/>
      <c r="I34" s="28"/>
    </row>
    <row r="35" spans="1:256 16383:16383" ht="16.5" x14ac:dyDescent="0.25">
      <c r="A35" s="275" t="s">
        <v>21</v>
      </c>
      <c r="B35" s="270"/>
      <c r="C35" s="481">
        <v>0</v>
      </c>
      <c r="D35" s="481">
        <v>0</v>
      </c>
      <c r="E35" s="28"/>
      <c r="F35" s="28"/>
      <c r="G35" s="28"/>
      <c r="H35" s="28"/>
      <c r="I35" s="28"/>
    </row>
    <row r="36" spans="1:256 16383:16383" ht="16.5" x14ac:dyDescent="0.25">
      <c r="A36" s="275" t="s">
        <v>22</v>
      </c>
      <c r="B36" s="270">
        <f>B32+1</f>
        <v>11</v>
      </c>
      <c r="C36" s="481">
        <f>ROUND('Note 9-13'!B21,0)</f>
        <v>23038541</v>
      </c>
      <c r="D36" s="481">
        <f>ROUND('Note 9-13'!C21,0)</f>
        <v>14120156</v>
      </c>
      <c r="E36" s="28"/>
      <c r="F36" s="28"/>
      <c r="G36" s="28"/>
      <c r="H36" s="28"/>
      <c r="I36" s="28"/>
      <c r="XFC36" s="255" t="s">
        <v>1077</v>
      </c>
    </row>
    <row r="37" spans="1:256 16383:16383" ht="16.5" x14ac:dyDescent="0.25">
      <c r="A37" s="275" t="s">
        <v>23</v>
      </c>
      <c r="B37" s="270">
        <f>B36+1</f>
        <v>12</v>
      </c>
      <c r="C37" s="481">
        <f>ROUND('Note 9-13'!B29,0)</f>
        <v>6265609</v>
      </c>
      <c r="D37" s="481">
        <f>ROUND('Note 9-13'!C29,0)</f>
        <v>6022452</v>
      </c>
      <c r="E37" s="28"/>
      <c r="F37" s="28"/>
      <c r="G37" s="28"/>
      <c r="H37" s="28"/>
      <c r="I37" s="28"/>
      <c r="XFC37" s="635"/>
    </row>
    <row r="38" spans="1:256 16383:16383" ht="16.5" x14ac:dyDescent="0.25">
      <c r="A38" s="275" t="s">
        <v>24</v>
      </c>
      <c r="B38" s="270">
        <f>B37+1</f>
        <v>13</v>
      </c>
      <c r="C38" s="488">
        <f>ROUND('Note 9-13'!B45,0)</f>
        <v>18807434</v>
      </c>
      <c r="D38" s="488">
        <f>ROUND('Note 9-13'!C45,0)</f>
        <v>11507754</v>
      </c>
      <c r="E38" s="28"/>
      <c r="F38" s="28"/>
      <c r="G38" s="28"/>
      <c r="H38" s="28"/>
      <c r="I38" s="28"/>
      <c r="IV38" s="293"/>
      <c r="XFC38" s="635"/>
    </row>
    <row r="39" spans="1:256 16383:16383" ht="16.5" x14ac:dyDescent="0.25">
      <c r="A39" s="275"/>
      <c r="B39" s="270"/>
      <c r="C39" s="489">
        <f>ROUND(SUM(C35:C38),0)</f>
        <v>48111584</v>
      </c>
      <c r="D39" s="489">
        <f>ROUND(SUM(D35:D38),0)</f>
        <v>31650362</v>
      </c>
      <c r="E39" s="28"/>
      <c r="F39" s="28"/>
      <c r="G39" s="28"/>
      <c r="H39" s="28"/>
      <c r="I39" s="28"/>
    </row>
    <row r="40" spans="1:256 16383:16383" ht="17.25" thickBot="1" x14ac:dyDescent="0.3">
      <c r="A40" s="277" t="s">
        <v>13</v>
      </c>
      <c r="B40" s="278"/>
      <c r="C40" s="490">
        <f>ROUND(C30+C39+C32,0)</f>
        <v>55194545</v>
      </c>
      <c r="D40" s="490">
        <f>ROUND(D30+D39+D32,0)</f>
        <v>33791078</v>
      </c>
      <c r="E40" s="28"/>
      <c r="F40" s="28"/>
      <c r="G40" s="28"/>
      <c r="H40" s="28"/>
      <c r="I40" s="28"/>
      <c r="XFC40" s="637">
        <f>C22-C40</f>
        <v>0</v>
      </c>
    </row>
    <row r="41" spans="1:256 16383:16383" ht="16.5" x14ac:dyDescent="0.25">
      <c r="A41" s="280" t="s">
        <v>25</v>
      </c>
      <c r="B41" s="279"/>
      <c r="C41" s="280"/>
      <c r="D41" s="281"/>
      <c r="F41" s="28"/>
    </row>
    <row r="42" spans="1:256 16383:16383" ht="16.5" x14ac:dyDescent="0.25">
      <c r="A42" s="26" t="s">
        <v>26</v>
      </c>
      <c r="B42" s="919" t="s">
        <v>27</v>
      </c>
      <c r="C42" s="919"/>
      <c r="D42" s="919"/>
      <c r="E42" s="28"/>
      <c r="F42" s="28"/>
      <c r="G42" s="27"/>
      <c r="H42" s="27"/>
      <c r="I42" s="27"/>
    </row>
    <row r="43" spans="1:256 16383:16383" ht="16.5" x14ac:dyDescent="0.25">
      <c r="A43" s="26"/>
      <c r="B43" s="369"/>
      <c r="C43" s="369"/>
      <c r="D43" s="369"/>
      <c r="E43" s="28"/>
      <c r="F43" s="28"/>
      <c r="G43" s="27"/>
      <c r="H43" s="27"/>
      <c r="I43" s="27"/>
    </row>
    <row r="44" spans="1:256 16383:16383" ht="16.5" customHeight="1" x14ac:dyDescent="0.25">
      <c r="A44" s="355" t="s">
        <v>257</v>
      </c>
      <c r="B44" s="920"/>
      <c r="C44" s="920"/>
      <c r="D44" s="921"/>
      <c r="E44" s="28"/>
      <c r="F44" s="27"/>
      <c r="G44" s="27"/>
      <c r="H44" s="27"/>
      <c r="I44" s="27"/>
    </row>
    <row r="45" spans="1:256 16383:16383" x14ac:dyDescent="0.25">
      <c r="A45" s="355" t="s">
        <v>1079</v>
      </c>
      <c r="C45" s="31"/>
      <c r="D45" s="32"/>
      <c r="E45" s="28"/>
      <c r="F45" s="33"/>
      <c r="G45" s="33"/>
      <c r="H45" s="33"/>
      <c r="I45" s="33"/>
    </row>
    <row r="46" spans="1:256 16383:16383" x14ac:dyDescent="0.25">
      <c r="A46" s="355" t="s">
        <v>251</v>
      </c>
      <c r="C46" s="32"/>
      <c r="D46" s="32"/>
      <c r="E46" s="28"/>
      <c r="F46" s="33"/>
      <c r="G46" s="33"/>
      <c r="H46" s="33"/>
      <c r="I46" s="33"/>
      <c r="XFC46" s="251"/>
    </row>
    <row r="47" spans="1:256 16383:16383" ht="16.5" x14ac:dyDescent="0.25">
      <c r="A47" s="358"/>
      <c r="B47" s="252"/>
      <c r="C47" s="30"/>
      <c r="D47" s="32"/>
      <c r="E47" s="28"/>
      <c r="F47" s="33"/>
      <c r="G47" s="33"/>
      <c r="H47" s="33"/>
      <c r="I47" s="33"/>
    </row>
    <row r="48" spans="1:256 16383:16383" ht="16.5" x14ac:dyDescent="0.25">
      <c r="A48" s="355"/>
      <c r="B48" s="30"/>
      <c r="C48" s="30"/>
      <c r="D48" s="32"/>
      <c r="E48" s="34"/>
      <c r="F48" s="33"/>
      <c r="G48" s="33"/>
      <c r="H48" s="33"/>
      <c r="I48" s="33"/>
    </row>
    <row r="49" spans="1:10" ht="16.5" x14ac:dyDescent="0.25">
      <c r="A49" s="361"/>
      <c r="B49" s="253"/>
      <c r="C49" s="30"/>
      <c r="D49" s="254"/>
      <c r="E49" s="34"/>
      <c r="F49" s="33"/>
      <c r="G49" s="33"/>
      <c r="H49" s="33"/>
      <c r="I49" s="33"/>
    </row>
    <row r="50" spans="1:10" ht="30.75" customHeight="1" x14ac:dyDescent="0.25">
      <c r="A50" s="429" t="s">
        <v>258</v>
      </c>
      <c r="B50" s="922"/>
      <c r="C50" s="922"/>
      <c r="D50" s="816"/>
      <c r="E50" s="37"/>
      <c r="F50" s="36"/>
      <c r="G50" s="36"/>
      <c r="H50" s="36"/>
      <c r="I50" s="36"/>
    </row>
    <row r="51" spans="1:10" ht="16.5" x14ac:dyDescent="0.3">
      <c r="A51" s="361" t="s">
        <v>252</v>
      </c>
      <c r="B51" s="427" t="s">
        <v>215</v>
      </c>
      <c r="C51" s="306"/>
      <c r="D51" s="814" t="s">
        <v>215</v>
      </c>
      <c r="E51" s="39"/>
      <c r="F51" s="38"/>
      <c r="G51" s="38"/>
      <c r="H51" s="38"/>
      <c r="I51" s="38"/>
    </row>
    <row r="52" spans="1:10" ht="16.5" x14ac:dyDescent="0.3">
      <c r="A52" s="361" t="s">
        <v>1080</v>
      </c>
      <c r="B52" s="375"/>
      <c r="C52" s="306"/>
      <c r="D52" s="815"/>
    </row>
    <row r="53" spans="1:10" ht="16.5" x14ac:dyDescent="0.25">
      <c r="A53" s="363"/>
      <c r="B53" s="31"/>
      <c r="C53" s="30"/>
      <c r="D53" s="78"/>
    </row>
    <row r="54" spans="1:10" ht="16.5" x14ac:dyDescent="0.3">
      <c r="A54" s="306" t="s">
        <v>253</v>
      </c>
      <c r="B54" s="26"/>
      <c r="C54" s="30"/>
      <c r="D54" s="26"/>
      <c r="F54" s="42"/>
      <c r="G54" s="42"/>
      <c r="H54" s="42"/>
      <c r="I54" s="42"/>
    </row>
    <row r="55" spans="1:10" ht="16.5" x14ac:dyDescent="0.3">
      <c r="A55" s="306" t="s">
        <v>262</v>
      </c>
      <c r="B55" s="26"/>
      <c r="C55" s="30"/>
      <c r="D55" s="26"/>
      <c r="F55" s="42"/>
      <c r="G55" s="42"/>
      <c r="H55" s="42"/>
      <c r="I55" s="42"/>
    </row>
    <row r="56" spans="1:10" ht="16.5" x14ac:dyDescent="0.25">
      <c r="A56" s="255" t="s">
        <v>1005</v>
      </c>
      <c r="B56" s="26"/>
      <c r="C56" s="30"/>
      <c r="D56" s="26"/>
      <c r="F56" s="42"/>
      <c r="G56" s="42"/>
      <c r="H56" s="42"/>
      <c r="I56" s="42"/>
    </row>
    <row r="57" spans="1:10" ht="16.5" x14ac:dyDescent="0.25">
      <c r="A57" s="367"/>
      <c r="B57" s="26"/>
      <c r="C57" s="30"/>
      <c r="D57" s="31"/>
      <c r="E57" s="28"/>
      <c r="F57" s="27"/>
      <c r="G57" s="27"/>
      <c r="H57" s="27"/>
      <c r="I57" s="27"/>
    </row>
    <row r="58" spans="1:10" x14ac:dyDescent="0.25"/>
    <row r="59" spans="1:10" ht="6.75" customHeight="1" x14ac:dyDescent="0.25"/>
    <row r="61" spans="1:10" hidden="1" x14ac:dyDescent="0.25">
      <c r="C61" s="251"/>
      <c r="D61" s="249"/>
      <c r="F61" s="251"/>
      <c r="G61" s="251"/>
      <c r="H61" s="251"/>
      <c r="I61" s="251"/>
    </row>
    <row r="63" spans="1:10" hidden="1" x14ac:dyDescent="0.25">
      <c r="C63" s="251"/>
    </row>
    <row r="64" spans="1:10" hidden="1" x14ac:dyDescent="0.25">
      <c r="J64" s="255" t="s">
        <v>2</v>
      </c>
    </row>
    <row r="65" x14ac:dyDescent="0.25"/>
    <row r="66" x14ac:dyDescent="0.25"/>
    <row r="67" x14ac:dyDescent="0.25"/>
    <row r="81" x14ac:dyDescent="0.25"/>
    <row r="82" x14ac:dyDescent="0.25"/>
    <row r="98" x14ac:dyDescent="0.25"/>
    <row r="146" x14ac:dyDescent="0.25"/>
    <row r="161" x14ac:dyDescent="0.25"/>
    <row r="162" x14ac:dyDescent="0.25"/>
    <row r="177" x14ac:dyDescent="0.25"/>
    <row r="178" x14ac:dyDescent="0.25"/>
    <row r="179" x14ac:dyDescent="0.25"/>
    <row r="193" x14ac:dyDescent="0.25"/>
    <row r="194" x14ac:dyDescent="0.25"/>
    <row r="195"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sheetData>
  <mergeCells count="3">
    <mergeCell ref="B42:D42"/>
    <mergeCell ref="B44:D44"/>
    <mergeCell ref="B50:C50"/>
  </mergeCells>
  <printOptions horizontalCentered="1"/>
  <pageMargins left="0.51181102362204722" right="0.51181102362204722" top="0.5" bottom="0.49" header="0.51181102362204722" footer="0.51181102362204722"/>
  <pageSetup paperSize="9" scale="85"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3482-CBE8-4FDC-9B0A-46506DD7B4AF}">
  <sheetPr>
    <pageSetUpPr fitToPage="1"/>
  </sheetPr>
  <dimension ref="A1:WVP94"/>
  <sheetViews>
    <sheetView showGridLines="0" view="pageBreakPreview" zoomScaleNormal="100" zoomScaleSheetLayoutView="100" workbookViewId="0"/>
  </sheetViews>
  <sheetFormatPr defaultColWidth="0" defaultRowHeight="15" zeroHeight="1" x14ac:dyDescent="0.25"/>
  <cols>
    <col min="1" max="1" width="47" style="3" customWidth="1"/>
    <col min="2" max="2" width="10.7109375" style="8" customWidth="1"/>
    <col min="3" max="3" width="19.42578125" style="3" customWidth="1"/>
    <col min="4" max="4" width="21.140625" style="3" customWidth="1"/>
    <col min="5" max="5" width="10" style="3" bestFit="1" customWidth="1"/>
    <col min="6" max="6" width="9" style="3" bestFit="1" customWidth="1"/>
    <col min="7" max="7" width="13.7109375" style="3" bestFit="1" customWidth="1"/>
    <col min="8" max="8" width="12" style="3" hidden="1"/>
    <col min="9" max="257" width="9.140625" style="3" hidden="1"/>
    <col min="258" max="258" width="47" style="3" hidden="1"/>
    <col min="259" max="259" width="10.7109375" style="3" hidden="1"/>
    <col min="260" max="260" width="20.28515625" style="3" hidden="1"/>
    <col min="261" max="261" width="20.42578125" style="3" hidden="1"/>
    <col min="262" max="262" width="11" style="3" hidden="1"/>
    <col min="263" max="264" width="10" style="3" hidden="1"/>
    <col min="265" max="513" width="9.140625" style="3" hidden="1"/>
    <col min="514" max="514" width="47" style="3" hidden="1"/>
    <col min="515" max="515" width="10.7109375" style="3" hidden="1"/>
    <col min="516" max="516" width="20.28515625" style="3" hidden="1"/>
    <col min="517" max="517" width="20.42578125" style="3" hidden="1"/>
    <col min="518" max="518" width="11" style="3" hidden="1"/>
    <col min="519" max="520" width="10" style="3" hidden="1"/>
    <col min="521" max="769" width="9.140625" style="3" hidden="1"/>
    <col min="770" max="770" width="47" style="3" hidden="1"/>
    <col min="771" max="771" width="10.7109375" style="3" hidden="1"/>
    <col min="772" max="772" width="20.28515625" style="3" hidden="1"/>
    <col min="773" max="773" width="20.42578125" style="3" hidden="1"/>
    <col min="774" max="774" width="11" style="3" hidden="1"/>
    <col min="775" max="776" width="10" style="3" hidden="1"/>
    <col min="777" max="1025" width="9.140625" style="3" hidden="1"/>
    <col min="1026" max="1026" width="47" style="3" hidden="1"/>
    <col min="1027" max="1027" width="10.7109375" style="3" hidden="1"/>
    <col min="1028" max="1028" width="20.28515625" style="3" hidden="1"/>
    <col min="1029" max="1029" width="20.42578125" style="3" hidden="1"/>
    <col min="1030" max="1030" width="11" style="3" hidden="1"/>
    <col min="1031" max="1032" width="10" style="3" hidden="1"/>
    <col min="1033" max="1281" width="9.140625" style="3" hidden="1"/>
    <col min="1282" max="1282" width="47" style="3" hidden="1"/>
    <col min="1283" max="1283" width="10.7109375" style="3" hidden="1"/>
    <col min="1284" max="1284" width="20.28515625" style="3" hidden="1"/>
    <col min="1285" max="1285" width="20.42578125" style="3" hidden="1"/>
    <col min="1286" max="1286" width="11" style="3" hidden="1"/>
    <col min="1287" max="1288" width="10" style="3" hidden="1"/>
    <col min="1289" max="1537" width="9.140625" style="3" hidden="1"/>
    <col min="1538" max="1538" width="47" style="3" hidden="1"/>
    <col min="1539" max="1539" width="10.7109375" style="3" hidden="1"/>
    <col min="1540" max="1540" width="20.28515625" style="3" hidden="1"/>
    <col min="1541" max="1541" width="20.42578125" style="3" hidden="1"/>
    <col min="1542" max="1542" width="11" style="3" hidden="1"/>
    <col min="1543" max="1544" width="10" style="3" hidden="1"/>
    <col min="1545" max="1793" width="9.140625" style="3" hidden="1"/>
    <col min="1794" max="1794" width="47" style="3" hidden="1"/>
    <col min="1795" max="1795" width="10.7109375" style="3" hidden="1"/>
    <col min="1796" max="1796" width="20.28515625" style="3" hidden="1"/>
    <col min="1797" max="1797" width="20.42578125" style="3" hidden="1"/>
    <col min="1798" max="1798" width="11" style="3" hidden="1"/>
    <col min="1799" max="1800" width="10" style="3" hidden="1"/>
    <col min="1801" max="2049" width="9.140625" style="3" hidden="1"/>
    <col min="2050" max="2050" width="47" style="3" hidden="1"/>
    <col min="2051" max="2051" width="10.7109375" style="3" hidden="1"/>
    <col min="2052" max="2052" width="20.28515625" style="3" hidden="1"/>
    <col min="2053" max="2053" width="20.42578125" style="3" hidden="1"/>
    <col min="2054" max="2054" width="11" style="3" hidden="1"/>
    <col min="2055" max="2056" width="10" style="3" hidden="1"/>
    <col min="2057" max="2305" width="9.140625" style="3" hidden="1"/>
    <col min="2306" max="2306" width="47" style="3" hidden="1"/>
    <col min="2307" max="2307" width="10.7109375" style="3" hidden="1"/>
    <col min="2308" max="2308" width="20.28515625" style="3" hidden="1"/>
    <col min="2309" max="2309" width="20.42578125" style="3" hidden="1"/>
    <col min="2310" max="2310" width="11" style="3" hidden="1"/>
    <col min="2311" max="2312" width="10" style="3" hidden="1"/>
    <col min="2313" max="2561" width="9.140625" style="3" hidden="1"/>
    <col min="2562" max="2562" width="47" style="3" hidden="1"/>
    <col min="2563" max="2563" width="10.7109375" style="3" hidden="1"/>
    <col min="2564" max="2564" width="20.28515625" style="3" hidden="1"/>
    <col min="2565" max="2565" width="20.42578125" style="3" hidden="1"/>
    <col min="2566" max="2566" width="11" style="3" hidden="1"/>
    <col min="2567" max="2568" width="10" style="3" hidden="1"/>
    <col min="2569" max="2817" width="9.140625" style="3" hidden="1"/>
    <col min="2818" max="2818" width="47" style="3" hidden="1"/>
    <col min="2819" max="2819" width="10.7109375" style="3" hidden="1"/>
    <col min="2820" max="2820" width="20.28515625" style="3" hidden="1"/>
    <col min="2821" max="2821" width="20.42578125" style="3" hidden="1"/>
    <col min="2822" max="2822" width="11" style="3" hidden="1"/>
    <col min="2823" max="2824" width="10" style="3" hidden="1"/>
    <col min="2825" max="3073" width="9.140625" style="3" hidden="1"/>
    <col min="3074" max="3074" width="47" style="3" hidden="1"/>
    <col min="3075" max="3075" width="10.7109375" style="3" hidden="1"/>
    <col min="3076" max="3076" width="20.28515625" style="3" hidden="1"/>
    <col min="3077" max="3077" width="20.42578125" style="3" hidden="1"/>
    <col min="3078" max="3078" width="11" style="3" hidden="1"/>
    <col min="3079" max="3080" width="10" style="3" hidden="1"/>
    <col min="3081" max="3329" width="9.140625" style="3" hidden="1"/>
    <col min="3330" max="3330" width="47" style="3" hidden="1"/>
    <col min="3331" max="3331" width="10.7109375" style="3" hidden="1"/>
    <col min="3332" max="3332" width="20.28515625" style="3" hidden="1"/>
    <col min="3333" max="3333" width="20.42578125" style="3" hidden="1"/>
    <col min="3334" max="3334" width="11" style="3" hidden="1"/>
    <col min="3335" max="3336" width="10" style="3" hidden="1"/>
    <col min="3337" max="3585" width="9.140625" style="3" hidden="1"/>
    <col min="3586" max="3586" width="47" style="3" hidden="1"/>
    <col min="3587" max="3587" width="10.7109375" style="3" hidden="1"/>
    <col min="3588" max="3588" width="20.28515625" style="3" hidden="1"/>
    <col min="3589" max="3589" width="20.42578125" style="3" hidden="1"/>
    <col min="3590" max="3590" width="11" style="3" hidden="1"/>
    <col min="3591" max="3592" width="10" style="3" hidden="1"/>
    <col min="3593" max="3841" width="9.140625" style="3" hidden="1"/>
    <col min="3842" max="3842" width="47" style="3" hidden="1"/>
    <col min="3843" max="3843" width="10.7109375" style="3" hidden="1"/>
    <col min="3844" max="3844" width="20.28515625" style="3" hidden="1"/>
    <col min="3845" max="3845" width="20.42578125" style="3" hidden="1"/>
    <col min="3846" max="3846" width="11" style="3" hidden="1"/>
    <col min="3847" max="3848" width="10" style="3" hidden="1"/>
    <col min="3849" max="4097" width="9.140625" style="3" hidden="1"/>
    <col min="4098" max="4098" width="47" style="3" hidden="1"/>
    <col min="4099" max="4099" width="10.7109375" style="3" hidden="1"/>
    <col min="4100" max="4100" width="20.28515625" style="3" hidden="1"/>
    <col min="4101" max="4101" width="20.42578125" style="3" hidden="1"/>
    <col min="4102" max="4102" width="11" style="3" hidden="1"/>
    <col min="4103" max="4104" width="10" style="3" hidden="1"/>
    <col min="4105" max="4353" width="9.140625" style="3" hidden="1"/>
    <col min="4354" max="4354" width="47" style="3" hidden="1"/>
    <col min="4355" max="4355" width="10.7109375" style="3" hidden="1"/>
    <col min="4356" max="4356" width="20.28515625" style="3" hidden="1"/>
    <col min="4357" max="4357" width="20.42578125" style="3" hidden="1"/>
    <col min="4358" max="4358" width="11" style="3" hidden="1"/>
    <col min="4359" max="4360" width="10" style="3" hidden="1"/>
    <col min="4361" max="4609" width="9.140625" style="3" hidden="1"/>
    <col min="4610" max="4610" width="47" style="3" hidden="1"/>
    <col min="4611" max="4611" width="10.7109375" style="3" hidden="1"/>
    <col min="4612" max="4612" width="20.28515625" style="3" hidden="1"/>
    <col min="4613" max="4613" width="20.42578125" style="3" hidden="1"/>
    <col min="4614" max="4614" width="11" style="3" hidden="1"/>
    <col min="4615" max="4616" width="10" style="3" hidden="1"/>
    <col min="4617" max="4865" width="9.140625" style="3" hidden="1"/>
    <col min="4866" max="4866" width="47" style="3" hidden="1"/>
    <col min="4867" max="4867" width="10.7109375" style="3" hidden="1"/>
    <col min="4868" max="4868" width="20.28515625" style="3" hidden="1"/>
    <col min="4869" max="4869" width="20.42578125" style="3" hidden="1"/>
    <col min="4870" max="4870" width="11" style="3" hidden="1"/>
    <col min="4871" max="4872" width="10" style="3" hidden="1"/>
    <col min="4873" max="5121" width="9.140625" style="3" hidden="1"/>
    <col min="5122" max="5122" width="47" style="3" hidden="1"/>
    <col min="5123" max="5123" width="10.7109375" style="3" hidden="1"/>
    <col min="5124" max="5124" width="20.28515625" style="3" hidden="1"/>
    <col min="5125" max="5125" width="20.42578125" style="3" hidden="1"/>
    <col min="5126" max="5126" width="11" style="3" hidden="1"/>
    <col min="5127" max="5128" width="10" style="3" hidden="1"/>
    <col min="5129" max="5377" width="9.140625" style="3" hidden="1"/>
    <col min="5378" max="5378" width="47" style="3" hidden="1"/>
    <col min="5379" max="5379" width="10.7109375" style="3" hidden="1"/>
    <col min="5380" max="5380" width="20.28515625" style="3" hidden="1"/>
    <col min="5381" max="5381" width="20.42578125" style="3" hidden="1"/>
    <col min="5382" max="5382" width="11" style="3" hidden="1"/>
    <col min="5383" max="5384" width="10" style="3" hidden="1"/>
    <col min="5385" max="5633" width="9.140625" style="3" hidden="1"/>
    <col min="5634" max="5634" width="47" style="3" hidden="1"/>
    <col min="5635" max="5635" width="10.7109375" style="3" hidden="1"/>
    <col min="5636" max="5636" width="20.28515625" style="3" hidden="1"/>
    <col min="5637" max="5637" width="20.42578125" style="3" hidden="1"/>
    <col min="5638" max="5638" width="11" style="3" hidden="1"/>
    <col min="5639" max="5640" width="10" style="3" hidden="1"/>
    <col min="5641" max="5889" width="9.140625" style="3" hidden="1"/>
    <col min="5890" max="5890" width="47" style="3" hidden="1"/>
    <col min="5891" max="5891" width="10.7109375" style="3" hidden="1"/>
    <col min="5892" max="5892" width="20.28515625" style="3" hidden="1"/>
    <col min="5893" max="5893" width="20.42578125" style="3" hidden="1"/>
    <col min="5894" max="5894" width="11" style="3" hidden="1"/>
    <col min="5895" max="5896" width="10" style="3" hidden="1"/>
    <col min="5897" max="6145" width="9.140625" style="3" hidden="1"/>
    <col min="6146" max="6146" width="47" style="3" hidden="1"/>
    <col min="6147" max="6147" width="10.7109375" style="3" hidden="1"/>
    <col min="6148" max="6148" width="20.28515625" style="3" hidden="1"/>
    <col min="6149" max="6149" width="20.42578125" style="3" hidden="1"/>
    <col min="6150" max="6150" width="11" style="3" hidden="1"/>
    <col min="6151" max="6152" width="10" style="3" hidden="1"/>
    <col min="6153" max="6401" width="9.140625" style="3" hidden="1"/>
    <col min="6402" max="6402" width="47" style="3" hidden="1"/>
    <col min="6403" max="6403" width="10.7109375" style="3" hidden="1"/>
    <col min="6404" max="6404" width="20.28515625" style="3" hidden="1"/>
    <col min="6405" max="6405" width="20.42578125" style="3" hidden="1"/>
    <col min="6406" max="6406" width="11" style="3" hidden="1"/>
    <col min="6407" max="6408" width="10" style="3" hidden="1"/>
    <col min="6409" max="6657" width="9.140625" style="3" hidden="1"/>
    <col min="6658" max="6658" width="47" style="3" hidden="1"/>
    <col min="6659" max="6659" width="10.7109375" style="3" hidden="1"/>
    <col min="6660" max="6660" width="20.28515625" style="3" hidden="1"/>
    <col min="6661" max="6661" width="20.42578125" style="3" hidden="1"/>
    <col min="6662" max="6662" width="11" style="3" hidden="1"/>
    <col min="6663" max="6664" width="10" style="3" hidden="1"/>
    <col min="6665" max="6913" width="9.140625" style="3" hidden="1"/>
    <col min="6914" max="6914" width="47" style="3" hidden="1"/>
    <col min="6915" max="6915" width="10.7109375" style="3" hidden="1"/>
    <col min="6916" max="6916" width="20.28515625" style="3" hidden="1"/>
    <col min="6917" max="6917" width="20.42578125" style="3" hidden="1"/>
    <col min="6918" max="6918" width="11" style="3" hidden="1"/>
    <col min="6919" max="6920" width="10" style="3" hidden="1"/>
    <col min="6921" max="7169" width="9.140625" style="3" hidden="1"/>
    <col min="7170" max="7170" width="47" style="3" hidden="1"/>
    <col min="7171" max="7171" width="10.7109375" style="3" hidden="1"/>
    <col min="7172" max="7172" width="20.28515625" style="3" hidden="1"/>
    <col min="7173" max="7173" width="20.42578125" style="3" hidden="1"/>
    <col min="7174" max="7174" width="11" style="3" hidden="1"/>
    <col min="7175" max="7176" width="10" style="3" hidden="1"/>
    <col min="7177" max="7425" width="9.140625" style="3" hidden="1"/>
    <col min="7426" max="7426" width="47" style="3" hidden="1"/>
    <col min="7427" max="7427" width="10.7109375" style="3" hidden="1"/>
    <col min="7428" max="7428" width="20.28515625" style="3" hidden="1"/>
    <col min="7429" max="7429" width="20.42578125" style="3" hidden="1"/>
    <col min="7430" max="7430" width="11" style="3" hidden="1"/>
    <col min="7431" max="7432" width="10" style="3" hidden="1"/>
    <col min="7433" max="7681" width="9.140625" style="3" hidden="1"/>
    <col min="7682" max="7682" width="47" style="3" hidden="1"/>
    <col min="7683" max="7683" width="10.7109375" style="3" hidden="1"/>
    <col min="7684" max="7684" width="20.28515625" style="3" hidden="1"/>
    <col min="7685" max="7685" width="20.42578125" style="3" hidden="1"/>
    <col min="7686" max="7686" width="11" style="3" hidden="1"/>
    <col min="7687" max="7688" width="10" style="3" hidden="1"/>
    <col min="7689" max="7937" width="9.140625" style="3" hidden="1"/>
    <col min="7938" max="7938" width="47" style="3" hidden="1"/>
    <col min="7939" max="7939" width="10.7109375" style="3" hidden="1"/>
    <col min="7940" max="7940" width="20.28515625" style="3" hidden="1"/>
    <col min="7941" max="7941" width="20.42578125" style="3" hidden="1"/>
    <col min="7942" max="7942" width="11" style="3" hidden="1"/>
    <col min="7943" max="7944" width="10" style="3" hidden="1"/>
    <col min="7945" max="8193" width="9.140625" style="3" hidden="1"/>
    <col min="8194" max="8194" width="47" style="3" hidden="1"/>
    <col min="8195" max="8195" width="10.7109375" style="3" hidden="1"/>
    <col min="8196" max="8196" width="20.28515625" style="3" hidden="1"/>
    <col min="8197" max="8197" width="20.42578125" style="3" hidden="1"/>
    <col min="8198" max="8198" width="11" style="3" hidden="1"/>
    <col min="8199" max="8200" width="10" style="3" hidden="1"/>
    <col min="8201" max="8449" width="9.140625" style="3" hidden="1"/>
    <col min="8450" max="8450" width="47" style="3" hidden="1"/>
    <col min="8451" max="8451" width="10.7109375" style="3" hidden="1"/>
    <col min="8452" max="8452" width="20.28515625" style="3" hidden="1"/>
    <col min="8453" max="8453" width="20.42578125" style="3" hidden="1"/>
    <col min="8454" max="8454" width="11" style="3" hidden="1"/>
    <col min="8455" max="8456" width="10" style="3" hidden="1"/>
    <col min="8457" max="8705" width="9.140625" style="3" hidden="1"/>
    <col min="8706" max="8706" width="47" style="3" hidden="1"/>
    <col min="8707" max="8707" width="10.7109375" style="3" hidden="1"/>
    <col min="8708" max="8708" width="20.28515625" style="3" hidden="1"/>
    <col min="8709" max="8709" width="20.42578125" style="3" hidden="1"/>
    <col min="8710" max="8710" width="11" style="3" hidden="1"/>
    <col min="8711" max="8712" width="10" style="3" hidden="1"/>
    <col min="8713" max="8961" width="9.140625" style="3" hidden="1"/>
    <col min="8962" max="8962" width="47" style="3" hidden="1"/>
    <col min="8963" max="8963" width="10.7109375" style="3" hidden="1"/>
    <col min="8964" max="8964" width="20.28515625" style="3" hidden="1"/>
    <col min="8965" max="8965" width="20.42578125" style="3" hidden="1"/>
    <col min="8966" max="8966" width="11" style="3" hidden="1"/>
    <col min="8967" max="8968" width="10" style="3" hidden="1"/>
    <col min="8969" max="9217" width="9.140625" style="3" hidden="1"/>
    <col min="9218" max="9218" width="47" style="3" hidden="1"/>
    <col min="9219" max="9219" width="10.7109375" style="3" hidden="1"/>
    <col min="9220" max="9220" width="20.28515625" style="3" hidden="1"/>
    <col min="9221" max="9221" width="20.42578125" style="3" hidden="1"/>
    <col min="9222" max="9222" width="11" style="3" hidden="1"/>
    <col min="9223" max="9224" width="10" style="3" hidden="1"/>
    <col min="9225" max="9473" width="9.140625" style="3" hidden="1"/>
    <col min="9474" max="9474" width="47" style="3" hidden="1"/>
    <col min="9475" max="9475" width="10.7109375" style="3" hidden="1"/>
    <col min="9476" max="9476" width="20.28515625" style="3" hidden="1"/>
    <col min="9477" max="9477" width="20.42578125" style="3" hidden="1"/>
    <col min="9478" max="9478" width="11" style="3" hidden="1"/>
    <col min="9479" max="9480" width="10" style="3" hidden="1"/>
    <col min="9481" max="9729" width="9.140625" style="3" hidden="1"/>
    <col min="9730" max="9730" width="47" style="3" hidden="1"/>
    <col min="9731" max="9731" width="10.7109375" style="3" hidden="1"/>
    <col min="9732" max="9732" width="20.28515625" style="3" hidden="1"/>
    <col min="9733" max="9733" width="20.42578125" style="3" hidden="1"/>
    <col min="9734" max="9734" width="11" style="3" hidden="1"/>
    <col min="9735" max="9736" width="10" style="3" hidden="1"/>
    <col min="9737" max="9985" width="9.140625" style="3" hidden="1"/>
    <col min="9986" max="9986" width="47" style="3" hidden="1"/>
    <col min="9987" max="9987" width="10.7109375" style="3" hidden="1"/>
    <col min="9988" max="9988" width="20.28515625" style="3" hidden="1"/>
    <col min="9989" max="9989" width="20.42578125" style="3" hidden="1"/>
    <col min="9990" max="9990" width="11" style="3" hidden="1"/>
    <col min="9991" max="9992" width="10" style="3" hidden="1"/>
    <col min="9993" max="10241" width="9.140625" style="3" hidden="1"/>
    <col min="10242" max="10242" width="47" style="3" hidden="1"/>
    <col min="10243" max="10243" width="10.7109375" style="3" hidden="1"/>
    <col min="10244" max="10244" width="20.28515625" style="3" hidden="1"/>
    <col min="10245" max="10245" width="20.42578125" style="3" hidden="1"/>
    <col min="10246" max="10246" width="11" style="3" hidden="1"/>
    <col min="10247" max="10248" width="10" style="3" hidden="1"/>
    <col min="10249" max="10497" width="9.140625" style="3" hidden="1"/>
    <col min="10498" max="10498" width="47" style="3" hidden="1"/>
    <col min="10499" max="10499" width="10.7109375" style="3" hidden="1"/>
    <col min="10500" max="10500" width="20.28515625" style="3" hidden="1"/>
    <col min="10501" max="10501" width="20.42578125" style="3" hidden="1"/>
    <col min="10502" max="10502" width="11" style="3" hidden="1"/>
    <col min="10503" max="10504" width="10" style="3" hidden="1"/>
    <col min="10505" max="10753" width="9.140625" style="3" hidden="1"/>
    <col min="10754" max="10754" width="47" style="3" hidden="1"/>
    <col min="10755" max="10755" width="10.7109375" style="3" hidden="1"/>
    <col min="10756" max="10756" width="20.28515625" style="3" hidden="1"/>
    <col min="10757" max="10757" width="20.42578125" style="3" hidden="1"/>
    <col min="10758" max="10758" width="11" style="3" hidden="1"/>
    <col min="10759" max="10760" width="10" style="3" hidden="1"/>
    <col min="10761" max="11009" width="9.140625" style="3" hidden="1"/>
    <col min="11010" max="11010" width="47" style="3" hidden="1"/>
    <col min="11011" max="11011" width="10.7109375" style="3" hidden="1"/>
    <col min="11012" max="11012" width="20.28515625" style="3" hidden="1"/>
    <col min="11013" max="11013" width="20.42578125" style="3" hidden="1"/>
    <col min="11014" max="11014" width="11" style="3" hidden="1"/>
    <col min="11015" max="11016" width="10" style="3" hidden="1"/>
    <col min="11017" max="11265" width="9.140625" style="3" hidden="1"/>
    <col min="11266" max="11266" width="47" style="3" hidden="1"/>
    <col min="11267" max="11267" width="10.7109375" style="3" hidden="1"/>
    <col min="11268" max="11268" width="20.28515625" style="3" hidden="1"/>
    <col min="11269" max="11269" width="20.42578125" style="3" hidden="1"/>
    <col min="11270" max="11270" width="11" style="3" hidden="1"/>
    <col min="11271" max="11272" width="10" style="3" hidden="1"/>
    <col min="11273" max="11521" width="9.140625" style="3" hidden="1"/>
    <col min="11522" max="11522" width="47" style="3" hidden="1"/>
    <col min="11523" max="11523" width="10.7109375" style="3" hidden="1"/>
    <col min="11524" max="11524" width="20.28515625" style="3" hidden="1"/>
    <col min="11525" max="11525" width="20.42578125" style="3" hidden="1"/>
    <col min="11526" max="11526" width="11" style="3" hidden="1"/>
    <col min="11527" max="11528" width="10" style="3" hidden="1"/>
    <col min="11529" max="11777" width="9.140625" style="3" hidden="1"/>
    <col min="11778" max="11778" width="47" style="3" hidden="1"/>
    <col min="11779" max="11779" width="10.7109375" style="3" hidden="1"/>
    <col min="11780" max="11780" width="20.28515625" style="3" hidden="1"/>
    <col min="11781" max="11781" width="20.42578125" style="3" hidden="1"/>
    <col min="11782" max="11782" width="11" style="3" hidden="1"/>
    <col min="11783" max="11784" width="10" style="3" hidden="1"/>
    <col min="11785" max="12033" width="9.140625" style="3" hidden="1"/>
    <col min="12034" max="12034" width="47" style="3" hidden="1"/>
    <col min="12035" max="12035" width="10.7109375" style="3" hidden="1"/>
    <col min="12036" max="12036" width="20.28515625" style="3" hidden="1"/>
    <col min="12037" max="12037" width="20.42578125" style="3" hidden="1"/>
    <col min="12038" max="12038" width="11" style="3" hidden="1"/>
    <col min="12039" max="12040" width="10" style="3" hidden="1"/>
    <col min="12041" max="12289" width="9.140625" style="3" hidden="1"/>
    <col min="12290" max="12290" width="47" style="3" hidden="1"/>
    <col min="12291" max="12291" width="10.7109375" style="3" hidden="1"/>
    <col min="12292" max="12292" width="20.28515625" style="3" hidden="1"/>
    <col min="12293" max="12293" width="20.42578125" style="3" hidden="1"/>
    <col min="12294" max="12294" width="11" style="3" hidden="1"/>
    <col min="12295" max="12296" width="10" style="3" hidden="1"/>
    <col min="12297" max="12545" width="9.140625" style="3" hidden="1"/>
    <col min="12546" max="12546" width="47" style="3" hidden="1"/>
    <col min="12547" max="12547" width="10.7109375" style="3" hidden="1"/>
    <col min="12548" max="12548" width="20.28515625" style="3" hidden="1"/>
    <col min="12549" max="12549" width="20.42578125" style="3" hidden="1"/>
    <col min="12550" max="12550" width="11" style="3" hidden="1"/>
    <col min="12551" max="12552" width="10" style="3" hidden="1"/>
    <col min="12553" max="12801" width="9.140625" style="3" hidden="1"/>
    <col min="12802" max="12802" width="47" style="3" hidden="1"/>
    <col min="12803" max="12803" width="10.7109375" style="3" hidden="1"/>
    <col min="12804" max="12804" width="20.28515625" style="3" hidden="1"/>
    <col min="12805" max="12805" width="20.42578125" style="3" hidden="1"/>
    <col min="12806" max="12806" width="11" style="3" hidden="1"/>
    <col min="12807" max="12808" width="10" style="3" hidden="1"/>
    <col min="12809" max="13057" width="9.140625" style="3" hidden="1"/>
    <col min="13058" max="13058" width="47" style="3" hidden="1"/>
    <col min="13059" max="13059" width="10.7109375" style="3" hidden="1"/>
    <col min="13060" max="13060" width="20.28515625" style="3" hidden="1"/>
    <col min="13061" max="13061" width="20.42578125" style="3" hidden="1"/>
    <col min="13062" max="13062" width="11" style="3" hidden="1"/>
    <col min="13063" max="13064" width="10" style="3" hidden="1"/>
    <col min="13065" max="13313" width="9.140625" style="3" hidden="1"/>
    <col min="13314" max="13314" width="47" style="3" hidden="1"/>
    <col min="13315" max="13315" width="10.7109375" style="3" hidden="1"/>
    <col min="13316" max="13316" width="20.28515625" style="3" hidden="1"/>
    <col min="13317" max="13317" width="20.42578125" style="3" hidden="1"/>
    <col min="13318" max="13318" width="11" style="3" hidden="1"/>
    <col min="13319" max="13320" width="10" style="3" hidden="1"/>
    <col min="13321" max="13569" width="9.140625" style="3" hidden="1"/>
    <col min="13570" max="13570" width="47" style="3" hidden="1"/>
    <col min="13571" max="13571" width="10.7109375" style="3" hidden="1"/>
    <col min="13572" max="13572" width="20.28515625" style="3" hidden="1"/>
    <col min="13573" max="13573" width="20.42578125" style="3" hidden="1"/>
    <col min="13574" max="13574" width="11" style="3" hidden="1"/>
    <col min="13575" max="13576" width="10" style="3" hidden="1"/>
    <col min="13577" max="13825" width="9.140625" style="3" hidden="1"/>
    <col min="13826" max="13826" width="47" style="3" hidden="1"/>
    <col min="13827" max="13827" width="10.7109375" style="3" hidden="1"/>
    <col min="13828" max="13828" width="20.28515625" style="3" hidden="1"/>
    <col min="13829" max="13829" width="20.42578125" style="3" hidden="1"/>
    <col min="13830" max="13830" width="11" style="3" hidden="1"/>
    <col min="13831" max="13832" width="10" style="3" hidden="1"/>
    <col min="13833" max="14081" width="9.140625" style="3" hidden="1"/>
    <col min="14082" max="14082" width="47" style="3" hidden="1"/>
    <col min="14083" max="14083" width="10.7109375" style="3" hidden="1"/>
    <col min="14084" max="14084" width="20.28515625" style="3" hidden="1"/>
    <col min="14085" max="14085" width="20.42578125" style="3" hidden="1"/>
    <col min="14086" max="14086" width="11" style="3" hidden="1"/>
    <col min="14087" max="14088" width="10" style="3" hidden="1"/>
    <col min="14089" max="14337" width="9.140625" style="3" hidden="1"/>
    <col min="14338" max="14338" width="47" style="3" hidden="1"/>
    <col min="14339" max="14339" width="10.7109375" style="3" hidden="1"/>
    <col min="14340" max="14340" width="20.28515625" style="3" hidden="1"/>
    <col min="14341" max="14341" width="20.42578125" style="3" hidden="1"/>
    <col min="14342" max="14342" width="11" style="3" hidden="1"/>
    <col min="14343" max="14344" width="10" style="3" hidden="1"/>
    <col min="14345" max="14593" width="9.140625" style="3" hidden="1"/>
    <col min="14594" max="14594" width="47" style="3" hidden="1"/>
    <col min="14595" max="14595" width="10.7109375" style="3" hidden="1"/>
    <col min="14596" max="14596" width="20.28515625" style="3" hidden="1"/>
    <col min="14597" max="14597" width="20.42578125" style="3" hidden="1"/>
    <col min="14598" max="14598" width="11" style="3" hidden="1"/>
    <col min="14599" max="14600" width="10" style="3" hidden="1"/>
    <col min="14601" max="14849" width="9.140625" style="3" hidden="1"/>
    <col min="14850" max="14850" width="47" style="3" hidden="1"/>
    <col min="14851" max="14851" width="10.7109375" style="3" hidden="1"/>
    <col min="14852" max="14852" width="20.28515625" style="3" hidden="1"/>
    <col min="14853" max="14853" width="20.42578125" style="3" hidden="1"/>
    <col min="14854" max="14854" width="11" style="3" hidden="1"/>
    <col min="14855" max="14856" width="10" style="3" hidden="1"/>
    <col min="14857" max="15105" width="9.140625" style="3" hidden="1"/>
    <col min="15106" max="15106" width="47" style="3" hidden="1"/>
    <col min="15107" max="15107" width="10.7109375" style="3" hidden="1"/>
    <col min="15108" max="15108" width="20.28515625" style="3" hidden="1"/>
    <col min="15109" max="15109" width="20.42578125" style="3" hidden="1"/>
    <col min="15110" max="15110" width="11" style="3" hidden="1"/>
    <col min="15111" max="15112" width="10" style="3" hidden="1"/>
    <col min="15113" max="15361" width="9.140625" style="3" hidden="1"/>
    <col min="15362" max="15362" width="47" style="3" hidden="1"/>
    <col min="15363" max="15363" width="10.7109375" style="3" hidden="1"/>
    <col min="15364" max="15364" width="20.28515625" style="3" hidden="1"/>
    <col min="15365" max="15365" width="20.42578125" style="3" hidden="1"/>
    <col min="15366" max="15366" width="11" style="3" hidden="1"/>
    <col min="15367" max="15368" width="10" style="3" hidden="1"/>
    <col min="15369" max="15617" width="9.140625" style="3" hidden="1"/>
    <col min="15618" max="15618" width="47" style="3" hidden="1"/>
    <col min="15619" max="15619" width="10.7109375" style="3" hidden="1"/>
    <col min="15620" max="15620" width="20.28515625" style="3" hidden="1"/>
    <col min="15621" max="15621" width="20.42578125" style="3" hidden="1"/>
    <col min="15622" max="15622" width="11" style="3" hidden="1"/>
    <col min="15623" max="15624" width="10" style="3" hidden="1"/>
    <col min="15625" max="15873" width="9.140625" style="3" hidden="1"/>
    <col min="15874" max="15874" width="47" style="3" hidden="1"/>
    <col min="15875" max="15875" width="10.7109375" style="3" hidden="1"/>
    <col min="15876" max="15876" width="20.28515625" style="3" hidden="1"/>
    <col min="15877" max="15877" width="20.42578125" style="3" hidden="1"/>
    <col min="15878" max="15878" width="11" style="3" hidden="1"/>
    <col min="15879" max="15880" width="10" style="3" hidden="1"/>
    <col min="15881" max="16129" width="9.140625" style="3" hidden="1"/>
    <col min="16130" max="16130" width="47" style="3" hidden="1"/>
    <col min="16131" max="16131" width="10.7109375" style="3" hidden="1"/>
    <col min="16132" max="16132" width="20.28515625" style="3" hidden="1"/>
    <col min="16133" max="16133" width="20.42578125" style="3" hidden="1"/>
    <col min="16134" max="16134" width="11" style="3" hidden="1"/>
    <col min="16135" max="16136" width="10" style="3" hidden="1"/>
    <col min="16137" max="16384" width="9.140625" style="3" hidden="1"/>
  </cols>
  <sheetData>
    <row r="1" spans="1:8" ht="18.75" x14ac:dyDescent="0.25">
      <c r="A1" s="2">
        <f>BS!A1</f>
        <v>0</v>
      </c>
      <c r="B1" s="4"/>
      <c r="C1" s="6"/>
    </row>
    <row r="2" spans="1:8" ht="16.5" x14ac:dyDescent="0.3">
      <c r="A2" s="14" t="s">
        <v>1004</v>
      </c>
      <c r="B2" s="4"/>
    </row>
    <row r="3" spans="1:8" x14ac:dyDescent="0.3">
      <c r="A3" s="381">
        <f>BS!A3</f>
        <v>0</v>
      </c>
      <c r="B3" s="4"/>
      <c r="C3" s="6"/>
    </row>
    <row r="4" spans="1:8" x14ac:dyDescent="0.25">
      <c r="B4" s="4"/>
      <c r="C4" s="6"/>
      <c r="D4" s="7" t="str">
        <f>BS!D4</f>
        <v>In Rupees</v>
      </c>
    </row>
    <row r="5" spans="1:8" s="18" customFormat="1" ht="30" x14ac:dyDescent="0.25">
      <c r="A5" s="15"/>
      <c r="B5" s="16" t="s">
        <v>3</v>
      </c>
      <c r="C5" s="17" t="s">
        <v>998</v>
      </c>
      <c r="D5" s="17" t="s">
        <v>901</v>
      </c>
    </row>
    <row r="6" spans="1:8" x14ac:dyDescent="0.25">
      <c r="B6" s="4"/>
    </row>
    <row r="7" spans="1:8" ht="16.5" x14ac:dyDescent="0.25">
      <c r="A7" s="9" t="s">
        <v>28</v>
      </c>
      <c r="B7" s="9"/>
      <c r="C7" s="10"/>
      <c r="D7" s="10"/>
    </row>
    <row r="8" spans="1:8" ht="16.5" x14ac:dyDescent="0.25">
      <c r="A8" s="10" t="s">
        <v>29</v>
      </c>
      <c r="B8" s="492">
        <v>14</v>
      </c>
      <c r="C8" s="189">
        <f>ROUND('Note 13-19'!B8,0)</f>
        <v>364415590</v>
      </c>
      <c r="D8" s="189">
        <f>ROUND('Note 13-19'!C8,0)</f>
        <v>225987800</v>
      </c>
      <c r="F8" s="910">
        <f>(C8-D8)/C8</f>
        <v>0.37986242575406831</v>
      </c>
      <c r="G8" s="5"/>
    </row>
    <row r="9" spans="1:8" ht="16.5" x14ac:dyDescent="0.25">
      <c r="A9" s="10" t="s">
        <v>30</v>
      </c>
      <c r="B9" s="493">
        <f>B8+1</f>
        <v>15</v>
      </c>
      <c r="C9" s="189">
        <f>ROUND('Note 13-19'!B14,0)</f>
        <v>576085</v>
      </c>
      <c r="D9" s="189">
        <f>ROUND('Note 13-19'!C14,0)</f>
        <v>0</v>
      </c>
      <c r="F9" s="910">
        <f>(C9-D9)/C9</f>
        <v>1</v>
      </c>
      <c r="G9" s="5"/>
      <c r="H9" s="436"/>
    </row>
    <row r="10" spans="1:8" x14ac:dyDescent="0.25">
      <c r="A10" s="19" t="s">
        <v>31</v>
      </c>
      <c r="B10" s="494"/>
      <c r="C10" s="495">
        <f>SUM(C8:C9)</f>
        <v>364991675</v>
      </c>
      <c r="D10" s="495">
        <f>SUM(D8:D9)</f>
        <v>225987800</v>
      </c>
      <c r="E10" s="5"/>
      <c r="F10" s="5"/>
      <c r="G10" s="653"/>
    </row>
    <row r="11" spans="1:8" x14ac:dyDescent="0.25">
      <c r="A11" s="19"/>
      <c r="B11" s="494"/>
      <c r="C11" s="496"/>
      <c r="D11" s="496"/>
    </row>
    <row r="12" spans="1:8" ht="16.5" x14ac:dyDescent="0.25">
      <c r="A12" s="9" t="s">
        <v>32</v>
      </c>
      <c r="B12" s="494"/>
      <c r="C12" s="189"/>
      <c r="D12" s="189"/>
    </row>
    <row r="13" spans="1:8" ht="16.5" x14ac:dyDescent="0.25">
      <c r="A13" s="10" t="s">
        <v>33</v>
      </c>
      <c r="B13" s="492">
        <f>B9+1</f>
        <v>16</v>
      </c>
      <c r="C13" s="188">
        <f>ROUND('Note 13-19'!B21,0)</f>
        <v>328194579</v>
      </c>
      <c r="D13" s="188">
        <f>ROUND('Note 13-19'!C21,0)</f>
        <v>174220871</v>
      </c>
      <c r="E13" s="653"/>
      <c r="F13" s="910">
        <f>(C13-D13)/C13</f>
        <v>0.46915372115271897</v>
      </c>
      <c r="G13" s="653"/>
    </row>
    <row r="14" spans="1:8" ht="16.5" x14ac:dyDescent="0.25">
      <c r="A14" s="10" t="s">
        <v>34</v>
      </c>
      <c r="B14" s="493">
        <f>B13+1</f>
        <v>17</v>
      </c>
      <c r="C14" s="188">
        <f>ROUND('Note 13-19'!B41,0)</f>
        <v>17057181</v>
      </c>
      <c r="D14" s="188">
        <f>ROUND('Note 13-19'!C41,0)</f>
        <v>13184750</v>
      </c>
      <c r="E14" s="6"/>
      <c r="F14" s="910">
        <f>(C14-D14)/C14</f>
        <v>0.22702643537639661</v>
      </c>
      <c r="G14" s="5"/>
    </row>
    <row r="15" spans="1:8" ht="16.5" x14ac:dyDescent="0.25">
      <c r="A15" s="10" t="s">
        <v>35</v>
      </c>
      <c r="B15" s="493">
        <f t="shared" ref="B15" si="0">B14+1</f>
        <v>18</v>
      </c>
      <c r="C15" s="188">
        <f>'Dep Final FY 24-25'!AA86</f>
        <v>2428249.733</v>
      </c>
      <c r="D15" s="188">
        <f>+'Note 13-19'!C46</f>
        <v>514971.85</v>
      </c>
      <c r="E15" s="6"/>
      <c r="F15" s="910">
        <f>(C15-D15)/C15</f>
        <v>0.7879246755383047</v>
      </c>
    </row>
    <row r="16" spans="1:8" ht="16.5" x14ac:dyDescent="0.25">
      <c r="A16" s="10"/>
      <c r="B16" s="493"/>
      <c r="C16" s="188"/>
      <c r="D16" s="188"/>
    </row>
    <row r="17" spans="1:9" x14ac:dyDescent="0.25">
      <c r="A17" s="19" t="s">
        <v>36</v>
      </c>
      <c r="B17" s="494"/>
      <c r="C17" s="497">
        <f>ROUND(SUM(C13:C16),0)</f>
        <v>347680010</v>
      </c>
      <c r="D17" s="497">
        <f>ROUND(SUM(D13:D16),0)</f>
        <v>187920593</v>
      </c>
      <c r="G17" s="574"/>
    </row>
    <row r="18" spans="1:9" s="4" customFormat="1" ht="15.75" thickBot="1" x14ac:dyDescent="0.3">
      <c r="A18" s="19" t="s">
        <v>37</v>
      </c>
      <c r="B18" s="494"/>
      <c r="C18" s="498">
        <f>ROUND(C10-C17,0)</f>
        <v>17311665</v>
      </c>
      <c r="D18" s="498">
        <f>ROUND(D10-D17,0)</f>
        <v>38067207</v>
      </c>
      <c r="E18" s="435"/>
      <c r="F18" s="435"/>
      <c r="G18" s="20"/>
      <c r="H18" s="20"/>
    </row>
    <row r="19" spans="1:9" s="4" customFormat="1" ht="16.5" x14ac:dyDescent="0.3">
      <c r="A19" s="21" t="s">
        <v>38</v>
      </c>
      <c r="B19" s="492"/>
      <c r="C19" s="188">
        <v>0</v>
      </c>
      <c r="D19" s="188">
        <v>0</v>
      </c>
      <c r="E19" s="242"/>
      <c r="F19" s="242"/>
      <c r="H19" s="435"/>
    </row>
    <row r="20" spans="1:9" s="4" customFormat="1" x14ac:dyDescent="0.25">
      <c r="A20" s="19" t="s">
        <v>39</v>
      </c>
      <c r="B20" s="494"/>
      <c r="C20" s="499"/>
      <c r="D20" s="499"/>
    </row>
    <row r="21" spans="1:9" s="4" customFormat="1" ht="16.5" x14ac:dyDescent="0.3">
      <c r="A21" s="21" t="s">
        <v>40</v>
      </c>
      <c r="B21" s="494"/>
      <c r="C21" s="188">
        <f>C18*25.168%</f>
        <v>4356999.8472000007</v>
      </c>
      <c r="D21" s="188">
        <v>9421273.737304002</v>
      </c>
      <c r="E21" s="636"/>
      <c r="F21" s="636"/>
      <c r="G21" s="435"/>
      <c r="H21" s="421"/>
      <c r="I21" s="421"/>
    </row>
    <row r="22" spans="1:9" s="4" customFormat="1" ht="16.5" x14ac:dyDescent="0.3">
      <c r="A22" s="21" t="s">
        <v>41</v>
      </c>
      <c r="B22" s="494"/>
      <c r="C22" s="189">
        <f>'TB 23-24'!D109</f>
        <v>0</v>
      </c>
      <c r="D22" s="189">
        <f>'TB 23-24'!E109</f>
        <v>159481</v>
      </c>
      <c r="G22" s="875"/>
      <c r="H22" s="242"/>
      <c r="I22" s="242"/>
    </row>
    <row r="23" spans="1:9" s="4" customFormat="1" ht="16.5" x14ac:dyDescent="0.3">
      <c r="A23" s="21" t="s">
        <v>42</v>
      </c>
      <c r="B23" s="494"/>
      <c r="C23" s="188"/>
      <c r="D23" s="188"/>
      <c r="E23" s="20"/>
      <c r="F23" s="20"/>
      <c r="G23" s="5"/>
      <c r="H23" s="5"/>
    </row>
    <row r="24" spans="1:9" s="4" customFormat="1" ht="16.5" x14ac:dyDescent="0.3">
      <c r="A24" s="21"/>
      <c r="B24" s="494"/>
      <c r="C24" s="497">
        <f>SUM(C21:C23)</f>
        <v>4356999.8472000007</v>
      </c>
      <c r="D24" s="497">
        <f>SUM(D21:D23)</f>
        <v>9580754.737304002</v>
      </c>
      <c r="G24" s="3"/>
      <c r="H24" s="5"/>
    </row>
    <row r="25" spans="1:9" s="4" customFormat="1" ht="16.5" x14ac:dyDescent="0.3">
      <c r="A25" s="21"/>
      <c r="B25" s="494"/>
      <c r="C25" s="188"/>
      <c r="D25" s="188"/>
      <c r="G25" s="3"/>
      <c r="H25" s="5"/>
    </row>
    <row r="26" spans="1:9" s="4" customFormat="1" ht="15.75" thickBot="1" x14ac:dyDescent="0.3">
      <c r="A26" s="19" t="s">
        <v>43</v>
      </c>
      <c r="B26" s="494"/>
      <c r="C26" s="501">
        <f>+C18-C24-C19</f>
        <v>12954665.152799999</v>
      </c>
      <c r="D26" s="848">
        <f>+D18-D24-D19</f>
        <v>28486452.262695998</v>
      </c>
      <c r="F26" s="911">
        <f>C26/C8</f>
        <v>3.5549151870258894E-2</v>
      </c>
      <c r="G26" s="911">
        <f>D26/D8</f>
        <v>0.12605305358384833</v>
      </c>
    </row>
    <row r="27" spans="1:9" s="4" customFormat="1" ht="15.75" thickTop="1" x14ac:dyDescent="0.25">
      <c r="A27" s="19"/>
      <c r="B27" s="494"/>
      <c r="C27" s="499"/>
      <c r="D27" s="499"/>
      <c r="H27" s="242"/>
    </row>
    <row r="28" spans="1:9" ht="16.5" x14ac:dyDescent="0.25">
      <c r="A28" s="9" t="s">
        <v>44</v>
      </c>
      <c r="B28" s="494"/>
      <c r="C28" s="502"/>
      <c r="D28" s="502"/>
    </row>
    <row r="29" spans="1:9" ht="16.5" x14ac:dyDescent="0.25">
      <c r="A29" s="10" t="s">
        <v>635</v>
      </c>
      <c r="B29" s="494"/>
      <c r="C29" s="188">
        <f>C26/C31</f>
        <v>12954.6651528</v>
      </c>
      <c r="D29" s="188">
        <f>D26/D31</f>
        <v>28486.452262695999</v>
      </c>
    </row>
    <row r="30" spans="1:9" ht="16.5" x14ac:dyDescent="0.25">
      <c r="A30" s="10" t="s">
        <v>45</v>
      </c>
      <c r="B30" s="494"/>
      <c r="C30" s="188">
        <v>10</v>
      </c>
      <c r="D30" s="188">
        <v>10</v>
      </c>
    </row>
    <row r="31" spans="1:9" ht="17.25" thickBot="1" x14ac:dyDescent="0.3">
      <c r="A31" s="22" t="s">
        <v>46</v>
      </c>
      <c r="B31" s="503"/>
      <c r="C31" s="504">
        <f>('Note 2 - 7'!B19+'Note 2 - 7'!B18)/2</f>
        <v>1000</v>
      </c>
      <c r="D31" s="504">
        <f>('Note 2 - 7'!D19+'Note 2 - 7'!D18)/2</f>
        <v>1000</v>
      </c>
    </row>
    <row r="32" spans="1:9" ht="16.5" x14ac:dyDescent="0.3">
      <c r="A32" s="13" t="s">
        <v>25</v>
      </c>
      <c r="B32" s="23"/>
      <c r="C32" s="24"/>
      <c r="D32" s="24"/>
    </row>
    <row r="33" spans="1:10" s="255" customFormat="1" ht="16.5" x14ac:dyDescent="0.25">
      <c r="A33" s="26" t="s">
        <v>26</v>
      </c>
      <c r="B33" s="919" t="s">
        <v>27</v>
      </c>
      <c r="C33" s="919"/>
      <c r="D33" s="919"/>
      <c r="E33" s="28"/>
      <c r="F33" s="28"/>
      <c r="G33" s="28"/>
      <c r="H33" s="27"/>
      <c r="I33" s="27"/>
      <c r="J33" s="27"/>
    </row>
    <row r="34" spans="1:10" s="255" customFormat="1" ht="16.5" x14ac:dyDescent="0.25">
      <c r="A34" s="26"/>
      <c r="B34" s="369"/>
      <c r="C34" s="369"/>
      <c r="D34" s="369"/>
      <c r="E34" s="28"/>
      <c r="F34" s="28"/>
      <c r="G34" s="28"/>
      <c r="H34" s="27"/>
      <c r="I34" s="27"/>
      <c r="J34" s="27"/>
    </row>
    <row r="35" spans="1:10" s="255" customFormat="1" ht="16.5" customHeight="1" x14ac:dyDescent="0.25">
      <c r="A35" s="355" t="str">
        <f>+BS!A44</f>
        <v>For M/s Siva Parvathi &amp; Associates</v>
      </c>
      <c r="B35" s="923">
        <f>+BS!B44</f>
        <v>0</v>
      </c>
      <c r="C35" s="923"/>
      <c r="D35" s="924"/>
      <c r="E35" s="28"/>
      <c r="F35" s="28"/>
      <c r="G35" s="27"/>
      <c r="H35" s="27"/>
      <c r="I35" s="27"/>
      <c r="J35" s="27"/>
    </row>
    <row r="36" spans="1:10" s="255" customFormat="1" x14ac:dyDescent="0.25">
      <c r="A36" s="355" t="s">
        <v>1079</v>
      </c>
      <c r="C36" s="31"/>
      <c r="D36" s="32"/>
      <c r="E36" s="34"/>
      <c r="F36" s="34"/>
      <c r="G36" s="33"/>
      <c r="H36" s="33"/>
      <c r="I36" s="33"/>
      <c r="J36" s="33"/>
    </row>
    <row r="37" spans="1:10" s="255" customFormat="1" x14ac:dyDescent="0.25">
      <c r="A37" s="355" t="s">
        <v>251</v>
      </c>
      <c r="C37" s="31"/>
      <c r="D37" s="32"/>
      <c r="E37" s="34"/>
      <c r="F37" s="34"/>
      <c r="G37" s="33"/>
      <c r="H37" s="33"/>
      <c r="I37" s="33"/>
      <c r="J37" s="33"/>
    </row>
    <row r="38" spans="1:10" s="255" customFormat="1" ht="16.5" x14ac:dyDescent="0.25">
      <c r="A38" s="358"/>
      <c r="B38" s="252"/>
      <c r="C38" s="30"/>
      <c r="D38" s="32"/>
      <c r="E38" s="34"/>
      <c r="F38" s="34"/>
      <c r="G38" s="33"/>
      <c r="H38" s="33"/>
      <c r="I38" s="33"/>
      <c r="J38" s="33"/>
    </row>
    <row r="39" spans="1:10" s="255" customFormat="1" ht="16.5" x14ac:dyDescent="0.25">
      <c r="A39" s="355"/>
      <c r="B39" s="30"/>
      <c r="C39" s="30"/>
      <c r="D39" s="32"/>
      <c r="E39" s="34"/>
      <c r="F39" s="34"/>
      <c r="G39" s="33"/>
      <c r="H39" s="33"/>
      <c r="I39" s="33"/>
      <c r="J39" s="33"/>
    </row>
    <row r="40" spans="1:10" s="255" customFormat="1" ht="16.5" x14ac:dyDescent="0.25">
      <c r="A40" s="361"/>
      <c r="B40" s="253"/>
      <c r="C40" s="30"/>
      <c r="D40" s="254"/>
      <c r="E40" s="34"/>
      <c r="F40" s="34"/>
      <c r="G40" s="33"/>
      <c r="H40" s="33"/>
      <c r="I40" s="33"/>
      <c r="J40" s="33"/>
    </row>
    <row r="41" spans="1:10" s="255" customFormat="1" ht="31.5" customHeight="1" x14ac:dyDescent="0.25">
      <c r="A41" s="429" t="str">
        <f>+BS!A50</f>
        <v>S. Siva Parvathi</v>
      </c>
      <c r="B41" s="922">
        <f>+BS!B50</f>
        <v>0</v>
      </c>
      <c r="C41" s="922"/>
      <c r="D41" s="370">
        <f>+BS!D50</f>
        <v>0</v>
      </c>
      <c r="E41" s="37"/>
      <c r="F41" s="37"/>
      <c r="G41" s="36"/>
      <c r="H41" s="36"/>
      <c r="I41" s="36"/>
      <c r="J41" s="36"/>
    </row>
    <row r="42" spans="1:10" s="255" customFormat="1" ht="16.5" x14ac:dyDescent="0.3">
      <c r="A42" s="355" t="s">
        <v>252</v>
      </c>
      <c r="B42" s="427" t="s">
        <v>215</v>
      </c>
      <c r="C42" s="374"/>
      <c r="D42" s="373" t="s">
        <v>215</v>
      </c>
      <c r="E42" s="39"/>
      <c r="F42" s="39"/>
      <c r="G42" s="38"/>
      <c r="H42" s="38"/>
      <c r="I42" s="38"/>
      <c r="J42" s="38"/>
    </row>
    <row r="43" spans="1:10" s="255" customFormat="1" ht="16.5" x14ac:dyDescent="0.3">
      <c r="A43" s="361" t="s">
        <v>1081</v>
      </c>
      <c r="B43" s="375"/>
      <c r="C43" s="306"/>
      <c r="D43" s="371">
        <f>+BS!D52</f>
        <v>0</v>
      </c>
      <c r="E43" s="43"/>
      <c r="F43" s="43"/>
    </row>
    <row r="44" spans="1:10" s="255" customFormat="1" ht="16.5" x14ac:dyDescent="0.25">
      <c r="A44" s="363"/>
      <c r="B44" s="31"/>
      <c r="C44" s="30"/>
      <c r="D44" s="78"/>
      <c r="E44" s="43"/>
      <c r="F44" s="43"/>
    </row>
    <row r="45" spans="1:10" s="255" customFormat="1" ht="16.5" x14ac:dyDescent="0.3">
      <c r="A45" s="306" t="str">
        <f>BS!A54</f>
        <v>Place : Hyderabad</v>
      </c>
      <c r="B45" s="31"/>
      <c r="C45" s="30"/>
      <c r="D45" s="78"/>
      <c r="E45" s="43"/>
      <c r="F45" s="43"/>
    </row>
    <row r="46" spans="1:10" s="255" customFormat="1" ht="16.5" x14ac:dyDescent="0.3">
      <c r="A46" s="306" t="str">
        <f>BS!A55</f>
        <v xml:space="preserve">Date : </v>
      </c>
      <c r="B46" s="31"/>
      <c r="C46" s="30"/>
      <c r="D46" s="78"/>
      <c r="E46" s="43"/>
      <c r="F46" s="43"/>
    </row>
    <row r="47" spans="1:10" s="255" customFormat="1" ht="16.5" x14ac:dyDescent="0.3">
      <c r="A47" s="306" t="str">
        <f>BS!A56</f>
        <v>UDIN :</v>
      </c>
      <c r="B47" s="31"/>
      <c r="C47" s="30"/>
      <c r="D47" s="78"/>
      <c r="E47" s="43"/>
      <c r="F47" s="43"/>
    </row>
    <row r="48" spans="1:10" s="255" customFormat="1" ht="16.5" x14ac:dyDescent="0.25">
      <c r="A48" s="363"/>
      <c r="B48" s="31"/>
      <c r="C48" s="30"/>
      <c r="D48" s="78"/>
      <c r="E48" s="43"/>
      <c r="F48" s="43"/>
    </row>
    <row r="49" spans="1:12" s="255" customFormat="1" ht="16.5" x14ac:dyDescent="0.25">
      <c r="A49" s="363"/>
      <c r="B49" s="31"/>
      <c r="C49" s="30"/>
      <c r="D49" s="78"/>
      <c r="E49" s="43"/>
      <c r="F49" s="43"/>
    </row>
    <row r="50" spans="1:12" ht="16.5" x14ac:dyDescent="0.25">
      <c r="A50" s="368"/>
    </row>
    <row r="51" spans="1:12" ht="6.75" customHeight="1" x14ac:dyDescent="0.25"/>
    <row r="53" spans="1:12" x14ac:dyDescent="0.25"/>
    <row r="64" spans="1:12" hidden="1" x14ac:dyDescent="0.25">
      <c r="L64" s="3" t="s">
        <v>2</v>
      </c>
    </row>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sheetData>
  <mergeCells count="3">
    <mergeCell ref="B33:D33"/>
    <mergeCell ref="B35:D35"/>
    <mergeCell ref="B41:C41"/>
  </mergeCells>
  <printOptions horizontalCentered="1"/>
  <pageMargins left="0.51181102362204722" right="0.51181102362204722" top="0.51181102362204722" bottom="0.51181102362204722" header="0.51181102362204722" footer="0.51181102362204722"/>
  <pageSetup paperSize="9" scale="85"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0564B-7ACD-4E30-9568-756DB5DD1D4F}">
  <sheetPr>
    <pageSetUpPr fitToPage="1"/>
  </sheetPr>
  <dimension ref="A1:I57"/>
  <sheetViews>
    <sheetView view="pageBreakPreview" zoomScale="84" zoomScaleNormal="100" zoomScaleSheetLayoutView="84" workbookViewId="0">
      <selection activeCell="E15" sqref="E15"/>
    </sheetView>
  </sheetViews>
  <sheetFormatPr defaultColWidth="0" defaultRowHeight="16.5" x14ac:dyDescent="0.3"/>
  <cols>
    <col min="1" max="1" width="58.42578125" style="306" customWidth="1"/>
    <col min="2" max="2" width="11.28515625" style="306" customWidth="1"/>
    <col min="3" max="3" width="20.5703125" style="306" customWidth="1"/>
    <col min="4" max="4" width="9.140625" style="306" customWidth="1"/>
    <col min="5" max="5" width="21.5703125" style="306" customWidth="1"/>
    <col min="6" max="6" width="24.7109375" style="366" bestFit="1" customWidth="1"/>
    <col min="7" max="7" width="19" style="306" bestFit="1" customWidth="1"/>
    <col min="8" max="9" width="0" style="306" hidden="1" customWidth="1"/>
    <col min="10" max="16384" width="9.140625" style="306" hidden="1"/>
  </cols>
  <sheetData>
    <row r="1" spans="1:7" x14ac:dyDescent="0.3">
      <c r="A1" s="302">
        <f>+'P&amp;L'!A1</f>
        <v>0</v>
      </c>
      <c r="B1" s="303"/>
      <c r="C1" s="303"/>
      <c r="D1" s="304"/>
      <c r="E1" s="304"/>
      <c r="F1" s="305"/>
    </row>
    <row r="2" spans="1:7" x14ac:dyDescent="0.3">
      <c r="A2" s="307" t="s">
        <v>718</v>
      </c>
      <c r="B2" s="308"/>
      <c r="C2" s="308"/>
      <c r="F2" s="309"/>
    </row>
    <row r="3" spans="1:7" x14ac:dyDescent="0.3">
      <c r="A3" s="307">
        <f>+BS!A3</f>
        <v>0</v>
      </c>
      <c r="B3" s="308"/>
      <c r="C3" s="308"/>
      <c r="F3" s="309"/>
    </row>
    <row r="4" spans="1:7" x14ac:dyDescent="0.3">
      <c r="A4" s="310"/>
      <c r="F4" s="309"/>
    </row>
    <row r="5" spans="1:7" x14ac:dyDescent="0.3">
      <c r="A5" s="311" t="s">
        <v>0</v>
      </c>
      <c r="B5" s="312"/>
      <c r="C5" s="313"/>
      <c r="D5" s="314"/>
      <c r="E5" s="315" t="s">
        <v>1010</v>
      </c>
      <c r="F5" s="315" t="s">
        <v>759</v>
      </c>
    </row>
    <row r="6" spans="1:7" x14ac:dyDescent="0.3">
      <c r="A6" s="316" t="s">
        <v>216</v>
      </c>
      <c r="B6" s="317"/>
      <c r="C6" s="318"/>
      <c r="D6" s="319"/>
      <c r="E6" s="319"/>
      <c r="F6" s="320"/>
    </row>
    <row r="7" spans="1:7" ht="18.75" x14ac:dyDescent="0.3">
      <c r="A7" s="321" t="s">
        <v>217</v>
      </c>
      <c r="B7" s="322"/>
      <c r="C7" s="323"/>
      <c r="D7" s="319"/>
      <c r="E7" s="505">
        <f>+'P&amp;L'!C18</f>
        <v>17311665</v>
      </c>
      <c r="F7" s="505">
        <f>+'P&amp;L'!D18</f>
        <v>38067207</v>
      </c>
      <c r="G7" s="1003"/>
    </row>
    <row r="8" spans="1:7" x14ac:dyDescent="0.3">
      <c r="A8" s="316" t="s">
        <v>218</v>
      </c>
      <c r="B8" s="317"/>
      <c r="C8" s="318"/>
      <c r="D8" s="319"/>
      <c r="E8" s="319"/>
      <c r="F8" s="506"/>
    </row>
    <row r="9" spans="1:7" x14ac:dyDescent="0.3">
      <c r="A9" s="324" t="s">
        <v>219</v>
      </c>
      <c r="B9" s="325"/>
      <c r="C9" s="326"/>
      <c r="D9" s="327"/>
      <c r="E9" s="508">
        <f>'P&amp;L'!C15</f>
        <v>2428249.733</v>
      </c>
      <c r="F9" s="508">
        <f>'P&amp;L'!D15</f>
        <v>514971.85</v>
      </c>
    </row>
    <row r="10" spans="1:7" x14ac:dyDescent="0.3">
      <c r="A10" s="316" t="s">
        <v>220</v>
      </c>
      <c r="B10" s="317"/>
      <c r="C10" s="318"/>
      <c r="D10" s="319"/>
      <c r="E10" s="510">
        <f>SUM(E7:E9)</f>
        <v>19739914.732999999</v>
      </c>
      <c r="F10" s="510">
        <f>SUM(F7:F9)</f>
        <v>38582178.850000001</v>
      </c>
    </row>
    <row r="11" spans="1:7" x14ac:dyDescent="0.3">
      <c r="A11" s="321" t="s">
        <v>221</v>
      </c>
      <c r="B11" s="322"/>
      <c r="C11" s="323"/>
      <c r="D11" s="319"/>
      <c r="E11" s="319"/>
      <c r="F11" s="506"/>
    </row>
    <row r="12" spans="1:7" x14ac:dyDescent="0.3">
      <c r="A12" s="324" t="s">
        <v>639</v>
      </c>
      <c r="B12" s="325"/>
      <c r="C12" s="326"/>
      <c r="D12" s="327"/>
      <c r="E12" s="507">
        <f>BS!C15-BS!D15</f>
        <v>5333587</v>
      </c>
      <c r="F12" s="507">
        <v>5173851</v>
      </c>
    </row>
    <row r="13" spans="1:7" x14ac:dyDescent="0.3">
      <c r="A13" s="324" t="s">
        <v>222</v>
      </c>
      <c r="B13" s="325"/>
      <c r="C13" s="326"/>
      <c r="D13" s="327"/>
      <c r="E13" s="506">
        <f>BS!D38-BS!C38</f>
        <v>-7299680</v>
      </c>
      <c r="F13" s="506">
        <v>94825045</v>
      </c>
    </row>
    <row r="14" spans="1:7" x14ac:dyDescent="0.3">
      <c r="A14" s="324" t="s">
        <v>223</v>
      </c>
      <c r="B14" s="325"/>
      <c r="C14" s="326"/>
      <c r="D14" s="327"/>
      <c r="E14" s="507">
        <f>BS!D37-BS!C37</f>
        <v>-243157</v>
      </c>
      <c r="F14" s="507">
        <v>-24611</v>
      </c>
    </row>
    <row r="15" spans="1:7" x14ac:dyDescent="0.3">
      <c r="A15" s="324" t="s">
        <v>224</v>
      </c>
      <c r="B15" s="325"/>
      <c r="C15" s="326"/>
      <c r="D15" s="327"/>
      <c r="E15" s="507">
        <f>BS!D29-BS!C29</f>
        <v>0</v>
      </c>
      <c r="F15" s="507">
        <v>57600</v>
      </c>
    </row>
    <row r="16" spans="1:7" x14ac:dyDescent="0.3">
      <c r="A16" s="324" t="s">
        <v>225</v>
      </c>
      <c r="B16" s="325"/>
      <c r="C16" s="326"/>
      <c r="D16" s="327"/>
      <c r="E16" s="506">
        <f>BS!C20-BS!D20+9455</f>
        <v>-5054819</v>
      </c>
      <c r="F16" s="506">
        <v>242851</v>
      </c>
    </row>
    <row r="17" spans="1:7" x14ac:dyDescent="0.3">
      <c r="A17" s="324" t="s">
        <v>226</v>
      </c>
      <c r="B17" s="325"/>
      <c r="C17" s="326"/>
      <c r="D17" s="327"/>
      <c r="E17" s="506">
        <f>BS!C18-BS!D18</f>
        <v>264600</v>
      </c>
      <c r="F17" s="506">
        <v>-5385</v>
      </c>
    </row>
    <row r="18" spans="1:7" x14ac:dyDescent="0.3">
      <c r="A18" s="324" t="s">
        <v>227</v>
      </c>
      <c r="B18" s="325"/>
      <c r="C18" s="326"/>
      <c r="D18" s="327"/>
      <c r="E18" s="508">
        <f>BS!C19-BS!D19</f>
        <v>7914889</v>
      </c>
      <c r="F18" s="508">
        <v>618630</v>
      </c>
    </row>
    <row r="19" spans="1:7" x14ac:dyDescent="0.3">
      <c r="A19" s="316" t="s">
        <v>228</v>
      </c>
      <c r="B19" s="317"/>
      <c r="C19" s="318"/>
      <c r="D19" s="319"/>
      <c r="E19" s="510">
        <f>SUM(E10:E18)</f>
        <v>20655334.732999999</v>
      </c>
      <c r="F19" s="510">
        <f>SUM(F10:F18)</f>
        <v>139470159.84999999</v>
      </c>
    </row>
    <row r="20" spans="1:7" x14ac:dyDescent="0.3">
      <c r="A20" s="324" t="s">
        <v>229</v>
      </c>
      <c r="B20" s="325"/>
      <c r="C20" s="326"/>
      <c r="D20" s="327"/>
      <c r="E20" s="509">
        <f>-'P&amp;L'!C21+9493</f>
        <v>-4347506.8472000007</v>
      </c>
      <c r="F20" s="509">
        <f>-'P&amp;L'!D21</f>
        <v>-9421273.737304002</v>
      </c>
    </row>
    <row r="21" spans="1:7" x14ac:dyDescent="0.3">
      <c r="A21" s="316" t="s">
        <v>230</v>
      </c>
      <c r="B21" s="317"/>
      <c r="C21" s="318"/>
      <c r="D21" s="328" t="s">
        <v>231</v>
      </c>
      <c r="E21" s="511">
        <f>SUM(E19+E20)</f>
        <v>16307827.885799998</v>
      </c>
      <c r="F21" s="511">
        <f>SUM(F19+F20)</f>
        <v>130048886.11269599</v>
      </c>
    </row>
    <row r="22" spans="1:7" x14ac:dyDescent="0.3">
      <c r="A22" s="316" t="s">
        <v>232</v>
      </c>
      <c r="B22" s="317"/>
      <c r="C22" s="318"/>
      <c r="D22" s="319"/>
      <c r="E22" s="319"/>
      <c r="F22" s="506"/>
    </row>
    <row r="23" spans="1:7" x14ac:dyDescent="0.3">
      <c r="A23" s="324" t="s">
        <v>233</v>
      </c>
      <c r="B23" s="325"/>
      <c r="C23" s="326"/>
      <c r="D23" s="327"/>
      <c r="E23" s="506">
        <f>-'Dep Final FY 24-25'!V86</f>
        <v>-7389442.2599999998</v>
      </c>
      <c r="F23" s="506">
        <v>-394930</v>
      </c>
    </row>
    <row r="24" spans="1:7" x14ac:dyDescent="0.3">
      <c r="A24" s="324" t="s">
        <v>1075</v>
      </c>
      <c r="B24" s="325"/>
      <c r="C24" s="326"/>
      <c r="D24" s="327"/>
      <c r="E24" s="906"/>
      <c r="F24" s="654">
        <v>0</v>
      </c>
      <c r="G24" s="907">
        <v>9493</v>
      </c>
    </row>
    <row r="25" spans="1:7" x14ac:dyDescent="0.3">
      <c r="A25" s="324" t="s">
        <v>913</v>
      </c>
      <c r="B25" s="325"/>
      <c r="C25" s="326"/>
      <c r="D25" s="321"/>
      <c r="E25" s="654"/>
      <c r="F25" s="508">
        <f>-126472473+9059</f>
        <v>-126463414</v>
      </c>
      <c r="G25" s="908">
        <f>G24*2</f>
        <v>18986</v>
      </c>
    </row>
    <row r="26" spans="1:7" x14ac:dyDescent="0.3">
      <c r="A26" s="316" t="s">
        <v>234</v>
      </c>
      <c r="B26" s="317"/>
      <c r="C26" s="318"/>
      <c r="D26" s="328" t="s">
        <v>235</v>
      </c>
      <c r="E26" s="512">
        <f>SUM(E23:E25)</f>
        <v>-7389442.2599999998</v>
      </c>
      <c r="F26" s="512">
        <f>SUM(F23:F25)</f>
        <v>-126858344</v>
      </c>
    </row>
    <row r="27" spans="1:7" x14ac:dyDescent="0.3">
      <c r="A27" s="316" t="s">
        <v>236</v>
      </c>
      <c r="B27" s="317"/>
      <c r="C27" s="318"/>
      <c r="D27" s="319"/>
      <c r="E27" s="319"/>
      <c r="F27" s="506"/>
    </row>
    <row r="28" spans="1:7" x14ac:dyDescent="0.3">
      <c r="A28" s="324" t="s">
        <v>237</v>
      </c>
      <c r="B28" s="325"/>
      <c r="C28" s="326"/>
      <c r="D28" s="327"/>
      <c r="E28" s="323"/>
      <c r="F28" s="507">
        <v>0</v>
      </c>
    </row>
    <row r="29" spans="1:7" x14ac:dyDescent="0.3">
      <c r="A29" s="316" t="s">
        <v>238</v>
      </c>
      <c r="B29" s="317"/>
      <c r="C29" s="318"/>
      <c r="D29" s="328" t="s">
        <v>239</v>
      </c>
      <c r="E29" s="328"/>
      <c r="F29" s="510">
        <f>SUM(F28:F28)</f>
        <v>0</v>
      </c>
    </row>
    <row r="30" spans="1:7" x14ac:dyDescent="0.3">
      <c r="A30" s="316" t="s">
        <v>240</v>
      </c>
      <c r="B30" s="317"/>
      <c r="C30" s="318"/>
      <c r="D30" s="319" t="s">
        <v>241</v>
      </c>
      <c r="E30" s="510">
        <f>E29+E26+E21-0.058</f>
        <v>8918385.5677999984</v>
      </c>
      <c r="F30" s="510">
        <f>F29+F26+F21-0.058</f>
        <v>3190542.0546959918</v>
      </c>
    </row>
    <row r="31" spans="1:7" x14ac:dyDescent="0.3">
      <c r="A31" s="324" t="s">
        <v>242</v>
      </c>
      <c r="B31" s="325"/>
      <c r="C31" s="326"/>
      <c r="D31" s="319"/>
      <c r="E31" s="905">
        <f>BS!D36</f>
        <v>14120156</v>
      </c>
      <c r="F31" s="508">
        <v>10929614.419999998</v>
      </c>
    </row>
    <row r="32" spans="1:7" x14ac:dyDescent="0.3">
      <c r="A32" s="316" t="s">
        <v>243</v>
      </c>
      <c r="B32" s="317"/>
      <c r="C32" s="318"/>
      <c r="D32" s="319"/>
      <c r="E32" s="512">
        <f>ROUND(SUM(E30:E31),0)</f>
        <v>23038542</v>
      </c>
      <c r="F32" s="512">
        <f>ROUND(SUM(F30:F31),0)</f>
        <v>14120156</v>
      </c>
      <c r="G32" s="329"/>
    </row>
    <row r="33" spans="1:8" ht="8.25" customHeight="1" x14ac:dyDescent="0.3">
      <c r="A33" s="330"/>
      <c r="B33" s="331"/>
      <c r="C33" s="332"/>
      <c r="D33" s="333"/>
      <c r="E33" s="333"/>
      <c r="F33" s="513"/>
    </row>
    <row r="34" spans="1:8" x14ac:dyDescent="0.3">
      <c r="A34" s="334" t="s">
        <v>244</v>
      </c>
      <c r="B34" s="335"/>
      <c r="C34" s="336"/>
      <c r="D34" s="337"/>
      <c r="E34" s="337"/>
      <c r="F34" s="513"/>
    </row>
    <row r="35" spans="1:8" x14ac:dyDescent="0.3">
      <c r="A35" s="338" t="s">
        <v>47</v>
      </c>
      <c r="B35" s="339"/>
      <c r="C35" s="340"/>
      <c r="D35" s="337"/>
      <c r="E35" s="507">
        <f>+'Note 9-13'!B20</f>
        <v>0</v>
      </c>
      <c r="F35" s="507">
        <f>+'Note 9-13'!C20</f>
        <v>28397</v>
      </c>
    </row>
    <row r="36" spans="1:8" x14ac:dyDescent="0.3">
      <c r="A36" s="338" t="s">
        <v>245</v>
      </c>
      <c r="B36" s="339"/>
      <c r="C36" s="340"/>
      <c r="D36" s="337"/>
      <c r="E36" s="514">
        <f>+'Note 9-13'!B19</f>
        <v>23038541.219999999</v>
      </c>
      <c r="F36" s="514">
        <f>+'Note 9-13'!C19</f>
        <v>14091759.130000001</v>
      </c>
    </row>
    <row r="37" spans="1:8" x14ac:dyDescent="0.3">
      <c r="A37" s="341" t="s">
        <v>246</v>
      </c>
      <c r="B37" s="342"/>
      <c r="C37" s="343"/>
      <c r="D37" s="344"/>
      <c r="E37" s="511">
        <f>SUM(E35:E36)</f>
        <v>23038541.219999999</v>
      </c>
      <c r="F37" s="511">
        <f>SUM(F35:F36)</f>
        <v>14120156.130000001</v>
      </c>
      <c r="G37" s="560">
        <f>E36-E32</f>
        <v>-0.7800000011920929</v>
      </c>
      <c r="H37" s="430" t="e">
        <f>+#REF!-#REF!+0.84</f>
        <v>#REF!</v>
      </c>
    </row>
    <row r="38" spans="1:8" x14ac:dyDescent="0.3">
      <c r="A38" s="345"/>
      <c r="B38" s="346"/>
      <c r="C38" s="346"/>
      <c r="D38" s="347"/>
      <c r="E38" s="347"/>
      <c r="F38" s="348"/>
    </row>
    <row r="39" spans="1:8" x14ac:dyDescent="0.3">
      <c r="A39" s="349" t="s">
        <v>247</v>
      </c>
      <c r="B39" s="350"/>
      <c r="C39" s="350"/>
      <c r="D39" s="350"/>
      <c r="E39" s="350"/>
      <c r="F39" s="351"/>
    </row>
    <row r="40" spans="1:8" ht="54.75" customHeight="1" x14ac:dyDescent="0.3">
      <c r="A40" s="925" t="s">
        <v>248</v>
      </c>
      <c r="B40" s="926"/>
      <c r="C40" s="926"/>
      <c r="D40" s="926"/>
      <c r="E40" s="926"/>
      <c r="F40" s="926"/>
    </row>
    <row r="41" spans="1:8" x14ac:dyDescent="0.3">
      <c r="A41" s="927" t="s">
        <v>249</v>
      </c>
      <c r="B41" s="928"/>
      <c r="C41" s="928"/>
      <c r="D41" s="928"/>
      <c r="E41" s="928"/>
      <c r="F41" s="928"/>
    </row>
    <row r="42" spans="1:8" x14ac:dyDescent="0.3">
      <c r="A42" s="929" t="s">
        <v>250</v>
      </c>
      <c r="B42" s="930"/>
      <c r="C42" s="930"/>
      <c r="D42" s="931"/>
      <c r="E42" s="931"/>
      <c r="F42" s="931"/>
    </row>
    <row r="43" spans="1:8" x14ac:dyDescent="0.3">
      <c r="A43" s="817" t="s">
        <v>26</v>
      </c>
      <c r="B43" s="818"/>
      <c r="C43" s="819" t="s">
        <v>27</v>
      </c>
      <c r="D43" s="818"/>
      <c r="E43" s="818"/>
      <c r="F43" s="820"/>
    </row>
    <row r="44" spans="1:8" x14ac:dyDescent="0.3">
      <c r="A44" s="352"/>
      <c r="B44" s="821"/>
      <c r="C44" s="356"/>
      <c r="D44" s="821"/>
      <c r="E44" s="821"/>
      <c r="F44" s="353"/>
    </row>
    <row r="45" spans="1:8" x14ac:dyDescent="0.3">
      <c r="A45" s="354" t="str">
        <f>+'P&amp;L'!A35</f>
        <v>For M/s Siva Parvathi &amp; Associates</v>
      </c>
      <c r="B45" s="355"/>
      <c r="C45" s="932"/>
      <c r="D45" s="932"/>
      <c r="E45" s="932"/>
      <c r="F45" s="932"/>
    </row>
    <row r="46" spans="1:8" x14ac:dyDescent="0.3">
      <c r="A46" s="354" t="s">
        <v>1082</v>
      </c>
      <c r="B46" s="355"/>
      <c r="C46" s="359"/>
      <c r="F46" s="356"/>
    </row>
    <row r="47" spans="1:8" x14ac:dyDescent="0.3">
      <c r="A47" s="354" t="s">
        <v>251</v>
      </c>
      <c r="B47" s="355"/>
      <c r="C47" s="355"/>
      <c r="F47" s="356"/>
    </row>
    <row r="48" spans="1:8" x14ac:dyDescent="0.3">
      <c r="A48" s="357"/>
      <c r="B48" s="358"/>
      <c r="C48" s="358"/>
      <c r="F48" s="359"/>
    </row>
    <row r="49" spans="1:6" x14ac:dyDescent="0.3">
      <c r="A49" s="354"/>
      <c r="B49" s="355"/>
      <c r="C49" s="35"/>
      <c r="F49" s="309"/>
    </row>
    <row r="50" spans="1:6" x14ac:dyDescent="0.3">
      <c r="A50" s="360"/>
      <c r="B50" s="361"/>
      <c r="C50" s="222"/>
      <c r="F50" s="309"/>
    </row>
    <row r="51" spans="1:6" s="308" customFormat="1" ht="15" x14ac:dyDescent="0.25">
      <c r="A51" s="354" t="str">
        <f>+'P&amp;L'!A41</f>
        <v>S. Siva Parvathi</v>
      </c>
      <c r="B51" s="355">
        <f>+BS!B50</f>
        <v>0</v>
      </c>
      <c r="F51" s="370">
        <f>+BS!D50</f>
        <v>0</v>
      </c>
    </row>
    <row r="52" spans="1:6" x14ac:dyDescent="0.3">
      <c r="A52" s="360" t="s">
        <v>252</v>
      </c>
      <c r="B52" s="361"/>
      <c r="C52" s="363" t="s">
        <v>215</v>
      </c>
      <c r="D52" s="374"/>
      <c r="E52" s="374"/>
      <c r="F52" s="373" t="s">
        <v>215</v>
      </c>
    </row>
    <row r="53" spans="1:6" x14ac:dyDescent="0.3">
      <c r="A53" s="360" t="s">
        <v>1081</v>
      </c>
      <c r="B53" s="822"/>
      <c r="D53" s="823"/>
      <c r="E53" s="823"/>
      <c r="F53" s="371">
        <f>+BS!D52</f>
        <v>0</v>
      </c>
    </row>
    <row r="54" spans="1:6" x14ac:dyDescent="0.3">
      <c r="A54" s="362"/>
      <c r="B54" s="363"/>
      <c r="C54" s="361"/>
      <c r="F54" s="824"/>
    </row>
    <row r="55" spans="1:6" x14ac:dyDescent="0.3">
      <c r="A55" s="310" t="str">
        <f>BS!A54</f>
        <v>Place : Hyderabad</v>
      </c>
      <c r="F55" s="306"/>
    </row>
    <row r="56" spans="1:6" x14ac:dyDescent="0.3">
      <c r="A56" s="310" t="str">
        <f>BS!A55</f>
        <v xml:space="preserve">Date : </v>
      </c>
      <c r="F56" s="306"/>
    </row>
    <row r="57" spans="1:6" x14ac:dyDescent="0.3">
      <c r="A57" s="364" t="str">
        <f>BS!A56</f>
        <v>UDIN :</v>
      </c>
      <c r="B57" s="365"/>
      <c r="C57" s="365"/>
      <c r="D57" s="365"/>
      <c r="E57" s="365"/>
      <c r="F57" s="365"/>
    </row>
  </sheetData>
  <mergeCells count="4">
    <mergeCell ref="A40:F40"/>
    <mergeCell ref="A41:F41"/>
    <mergeCell ref="A42:F42"/>
    <mergeCell ref="C45:F45"/>
  </mergeCells>
  <pageMargins left="0.7" right="0.7" top="0.75" bottom="0.75" header="0.3" footer="0.3"/>
  <pageSetup paperSize="9" scale="6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DC504-028C-461F-A2F8-AADB1F1902BC}">
  <sheetPr>
    <pageSetUpPr fitToPage="1"/>
  </sheetPr>
  <dimension ref="A1:WVK60"/>
  <sheetViews>
    <sheetView showGridLines="0" view="pageBreakPreview" topLeftCell="B52" zoomScaleNormal="100" zoomScaleSheetLayoutView="100" workbookViewId="0">
      <selection activeCell="B3" sqref="B3"/>
    </sheetView>
  </sheetViews>
  <sheetFormatPr defaultColWidth="0" defaultRowHeight="16.5" x14ac:dyDescent="0.25"/>
  <cols>
    <col min="1" max="1" width="11.5703125" style="45" hidden="1" customWidth="1"/>
    <col min="2" max="2" width="8.140625" style="50" customWidth="1"/>
    <col min="3" max="3" width="99.5703125" style="63" customWidth="1"/>
    <col min="4" max="5" width="8.85546875" style="48" customWidth="1"/>
    <col min="6" max="257" width="8.85546875" style="48" hidden="1"/>
    <col min="258" max="258" width="8.140625" style="48" hidden="1"/>
    <col min="259" max="259" width="99.5703125" style="48" hidden="1"/>
    <col min="260" max="513" width="8.85546875" style="48" hidden="1"/>
    <col min="514" max="514" width="8.140625" style="48" hidden="1"/>
    <col min="515" max="515" width="99.5703125" style="48" hidden="1"/>
    <col min="516" max="769" width="8.85546875" style="48" hidden="1"/>
    <col min="770" max="770" width="8.140625" style="48" hidden="1"/>
    <col min="771" max="771" width="99.5703125" style="48" hidden="1"/>
    <col min="772" max="1025" width="8.85546875" style="48" hidden="1"/>
    <col min="1026" max="1026" width="8.140625" style="48" hidden="1"/>
    <col min="1027" max="1027" width="99.5703125" style="48" hidden="1"/>
    <col min="1028" max="1281" width="8.85546875" style="48" hidden="1"/>
    <col min="1282" max="1282" width="8.140625" style="48" hidden="1"/>
    <col min="1283" max="1283" width="99.5703125" style="48" hidden="1"/>
    <col min="1284" max="1537" width="8.85546875" style="48" hidden="1"/>
    <col min="1538" max="1538" width="8.140625" style="48" hidden="1"/>
    <col min="1539" max="1539" width="99.5703125" style="48" hidden="1"/>
    <col min="1540" max="1793" width="8.85546875" style="48" hidden="1"/>
    <col min="1794" max="1794" width="8.140625" style="48" hidden="1"/>
    <col min="1795" max="1795" width="99.5703125" style="48" hidden="1"/>
    <col min="1796" max="2049" width="8.85546875" style="48" hidden="1"/>
    <col min="2050" max="2050" width="8.140625" style="48" hidden="1"/>
    <col min="2051" max="2051" width="99.5703125" style="48" hidden="1"/>
    <col min="2052" max="2305" width="8.85546875" style="48" hidden="1"/>
    <col min="2306" max="2306" width="8.140625" style="48" hidden="1"/>
    <col min="2307" max="2307" width="99.5703125" style="48" hidden="1"/>
    <col min="2308" max="2561" width="8.85546875" style="48" hidden="1"/>
    <col min="2562" max="2562" width="8.140625" style="48" hidden="1"/>
    <col min="2563" max="2563" width="99.5703125" style="48" hidden="1"/>
    <col min="2564" max="2817" width="8.85546875" style="48" hidden="1"/>
    <col min="2818" max="2818" width="8.140625" style="48" hidden="1"/>
    <col min="2819" max="2819" width="99.5703125" style="48" hidden="1"/>
    <col min="2820" max="3073" width="8.85546875" style="48" hidden="1"/>
    <col min="3074" max="3074" width="8.140625" style="48" hidden="1"/>
    <col min="3075" max="3075" width="99.5703125" style="48" hidden="1"/>
    <col min="3076" max="3329" width="8.85546875" style="48" hidden="1"/>
    <col min="3330" max="3330" width="8.140625" style="48" hidden="1"/>
    <col min="3331" max="3331" width="99.5703125" style="48" hidden="1"/>
    <col min="3332" max="3585" width="8.85546875" style="48" hidden="1"/>
    <col min="3586" max="3586" width="8.140625" style="48" hidden="1"/>
    <col min="3587" max="3587" width="99.5703125" style="48" hidden="1"/>
    <col min="3588" max="3841" width="8.85546875" style="48" hidden="1"/>
    <col min="3842" max="3842" width="8.140625" style="48" hidden="1"/>
    <col min="3843" max="3843" width="99.5703125" style="48" hidden="1"/>
    <col min="3844" max="4097" width="8.85546875" style="48" hidden="1"/>
    <col min="4098" max="4098" width="8.140625" style="48" hidden="1"/>
    <col min="4099" max="4099" width="99.5703125" style="48" hidden="1"/>
    <col min="4100" max="4353" width="8.85546875" style="48" hidden="1"/>
    <col min="4354" max="4354" width="8.140625" style="48" hidden="1"/>
    <col min="4355" max="4355" width="99.5703125" style="48" hidden="1"/>
    <col min="4356" max="4609" width="8.85546875" style="48" hidden="1"/>
    <col min="4610" max="4610" width="8.140625" style="48" hidden="1"/>
    <col min="4611" max="4611" width="99.5703125" style="48" hidden="1"/>
    <col min="4612" max="4865" width="8.85546875" style="48" hidden="1"/>
    <col min="4866" max="4866" width="8.140625" style="48" hidden="1"/>
    <col min="4867" max="4867" width="99.5703125" style="48" hidden="1"/>
    <col min="4868" max="5121" width="8.85546875" style="48" hidden="1"/>
    <col min="5122" max="5122" width="8.140625" style="48" hidden="1"/>
    <col min="5123" max="5123" width="99.5703125" style="48" hidden="1"/>
    <col min="5124" max="5377" width="8.85546875" style="48" hidden="1"/>
    <col min="5378" max="5378" width="8.140625" style="48" hidden="1"/>
    <col min="5379" max="5379" width="99.5703125" style="48" hidden="1"/>
    <col min="5380" max="5633" width="8.85546875" style="48" hidden="1"/>
    <col min="5634" max="5634" width="8.140625" style="48" hidden="1"/>
    <col min="5635" max="5635" width="99.5703125" style="48" hidden="1"/>
    <col min="5636" max="5889" width="8.85546875" style="48" hidden="1"/>
    <col min="5890" max="5890" width="8.140625" style="48" hidden="1"/>
    <col min="5891" max="5891" width="99.5703125" style="48" hidden="1"/>
    <col min="5892" max="6145" width="8.85546875" style="48" hidden="1"/>
    <col min="6146" max="6146" width="8.140625" style="48" hidden="1"/>
    <col min="6147" max="6147" width="99.5703125" style="48" hidden="1"/>
    <col min="6148" max="6401" width="8.85546875" style="48" hidden="1"/>
    <col min="6402" max="6402" width="8.140625" style="48" hidden="1"/>
    <col min="6403" max="6403" width="99.5703125" style="48" hidden="1"/>
    <col min="6404" max="6657" width="8.85546875" style="48" hidden="1"/>
    <col min="6658" max="6658" width="8.140625" style="48" hidden="1"/>
    <col min="6659" max="6659" width="99.5703125" style="48" hidden="1"/>
    <col min="6660" max="6913" width="8.85546875" style="48" hidden="1"/>
    <col min="6914" max="6914" width="8.140625" style="48" hidden="1"/>
    <col min="6915" max="6915" width="99.5703125" style="48" hidden="1"/>
    <col min="6916" max="7169" width="8.85546875" style="48" hidden="1"/>
    <col min="7170" max="7170" width="8.140625" style="48" hidden="1"/>
    <col min="7171" max="7171" width="99.5703125" style="48" hidden="1"/>
    <col min="7172" max="7425" width="8.85546875" style="48" hidden="1"/>
    <col min="7426" max="7426" width="8.140625" style="48" hidden="1"/>
    <col min="7427" max="7427" width="99.5703125" style="48" hidden="1"/>
    <col min="7428" max="7681" width="8.85546875" style="48" hidden="1"/>
    <col min="7682" max="7682" width="8.140625" style="48" hidden="1"/>
    <col min="7683" max="7683" width="99.5703125" style="48" hidden="1"/>
    <col min="7684" max="7937" width="8.85546875" style="48" hidden="1"/>
    <col min="7938" max="7938" width="8.140625" style="48" hidden="1"/>
    <col min="7939" max="7939" width="99.5703125" style="48" hidden="1"/>
    <col min="7940" max="8193" width="8.85546875" style="48" hidden="1"/>
    <col min="8194" max="8194" width="8.140625" style="48" hidden="1"/>
    <col min="8195" max="8195" width="99.5703125" style="48" hidden="1"/>
    <col min="8196" max="8449" width="8.85546875" style="48" hidden="1"/>
    <col min="8450" max="8450" width="8.140625" style="48" hidden="1"/>
    <col min="8451" max="8451" width="99.5703125" style="48" hidden="1"/>
    <col min="8452" max="8705" width="8.85546875" style="48" hidden="1"/>
    <col min="8706" max="8706" width="8.140625" style="48" hidden="1"/>
    <col min="8707" max="8707" width="99.5703125" style="48" hidden="1"/>
    <col min="8708" max="8961" width="8.85546875" style="48" hidden="1"/>
    <col min="8962" max="8962" width="8.140625" style="48" hidden="1"/>
    <col min="8963" max="8963" width="99.5703125" style="48" hidden="1"/>
    <col min="8964" max="9217" width="8.85546875" style="48" hidden="1"/>
    <col min="9218" max="9218" width="8.140625" style="48" hidden="1"/>
    <col min="9219" max="9219" width="99.5703125" style="48" hidden="1"/>
    <col min="9220" max="9473" width="8.85546875" style="48" hidden="1"/>
    <col min="9474" max="9474" width="8.140625" style="48" hidden="1"/>
    <col min="9475" max="9475" width="99.5703125" style="48" hidden="1"/>
    <col min="9476" max="9729" width="8.85546875" style="48" hidden="1"/>
    <col min="9730" max="9730" width="8.140625" style="48" hidden="1"/>
    <col min="9731" max="9731" width="99.5703125" style="48" hidden="1"/>
    <col min="9732" max="9985" width="8.85546875" style="48" hidden="1"/>
    <col min="9986" max="9986" width="8.140625" style="48" hidden="1"/>
    <col min="9987" max="9987" width="99.5703125" style="48" hidden="1"/>
    <col min="9988" max="10241" width="8.85546875" style="48" hidden="1"/>
    <col min="10242" max="10242" width="8.140625" style="48" hidden="1"/>
    <col min="10243" max="10243" width="99.5703125" style="48" hidden="1"/>
    <col min="10244" max="10497" width="8.85546875" style="48" hidden="1"/>
    <col min="10498" max="10498" width="8.140625" style="48" hidden="1"/>
    <col min="10499" max="10499" width="99.5703125" style="48" hidden="1"/>
    <col min="10500" max="10753" width="8.85546875" style="48" hidden="1"/>
    <col min="10754" max="10754" width="8.140625" style="48" hidden="1"/>
    <col min="10755" max="10755" width="99.5703125" style="48" hidden="1"/>
    <col min="10756" max="11009" width="8.85546875" style="48" hidden="1"/>
    <col min="11010" max="11010" width="8.140625" style="48" hidden="1"/>
    <col min="11011" max="11011" width="99.5703125" style="48" hidden="1"/>
    <col min="11012" max="11265" width="8.85546875" style="48" hidden="1"/>
    <col min="11266" max="11266" width="8.140625" style="48" hidden="1"/>
    <col min="11267" max="11267" width="99.5703125" style="48" hidden="1"/>
    <col min="11268" max="11521" width="8.85546875" style="48" hidden="1"/>
    <col min="11522" max="11522" width="8.140625" style="48" hidden="1"/>
    <col min="11523" max="11523" width="99.5703125" style="48" hidden="1"/>
    <col min="11524" max="11777" width="8.85546875" style="48" hidden="1"/>
    <col min="11778" max="11778" width="8.140625" style="48" hidden="1"/>
    <col min="11779" max="11779" width="99.5703125" style="48" hidden="1"/>
    <col min="11780" max="12033" width="8.85546875" style="48" hidden="1"/>
    <col min="12034" max="12034" width="8.140625" style="48" hidden="1"/>
    <col min="12035" max="12035" width="99.5703125" style="48" hidden="1"/>
    <col min="12036" max="12289" width="8.85546875" style="48" hidden="1"/>
    <col min="12290" max="12290" width="8.140625" style="48" hidden="1"/>
    <col min="12291" max="12291" width="99.5703125" style="48" hidden="1"/>
    <col min="12292" max="12545" width="8.85546875" style="48" hidden="1"/>
    <col min="12546" max="12546" width="8.140625" style="48" hidden="1"/>
    <col min="12547" max="12547" width="99.5703125" style="48" hidden="1"/>
    <col min="12548" max="12801" width="8.85546875" style="48" hidden="1"/>
    <col min="12802" max="12802" width="8.140625" style="48" hidden="1"/>
    <col min="12803" max="12803" width="99.5703125" style="48" hidden="1"/>
    <col min="12804" max="13057" width="8.85546875" style="48" hidden="1"/>
    <col min="13058" max="13058" width="8.140625" style="48" hidden="1"/>
    <col min="13059" max="13059" width="99.5703125" style="48" hidden="1"/>
    <col min="13060" max="13313" width="8.85546875" style="48" hidden="1"/>
    <col min="13314" max="13314" width="8.140625" style="48" hidden="1"/>
    <col min="13315" max="13315" width="99.5703125" style="48" hidden="1"/>
    <col min="13316" max="13569" width="8.85546875" style="48" hidden="1"/>
    <col min="13570" max="13570" width="8.140625" style="48" hidden="1"/>
    <col min="13571" max="13571" width="99.5703125" style="48" hidden="1"/>
    <col min="13572" max="13825" width="8.85546875" style="48" hidden="1"/>
    <col min="13826" max="13826" width="8.140625" style="48" hidden="1"/>
    <col min="13827" max="13827" width="99.5703125" style="48" hidden="1"/>
    <col min="13828" max="14081" width="8.85546875" style="48" hidden="1"/>
    <col min="14082" max="14082" width="8.140625" style="48" hidden="1"/>
    <col min="14083" max="14083" width="99.5703125" style="48" hidden="1"/>
    <col min="14084" max="14337" width="8.85546875" style="48" hidden="1"/>
    <col min="14338" max="14338" width="8.140625" style="48" hidden="1"/>
    <col min="14339" max="14339" width="99.5703125" style="48" hidden="1"/>
    <col min="14340" max="14593" width="8.85546875" style="48" hidden="1"/>
    <col min="14594" max="14594" width="8.140625" style="48" hidden="1"/>
    <col min="14595" max="14595" width="99.5703125" style="48" hidden="1"/>
    <col min="14596" max="14849" width="8.85546875" style="48" hidden="1"/>
    <col min="14850" max="14850" width="8.140625" style="48" hidden="1"/>
    <col min="14851" max="14851" width="99.5703125" style="48" hidden="1"/>
    <col min="14852" max="15105" width="8.85546875" style="48" hidden="1"/>
    <col min="15106" max="15106" width="8.140625" style="48" hidden="1"/>
    <col min="15107" max="15107" width="99.5703125" style="48" hidden="1"/>
    <col min="15108" max="15361" width="8.85546875" style="48" hidden="1"/>
    <col min="15362" max="15362" width="8.140625" style="48" hidden="1"/>
    <col min="15363" max="15363" width="99.5703125" style="48" hidden="1"/>
    <col min="15364" max="15617" width="8.85546875" style="48" hidden="1"/>
    <col min="15618" max="15618" width="8.140625" style="48" hidden="1"/>
    <col min="15619" max="15619" width="99.5703125" style="48" hidden="1"/>
    <col min="15620" max="15873" width="8.85546875" style="48" hidden="1"/>
    <col min="15874" max="15874" width="8.140625" style="48" hidden="1"/>
    <col min="15875" max="15875" width="99.5703125" style="48" hidden="1"/>
    <col min="15876" max="16129" width="8.85546875" style="48" hidden="1"/>
    <col min="16130" max="16130" width="8.140625" style="48" hidden="1"/>
    <col min="16131" max="16131" width="99.5703125" style="48" hidden="1"/>
    <col min="16132" max="16384" width="8.85546875" style="48" hidden="1"/>
  </cols>
  <sheetData>
    <row r="1" spans="1:6" ht="18.75" x14ac:dyDescent="0.25">
      <c r="B1" s="46">
        <f>+'P&amp;L'!A1</f>
        <v>0</v>
      </c>
      <c r="C1" s="47"/>
    </row>
    <row r="2" spans="1:6" x14ac:dyDescent="0.25">
      <c r="B2" s="49" t="s">
        <v>1006</v>
      </c>
      <c r="C2" s="47"/>
    </row>
    <row r="3" spans="1:6" x14ac:dyDescent="0.25">
      <c r="B3" s="49">
        <f>+BS!A3</f>
        <v>0</v>
      </c>
      <c r="C3" s="47"/>
    </row>
    <row r="4" spans="1:6" x14ac:dyDescent="0.25">
      <c r="C4" s="47"/>
    </row>
    <row r="5" spans="1:6" x14ac:dyDescent="0.25">
      <c r="A5" s="51" t="s">
        <v>48</v>
      </c>
      <c r="B5" s="51" t="s">
        <v>49</v>
      </c>
      <c r="C5" s="52" t="s">
        <v>50</v>
      </c>
    </row>
    <row r="6" spans="1:6" ht="15.75" customHeight="1" x14ac:dyDescent="0.25">
      <c r="A6" s="45" t="s">
        <v>51</v>
      </c>
      <c r="B6" s="53"/>
      <c r="C6" s="49"/>
    </row>
    <row r="7" spans="1:6" ht="15.75" customHeight="1" x14ac:dyDescent="0.3">
      <c r="B7" s="54" t="s">
        <v>52</v>
      </c>
      <c r="C7" s="55" t="s">
        <v>53</v>
      </c>
      <c r="D7" s="56"/>
      <c r="E7" s="56"/>
      <c r="F7" s="56"/>
    </row>
    <row r="8" spans="1:6" ht="99" x14ac:dyDescent="0.3">
      <c r="B8" s="54"/>
      <c r="C8" s="57" t="s">
        <v>54</v>
      </c>
      <c r="D8" s="56"/>
      <c r="E8" s="56"/>
      <c r="F8" s="56"/>
    </row>
    <row r="9" spans="1:6" ht="33" x14ac:dyDescent="0.3">
      <c r="B9" s="54"/>
      <c r="C9" s="58" t="s">
        <v>55</v>
      </c>
      <c r="D9" s="59"/>
      <c r="E9" s="59"/>
      <c r="F9" s="59"/>
    </row>
    <row r="10" spans="1:6" x14ac:dyDescent="0.3">
      <c r="B10" s="54"/>
      <c r="C10" s="58"/>
      <c r="D10" s="59"/>
      <c r="E10" s="59"/>
      <c r="F10" s="59"/>
    </row>
    <row r="11" spans="1:6" ht="15.75" customHeight="1" x14ac:dyDescent="0.3">
      <c r="B11" s="54" t="s">
        <v>56</v>
      </c>
      <c r="C11" s="60" t="s">
        <v>57</v>
      </c>
      <c r="D11" s="59"/>
      <c r="E11" s="59"/>
      <c r="F11" s="59"/>
    </row>
    <row r="12" spans="1:6" ht="83.25" customHeight="1" x14ac:dyDescent="0.3">
      <c r="B12" s="54"/>
      <c r="C12" s="61" t="s">
        <v>58</v>
      </c>
      <c r="D12" s="59"/>
      <c r="E12" s="59"/>
      <c r="F12" s="59"/>
    </row>
    <row r="13" spans="1:6" ht="15.75" customHeight="1" x14ac:dyDescent="0.3">
      <c r="B13" s="54" t="s">
        <v>59</v>
      </c>
      <c r="C13" s="60" t="s">
        <v>60</v>
      </c>
      <c r="D13" s="59"/>
      <c r="E13" s="59"/>
      <c r="F13" s="59"/>
    </row>
    <row r="14" spans="1:6" ht="49.5" x14ac:dyDescent="0.3">
      <c r="B14" s="54"/>
      <c r="C14" s="61" t="s">
        <v>212</v>
      </c>
      <c r="D14" s="59"/>
      <c r="E14" s="59"/>
      <c r="F14" s="59"/>
    </row>
    <row r="15" spans="1:6" ht="16.5" customHeight="1" x14ac:dyDescent="0.3">
      <c r="B15" s="54"/>
      <c r="C15" s="61"/>
      <c r="D15" s="59"/>
      <c r="E15" s="59"/>
      <c r="F15" s="59"/>
    </row>
    <row r="16" spans="1:6" ht="49.5" x14ac:dyDescent="0.3">
      <c r="B16" s="54"/>
      <c r="C16" s="61" t="s">
        <v>213</v>
      </c>
      <c r="D16" s="59"/>
      <c r="E16" s="59"/>
      <c r="F16" s="59"/>
    </row>
    <row r="17" spans="2:6" ht="15" customHeight="1" x14ac:dyDescent="0.3">
      <c r="B17" s="54"/>
      <c r="C17" s="61"/>
      <c r="D17" s="59"/>
      <c r="E17" s="59"/>
      <c r="F17" s="59"/>
    </row>
    <row r="18" spans="2:6" ht="15.75" customHeight="1" x14ac:dyDescent="0.3">
      <c r="B18" s="54" t="s">
        <v>61</v>
      </c>
      <c r="C18" s="60" t="s">
        <v>62</v>
      </c>
      <c r="D18" s="59"/>
      <c r="E18" s="59"/>
      <c r="F18" s="59"/>
    </row>
    <row r="19" spans="2:6" ht="15.75" customHeight="1" x14ac:dyDescent="0.3">
      <c r="B19" s="54"/>
      <c r="C19" s="60" t="s">
        <v>63</v>
      </c>
      <c r="D19" s="59"/>
      <c r="E19" s="59"/>
      <c r="F19" s="59"/>
    </row>
    <row r="20" spans="2:6" ht="48" customHeight="1" x14ac:dyDescent="0.3">
      <c r="B20" s="54"/>
      <c r="C20" s="57" t="s">
        <v>64</v>
      </c>
      <c r="D20" s="59"/>
      <c r="E20" s="59"/>
      <c r="F20" s="59"/>
    </row>
    <row r="21" spans="2:6" ht="15.75" customHeight="1" x14ac:dyDescent="0.3">
      <c r="B21" s="54"/>
      <c r="C21" s="62" t="s">
        <v>65</v>
      </c>
      <c r="D21" s="59"/>
      <c r="E21" s="59"/>
      <c r="F21" s="59"/>
    </row>
    <row r="22" spans="2:6" ht="17.25" customHeight="1" x14ac:dyDescent="0.3">
      <c r="B22" s="54"/>
      <c r="C22" s="57" t="s">
        <v>66</v>
      </c>
      <c r="D22" s="59"/>
      <c r="E22" s="59"/>
      <c r="F22" s="59"/>
    </row>
    <row r="23" spans="2:6" ht="14.25" customHeight="1" x14ac:dyDescent="0.3">
      <c r="B23" s="54"/>
      <c r="C23" s="57"/>
      <c r="D23" s="59"/>
      <c r="E23" s="59"/>
      <c r="F23" s="59"/>
    </row>
    <row r="24" spans="2:6" ht="15.75" customHeight="1" x14ac:dyDescent="0.3">
      <c r="B24" s="54" t="s">
        <v>67</v>
      </c>
      <c r="C24" s="62" t="s">
        <v>68</v>
      </c>
      <c r="D24" s="59"/>
      <c r="E24" s="59"/>
      <c r="F24" s="59"/>
    </row>
    <row r="25" spans="2:6" ht="33" x14ac:dyDescent="0.3">
      <c r="B25" s="54"/>
      <c r="C25" s="57" t="s">
        <v>69</v>
      </c>
      <c r="D25" s="59"/>
      <c r="E25" s="59"/>
      <c r="F25" s="59"/>
    </row>
    <row r="26" spans="2:6" ht="15.75" customHeight="1" x14ac:dyDescent="0.3">
      <c r="B26" s="54"/>
      <c r="C26" s="61"/>
      <c r="D26" s="59"/>
      <c r="E26" s="59"/>
      <c r="F26" s="59"/>
    </row>
    <row r="27" spans="2:6" ht="15.75" customHeight="1" x14ac:dyDescent="0.3">
      <c r="B27" s="54" t="s">
        <v>70</v>
      </c>
      <c r="C27" s="60" t="s">
        <v>71</v>
      </c>
      <c r="D27" s="59"/>
      <c r="E27" s="59"/>
      <c r="F27" s="59"/>
    </row>
    <row r="28" spans="2:6" ht="32.25" customHeight="1" x14ac:dyDescent="0.3">
      <c r="B28" s="54"/>
      <c r="C28" s="61" t="s">
        <v>72</v>
      </c>
      <c r="D28" s="59"/>
      <c r="E28" s="59"/>
      <c r="F28" s="59"/>
    </row>
    <row r="29" spans="2:6" ht="15.75" customHeight="1" x14ac:dyDescent="0.3">
      <c r="B29" s="54"/>
      <c r="C29" s="61"/>
      <c r="D29" s="59"/>
      <c r="E29" s="59"/>
      <c r="F29" s="59"/>
    </row>
    <row r="30" spans="2:6" ht="15.75" customHeight="1" x14ac:dyDescent="0.3">
      <c r="B30" s="54" t="s">
        <v>73</v>
      </c>
      <c r="C30" s="60" t="s">
        <v>74</v>
      </c>
      <c r="D30" s="59"/>
      <c r="E30" s="59"/>
      <c r="F30" s="59"/>
    </row>
    <row r="31" spans="2:6" ht="16.5" customHeight="1" x14ac:dyDescent="0.3">
      <c r="B31" s="54"/>
      <c r="C31" s="61" t="s">
        <v>75</v>
      </c>
      <c r="D31" s="59"/>
      <c r="E31" s="59"/>
      <c r="F31" s="59"/>
    </row>
    <row r="32" spans="2:6" ht="15.75" customHeight="1" x14ac:dyDescent="0.3">
      <c r="B32" s="54"/>
      <c r="C32" s="61"/>
      <c r="D32" s="59"/>
      <c r="E32" s="59"/>
      <c r="F32" s="59"/>
    </row>
    <row r="33" spans="1:6" ht="15.75" customHeight="1" x14ac:dyDescent="0.3">
      <c r="B33" s="54" t="s">
        <v>76</v>
      </c>
      <c r="C33" s="60" t="s">
        <v>77</v>
      </c>
      <c r="D33" s="59"/>
      <c r="E33" s="59"/>
      <c r="F33" s="59"/>
    </row>
    <row r="34" spans="1:6" ht="15.75" customHeight="1" x14ac:dyDescent="0.3">
      <c r="A34" s="933" t="s">
        <v>78</v>
      </c>
      <c r="B34" s="54"/>
      <c r="C34" s="58" t="s">
        <v>79</v>
      </c>
      <c r="D34" s="59"/>
      <c r="E34" s="59"/>
      <c r="F34" s="59"/>
    </row>
    <row r="35" spans="1:6" ht="15.75" customHeight="1" x14ac:dyDescent="0.3">
      <c r="A35" s="933"/>
      <c r="B35" s="54"/>
      <c r="C35" s="58"/>
      <c r="D35" s="59"/>
      <c r="E35" s="59"/>
      <c r="F35" s="59"/>
    </row>
    <row r="36" spans="1:6" ht="15.75" customHeight="1" x14ac:dyDescent="0.3">
      <c r="A36" s="933"/>
      <c r="B36" s="54" t="s">
        <v>80</v>
      </c>
      <c r="C36" s="60" t="s">
        <v>81</v>
      </c>
      <c r="D36" s="59"/>
      <c r="E36" s="59"/>
      <c r="F36" s="59"/>
    </row>
    <row r="37" spans="1:6" ht="32.25" customHeight="1" x14ac:dyDescent="0.3">
      <c r="A37" s="933"/>
      <c r="B37" s="54"/>
      <c r="C37" s="61" t="s">
        <v>82</v>
      </c>
      <c r="D37" s="59"/>
      <c r="E37" s="59"/>
      <c r="F37" s="59"/>
    </row>
    <row r="38" spans="1:6" ht="15.75" customHeight="1" x14ac:dyDescent="0.3">
      <c r="A38" s="933"/>
      <c r="B38" s="54"/>
      <c r="C38" s="61"/>
      <c r="D38" s="59"/>
      <c r="E38" s="59"/>
      <c r="F38" s="59"/>
    </row>
    <row r="39" spans="1:6" ht="49.5" x14ac:dyDescent="0.25">
      <c r="A39" s="933"/>
      <c r="B39" s="64"/>
      <c r="C39" s="61" t="s">
        <v>83</v>
      </c>
    </row>
    <row r="40" spans="1:6" ht="15.75" customHeight="1" x14ac:dyDescent="0.3">
      <c r="A40" s="933"/>
      <c r="B40" s="54"/>
      <c r="C40" s="58"/>
      <c r="D40" s="59"/>
      <c r="E40" s="59"/>
      <c r="F40" s="59"/>
    </row>
    <row r="41" spans="1:6" x14ac:dyDescent="0.25">
      <c r="B41" s="64" t="s">
        <v>84</v>
      </c>
      <c r="C41" s="65" t="s">
        <v>85</v>
      </c>
    </row>
    <row r="42" spans="1:6" ht="49.5" x14ac:dyDescent="0.25">
      <c r="B42" s="64"/>
      <c r="C42" s="61" t="s">
        <v>86</v>
      </c>
    </row>
    <row r="43" spans="1:6" x14ac:dyDescent="0.25">
      <c r="B43" s="64"/>
    </row>
    <row r="44" spans="1:6" x14ac:dyDescent="0.25">
      <c r="B44" s="64" t="s">
        <v>87</v>
      </c>
      <c r="C44" s="65" t="s">
        <v>88</v>
      </c>
    </row>
    <row r="45" spans="1:6" x14ac:dyDescent="0.25">
      <c r="B45" s="64"/>
      <c r="C45" s="934" t="s">
        <v>89</v>
      </c>
    </row>
    <row r="46" spans="1:6" x14ac:dyDescent="0.25">
      <c r="B46" s="64"/>
      <c r="C46" s="934"/>
    </row>
    <row r="47" spans="1:6" x14ac:dyDescent="0.25">
      <c r="B47" s="64"/>
      <c r="C47" s="934"/>
    </row>
    <row r="48" spans="1:6" x14ac:dyDescent="0.25">
      <c r="B48" s="64"/>
      <c r="C48" s="934"/>
    </row>
    <row r="49" spans="2:11" x14ac:dyDescent="0.25">
      <c r="B49" s="64"/>
      <c r="C49" s="934"/>
    </row>
    <row r="50" spans="2:11" ht="10.5" customHeight="1" x14ac:dyDescent="0.25">
      <c r="B50" s="64"/>
      <c r="C50" s="934"/>
    </row>
    <row r="51" spans="2:11" ht="7.5" customHeight="1" x14ac:dyDescent="0.25">
      <c r="B51" s="64"/>
      <c r="C51" s="61"/>
    </row>
    <row r="52" spans="2:11" x14ac:dyDescent="0.25">
      <c r="B52" s="64"/>
      <c r="C52" s="934" t="s">
        <v>90</v>
      </c>
    </row>
    <row r="53" spans="2:11" x14ac:dyDescent="0.25">
      <c r="B53" s="64"/>
      <c r="C53" s="934"/>
    </row>
    <row r="54" spans="2:11" x14ac:dyDescent="0.25">
      <c r="B54" s="64"/>
      <c r="C54" s="934"/>
    </row>
    <row r="55" spans="2:11" x14ac:dyDescent="0.25">
      <c r="B55" s="64"/>
    </row>
    <row r="60" spans="2:11" x14ac:dyDescent="0.25">
      <c r="K60" s="48" t="s">
        <v>2</v>
      </c>
    </row>
  </sheetData>
  <mergeCells count="3">
    <mergeCell ref="A34:A40"/>
    <mergeCell ref="C45:C50"/>
    <mergeCell ref="C52:C54"/>
  </mergeCells>
  <pageMargins left="0.3" right="0.51181102362204722" top="0.51181102362204722" bottom="0.51181102362204722" header="0.51181102362204722" footer="0.51181102362204722"/>
  <pageSetup paperSize="9" scale="88" fitToHeight="0" orientation="portrait" r:id="rId1"/>
  <headerFooter alignWithMargins="0"/>
  <rowBreaks count="1" manualBreakCount="1">
    <brk id="25" max="2" man="1"/>
  </rowBreaks>
  <colBreaks count="1" manualBreakCount="1">
    <brk id="3"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C61C9-FDC1-48BF-A93D-E382EB1FE773}">
  <sheetPr>
    <pageSetUpPr fitToPage="1"/>
  </sheetPr>
  <dimension ref="A1:WVO382"/>
  <sheetViews>
    <sheetView showGridLines="0" view="pageBreakPreview" topLeftCell="A94" zoomScaleNormal="106" zoomScaleSheetLayoutView="100" workbookViewId="0">
      <selection activeCell="D90" sqref="D90"/>
    </sheetView>
  </sheetViews>
  <sheetFormatPr defaultColWidth="0" defaultRowHeight="13.5" zeroHeight="1" x14ac:dyDescent="0.25"/>
  <cols>
    <col min="1" max="1" width="38.5703125" style="29" customWidth="1"/>
    <col min="2" max="2" width="11.28515625" style="29" customWidth="1"/>
    <col min="3" max="3" width="17.42578125" style="29" customWidth="1"/>
    <col min="4" max="4" width="20.5703125" style="3" bestFit="1" customWidth="1"/>
    <col min="5" max="5" width="18.7109375" style="29" customWidth="1"/>
    <col min="6" max="6" width="16.42578125" style="29" bestFit="1" customWidth="1"/>
    <col min="7" max="7" width="15" style="29" bestFit="1" customWidth="1"/>
    <col min="8" max="9" width="9.140625" style="29" customWidth="1"/>
    <col min="10" max="256" width="9.140625" style="29" hidden="1"/>
    <col min="257" max="257" width="40.5703125" style="29" hidden="1"/>
    <col min="258" max="258" width="15.42578125" style="29" hidden="1"/>
    <col min="259" max="259" width="17.42578125" style="29" hidden="1"/>
    <col min="260" max="260" width="20.5703125" style="29" hidden="1"/>
    <col min="261" max="261" width="18.7109375" style="29" hidden="1"/>
    <col min="262" max="262" width="15.5703125" style="29" hidden="1"/>
    <col min="263" max="263" width="15" style="29" hidden="1"/>
    <col min="264" max="512" width="9.140625" style="29" hidden="1"/>
    <col min="513" max="513" width="40.5703125" style="29" hidden="1"/>
    <col min="514" max="514" width="15.42578125" style="29" hidden="1"/>
    <col min="515" max="515" width="17.42578125" style="29" hidden="1"/>
    <col min="516" max="516" width="20.5703125" style="29" hidden="1"/>
    <col min="517" max="517" width="18.7109375" style="29" hidden="1"/>
    <col min="518" max="518" width="15.5703125" style="29" hidden="1"/>
    <col min="519" max="519" width="15" style="29" hidden="1"/>
    <col min="520" max="768" width="9.140625" style="29" hidden="1"/>
    <col min="769" max="769" width="40.5703125" style="29" hidden="1"/>
    <col min="770" max="770" width="15.42578125" style="29" hidden="1"/>
    <col min="771" max="771" width="17.42578125" style="29" hidden="1"/>
    <col min="772" max="772" width="20.5703125" style="29" hidden="1"/>
    <col min="773" max="773" width="18.7109375" style="29" hidden="1"/>
    <col min="774" max="774" width="15.5703125" style="29" hidden="1"/>
    <col min="775" max="775" width="15" style="29" hidden="1"/>
    <col min="776" max="1024" width="9.140625" style="29" hidden="1"/>
    <col min="1025" max="1025" width="40.5703125" style="29" hidden="1"/>
    <col min="1026" max="1026" width="15.42578125" style="29" hidden="1"/>
    <col min="1027" max="1027" width="17.42578125" style="29" hidden="1"/>
    <col min="1028" max="1028" width="20.5703125" style="29" hidden="1"/>
    <col min="1029" max="1029" width="18.7109375" style="29" hidden="1"/>
    <col min="1030" max="1030" width="15.5703125" style="29" hidden="1"/>
    <col min="1031" max="1031" width="15" style="29" hidden="1"/>
    <col min="1032" max="1280" width="9.140625" style="29" hidden="1"/>
    <col min="1281" max="1281" width="40.5703125" style="29" hidden="1"/>
    <col min="1282" max="1282" width="15.42578125" style="29" hidden="1"/>
    <col min="1283" max="1283" width="17.42578125" style="29" hidden="1"/>
    <col min="1284" max="1284" width="20.5703125" style="29" hidden="1"/>
    <col min="1285" max="1285" width="18.7109375" style="29" hidden="1"/>
    <col min="1286" max="1286" width="15.5703125" style="29" hidden="1"/>
    <col min="1287" max="1287" width="15" style="29" hidden="1"/>
    <col min="1288" max="1536" width="9.140625" style="29" hidden="1"/>
    <col min="1537" max="1537" width="40.5703125" style="29" hidden="1"/>
    <col min="1538" max="1538" width="15.42578125" style="29" hidden="1"/>
    <col min="1539" max="1539" width="17.42578125" style="29" hidden="1"/>
    <col min="1540" max="1540" width="20.5703125" style="29" hidden="1"/>
    <col min="1541" max="1541" width="18.7109375" style="29" hidden="1"/>
    <col min="1542" max="1542" width="15.5703125" style="29" hidden="1"/>
    <col min="1543" max="1543" width="15" style="29" hidden="1"/>
    <col min="1544" max="1792" width="9.140625" style="29" hidden="1"/>
    <col min="1793" max="1793" width="40.5703125" style="29" hidden="1"/>
    <col min="1794" max="1794" width="15.42578125" style="29" hidden="1"/>
    <col min="1795" max="1795" width="17.42578125" style="29" hidden="1"/>
    <col min="1796" max="1796" width="20.5703125" style="29" hidden="1"/>
    <col min="1797" max="1797" width="18.7109375" style="29" hidden="1"/>
    <col min="1798" max="1798" width="15.5703125" style="29" hidden="1"/>
    <col min="1799" max="1799" width="15" style="29" hidden="1"/>
    <col min="1800" max="2048" width="9.140625" style="29" hidden="1"/>
    <col min="2049" max="2049" width="40.5703125" style="29" hidden="1"/>
    <col min="2050" max="2050" width="15.42578125" style="29" hidden="1"/>
    <col min="2051" max="2051" width="17.42578125" style="29" hidden="1"/>
    <col min="2052" max="2052" width="20.5703125" style="29" hidden="1"/>
    <col min="2053" max="2053" width="18.7109375" style="29" hidden="1"/>
    <col min="2054" max="2054" width="15.5703125" style="29" hidden="1"/>
    <col min="2055" max="2055" width="15" style="29" hidden="1"/>
    <col min="2056" max="2304" width="9.140625" style="29" hidden="1"/>
    <col min="2305" max="2305" width="40.5703125" style="29" hidden="1"/>
    <col min="2306" max="2306" width="15.42578125" style="29" hidden="1"/>
    <col min="2307" max="2307" width="17.42578125" style="29" hidden="1"/>
    <col min="2308" max="2308" width="20.5703125" style="29" hidden="1"/>
    <col min="2309" max="2309" width="18.7109375" style="29" hidden="1"/>
    <col min="2310" max="2310" width="15.5703125" style="29" hidden="1"/>
    <col min="2311" max="2311" width="15" style="29" hidden="1"/>
    <col min="2312" max="2560" width="9.140625" style="29" hidden="1"/>
    <col min="2561" max="2561" width="40.5703125" style="29" hidden="1"/>
    <col min="2562" max="2562" width="15.42578125" style="29" hidden="1"/>
    <col min="2563" max="2563" width="17.42578125" style="29" hidden="1"/>
    <col min="2564" max="2564" width="20.5703125" style="29" hidden="1"/>
    <col min="2565" max="2565" width="18.7109375" style="29" hidden="1"/>
    <col min="2566" max="2566" width="15.5703125" style="29" hidden="1"/>
    <col min="2567" max="2567" width="15" style="29" hidden="1"/>
    <col min="2568" max="2816" width="9.140625" style="29" hidden="1"/>
    <col min="2817" max="2817" width="40.5703125" style="29" hidden="1"/>
    <col min="2818" max="2818" width="15.42578125" style="29" hidden="1"/>
    <col min="2819" max="2819" width="17.42578125" style="29" hidden="1"/>
    <col min="2820" max="2820" width="20.5703125" style="29" hidden="1"/>
    <col min="2821" max="2821" width="18.7109375" style="29" hidden="1"/>
    <col min="2822" max="2822" width="15.5703125" style="29" hidden="1"/>
    <col min="2823" max="2823" width="15" style="29" hidden="1"/>
    <col min="2824" max="3072" width="9.140625" style="29" hidden="1"/>
    <col min="3073" max="3073" width="40.5703125" style="29" hidden="1"/>
    <col min="3074" max="3074" width="15.42578125" style="29" hidden="1"/>
    <col min="3075" max="3075" width="17.42578125" style="29" hidden="1"/>
    <col min="3076" max="3076" width="20.5703125" style="29" hidden="1"/>
    <col min="3077" max="3077" width="18.7109375" style="29" hidden="1"/>
    <col min="3078" max="3078" width="15.5703125" style="29" hidden="1"/>
    <col min="3079" max="3079" width="15" style="29" hidden="1"/>
    <col min="3080" max="3328" width="9.140625" style="29" hidden="1"/>
    <col min="3329" max="3329" width="40.5703125" style="29" hidden="1"/>
    <col min="3330" max="3330" width="15.42578125" style="29" hidden="1"/>
    <col min="3331" max="3331" width="17.42578125" style="29" hidden="1"/>
    <col min="3332" max="3332" width="20.5703125" style="29" hidden="1"/>
    <col min="3333" max="3333" width="18.7109375" style="29" hidden="1"/>
    <col min="3334" max="3334" width="15.5703125" style="29" hidden="1"/>
    <col min="3335" max="3335" width="15" style="29" hidden="1"/>
    <col min="3336" max="3584" width="9.140625" style="29" hidden="1"/>
    <col min="3585" max="3585" width="40.5703125" style="29" hidden="1"/>
    <col min="3586" max="3586" width="15.42578125" style="29" hidden="1"/>
    <col min="3587" max="3587" width="17.42578125" style="29" hidden="1"/>
    <col min="3588" max="3588" width="20.5703125" style="29" hidden="1"/>
    <col min="3589" max="3589" width="18.7109375" style="29" hidden="1"/>
    <col min="3590" max="3590" width="15.5703125" style="29" hidden="1"/>
    <col min="3591" max="3591" width="15" style="29" hidden="1"/>
    <col min="3592" max="3840" width="9.140625" style="29" hidden="1"/>
    <col min="3841" max="3841" width="40.5703125" style="29" hidden="1"/>
    <col min="3842" max="3842" width="15.42578125" style="29" hidden="1"/>
    <col min="3843" max="3843" width="17.42578125" style="29" hidden="1"/>
    <col min="3844" max="3844" width="20.5703125" style="29" hidden="1"/>
    <col min="3845" max="3845" width="18.7109375" style="29" hidden="1"/>
    <col min="3846" max="3846" width="15.5703125" style="29" hidden="1"/>
    <col min="3847" max="3847" width="15" style="29" hidden="1"/>
    <col min="3848" max="4096" width="9.140625" style="29" hidden="1"/>
    <col min="4097" max="4097" width="40.5703125" style="29" hidden="1"/>
    <col min="4098" max="4098" width="15.42578125" style="29" hidden="1"/>
    <col min="4099" max="4099" width="17.42578125" style="29" hidden="1"/>
    <col min="4100" max="4100" width="20.5703125" style="29" hidden="1"/>
    <col min="4101" max="4101" width="18.7109375" style="29" hidden="1"/>
    <col min="4102" max="4102" width="15.5703125" style="29" hidden="1"/>
    <col min="4103" max="4103" width="15" style="29" hidden="1"/>
    <col min="4104" max="4352" width="9.140625" style="29" hidden="1"/>
    <col min="4353" max="4353" width="40.5703125" style="29" hidden="1"/>
    <col min="4354" max="4354" width="15.42578125" style="29" hidden="1"/>
    <col min="4355" max="4355" width="17.42578125" style="29" hidden="1"/>
    <col min="4356" max="4356" width="20.5703125" style="29" hidden="1"/>
    <col min="4357" max="4357" width="18.7109375" style="29" hidden="1"/>
    <col min="4358" max="4358" width="15.5703125" style="29" hidden="1"/>
    <col min="4359" max="4359" width="15" style="29" hidden="1"/>
    <col min="4360" max="4608" width="9.140625" style="29" hidden="1"/>
    <col min="4609" max="4609" width="40.5703125" style="29" hidden="1"/>
    <col min="4610" max="4610" width="15.42578125" style="29" hidden="1"/>
    <col min="4611" max="4611" width="17.42578125" style="29" hidden="1"/>
    <col min="4612" max="4612" width="20.5703125" style="29" hidden="1"/>
    <col min="4613" max="4613" width="18.7109375" style="29" hidden="1"/>
    <col min="4614" max="4614" width="15.5703125" style="29" hidden="1"/>
    <col min="4615" max="4615" width="15" style="29" hidden="1"/>
    <col min="4616" max="4864" width="9.140625" style="29" hidden="1"/>
    <col min="4865" max="4865" width="40.5703125" style="29" hidden="1"/>
    <col min="4866" max="4866" width="15.42578125" style="29" hidden="1"/>
    <col min="4867" max="4867" width="17.42578125" style="29" hidden="1"/>
    <col min="4868" max="4868" width="20.5703125" style="29" hidden="1"/>
    <col min="4869" max="4869" width="18.7109375" style="29" hidden="1"/>
    <col min="4870" max="4870" width="15.5703125" style="29" hidden="1"/>
    <col min="4871" max="4871" width="15" style="29" hidden="1"/>
    <col min="4872" max="5120" width="9.140625" style="29" hidden="1"/>
    <col min="5121" max="5121" width="40.5703125" style="29" hidden="1"/>
    <col min="5122" max="5122" width="15.42578125" style="29" hidden="1"/>
    <col min="5123" max="5123" width="17.42578125" style="29" hidden="1"/>
    <col min="5124" max="5124" width="20.5703125" style="29" hidden="1"/>
    <col min="5125" max="5125" width="18.7109375" style="29" hidden="1"/>
    <col min="5126" max="5126" width="15.5703125" style="29" hidden="1"/>
    <col min="5127" max="5127" width="15" style="29" hidden="1"/>
    <col min="5128" max="5376" width="9.140625" style="29" hidden="1"/>
    <col min="5377" max="5377" width="40.5703125" style="29" hidden="1"/>
    <col min="5378" max="5378" width="15.42578125" style="29" hidden="1"/>
    <col min="5379" max="5379" width="17.42578125" style="29" hidden="1"/>
    <col min="5380" max="5380" width="20.5703125" style="29" hidden="1"/>
    <col min="5381" max="5381" width="18.7109375" style="29" hidden="1"/>
    <col min="5382" max="5382" width="15.5703125" style="29" hidden="1"/>
    <col min="5383" max="5383" width="15" style="29" hidden="1"/>
    <col min="5384" max="5632" width="9.140625" style="29" hidden="1"/>
    <col min="5633" max="5633" width="40.5703125" style="29" hidden="1"/>
    <col min="5634" max="5634" width="15.42578125" style="29" hidden="1"/>
    <col min="5635" max="5635" width="17.42578125" style="29" hidden="1"/>
    <col min="5636" max="5636" width="20.5703125" style="29" hidden="1"/>
    <col min="5637" max="5637" width="18.7109375" style="29" hidden="1"/>
    <col min="5638" max="5638" width="15.5703125" style="29" hidden="1"/>
    <col min="5639" max="5639" width="15" style="29" hidden="1"/>
    <col min="5640" max="5888" width="9.140625" style="29" hidden="1"/>
    <col min="5889" max="5889" width="40.5703125" style="29" hidden="1"/>
    <col min="5890" max="5890" width="15.42578125" style="29" hidden="1"/>
    <col min="5891" max="5891" width="17.42578125" style="29" hidden="1"/>
    <col min="5892" max="5892" width="20.5703125" style="29" hidden="1"/>
    <col min="5893" max="5893" width="18.7109375" style="29" hidden="1"/>
    <col min="5894" max="5894" width="15.5703125" style="29" hidden="1"/>
    <col min="5895" max="5895" width="15" style="29" hidden="1"/>
    <col min="5896" max="6144" width="9.140625" style="29" hidden="1"/>
    <col min="6145" max="6145" width="40.5703125" style="29" hidden="1"/>
    <col min="6146" max="6146" width="15.42578125" style="29" hidden="1"/>
    <col min="6147" max="6147" width="17.42578125" style="29" hidden="1"/>
    <col min="6148" max="6148" width="20.5703125" style="29" hidden="1"/>
    <col min="6149" max="6149" width="18.7109375" style="29" hidden="1"/>
    <col min="6150" max="6150" width="15.5703125" style="29" hidden="1"/>
    <col min="6151" max="6151" width="15" style="29" hidden="1"/>
    <col min="6152" max="6400" width="9.140625" style="29" hidden="1"/>
    <col min="6401" max="6401" width="40.5703125" style="29" hidden="1"/>
    <col min="6402" max="6402" width="15.42578125" style="29" hidden="1"/>
    <col min="6403" max="6403" width="17.42578125" style="29" hidden="1"/>
    <col min="6404" max="6404" width="20.5703125" style="29" hidden="1"/>
    <col min="6405" max="6405" width="18.7109375" style="29" hidden="1"/>
    <col min="6406" max="6406" width="15.5703125" style="29" hidden="1"/>
    <col min="6407" max="6407" width="15" style="29" hidden="1"/>
    <col min="6408" max="6656" width="9.140625" style="29" hidden="1"/>
    <col min="6657" max="6657" width="40.5703125" style="29" hidden="1"/>
    <col min="6658" max="6658" width="15.42578125" style="29" hidden="1"/>
    <col min="6659" max="6659" width="17.42578125" style="29" hidden="1"/>
    <col min="6660" max="6660" width="20.5703125" style="29" hidden="1"/>
    <col min="6661" max="6661" width="18.7109375" style="29" hidden="1"/>
    <col min="6662" max="6662" width="15.5703125" style="29" hidden="1"/>
    <col min="6663" max="6663" width="15" style="29" hidden="1"/>
    <col min="6664" max="6912" width="9.140625" style="29" hidden="1"/>
    <col min="6913" max="6913" width="40.5703125" style="29" hidden="1"/>
    <col min="6914" max="6914" width="15.42578125" style="29" hidden="1"/>
    <col min="6915" max="6915" width="17.42578125" style="29" hidden="1"/>
    <col min="6916" max="6916" width="20.5703125" style="29" hidden="1"/>
    <col min="6917" max="6917" width="18.7109375" style="29" hidden="1"/>
    <col min="6918" max="6918" width="15.5703125" style="29" hidden="1"/>
    <col min="6919" max="6919" width="15" style="29" hidden="1"/>
    <col min="6920" max="7168" width="9.140625" style="29" hidden="1"/>
    <col min="7169" max="7169" width="40.5703125" style="29" hidden="1"/>
    <col min="7170" max="7170" width="15.42578125" style="29" hidden="1"/>
    <col min="7171" max="7171" width="17.42578125" style="29" hidden="1"/>
    <col min="7172" max="7172" width="20.5703125" style="29" hidden="1"/>
    <col min="7173" max="7173" width="18.7109375" style="29" hidden="1"/>
    <col min="7174" max="7174" width="15.5703125" style="29" hidden="1"/>
    <col min="7175" max="7175" width="15" style="29" hidden="1"/>
    <col min="7176" max="7424" width="9.140625" style="29" hidden="1"/>
    <col min="7425" max="7425" width="40.5703125" style="29" hidden="1"/>
    <col min="7426" max="7426" width="15.42578125" style="29" hidden="1"/>
    <col min="7427" max="7427" width="17.42578125" style="29" hidden="1"/>
    <col min="7428" max="7428" width="20.5703125" style="29" hidden="1"/>
    <col min="7429" max="7429" width="18.7109375" style="29" hidden="1"/>
    <col min="7430" max="7430" width="15.5703125" style="29" hidden="1"/>
    <col min="7431" max="7431" width="15" style="29" hidden="1"/>
    <col min="7432" max="7680" width="9.140625" style="29" hidden="1"/>
    <col min="7681" max="7681" width="40.5703125" style="29" hidden="1"/>
    <col min="7682" max="7682" width="15.42578125" style="29" hidden="1"/>
    <col min="7683" max="7683" width="17.42578125" style="29" hidden="1"/>
    <col min="7684" max="7684" width="20.5703125" style="29" hidden="1"/>
    <col min="7685" max="7685" width="18.7109375" style="29" hidden="1"/>
    <col min="7686" max="7686" width="15.5703125" style="29" hidden="1"/>
    <col min="7687" max="7687" width="15" style="29" hidden="1"/>
    <col min="7688" max="7936" width="9.140625" style="29" hidden="1"/>
    <col min="7937" max="7937" width="40.5703125" style="29" hidden="1"/>
    <col min="7938" max="7938" width="15.42578125" style="29" hidden="1"/>
    <col min="7939" max="7939" width="17.42578125" style="29" hidden="1"/>
    <col min="7940" max="7940" width="20.5703125" style="29" hidden="1"/>
    <col min="7941" max="7941" width="18.7109375" style="29" hidden="1"/>
    <col min="7942" max="7942" width="15.5703125" style="29" hidden="1"/>
    <col min="7943" max="7943" width="15" style="29" hidden="1"/>
    <col min="7944" max="8192" width="9.140625" style="29" hidden="1"/>
    <col min="8193" max="8193" width="40.5703125" style="29" hidden="1"/>
    <col min="8194" max="8194" width="15.42578125" style="29" hidden="1"/>
    <col min="8195" max="8195" width="17.42578125" style="29" hidden="1"/>
    <col min="8196" max="8196" width="20.5703125" style="29" hidden="1"/>
    <col min="8197" max="8197" width="18.7109375" style="29" hidden="1"/>
    <col min="8198" max="8198" width="15.5703125" style="29" hidden="1"/>
    <col min="8199" max="8199" width="15" style="29" hidden="1"/>
    <col min="8200" max="8448" width="9.140625" style="29" hidden="1"/>
    <col min="8449" max="8449" width="40.5703125" style="29" hidden="1"/>
    <col min="8450" max="8450" width="15.42578125" style="29" hidden="1"/>
    <col min="8451" max="8451" width="17.42578125" style="29" hidden="1"/>
    <col min="8452" max="8452" width="20.5703125" style="29" hidden="1"/>
    <col min="8453" max="8453" width="18.7109375" style="29" hidden="1"/>
    <col min="8454" max="8454" width="15.5703125" style="29" hidden="1"/>
    <col min="8455" max="8455" width="15" style="29" hidden="1"/>
    <col min="8456" max="8704" width="9.140625" style="29" hidden="1"/>
    <col min="8705" max="8705" width="40.5703125" style="29" hidden="1"/>
    <col min="8706" max="8706" width="15.42578125" style="29" hidden="1"/>
    <col min="8707" max="8707" width="17.42578125" style="29" hidden="1"/>
    <col min="8708" max="8708" width="20.5703125" style="29" hidden="1"/>
    <col min="8709" max="8709" width="18.7109375" style="29" hidden="1"/>
    <col min="8710" max="8710" width="15.5703125" style="29" hidden="1"/>
    <col min="8711" max="8711" width="15" style="29" hidden="1"/>
    <col min="8712" max="8960" width="9.140625" style="29" hidden="1"/>
    <col min="8961" max="8961" width="40.5703125" style="29" hidden="1"/>
    <col min="8962" max="8962" width="15.42578125" style="29" hidden="1"/>
    <col min="8963" max="8963" width="17.42578125" style="29" hidden="1"/>
    <col min="8964" max="8964" width="20.5703125" style="29" hidden="1"/>
    <col min="8965" max="8965" width="18.7109375" style="29" hidden="1"/>
    <col min="8966" max="8966" width="15.5703125" style="29" hidden="1"/>
    <col min="8967" max="8967" width="15" style="29" hidden="1"/>
    <col min="8968" max="9216" width="9.140625" style="29" hidden="1"/>
    <col min="9217" max="9217" width="40.5703125" style="29" hidden="1"/>
    <col min="9218" max="9218" width="15.42578125" style="29" hidden="1"/>
    <col min="9219" max="9219" width="17.42578125" style="29" hidden="1"/>
    <col min="9220" max="9220" width="20.5703125" style="29" hidden="1"/>
    <col min="9221" max="9221" width="18.7109375" style="29" hidden="1"/>
    <col min="9222" max="9222" width="15.5703125" style="29" hidden="1"/>
    <col min="9223" max="9223" width="15" style="29" hidden="1"/>
    <col min="9224" max="9472" width="9.140625" style="29" hidden="1"/>
    <col min="9473" max="9473" width="40.5703125" style="29" hidden="1"/>
    <col min="9474" max="9474" width="15.42578125" style="29" hidden="1"/>
    <col min="9475" max="9475" width="17.42578125" style="29" hidden="1"/>
    <col min="9476" max="9476" width="20.5703125" style="29" hidden="1"/>
    <col min="9477" max="9477" width="18.7109375" style="29" hidden="1"/>
    <col min="9478" max="9478" width="15.5703125" style="29" hidden="1"/>
    <col min="9479" max="9479" width="15" style="29" hidden="1"/>
    <col min="9480" max="9728" width="9.140625" style="29" hidden="1"/>
    <col min="9729" max="9729" width="40.5703125" style="29" hidden="1"/>
    <col min="9730" max="9730" width="15.42578125" style="29" hidden="1"/>
    <col min="9731" max="9731" width="17.42578125" style="29" hidden="1"/>
    <col min="9732" max="9732" width="20.5703125" style="29" hidden="1"/>
    <col min="9733" max="9733" width="18.7109375" style="29" hidden="1"/>
    <col min="9734" max="9734" width="15.5703125" style="29" hidden="1"/>
    <col min="9735" max="9735" width="15" style="29" hidden="1"/>
    <col min="9736" max="9984" width="9.140625" style="29" hidden="1"/>
    <col min="9985" max="9985" width="40.5703125" style="29" hidden="1"/>
    <col min="9986" max="9986" width="15.42578125" style="29" hidden="1"/>
    <col min="9987" max="9987" width="17.42578125" style="29" hidden="1"/>
    <col min="9988" max="9988" width="20.5703125" style="29" hidden="1"/>
    <col min="9989" max="9989" width="18.7109375" style="29" hidden="1"/>
    <col min="9990" max="9990" width="15.5703125" style="29" hidden="1"/>
    <col min="9991" max="9991" width="15" style="29" hidden="1"/>
    <col min="9992" max="10240" width="9.140625" style="29" hidden="1"/>
    <col min="10241" max="10241" width="40.5703125" style="29" hidden="1"/>
    <col min="10242" max="10242" width="15.42578125" style="29" hidden="1"/>
    <col min="10243" max="10243" width="17.42578125" style="29" hidden="1"/>
    <col min="10244" max="10244" width="20.5703125" style="29" hidden="1"/>
    <col min="10245" max="10245" width="18.7109375" style="29" hidden="1"/>
    <col min="10246" max="10246" width="15.5703125" style="29" hidden="1"/>
    <col min="10247" max="10247" width="15" style="29" hidden="1"/>
    <col min="10248" max="10496" width="9.140625" style="29" hidden="1"/>
    <col min="10497" max="10497" width="40.5703125" style="29" hidden="1"/>
    <col min="10498" max="10498" width="15.42578125" style="29" hidden="1"/>
    <col min="10499" max="10499" width="17.42578125" style="29" hidden="1"/>
    <col min="10500" max="10500" width="20.5703125" style="29" hidden="1"/>
    <col min="10501" max="10501" width="18.7109375" style="29" hidden="1"/>
    <col min="10502" max="10502" width="15.5703125" style="29" hidden="1"/>
    <col min="10503" max="10503" width="15" style="29" hidden="1"/>
    <col min="10504" max="10752" width="9.140625" style="29" hidden="1"/>
    <col min="10753" max="10753" width="40.5703125" style="29" hidden="1"/>
    <col min="10754" max="10754" width="15.42578125" style="29" hidden="1"/>
    <col min="10755" max="10755" width="17.42578125" style="29" hidden="1"/>
    <col min="10756" max="10756" width="20.5703125" style="29" hidden="1"/>
    <col min="10757" max="10757" width="18.7109375" style="29" hidden="1"/>
    <col min="10758" max="10758" width="15.5703125" style="29" hidden="1"/>
    <col min="10759" max="10759" width="15" style="29" hidden="1"/>
    <col min="10760" max="11008" width="9.140625" style="29" hidden="1"/>
    <col min="11009" max="11009" width="40.5703125" style="29" hidden="1"/>
    <col min="11010" max="11010" width="15.42578125" style="29" hidden="1"/>
    <col min="11011" max="11011" width="17.42578125" style="29" hidden="1"/>
    <col min="11012" max="11012" width="20.5703125" style="29" hidden="1"/>
    <col min="11013" max="11013" width="18.7109375" style="29" hidden="1"/>
    <col min="11014" max="11014" width="15.5703125" style="29" hidden="1"/>
    <col min="11015" max="11015" width="15" style="29" hidden="1"/>
    <col min="11016" max="11264" width="9.140625" style="29" hidden="1"/>
    <col min="11265" max="11265" width="40.5703125" style="29" hidden="1"/>
    <col min="11266" max="11266" width="15.42578125" style="29" hidden="1"/>
    <col min="11267" max="11267" width="17.42578125" style="29" hidden="1"/>
    <col min="11268" max="11268" width="20.5703125" style="29" hidden="1"/>
    <col min="11269" max="11269" width="18.7109375" style="29" hidden="1"/>
    <col min="11270" max="11270" width="15.5703125" style="29" hidden="1"/>
    <col min="11271" max="11271" width="15" style="29" hidden="1"/>
    <col min="11272" max="11520" width="9.140625" style="29" hidden="1"/>
    <col min="11521" max="11521" width="40.5703125" style="29" hidden="1"/>
    <col min="11522" max="11522" width="15.42578125" style="29" hidden="1"/>
    <col min="11523" max="11523" width="17.42578125" style="29" hidden="1"/>
    <col min="11524" max="11524" width="20.5703125" style="29" hidden="1"/>
    <col min="11525" max="11525" width="18.7109375" style="29" hidden="1"/>
    <col min="11526" max="11526" width="15.5703125" style="29" hidden="1"/>
    <col min="11527" max="11527" width="15" style="29" hidden="1"/>
    <col min="11528" max="11776" width="9.140625" style="29" hidden="1"/>
    <col min="11777" max="11777" width="40.5703125" style="29" hidden="1"/>
    <col min="11778" max="11778" width="15.42578125" style="29" hidden="1"/>
    <col min="11779" max="11779" width="17.42578125" style="29" hidden="1"/>
    <col min="11780" max="11780" width="20.5703125" style="29" hidden="1"/>
    <col min="11781" max="11781" width="18.7109375" style="29" hidden="1"/>
    <col min="11782" max="11782" width="15.5703125" style="29" hidden="1"/>
    <col min="11783" max="11783" width="15" style="29" hidden="1"/>
    <col min="11784" max="12032" width="9.140625" style="29" hidden="1"/>
    <col min="12033" max="12033" width="40.5703125" style="29" hidden="1"/>
    <col min="12034" max="12034" width="15.42578125" style="29" hidden="1"/>
    <col min="12035" max="12035" width="17.42578125" style="29" hidden="1"/>
    <col min="12036" max="12036" width="20.5703125" style="29" hidden="1"/>
    <col min="12037" max="12037" width="18.7109375" style="29" hidden="1"/>
    <col min="12038" max="12038" width="15.5703125" style="29" hidden="1"/>
    <col min="12039" max="12039" width="15" style="29" hidden="1"/>
    <col min="12040" max="12288" width="9.140625" style="29" hidden="1"/>
    <col min="12289" max="12289" width="40.5703125" style="29" hidden="1"/>
    <col min="12290" max="12290" width="15.42578125" style="29" hidden="1"/>
    <col min="12291" max="12291" width="17.42578125" style="29" hidden="1"/>
    <col min="12292" max="12292" width="20.5703125" style="29" hidden="1"/>
    <col min="12293" max="12293" width="18.7109375" style="29" hidden="1"/>
    <col min="12294" max="12294" width="15.5703125" style="29" hidden="1"/>
    <col min="12295" max="12295" width="15" style="29" hidden="1"/>
    <col min="12296" max="12544" width="9.140625" style="29" hidden="1"/>
    <col min="12545" max="12545" width="40.5703125" style="29" hidden="1"/>
    <col min="12546" max="12546" width="15.42578125" style="29" hidden="1"/>
    <col min="12547" max="12547" width="17.42578125" style="29" hidden="1"/>
    <col min="12548" max="12548" width="20.5703125" style="29" hidden="1"/>
    <col min="12549" max="12549" width="18.7109375" style="29" hidden="1"/>
    <col min="12550" max="12550" width="15.5703125" style="29" hidden="1"/>
    <col min="12551" max="12551" width="15" style="29" hidden="1"/>
    <col min="12552" max="12800" width="9.140625" style="29" hidden="1"/>
    <col min="12801" max="12801" width="40.5703125" style="29" hidden="1"/>
    <col min="12802" max="12802" width="15.42578125" style="29" hidden="1"/>
    <col min="12803" max="12803" width="17.42578125" style="29" hidden="1"/>
    <col min="12804" max="12804" width="20.5703125" style="29" hidden="1"/>
    <col min="12805" max="12805" width="18.7109375" style="29" hidden="1"/>
    <col min="12806" max="12806" width="15.5703125" style="29" hidden="1"/>
    <col min="12807" max="12807" width="15" style="29" hidden="1"/>
    <col min="12808" max="13056" width="9.140625" style="29" hidden="1"/>
    <col min="13057" max="13057" width="40.5703125" style="29" hidden="1"/>
    <col min="13058" max="13058" width="15.42578125" style="29" hidden="1"/>
    <col min="13059" max="13059" width="17.42578125" style="29" hidden="1"/>
    <col min="13060" max="13060" width="20.5703125" style="29" hidden="1"/>
    <col min="13061" max="13061" width="18.7109375" style="29" hidden="1"/>
    <col min="13062" max="13062" width="15.5703125" style="29" hidden="1"/>
    <col min="13063" max="13063" width="15" style="29" hidden="1"/>
    <col min="13064" max="13312" width="9.140625" style="29" hidden="1"/>
    <col min="13313" max="13313" width="40.5703125" style="29" hidden="1"/>
    <col min="13314" max="13314" width="15.42578125" style="29" hidden="1"/>
    <col min="13315" max="13315" width="17.42578125" style="29" hidden="1"/>
    <col min="13316" max="13316" width="20.5703125" style="29" hidden="1"/>
    <col min="13317" max="13317" width="18.7109375" style="29" hidden="1"/>
    <col min="13318" max="13318" width="15.5703125" style="29" hidden="1"/>
    <col min="13319" max="13319" width="15" style="29" hidden="1"/>
    <col min="13320" max="13568" width="9.140625" style="29" hidden="1"/>
    <col min="13569" max="13569" width="40.5703125" style="29" hidden="1"/>
    <col min="13570" max="13570" width="15.42578125" style="29" hidden="1"/>
    <col min="13571" max="13571" width="17.42578125" style="29" hidden="1"/>
    <col min="13572" max="13572" width="20.5703125" style="29" hidden="1"/>
    <col min="13573" max="13573" width="18.7109375" style="29" hidden="1"/>
    <col min="13574" max="13574" width="15.5703125" style="29" hidden="1"/>
    <col min="13575" max="13575" width="15" style="29" hidden="1"/>
    <col min="13576" max="13824" width="9.140625" style="29" hidden="1"/>
    <col min="13825" max="13825" width="40.5703125" style="29" hidden="1"/>
    <col min="13826" max="13826" width="15.42578125" style="29" hidden="1"/>
    <col min="13827" max="13827" width="17.42578125" style="29" hidden="1"/>
    <col min="13828" max="13828" width="20.5703125" style="29" hidden="1"/>
    <col min="13829" max="13829" width="18.7109375" style="29" hidden="1"/>
    <col min="13830" max="13830" width="15.5703125" style="29" hidden="1"/>
    <col min="13831" max="13831" width="15" style="29" hidden="1"/>
    <col min="13832" max="14080" width="9.140625" style="29" hidden="1"/>
    <col min="14081" max="14081" width="40.5703125" style="29" hidden="1"/>
    <col min="14082" max="14082" width="15.42578125" style="29" hidden="1"/>
    <col min="14083" max="14083" width="17.42578125" style="29" hidden="1"/>
    <col min="14084" max="14084" width="20.5703125" style="29" hidden="1"/>
    <col min="14085" max="14085" width="18.7109375" style="29" hidden="1"/>
    <col min="14086" max="14086" width="15.5703125" style="29" hidden="1"/>
    <col min="14087" max="14087" width="15" style="29" hidden="1"/>
    <col min="14088" max="14336" width="9.140625" style="29" hidden="1"/>
    <col min="14337" max="14337" width="40.5703125" style="29" hidden="1"/>
    <col min="14338" max="14338" width="15.42578125" style="29" hidden="1"/>
    <col min="14339" max="14339" width="17.42578125" style="29" hidden="1"/>
    <col min="14340" max="14340" width="20.5703125" style="29" hidden="1"/>
    <col min="14341" max="14341" width="18.7109375" style="29" hidden="1"/>
    <col min="14342" max="14342" width="15.5703125" style="29" hidden="1"/>
    <col min="14343" max="14343" width="15" style="29" hidden="1"/>
    <col min="14344" max="14592" width="9.140625" style="29" hidden="1"/>
    <col min="14593" max="14593" width="40.5703125" style="29" hidden="1"/>
    <col min="14594" max="14594" width="15.42578125" style="29" hidden="1"/>
    <col min="14595" max="14595" width="17.42578125" style="29" hidden="1"/>
    <col min="14596" max="14596" width="20.5703125" style="29" hidden="1"/>
    <col min="14597" max="14597" width="18.7109375" style="29" hidden="1"/>
    <col min="14598" max="14598" width="15.5703125" style="29" hidden="1"/>
    <col min="14599" max="14599" width="15" style="29" hidden="1"/>
    <col min="14600" max="14848" width="9.140625" style="29" hidden="1"/>
    <col min="14849" max="14849" width="40.5703125" style="29" hidden="1"/>
    <col min="14850" max="14850" width="15.42578125" style="29" hidden="1"/>
    <col min="14851" max="14851" width="17.42578125" style="29" hidden="1"/>
    <col min="14852" max="14852" width="20.5703125" style="29" hidden="1"/>
    <col min="14853" max="14853" width="18.7109375" style="29" hidden="1"/>
    <col min="14854" max="14854" width="15.5703125" style="29" hidden="1"/>
    <col min="14855" max="14855" width="15" style="29" hidden="1"/>
    <col min="14856" max="15104" width="9.140625" style="29" hidden="1"/>
    <col min="15105" max="15105" width="40.5703125" style="29" hidden="1"/>
    <col min="15106" max="15106" width="15.42578125" style="29" hidden="1"/>
    <col min="15107" max="15107" width="17.42578125" style="29" hidden="1"/>
    <col min="15108" max="15108" width="20.5703125" style="29" hidden="1"/>
    <col min="15109" max="15109" width="18.7109375" style="29" hidden="1"/>
    <col min="15110" max="15110" width="15.5703125" style="29" hidden="1"/>
    <col min="15111" max="15111" width="15" style="29" hidden="1"/>
    <col min="15112" max="15360" width="9.140625" style="29" hidden="1"/>
    <col min="15361" max="15361" width="40.5703125" style="29" hidden="1"/>
    <col min="15362" max="15362" width="15.42578125" style="29" hidden="1"/>
    <col min="15363" max="15363" width="17.42578125" style="29" hidden="1"/>
    <col min="15364" max="15364" width="20.5703125" style="29" hidden="1"/>
    <col min="15365" max="15365" width="18.7109375" style="29" hidden="1"/>
    <col min="15366" max="15366" width="15.5703125" style="29" hidden="1"/>
    <col min="15367" max="15367" width="15" style="29" hidden="1"/>
    <col min="15368" max="15616" width="9.140625" style="29" hidden="1"/>
    <col min="15617" max="15617" width="40.5703125" style="29" hidden="1"/>
    <col min="15618" max="15618" width="15.42578125" style="29" hidden="1"/>
    <col min="15619" max="15619" width="17.42578125" style="29" hidden="1"/>
    <col min="15620" max="15620" width="20.5703125" style="29" hidden="1"/>
    <col min="15621" max="15621" width="18.7109375" style="29" hidden="1"/>
    <col min="15622" max="15622" width="15.5703125" style="29" hidden="1"/>
    <col min="15623" max="15623" width="15" style="29" hidden="1"/>
    <col min="15624" max="15872" width="9.140625" style="29" hidden="1"/>
    <col min="15873" max="15873" width="40.5703125" style="29" hidden="1"/>
    <col min="15874" max="15874" width="15.42578125" style="29" hidden="1"/>
    <col min="15875" max="15875" width="17.42578125" style="29" hidden="1"/>
    <col min="15876" max="15876" width="20.5703125" style="29" hidden="1"/>
    <col min="15877" max="15877" width="18.7109375" style="29" hidden="1"/>
    <col min="15878" max="15878" width="15.5703125" style="29" hidden="1"/>
    <col min="15879" max="15879" width="15" style="29" hidden="1"/>
    <col min="15880" max="16128" width="9.140625" style="29" hidden="1"/>
    <col min="16129" max="16129" width="40.5703125" style="29" hidden="1"/>
    <col min="16130" max="16130" width="15.42578125" style="29" hidden="1"/>
    <col min="16131" max="16131" width="17.42578125" style="29" hidden="1"/>
    <col min="16132" max="16132" width="20.5703125" style="29" hidden="1"/>
    <col min="16133" max="16133" width="18.7109375" style="29" hidden="1"/>
    <col min="16134" max="16134" width="15.5703125" style="29" hidden="1"/>
    <col min="16135" max="16135" width="15" style="29" hidden="1"/>
    <col min="16136" max="16384" width="9.140625" style="29" hidden="1"/>
  </cols>
  <sheetData>
    <row r="1" spans="1:5" ht="18.75" x14ac:dyDescent="0.25">
      <c r="A1" s="25" t="str">
        <f>+'Note 1'!B2</f>
        <v>Notes to financial statements for the year ended March 31, 2025</v>
      </c>
    </row>
    <row r="2" spans="1:5" ht="15" x14ac:dyDescent="0.25">
      <c r="A2" s="66" t="str">
        <f>+'Note 1'!B2</f>
        <v>Notes to financial statements for the year ended March 31, 2025</v>
      </c>
    </row>
    <row r="3" spans="1:5" ht="15" x14ac:dyDescent="0.25">
      <c r="A3" s="66">
        <f>+'Note 1'!B3</f>
        <v>0</v>
      </c>
    </row>
    <row r="4" spans="1:5" x14ac:dyDescent="0.25">
      <c r="A4" s="67"/>
      <c r="E4" s="68" t="str">
        <f>'P&amp;L'!D4</f>
        <v>In Rupees</v>
      </c>
    </row>
    <row r="5" spans="1:5" ht="15" x14ac:dyDescent="0.25">
      <c r="A5" s="69" t="s">
        <v>91</v>
      </c>
    </row>
    <row r="6" spans="1:5" ht="16.5" x14ac:dyDescent="0.25">
      <c r="A6" s="70"/>
      <c r="B6" s="71"/>
      <c r="C6" s="71"/>
      <c r="D6" s="666">
        <v>45747</v>
      </c>
      <c r="E6" s="666">
        <v>45382</v>
      </c>
    </row>
    <row r="7" spans="1:5" ht="15" x14ac:dyDescent="0.25">
      <c r="A7" s="73" t="s">
        <v>92</v>
      </c>
      <c r="D7" s="9"/>
      <c r="E7" s="9"/>
    </row>
    <row r="8" spans="1:5" ht="17.25" thickBot="1" x14ac:dyDescent="0.3">
      <c r="A8" s="74" t="s">
        <v>599</v>
      </c>
      <c r="D8" s="667">
        <f>10000*10</f>
        <v>100000</v>
      </c>
      <c r="E8" s="667">
        <f>10000*10</f>
        <v>100000</v>
      </c>
    </row>
    <row r="9" spans="1:5" ht="17.25" thickTop="1" x14ac:dyDescent="0.25">
      <c r="A9" s="75"/>
      <c r="D9" s="659"/>
      <c r="E9" s="659"/>
    </row>
    <row r="10" spans="1:5" ht="15" x14ac:dyDescent="0.25">
      <c r="A10" s="73" t="s">
        <v>93</v>
      </c>
      <c r="D10" s="659"/>
      <c r="E10" s="659"/>
    </row>
    <row r="11" spans="1:5" ht="16.5" x14ac:dyDescent="0.25">
      <c r="A11" s="74" t="s">
        <v>600</v>
      </c>
      <c r="D11" s="189">
        <f>+SUM('TB 22-23'!G94:G96)</f>
        <v>10000</v>
      </c>
      <c r="E11" s="189">
        <v>10000</v>
      </c>
    </row>
    <row r="12" spans="1:5" ht="15" x14ac:dyDescent="0.25">
      <c r="A12" s="77" t="s">
        <v>94</v>
      </c>
      <c r="B12" s="71"/>
      <c r="C12" s="71"/>
      <c r="D12" s="495">
        <f>D11</f>
        <v>10000</v>
      </c>
      <c r="E12" s="495">
        <f>E11</f>
        <v>10000</v>
      </c>
    </row>
    <row r="13" spans="1:5" ht="4.5" customHeight="1" x14ac:dyDescent="0.25">
      <c r="A13" s="78"/>
      <c r="B13" s="79"/>
      <c r="C13" s="80"/>
      <c r="D13" s="668"/>
      <c r="E13" s="491"/>
    </row>
    <row r="14" spans="1:5" ht="16.5" x14ac:dyDescent="0.25">
      <c r="A14" s="81" t="s">
        <v>95</v>
      </c>
      <c r="B14" s="82"/>
      <c r="C14" s="83"/>
      <c r="D14" s="669"/>
      <c r="E14" s="84"/>
    </row>
    <row r="15" spans="1:5" ht="15.75" customHeight="1" x14ac:dyDescent="0.25">
      <c r="A15" s="947"/>
      <c r="B15" s="949">
        <v>45747</v>
      </c>
      <c r="C15" s="950"/>
      <c r="D15" s="949">
        <v>45382</v>
      </c>
      <c r="E15" s="950"/>
    </row>
    <row r="16" spans="1:5" ht="15" x14ac:dyDescent="0.25">
      <c r="A16" s="948"/>
      <c r="B16" s="85" t="s">
        <v>96</v>
      </c>
      <c r="C16" s="85" t="s">
        <v>97</v>
      </c>
      <c r="D16" s="670" t="s">
        <v>96</v>
      </c>
      <c r="E16" s="85" t="s">
        <v>97</v>
      </c>
    </row>
    <row r="17" spans="1:5" ht="15" x14ac:dyDescent="0.25">
      <c r="A17" s="86" t="s">
        <v>98</v>
      </c>
      <c r="B17" s="87"/>
      <c r="C17" s="87"/>
      <c r="D17" s="671"/>
      <c r="E17" s="87"/>
    </row>
    <row r="18" spans="1:5" ht="16.5" x14ac:dyDescent="0.25">
      <c r="A18" s="88" t="s">
        <v>99</v>
      </c>
      <c r="B18" s="825">
        <f>+D19</f>
        <v>1000</v>
      </c>
      <c r="C18" s="825">
        <f>ROUND(B18*10,0)</f>
        <v>10000</v>
      </c>
      <c r="D18" s="189">
        <v>1000</v>
      </c>
      <c r="E18" s="188">
        <f>ROUND(D18*10,0)</f>
        <v>10000</v>
      </c>
    </row>
    <row r="19" spans="1:5" ht="16.5" x14ac:dyDescent="0.25">
      <c r="A19" s="89" t="s">
        <v>100</v>
      </c>
      <c r="B19" s="826">
        <f>B18</f>
        <v>1000</v>
      </c>
      <c r="C19" s="826">
        <f>C18</f>
        <v>10000</v>
      </c>
      <c r="D19" s="672">
        <f>D18</f>
        <v>1000</v>
      </c>
      <c r="E19" s="500">
        <f>E18</f>
        <v>10000</v>
      </c>
    </row>
    <row r="20" spans="1:5" ht="5.25" customHeight="1" x14ac:dyDescent="0.25">
      <c r="A20" s="78"/>
      <c r="B20" s="79"/>
      <c r="C20" s="80"/>
      <c r="D20" s="10"/>
      <c r="E20" s="41"/>
    </row>
    <row r="21" spans="1:5" ht="16.5" x14ac:dyDescent="0.25">
      <c r="A21" s="90" t="s">
        <v>101</v>
      </c>
      <c r="B21" s="91"/>
      <c r="C21" s="91"/>
      <c r="D21" s="673"/>
      <c r="E21" s="91"/>
    </row>
    <row r="22" spans="1:5" ht="56.25" customHeight="1" x14ac:dyDescent="0.25">
      <c r="A22" s="942" t="s">
        <v>254</v>
      </c>
      <c r="B22" s="942"/>
      <c r="C22" s="942"/>
      <c r="D22" s="942"/>
      <c r="E22" s="942"/>
    </row>
    <row r="23" spans="1:5" ht="2.25" customHeight="1" x14ac:dyDescent="0.25">
      <c r="A23" s="78"/>
      <c r="B23" s="79"/>
      <c r="C23" s="80"/>
      <c r="D23" s="10"/>
      <c r="E23" s="41"/>
    </row>
    <row r="24" spans="1:5" ht="16.5" x14ac:dyDescent="0.25">
      <c r="A24" s="90" t="s">
        <v>102</v>
      </c>
      <c r="B24" s="93"/>
      <c r="C24" s="93"/>
      <c r="D24" s="674"/>
      <c r="E24" s="94"/>
    </row>
    <row r="25" spans="1:5" ht="15" customHeight="1" x14ac:dyDescent="0.25">
      <c r="A25" s="951" t="s">
        <v>103</v>
      </c>
      <c r="B25" s="949">
        <f>+B15</f>
        <v>45747</v>
      </c>
      <c r="C25" s="950"/>
      <c r="D25" s="949">
        <f>+D15</f>
        <v>45382</v>
      </c>
      <c r="E25" s="950"/>
    </row>
    <row r="26" spans="1:5" ht="15" x14ac:dyDescent="0.25">
      <c r="A26" s="944"/>
      <c r="B26" s="95" t="s">
        <v>96</v>
      </c>
      <c r="C26" s="95" t="s">
        <v>104</v>
      </c>
      <c r="D26" s="675" t="s">
        <v>96</v>
      </c>
      <c r="E26" s="95" t="s">
        <v>104</v>
      </c>
    </row>
    <row r="27" spans="1:5" ht="30" x14ac:dyDescent="0.25">
      <c r="A27" s="96" t="s">
        <v>98</v>
      </c>
      <c r="B27" s="97"/>
      <c r="C27" s="97"/>
      <c r="D27" s="676"/>
      <c r="E27" s="97"/>
    </row>
    <row r="28" spans="1:5" ht="16.5" x14ac:dyDescent="0.25">
      <c r="A28" s="98" t="s">
        <v>601</v>
      </c>
      <c r="B28" s="827">
        <f>+'TB 22-23'!G96/10</f>
        <v>997</v>
      </c>
      <c r="C28" s="827">
        <f>B28/$B$18</f>
        <v>0.997</v>
      </c>
      <c r="D28" s="677">
        <f>+'TB 21-22 Hyd'!G121/10</f>
        <v>997</v>
      </c>
      <c r="E28" s="515">
        <f>D28/$D$18</f>
        <v>0.997</v>
      </c>
    </row>
    <row r="29" spans="1:5" ht="16.5" customHeight="1" x14ac:dyDescent="0.25">
      <c r="A29" s="941" t="s">
        <v>105</v>
      </c>
      <c r="B29" s="941"/>
      <c r="C29" s="941"/>
      <c r="D29" s="941"/>
      <c r="E29" s="941"/>
    </row>
    <row r="30" spans="1:5" ht="16.5" customHeight="1" x14ac:dyDescent="0.25">
      <c r="A30" s="942"/>
      <c r="B30" s="942"/>
      <c r="C30" s="942"/>
      <c r="D30" s="942"/>
      <c r="E30" s="942"/>
    </row>
    <row r="31" spans="1:5" ht="16.5" customHeight="1" x14ac:dyDescent="0.25">
      <c r="A31" s="225" t="s">
        <v>106</v>
      </c>
      <c r="B31" s="99"/>
      <c r="C31" s="99"/>
      <c r="D31" s="678"/>
      <c r="E31" s="99"/>
    </row>
    <row r="32" spans="1:5" s="41" customFormat="1" ht="16.5" customHeight="1" x14ac:dyDescent="0.25">
      <c r="A32" s="943" t="s">
        <v>107</v>
      </c>
      <c r="B32" s="945">
        <f>+B25</f>
        <v>45747</v>
      </c>
      <c r="C32" s="946"/>
      <c r="D32" s="945">
        <f>+D25</f>
        <v>45382</v>
      </c>
      <c r="E32" s="946"/>
    </row>
    <row r="33" spans="1:7" s="41" customFormat="1" ht="16.5" customHeight="1" x14ac:dyDescent="0.25">
      <c r="A33" s="944"/>
      <c r="B33" s="226" t="s">
        <v>108</v>
      </c>
      <c r="C33" s="226" t="s">
        <v>104</v>
      </c>
      <c r="D33" s="679" t="s">
        <v>108</v>
      </c>
      <c r="E33" s="226" t="s">
        <v>104</v>
      </c>
    </row>
    <row r="34" spans="1:7" s="41" customFormat="1" ht="16.5" customHeight="1" x14ac:dyDescent="0.25">
      <c r="A34" s="96" t="s">
        <v>98</v>
      </c>
      <c r="B34" s="227"/>
      <c r="C34" s="227"/>
      <c r="D34" s="680"/>
      <c r="E34" s="227"/>
    </row>
    <row r="35" spans="1:7" s="41" customFormat="1" ht="16.5" customHeight="1" x14ac:dyDescent="0.25">
      <c r="A35" s="228" t="s">
        <v>601</v>
      </c>
      <c r="B35" s="828">
        <v>997</v>
      </c>
      <c r="C35" s="829">
        <f>+B35/$B$19</f>
        <v>0.997</v>
      </c>
      <c r="D35" s="517">
        <v>997</v>
      </c>
      <c r="E35" s="290">
        <f>+D35/$D$19</f>
        <v>0.997</v>
      </c>
    </row>
    <row r="36" spans="1:7" s="41" customFormat="1" ht="16.5" customHeight="1" x14ac:dyDescent="0.25">
      <c r="A36" s="228" t="s">
        <v>602</v>
      </c>
      <c r="B36" s="828">
        <v>2</v>
      </c>
      <c r="C36" s="829">
        <f>+B36/$B$19</f>
        <v>2E-3</v>
      </c>
      <c r="D36" s="517">
        <v>2</v>
      </c>
      <c r="E36" s="290">
        <f>+D36/$D$19</f>
        <v>2E-3</v>
      </c>
    </row>
    <row r="37" spans="1:7" s="41" customFormat="1" ht="16.5" customHeight="1" x14ac:dyDescent="0.25">
      <c r="A37" s="228" t="s">
        <v>261</v>
      </c>
      <c r="B37" s="830">
        <v>1</v>
      </c>
      <c r="C37" s="829">
        <f>+B37/$B$19</f>
        <v>1E-3</v>
      </c>
      <c r="D37" s="518">
        <v>1</v>
      </c>
      <c r="E37" s="290">
        <f>+D37/$D$19</f>
        <v>1E-3</v>
      </c>
    </row>
    <row r="38" spans="1:7" s="41" customFormat="1" ht="16.5" customHeight="1" x14ac:dyDescent="0.25">
      <c r="A38" s="229"/>
      <c r="B38" s="516">
        <f>SUM(B35:B37)</f>
        <v>1000</v>
      </c>
      <c r="C38" s="291"/>
      <c r="D38" s="518">
        <f>SUM(D35:D37)</f>
        <v>1000</v>
      </c>
      <c r="E38" s="291"/>
    </row>
    <row r="39" spans="1:7" ht="11.25" customHeight="1" x14ac:dyDescent="0.25">
      <c r="A39" s="92"/>
      <c r="B39" s="92"/>
      <c r="C39" s="92"/>
      <c r="D39" s="681"/>
      <c r="E39" s="92"/>
    </row>
    <row r="40" spans="1:7" ht="16.5" x14ac:dyDescent="0.25">
      <c r="A40" s="100" t="s">
        <v>109</v>
      </c>
      <c r="B40" s="101"/>
      <c r="C40" s="102"/>
      <c r="D40" s="10"/>
      <c r="E40" s="41"/>
    </row>
    <row r="41" spans="1:7" ht="15" x14ac:dyDescent="0.25">
      <c r="A41" s="103"/>
      <c r="B41" s="71"/>
      <c r="C41" s="71"/>
      <c r="D41" s="666">
        <v>45747</v>
      </c>
      <c r="E41" s="666">
        <f>D15</f>
        <v>45382</v>
      </c>
    </row>
    <row r="42" spans="1:7" ht="16.5" x14ac:dyDescent="0.25">
      <c r="A42" s="104" t="s">
        <v>110</v>
      </c>
      <c r="D42" s="682"/>
      <c r="E42" s="76"/>
    </row>
    <row r="43" spans="1:7" ht="16.5" x14ac:dyDescent="0.3">
      <c r="A43" s="105" t="s">
        <v>111</v>
      </c>
      <c r="D43" s="189">
        <f>E47</f>
        <v>4908638.6909897029</v>
      </c>
      <c r="E43" s="188">
        <v>102885598.6482937</v>
      </c>
      <c r="F43" s="106"/>
      <c r="G43" s="106"/>
    </row>
    <row r="44" spans="1:7" ht="16.5" x14ac:dyDescent="0.3">
      <c r="A44" s="105" t="s">
        <v>112</v>
      </c>
      <c r="D44" s="683">
        <f>'P&amp;L'!C26</f>
        <v>12954665.152799999</v>
      </c>
      <c r="E44" s="683">
        <f>'P&amp;L'!D26</f>
        <v>28486452.262695998</v>
      </c>
      <c r="F44" s="40"/>
      <c r="G44" s="107"/>
    </row>
    <row r="45" spans="1:7" ht="16.5" x14ac:dyDescent="0.3">
      <c r="A45" s="105"/>
      <c r="D45" s="519">
        <f>SUM(D43:D44)</f>
        <v>17863303.843789704</v>
      </c>
      <c r="E45" s="519">
        <f>SUM(E43:E44)</f>
        <v>131372050.9109897</v>
      </c>
      <c r="F45" s="40"/>
    </row>
    <row r="46" spans="1:7" ht="16.5" x14ac:dyDescent="0.3">
      <c r="A46" s="105" t="s">
        <v>113</v>
      </c>
      <c r="D46" s="684">
        <v>0</v>
      </c>
      <c r="E46" s="684">
        <f>-'TB 23-24'!D20+9059</f>
        <v>-126463412.22</v>
      </c>
      <c r="F46" s="40"/>
      <c r="G46" s="40"/>
    </row>
    <row r="47" spans="1:7" ht="16.5" x14ac:dyDescent="0.3">
      <c r="A47" s="109" t="s">
        <v>114</v>
      </c>
      <c r="B47" s="71"/>
      <c r="C47" s="71"/>
      <c r="D47" s="685">
        <f>D46+D45</f>
        <v>17863303.843789704</v>
      </c>
      <c r="E47" s="685">
        <f>E46+E45</f>
        <v>4908638.6909897029</v>
      </c>
      <c r="F47" s="40"/>
    </row>
    <row r="48" spans="1:7" ht="9" customHeight="1" x14ac:dyDescent="0.3">
      <c r="A48" s="105"/>
      <c r="D48" s="686"/>
      <c r="E48" s="108"/>
      <c r="F48" s="40"/>
    </row>
    <row r="49" spans="1:13" ht="9.75" customHeight="1" x14ac:dyDescent="0.25">
      <c r="A49" s="41"/>
      <c r="B49" s="79"/>
      <c r="C49" s="79"/>
      <c r="D49" s="10"/>
      <c r="E49" s="41"/>
    </row>
    <row r="50" spans="1:13" s="111" customFormat="1" ht="15" x14ac:dyDescent="0.25">
      <c r="A50" s="110" t="s">
        <v>604</v>
      </c>
      <c r="B50" s="940"/>
      <c r="C50" s="940"/>
      <c r="D50" s="940"/>
      <c r="E50" s="940"/>
    </row>
    <row r="51" spans="1:13" s="111" customFormat="1" ht="15" x14ac:dyDescent="0.25">
      <c r="A51" s="112"/>
      <c r="B51" s="115"/>
      <c r="C51" s="115"/>
      <c r="D51" s="666">
        <f>B15</f>
        <v>45747</v>
      </c>
      <c r="E51" s="666">
        <f>D15</f>
        <v>45382</v>
      </c>
    </row>
    <row r="52" spans="1:13" s="111" customFormat="1" ht="16.5" x14ac:dyDescent="0.3">
      <c r="A52" s="105" t="s">
        <v>605</v>
      </c>
      <c r="B52" s="116"/>
      <c r="C52" s="117"/>
      <c r="D52" s="189">
        <f>Schedules!B111</f>
        <v>17189228</v>
      </c>
      <c r="E52" s="189">
        <f>-+'TB 23-24'!E89</f>
        <v>11855641</v>
      </c>
    </row>
    <row r="53" spans="1:13" s="111" customFormat="1" ht="15" x14ac:dyDescent="0.25">
      <c r="A53" s="112"/>
      <c r="B53" s="114"/>
      <c r="C53" s="114"/>
      <c r="D53" s="520">
        <f>SUM(D52)</f>
        <v>17189228</v>
      </c>
      <c r="E53" s="520">
        <f>SUM(E52)</f>
        <v>11855641</v>
      </c>
      <c r="F53" s="113"/>
    </row>
    <row r="54" spans="1:13" s="111" customFormat="1" ht="15" x14ac:dyDescent="0.25">
      <c r="A54" s="119"/>
      <c r="B54" s="119"/>
      <c r="C54" s="119"/>
      <c r="D54" s="687"/>
      <c r="E54" s="119"/>
      <c r="K54"/>
      <c r="L54"/>
      <c r="M54"/>
    </row>
    <row r="55" spans="1:13" ht="16.5" x14ac:dyDescent="0.25">
      <c r="A55" s="101" t="s">
        <v>637</v>
      </c>
      <c r="D55" s="688"/>
      <c r="E55" s="80"/>
      <c r="I55"/>
      <c r="J55"/>
      <c r="K55"/>
      <c r="L55"/>
      <c r="M55"/>
    </row>
    <row r="56" spans="1:13" ht="15" x14ac:dyDescent="0.25">
      <c r="A56" s="71"/>
      <c r="B56" s="71"/>
      <c r="C56" s="71"/>
      <c r="D56" s="666">
        <f>B32</f>
        <v>45747</v>
      </c>
      <c r="E56" s="72">
        <f>D32</f>
        <v>45382</v>
      </c>
      <c r="I56"/>
      <c r="J56"/>
      <c r="K56"/>
      <c r="L56"/>
      <c r="M56"/>
    </row>
    <row r="57" spans="1:13" ht="16.5" x14ac:dyDescent="0.3">
      <c r="A57" s="120" t="s">
        <v>606</v>
      </c>
      <c r="D57" s="689"/>
      <c r="E57" s="121"/>
      <c r="F57" s="122"/>
      <c r="I57"/>
      <c r="J57"/>
      <c r="K57"/>
      <c r="L57"/>
      <c r="M57"/>
    </row>
    <row r="58" spans="1:13" ht="16.5" x14ac:dyDescent="0.3">
      <c r="A58" s="422" t="s">
        <v>607</v>
      </c>
      <c r="D58" s="833">
        <f>'Trail Balance'!H66+'Trail Balance'!H67</f>
        <v>478801</v>
      </c>
      <c r="E58" s="834">
        <v>0</v>
      </c>
      <c r="F58" s="122"/>
      <c r="I58"/>
      <c r="J58"/>
      <c r="K58"/>
      <c r="L58"/>
      <c r="M58"/>
    </row>
    <row r="59" spans="1:13" ht="16.5" x14ac:dyDescent="0.3">
      <c r="A59" s="422" t="s">
        <v>608</v>
      </c>
      <c r="D59" s="833">
        <f>'Trail Balance'!H71-'Trail Balance'!H66-'Trail Balance'!H67</f>
        <v>9161</v>
      </c>
      <c r="E59" s="690">
        <f>G80</f>
        <v>223362</v>
      </c>
      <c r="F59" s="122"/>
      <c r="I59"/>
      <c r="J59"/>
      <c r="K59"/>
      <c r="L59"/>
      <c r="M59"/>
    </row>
    <row r="60" spans="1:13" ht="16.5" hidden="1" x14ac:dyDescent="0.3">
      <c r="A60" s="120"/>
      <c r="D60" s="690"/>
      <c r="E60" s="521"/>
      <c r="F60" s="122"/>
      <c r="I60"/>
      <c r="J60"/>
      <c r="K60"/>
      <c r="L60"/>
      <c r="M60"/>
    </row>
    <row r="61" spans="1:13" ht="16.5" x14ac:dyDescent="0.3">
      <c r="A61" s="123"/>
      <c r="B61" s="71"/>
      <c r="C61" s="71"/>
      <c r="D61" s="658">
        <f>SUM(D58:D60)</f>
        <v>487962</v>
      </c>
      <c r="E61" s="522">
        <f>SUM(E58:E60)</f>
        <v>223362</v>
      </c>
      <c r="G61" s="40"/>
      <c r="I61" s="246"/>
      <c r="J61" s="246"/>
      <c r="K61"/>
      <c r="L61"/>
      <c r="M61"/>
    </row>
    <row r="62" spans="1:13" ht="15" customHeight="1" x14ac:dyDescent="0.3">
      <c r="A62" s="44"/>
      <c r="D62" s="691"/>
      <c r="E62" s="124"/>
      <c r="I62"/>
      <c r="K62"/>
      <c r="L62"/>
      <c r="M62"/>
    </row>
    <row r="63" spans="1:13" s="41" customFormat="1" ht="15" customHeight="1" x14ac:dyDescent="0.3">
      <c r="A63" s="230" t="s">
        <v>1007</v>
      </c>
      <c r="B63" s="231"/>
      <c r="C63" s="231"/>
      <c r="D63" s="231"/>
      <c r="E63" s="231"/>
      <c r="F63" s="231"/>
      <c r="G63" s="232"/>
      <c r="K63"/>
      <c r="L63"/>
      <c r="M63"/>
    </row>
    <row r="64" spans="1:13" s="41" customFormat="1" ht="15" customHeight="1" x14ac:dyDescent="0.25">
      <c r="A64" s="935" t="s">
        <v>0</v>
      </c>
      <c r="B64" s="937" t="s">
        <v>178</v>
      </c>
      <c r="C64" s="937"/>
      <c r="D64" s="937"/>
      <c r="E64" s="937"/>
      <c r="F64" s="937"/>
      <c r="G64" s="938" t="s">
        <v>158</v>
      </c>
      <c r="K64"/>
      <c r="L64"/>
      <c r="M64"/>
    </row>
    <row r="65" spans="1:13" s="41" customFormat="1" ht="25.5" customHeight="1" thickBot="1" x14ac:dyDescent="0.3">
      <c r="A65" s="936"/>
      <c r="B65" s="237"/>
      <c r="C65" s="237" t="s">
        <v>214</v>
      </c>
      <c r="D65" s="238" t="s">
        <v>179</v>
      </c>
      <c r="E65" s="238" t="s">
        <v>180</v>
      </c>
      <c r="F65" s="238" t="s">
        <v>157</v>
      </c>
      <c r="G65" s="939"/>
      <c r="K65"/>
      <c r="L65"/>
      <c r="M65"/>
    </row>
    <row r="66" spans="1:13" s="41" customFormat="1" ht="15" customHeight="1" x14ac:dyDescent="0.3">
      <c r="A66" s="233" t="s">
        <v>181</v>
      </c>
      <c r="B66" s="231"/>
      <c r="C66" s="231"/>
      <c r="D66" s="231"/>
      <c r="E66" s="231"/>
      <c r="F66" s="231"/>
      <c r="G66" s="292"/>
    </row>
    <row r="67" spans="1:13" s="41" customFormat="1" ht="15" customHeight="1" x14ac:dyDescent="0.3">
      <c r="A67" s="234" t="s">
        <v>182</v>
      </c>
      <c r="B67" s="231"/>
      <c r="C67" s="523">
        <v>0</v>
      </c>
      <c r="D67" s="692">
        <v>0</v>
      </c>
      <c r="E67" s="523">
        <v>0</v>
      </c>
      <c r="F67" s="523">
        <v>0</v>
      </c>
      <c r="G67" s="523">
        <f>SUM(B67:F67)</f>
        <v>0</v>
      </c>
    </row>
    <row r="68" spans="1:13" s="41" customFormat="1" ht="15" customHeight="1" x14ac:dyDescent="0.3">
      <c r="A68" s="234" t="s">
        <v>183</v>
      </c>
      <c r="B68" s="231"/>
    </row>
    <row r="69" spans="1:13" s="41" customFormat="1" ht="15" customHeight="1" x14ac:dyDescent="0.3">
      <c r="A69" s="233" t="s">
        <v>184</v>
      </c>
      <c r="B69" s="231"/>
      <c r="C69" s="523"/>
      <c r="D69" s="692"/>
      <c r="E69" s="523"/>
      <c r="F69" s="523"/>
      <c r="G69" s="523"/>
    </row>
    <row r="70" spans="1:13" s="41" customFormat="1" ht="15" customHeight="1" x14ac:dyDescent="0.3">
      <c r="A70" s="234" t="s">
        <v>182</v>
      </c>
      <c r="B70" s="231"/>
      <c r="C70" s="524">
        <v>0</v>
      </c>
      <c r="D70" s="692">
        <v>0</v>
      </c>
      <c r="E70" s="523">
        <v>0</v>
      </c>
      <c r="F70" s="523">
        <v>0</v>
      </c>
      <c r="G70" s="523">
        <v>0</v>
      </c>
    </row>
    <row r="71" spans="1:13" s="41" customFormat="1" ht="15" customHeight="1" x14ac:dyDescent="0.3">
      <c r="A71" s="234" t="s">
        <v>183</v>
      </c>
      <c r="B71" s="231"/>
      <c r="C71" s="524">
        <v>0</v>
      </c>
      <c r="D71" s="692">
        <v>0</v>
      </c>
      <c r="E71" s="523">
        <v>0</v>
      </c>
      <c r="F71" s="523">
        <v>0</v>
      </c>
      <c r="G71" s="523">
        <v>0</v>
      </c>
    </row>
    <row r="72" spans="1:13" s="41" customFormat="1" ht="15" customHeight="1" x14ac:dyDescent="0.3">
      <c r="A72" s="232"/>
      <c r="B72" s="231"/>
      <c r="C72" s="524"/>
      <c r="D72" s="524"/>
      <c r="E72" s="525"/>
      <c r="F72" s="525"/>
      <c r="G72" s="524"/>
    </row>
    <row r="73" spans="1:13" s="41" customFormat="1" ht="15" customHeight="1" x14ac:dyDescent="0.25">
      <c r="A73" s="301" t="s">
        <v>158</v>
      </c>
      <c r="B73" s="380"/>
      <c r="C73" s="526">
        <f t="shared" ref="C73:G73" si="0">SUM(C67:C71)</f>
        <v>0</v>
      </c>
      <c r="D73" s="693">
        <f t="shared" si="0"/>
        <v>0</v>
      </c>
      <c r="E73" s="522">
        <f t="shared" si="0"/>
        <v>0</v>
      </c>
      <c r="F73" s="522">
        <f t="shared" si="0"/>
        <v>0</v>
      </c>
      <c r="G73" s="526">
        <f t="shared" si="0"/>
        <v>0</v>
      </c>
    </row>
    <row r="74" spans="1:13" s="41" customFormat="1" ht="15" customHeight="1" x14ac:dyDescent="0.3">
      <c r="A74" s="44"/>
      <c r="D74" s="691"/>
      <c r="E74" s="124"/>
    </row>
    <row r="75" spans="1:13" ht="15" customHeight="1" x14ac:dyDescent="0.3">
      <c r="A75" s="230" t="s">
        <v>761</v>
      </c>
      <c r="B75" s="231"/>
      <c r="C75" s="231"/>
      <c r="D75" s="231"/>
      <c r="E75" s="231"/>
      <c r="F75" s="231"/>
      <c r="G75" s="232"/>
    </row>
    <row r="76" spans="1:13" ht="15" customHeight="1" x14ac:dyDescent="0.25">
      <c r="A76" s="935" t="s">
        <v>0</v>
      </c>
      <c r="B76" s="937" t="s">
        <v>178</v>
      </c>
      <c r="C76" s="937"/>
      <c r="D76" s="937"/>
      <c r="E76" s="937"/>
      <c r="F76" s="937"/>
      <c r="G76" s="938" t="s">
        <v>158</v>
      </c>
    </row>
    <row r="77" spans="1:13" ht="27.4" customHeight="1" thickBot="1" x14ac:dyDescent="0.3">
      <c r="A77" s="936"/>
      <c r="B77" s="237"/>
      <c r="C77" s="237" t="s">
        <v>214</v>
      </c>
      <c r="D77" s="238" t="s">
        <v>179</v>
      </c>
      <c r="E77" s="238" t="s">
        <v>180</v>
      </c>
      <c r="F77" s="238" t="s">
        <v>157</v>
      </c>
      <c r="G77" s="939"/>
    </row>
    <row r="78" spans="1:13" ht="15" customHeight="1" x14ac:dyDescent="0.3">
      <c r="A78" s="233" t="s">
        <v>181</v>
      </c>
      <c r="B78" s="231"/>
      <c r="C78" s="231"/>
      <c r="D78" s="231"/>
      <c r="E78" s="231"/>
      <c r="F78" s="231"/>
      <c r="G78" s="231"/>
    </row>
    <row r="79" spans="1:13" ht="15" customHeight="1" x14ac:dyDescent="0.3">
      <c r="A79" s="234" t="s">
        <v>182</v>
      </c>
      <c r="B79" s="231"/>
      <c r="C79" s="831">
        <v>0</v>
      </c>
      <c r="D79" s="832">
        <v>0</v>
      </c>
      <c r="E79" s="831">
        <v>0</v>
      </c>
      <c r="F79" s="831">
        <v>0</v>
      </c>
      <c r="G79" s="831">
        <f>SUM(B79:F79)</f>
        <v>0</v>
      </c>
    </row>
    <row r="80" spans="1:13" ht="15" customHeight="1" x14ac:dyDescent="0.3">
      <c r="A80" s="234" t="s">
        <v>183</v>
      </c>
      <c r="B80" s="231"/>
      <c r="C80" s="523">
        <f>-'TB 23-24'!E85</f>
        <v>223362</v>
      </c>
      <c r="D80" s="692">
        <v>0</v>
      </c>
      <c r="E80" s="523">
        <v>0</v>
      </c>
      <c r="F80" s="523">
        <v>0</v>
      </c>
      <c r="G80" s="523">
        <f>SUM(C80:F80)</f>
        <v>223362</v>
      </c>
    </row>
    <row r="81" spans="1:11" ht="15" customHeight="1" x14ac:dyDescent="0.3">
      <c r="A81" s="233" t="s">
        <v>184</v>
      </c>
      <c r="B81" s="231"/>
      <c r="C81" s="523"/>
      <c r="D81" s="692"/>
      <c r="E81" s="523"/>
      <c r="F81" s="523"/>
      <c r="G81" s="523"/>
    </row>
    <row r="82" spans="1:11" ht="15" customHeight="1" x14ac:dyDescent="0.3">
      <c r="A82" s="234" t="s">
        <v>182</v>
      </c>
      <c r="B82" s="231"/>
      <c r="C82" s="523">
        <v>0</v>
      </c>
      <c r="D82" s="692">
        <v>0</v>
      </c>
      <c r="E82" s="523">
        <v>0</v>
      </c>
      <c r="F82" s="523">
        <v>0</v>
      </c>
      <c r="G82" s="523">
        <f>SUM(B82:F82)</f>
        <v>0</v>
      </c>
    </row>
    <row r="83" spans="1:11" ht="15" customHeight="1" x14ac:dyDescent="0.3">
      <c r="A83" s="234" t="s">
        <v>183</v>
      </c>
      <c r="B83" s="231"/>
      <c r="C83" s="523">
        <v>0</v>
      </c>
      <c r="D83" s="692">
        <v>0</v>
      </c>
      <c r="E83" s="523">
        <v>0</v>
      </c>
      <c r="F83" s="523">
        <v>0</v>
      </c>
      <c r="G83" s="523">
        <f>SUM(B83:F83)</f>
        <v>0</v>
      </c>
    </row>
    <row r="84" spans="1:11" ht="15" customHeight="1" x14ac:dyDescent="0.3">
      <c r="A84" s="232"/>
      <c r="B84" s="231"/>
      <c r="C84" s="525"/>
      <c r="D84" s="525"/>
      <c r="E84" s="525"/>
      <c r="F84" s="525"/>
      <c r="G84" s="525"/>
    </row>
    <row r="85" spans="1:11" ht="15" customHeight="1" thickBot="1" x14ac:dyDescent="0.3">
      <c r="A85" s="235" t="s">
        <v>158</v>
      </c>
      <c r="B85" s="236"/>
      <c r="C85" s="527">
        <f t="shared" ref="C85:G85" si="1">SUM(C79:C83)</f>
        <v>223362</v>
      </c>
      <c r="D85" s="694">
        <f t="shared" si="1"/>
        <v>0</v>
      </c>
      <c r="E85" s="527">
        <f t="shared" si="1"/>
        <v>0</v>
      </c>
      <c r="F85" s="527">
        <f t="shared" si="1"/>
        <v>0</v>
      </c>
      <c r="G85" s="527">
        <f t="shared" si="1"/>
        <v>223362</v>
      </c>
    </row>
    <row r="86" spans="1:11" ht="15" customHeight="1" x14ac:dyDescent="0.3">
      <c r="A86" s="44"/>
      <c r="D86" s="691"/>
      <c r="E86" s="124"/>
    </row>
    <row r="87" spans="1:11" ht="16.5" x14ac:dyDescent="0.25">
      <c r="A87" s="100" t="s">
        <v>638</v>
      </c>
      <c r="D87" s="695"/>
      <c r="E87" s="118"/>
    </row>
    <row r="88" spans="1:11" ht="15" x14ac:dyDescent="0.25">
      <c r="A88" s="71"/>
      <c r="B88" s="71"/>
      <c r="C88" s="71"/>
      <c r="D88" s="666">
        <f>B15</f>
        <v>45747</v>
      </c>
      <c r="E88" s="666">
        <f>D15</f>
        <v>45382</v>
      </c>
      <c r="G88" s="125"/>
      <c r="I88"/>
      <c r="K88"/>
    </row>
    <row r="89" spans="1:11" ht="16.5" x14ac:dyDescent="0.3">
      <c r="A89" s="105" t="s">
        <v>115</v>
      </c>
      <c r="D89" s="189">
        <f>+Schedules!B109</f>
        <v>1253570</v>
      </c>
      <c r="E89" s="189">
        <f>+Schedules!C109</f>
        <v>1353882.61</v>
      </c>
      <c r="F89" s="40"/>
      <c r="G89" s="40"/>
      <c r="I89"/>
      <c r="K89"/>
    </row>
    <row r="90" spans="1:11" ht="16.5" x14ac:dyDescent="0.3">
      <c r="A90" s="105" t="s">
        <v>116</v>
      </c>
      <c r="D90" s="189">
        <f>+Schedules!B120</f>
        <v>14033481.24</v>
      </c>
      <c r="E90" s="189">
        <f>+Schedules!C120</f>
        <v>6018279.25</v>
      </c>
      <c r="F90" s="40"/>
      <c r="G90" s="40"/>
      <c r="I90"/>
      <c r="K90"/>
    </row>
    <row r="91" spans="1:11" ht="15" x14ac:dyDescent="0.25">
      <c r="A91" s="127"/>
      <c r="B91" s="71"/>
      <c r="C91" s="71"/>
      <c r="D91" s="495">
        <f>SUM(D89:D90)</f>
        <v>15287051.24</v>
      </c>
      <c r="E91" s="495">
        <f>SUM(E89:E90)</f>
        <v>7372161.8600000003</v>
      </c>
      <c r="G91" s="40"/>
      <c r="I91"/>
      <c r="K91"/>
    </row>
    <row r="92" spans="1:11" ht="16.5" x14ac:dyDescent="0.25">
      <c r="A92" s="126"/>
      <c r="B92" s="79"/>
      <c r="C92" s="80"/>
      <c r="D92" s="556"/>
      <c r="E92" s="502"/>
      <c r="G92" s="40"/>
      <c r="I92"/>
      <c r="K92"/>
    </row>
    <row r="93" spans="1:11" ht="16.5" x14ac:dyDescent="0.25">
      <c r="A93" s="128" t="s">
        <v>698</v>
      </c>
      <c r="B93" s="129"/>
      <c r="C93" s="129"/>
      <c r="D93" s="696"/>
      <c r="E93" s="528"/>
      <c r="I93"/>
      <c r="K93"/>
    </row>
    <row r="94" spans="1:11" ht="16.5" x14ac:dyDescent="0.3">
      <c r="A94" s="130"/>
      <c r="B94" s="131"/>
      <c r="C94" s="132"/>
      <c r="D94" s="666">
        <f>D88</f>
        <v>45747</v>
      </c>
      <c r="E94" s="72">
        <f>E88</f>
        <v>45382</v>
      </c>
      <c r="I94"/>
      <c r="K94"/>
    </row>
    <row r="95" spans="1:11" ht="16.5" x14ac:dyDescent="0.3">
      <c r="A95" s="105" t="s">
        <v>117</v>
      </c>
      <c r="B95" s="40"/>
      <c r="C95" s="40"/>
      <c r="D95" s="189">
        <f>'P&amp;L'!C21</f>
        <v>4356999.8472000007</v>
      </c>
      <c r="E95" s="189">
        <f>Schedules!C123</f>
        <v>9421273.737304002</v>
      </c>
      <c r="F95" s="40"/>
    </row>
    <row r="96" spans="1:11" ht="16.5" x14ac:dyDescent="0.3">
      <c r="A96" s="105" t="s">
        <v>668</v>
      </c>
      <c r="B96" s="40"/>
      <c r="C96" s="40"/>
      <c r="D96" s="697">
        <v>0</v>
      </c>
      <c r="E96" s="697">
        <v>0</v>
      </c>
      <c r="F96" s="40"/>
    </row>
    <row r="97" spans="1:5" ht="16.5" x14ac:dyDescent="0.25">
      <c r="A97" s="133"/>
      <c r="B97" s="134"/>
      <c r="C97" s="134"/>
      <c r="D97" s="530">
        <f>SUM(D95:D96)</f>
        <v>4356999.8472000007</v>
      </c>
      <c r="E97" s="530">
        <f>SUM(E95:E96)</f>
        <v>9421273.737304002</v>
      </c>
    </row>
    <row r="98" spans="1:5" ht="16.5" x14ac:dyDescent="0.25">
      <c r="A98" s="100"/>
      <c r="D98" s="695"/>
      <c r="E98" s="118"/>
    </row>
    <row r="99" spans="1:5" ht="15" x14ac:dyDescent="0.25">
      <c r="D99" s="698"/>
      <c r="E99" s="448"/>
    </row>
    <row r="100" spans="1:5" ht="16.5" x14ac:dyDescent="0.3">
      <c r="A100" s="105"/>
      <c r="D100" s="699"/>
      <c r="E100" s="12"/>
    </row>
    <row r="101" spans="1:5" ht="16.5" x14ac:dyDescent="0.3">
      <c r="A101" s="105"/>
      <c r="D101" s="699"/>
      <c r="E101" s="12"/>
    </row>
    <row r="102" spans="1:5" ht="15" x14ac:dyDescent="0.25">
      <c r="A102" s="449"/>
      <c r="D102" s="700"/>
      <c r="E102" s="11"/>
    </row>
    <row r="103" spans="1:5" x14ac:dyDescent="0.25"/>
    <row r="104" spans="1:5" x14ac:dyDescent="0.25"/>
    <row r="105" spans="1:5" x14ac:dyDescent="0.25">
      <c r="E105" s="40"/>
    </row>
    <row r="106" spans="1:5" x14ac:dyDescent="0.25"/>
    <row r="107" spans="1:5" x14ac:dyDescent="0.25"/>
    <row r="108" spans="1:5" x14ac:dyDescent="0.25"/>
    <row r="109" spans="1:5" x14ac:dyDescent="0.25"/>
    <row r="110" spans="1:5" x14ac:dyDescent="0.25"/>
    <row r="111" spans="1:5" x14ac:dyDescent="0.25"/>
    <row r="112" spans="1:5"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sheetData>
  <mergeCells count="19">
    <mergeCell ref="A15:A16"/>
    <mergeCell ref="B15:C15"/>
    <mergeCell ref="D15:E15"/>
    <mergeCell ref="A22:E22"/>
    <mergeCell ref="A25:A26"/>
    <mergeCell ref="B25:C25"/>
    <mergeCell ref="D25:E25"/>
    <mergeCell ref="B50:C50"/>
    <mergeCell ref="D50:E50"/>
    <mergeCell ref="A29:E30"/>
    <mergeCell ref="A32:A33"/>
    <mergeCell ref="B32:C32"/>
    <mergeCell ref="D32:E32"/>
    <mergeCell ref="A76:A77"/>
    <mergeCell ref="B76:F76"/>
    <mergeCell ref="G76:G77"/>
    <mergeCell ref="A64:A65"/>
    <mergeCell ref="B64:F64"/>
    <mergeCell ref="G64:G65"/>
  </mergeCells>
  <printOptions horizontalCentered="1"/>
  <pageMargins left="0.33" right="0.24" top="0.74803149606299202" bottom="0.74803149606299202" header="0.511811023622047" footer="0.511811023622047"/>
  <pageSetup paperSize="9" scale="71" fitToHeight="0" orientation="portrait" r:id="rId1"/>
  <rowBreaks count="1" manualBreakCount="1">
    <brk id="53"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45293-D31F-4FF3-9432-8566A60EA0F9}">
  <sheetPr>
    <pageSetUpPr fitToPage="1"/>
  </sheetPr>
  <dimension ref="A1:O18"/>
  <sheetViews>
    <sheetView view="pageBreakPreview" topLeftCell="A16" zoomScaleNormal="100" zoomScaleSheetLayoutView="100" workbookViewId="0">
      <selection activeCell="C11" sqref="C11"/>
    </sheetView>
  </sheetViews>
  <sheetFormatPr defaultRowHeight="13.5" x14ac:dyDescent="0.25"/>
  <cols>
    <col min="1" max="1" width="3.42578125" style="136" customWidth="1"/>
    <col min="2" max="2" width="25.7109375" style="136" bestFit="1" customWidth="1"/>
    <col min="3" max="3" width="17.5703125" style="136" bestFit="1" customWidth="1"/>
    <col min="4" max="5" width="13" style="136" customWidth="1"/>
    <col min="6" max="6" width="17.5703125" style="136" bestFit="1" customWidth="1"/>
    <col min="7" max="8" width="16.28515625" style="136" bestFit="1" customWidth="1"/>
    <col min="9" max="10" width="15.28515625" style="136" customWidth="1"/>
    <col min="11" max="11" width="21.140625" style="136" customWidth="1"/>
    <col min="12" max="12" width="22" style="136" bestFit="1" customWidth="1"/>
    <col min="13" max="13" width="11.5703125" style="137" bestFit="1" customWidth="1"/>
    <col min="14" max="15" width="13.140625" style="136" bestFit="1" customWidth="1"/>
    <col min="16" max="16" width="10.28515625" style="136" bestFit="1" customWidth="1"/>
    <col min="17" max="256" width="9.140625" style="136"/>
    <col min="257" max="257" width="3.42578125" style="136" customWidth="1"/>
    <col min="258" max="258" width="20.5703125" style="136" customWidth="1"/>
    <col min="259" max="259" width="15.42578125" style="136" customWidth="1"/>
    <col min="260" max="260" width="14.28515625" style="136" bestFit="1" customWidth="1"/>
    <col min="261" max="261" width="11.5703125" style="136" bestFit="1" customWidth="1"/>
    <col min="262" max="262" width="13.28515625" style="136" bestFit="1" customWidth="1"/>
    <col min="263" max="263" width="13.85546875" style="136" customWidth="1"/>
    <col min="264" max="264" width="13.140625" style="136" bestFit="1" customWidth="1"/>
    <col min="265" max="266" width="15.28515625" style="136" customWidth="1"/>
    <col min="267" max="267" width="15.42578125" style="136" customWidth="1"/>
    <col min="268" max="268" width="15.140625" style="136" customWidth="1"/>
    <col min="269" max="269" width="11.5703125" style="136" bestFit="1" customWidth="1"/>
    <col min="270" max="271" width="13.140625" style="136" bestFit="1" customWidth="1"/>
    <col min="272" max="272" width="10.28515625" style="136" bestFit="1" customWidth="1"/>
    <col min="273" max="512" width="9.140625" style="136"/>
    <col min="513" max="513" width="3.42578125" style="136" customWidth="1"/>
    <col min="514" max="514" width="20.5703125" style="136" customWidth="1"/>
    <col min="515" max="515" width="15.42578125" style="136" customWidth="1"/>
    <col min="516" max="516" width="14.28515625" style="136" bestFit="1" customWidth="1"/>
    <col min="517" max="517" width="11.5703125" style="136" bestFit="1" customWidth="1"/>
    <col min="518" max="518" width="13.28515625" style="136" bestFit="1" customWidth="1"/>
    <col min="519" max="519" width="13.85546875" style="136" customWidth="1"/>
    <col min="520" max="520" width="13.140625" style="136" bestFit="1" customWidth="1"/>
    <col min="521" max="522" width="15.28515625" style="136" customWidth="1"/>
    <col min="523" max="523" width="15.42578125" style="136" customWidth="1"/>
    <col min="524" max="524" width="15.140625" style="136" customWidth="1"/>
    <col min="525" max="525" width="11.5703125" style="136" bestFit="1" customWidth="1"/>
    <col min="526" max="527" width="13.140625" style="136" bestFit="1" customWidth="1"/>
    <col min="528" max="528" width="10.28515625" style="136" bestFit="1" customWidth="1"/>
    <col min="529" max="768" width="9.140625" style="136"/>
    <col min="769" max="769" width="3.42578125" style="136" customWidth="1"/>
    <col min="770" max="770" width="20.5703125" style="136" customWidth="1"/>
    <col min="771" max="771" width="15.42578125" style="136" customWidth="1"/>
    <col min="772" max="772" width="14.28515625" style="136" bestFit="1" customWidth="1"/>
    <col min="773" max="773" width="11.5703125" style="136" bestFit="1" customWidth="1"/>
    <col min="774" max="774" width="13.28515625" style="136" bestFit="1" customWidth="1"/>
    <col min="775" max="775" width="13.85546875" style="136" customWidth="1"/>
    <col min="776" max="776" width="13.140625" style="136" bestFit="1" customWidth="1"/>
    <col min="777" max="778" width="15.28515625" style="136" customWidth="1"/>
    <col min="779" max="779" width="15.42578125" style="136" customWidth="1"/>
    <col min="780" max="780" width="15.140625" style="136" customWidth="1"/>
    <col min="781" max="781" width="11.5703125" style="136" bestFit="1" customWidth="1"/>
    <col min="782" max="783" width="13.140625" style="136" bestFit="1" customWidth="1"/>
    <col min="784" max="784" width="10.28515625" style="136" bestFit="1" customWidth="1"/>
    <col min="785" max="1024" width="9.140625" style="136"/>
    <col min="1025" max="1025" width="3.42578125" style="136" customWidth="1"/>
    <col min="1026" max="1026" width="20.5703125" style="136" customWidth="1"/>
    <col min="1027" max="1027" width="15.42578125" style="136" customWidth="1"/>
    <col min="1028" max="1028" width="14.28515625" style="136" bestFit="1" customWidth="1"/>
    <col min="1029" max="1029" width="11.5703125" style="136" bestFit="1" customWidth="1"/>
    <col min="1030" max="1030" width="13.28515625" style="136" bestFit="1" customWidth="1"/>
    <col min="1031" max="1031" width="13.85546875" style="136" customWidth="1"/>
    <col min="1032" max="1032" width="13.140625" style="136" bestFit="1" customWidth="1"/>
    <col min="1033" max="1034" width="15.28515625" style="136" customWidth="1"/>
    <col min="1035" max="1035" width="15.42578125" style="136" customWidth="1"/>
    <col min="1036" max="1036" width="15.140625" style="136" customWidth="1"/>
    <col min="1037" max="1037" width="11.5703125" style="136" bestFit="1" customWidth="1"/>
    <col min="1038" max="1039" width="13.140625" style="136" bestFit="1" customWidth="1"/>
    <col min="1040" max="1040" width="10.28515625" style="136" bestFit="1" customWidth="1"/>
    <col min="1041" max="1280" width="9.140625" style="136"/>
    <col min="1281" max="1281" width="3.42578125" style="136" customWidth="1"/>
    <col min="1282" max="1282" width="20.5703125" style="136" customWidth="1"/>
    <col min="1283" max="1283" width="15.42578125" style="136" customWidth="1"/>
    <col min="1284" max="1284" width="14.28515625" style="136" bestFit="1" customWidth="1"/>
    <col min="1285" max="1285" width="11.5703125" style="136" bestFit="1" customWidth="1"/>
    <col min="1286" max="1286" width="13.28515625" style="136" bestFit="1" customWidth="1"/>
    <col min="1287" max="1287" width="13.85546875" style="136" customWidth="1"/>
    <col min="1288" max="1288" width="13.140625" style="136" bestFit="1" customWidth="1"/>
    <col min="1289" max="1290" width="15.28515625" style="136" customWidth="1"/>
    <col min="1291" max="1291" width="15.42578125" style="136" customWidth="1"/>
    <col min="1292" max="1292" width="15.140625" style="136" customWidth="1"/>
    <col min="1293" max="1293" width="11.5703125" style="136" bestFit="1" customWidth="1"/>
    <col min="1294" max="1295" width="13.140625" style="136" bestFit="1" customWidth="1"/>
    <col min="1296" max="1296" width="10.28515625" style="136" bestFit="1" customWidth="1"/>
    <col min="1297" max="1536" width="9.140625" style="136"/>
    <col min="1537" max="1537" width="3.42578125" style="136" customWidth="1"/>
    <col min="1538" max="1538" width="20.5703125" style="136" customWidth="1"/>
    <col min="1539" max="1539" width="15.42578125" style="136" customWidth="1"/>
    <col min="1540" max="1540" width="14.28515625" style="136" bestFit="1" customWidth="1"/>
    <col min="1541" max="1541" width="11.5703125" style="136" bestFit="1" customWidth="1"/>
    <col min="1542" max="1542" width="13.28515625" style="136" bestFit="1" customWidth="1"/>
    <col min="1543" max="1543" width="13.85546875" style="136" customWidth="1"/>
    <col min="1544" max="1544" width="13.140625" style="136" bestFit="1" customWidth="1"/>
    <col min="1545" max="1546" width="15.28515625" style="136" customWidth="1"/>
    <col min="1547" max="1547" width="15.42578125" style="136" customWidth="1"/>
    <col min="1548" max="1548" width="15.140625" style="136" customWidth="1"/>
    <col min="1549" max="1549" width="11.5703125" style="136" bestFit="1" customWidth="1"/>
    <col min="1550" max="1551" width="13.140625" style="136" bestFit="1" customWidth="1"/>
    <col min="1552" max="1552" width="10.28515625" style="136" bestFit="1" customWidth="1"/>
    <col min="1553" max="1792" width="9.140625" style="136"/>
    <col min="1793" max="1793" width="3.42578125" style="136" customWidth="1"/>
    <col min="1794" max="1794" width="20.5703125" style="136" customWidth="1"/>
    <col min="1795" max="1795" width="15.42578125" style="136" customWidth="1"/>
    <col min="1796" max="1796" width="14.28515625" style="136" bestFit="1" customWidth="1"/>
    <col min="1797" max="1797" width="11.5703125" style="136" bestFit="1" customWidth="1"/>
    <col min="1798" max="1798" width="13.28515625" style="136" bestFit="1" customWidth="1"/>
    <col min="1799" max="1799" width="13.85546875" style="136" customWidth="1"/>
    <col min="1800" max="1800" width="13.140625" style="136" bestFit="1" customWidth="1"/>
    <col min="1801" max="1802" width="15.28515625" style="136" customWidth="1"/>
    <col min="1803" max="1803" width="15.42578125" style="136" customWidth="1"/>
    <col min="1804" max="1804" width="15.140625" style="136" customWidth="1"/>
    <col min="1805" max="1805" width="11.5703125" style="136" bestFit="1" customWidth="1"/>
    <col min="1806" max="1807" width="13.140625" style="136" bestFit="1" customWidth="1"/>
    <col min="1808" max="1808" width="10.28515625" style="136" bestFit="1" customWidth="1"/>
    <col min="1809" max="2048" width="9.140625" style="136"/>
    <col min="2049" max="2049" width="3.42578125" style="136" customWidth="1"/>
    <col min="2050" max="2050" width="20.5703125" style="136" customWidth="1"/>
    <col min="2051" max="2051" width="15.42578125" style="136" customWidth="1"/>
    <col min="2052" max="2052" width="14.28515625" style="136" bestFit="1" customWidth="1"/>
    <col min="2053" max="2053" width="11.5703125" style="136" bestFit="1" customWidth="1"/>
    <col min="2054" max="2054" width="13.28515625" style="136" bestFit="1" customWidth="1"/>
    <col min="2055" max="2055" width="13.85546875" style="136" customWidth="1"/>
    <col min="2056" max="2056" width="13.140625" style="136" bestFit="1" customWidth="1"/>
    <col min="2057" max="2058" width="15.28515625" style="136" customWidth="1"/>
    <col min="2059" max="2059" width="15.42578125" style="136" customWidth="1"/>
    <col min="2060" max="2060" width="15.140625" style="136" customWidth="1"/>
    <col min="2061" max="2061" width="11.5703125" style="136" bestFit="1" customWidth="1"/>
    <col min="2062" max="2063" width="13.140625" style="136" bestFit="1" customWidth="1"/>
    <col min="2064" max="2064" width="10.28515625" style="136" bestFit="1" customWidth="1"/>
    <col min="2065" max="2304" width="9.140625" style="136"/>
    <col min="2305" max="2305" width="3.42578125" style="136" customWidth="1"/>
    <col min="2306" max="2306" width="20.5703125" style="136" customWidth="1"/>
    <col min="2307" max="2307" width="15.42578125" style="136" customWidth="1"/>
    <col min="2308" max="2308" width="14.28515625" style="136" bestFit="1" customWidth="1"/>
    <col min="2309" max="2309" width="11.5703125" style="136" bestFit="1" customWidth="1"/>
    <col min="2310" max="2310" width="13.28515625" style="136" bestFit="1" customWidth="1"/>
    <col min="2311" max="2311" width="13.85546875" style="136" customWidth="1"/>
    <col min="2312" max="2312" width="13.140625" style="136" bestFit="1" customWidth="1"/>
    <col min="2313" max="2314" width="15.28515625" style="136" customWidth="1"/>
    <col min="2315" max="2315" width="15.42578125" style="136" customWidth="1"/>
    <col min="2316" max="2316" width="15.140625" style="136" customWidth="1"/>
    <col min="2317" max="2317" width="11.5703125" style="136" bestFit="1" customWidth="1"/>
    <col min="2318" max="2319" width="13.140625" style="136" bestFit="1" customWidth="1"/>
    <col min="2320" max="2320" width="10.28515625" style="136" bestFit="1" customWidth="1"/>
    <col min="2321" max="2560" width="9.140625" style="136"/>
    <col min="2561" max="2561" width="3.42578125" style="136" customWidth="1"/>
    <col min="2562" max="2562" width="20.5703125" style="136" customWidth="1"/>
    <col min="2563" max="2563" width="15.42578125" style="136" customWidth="1"/>
    <col min="2564" max="2564" width="14.28515625" style="136" bestFit="1" customWidth="1"/>
    <col min="2565" max="2565" width="11.5703125" style="136" bestFit="1" customWidth="1"/>
    <col min="2566" max="2566" width="13.28515625" style="136" bestFit="1" customWidth="1"/>
    <col min="2567" max="2567" width="13.85546875" style="136" customWidth="1"/>
    <col min="2568" max="2568" width="13.140625" style="136" bestFit="1" customWidth="1"/>
    <col min="2569" max="2570" width="15.28515625" style="136" customWidth="1"/>
    <col min="2571" max="2571" width="15.42578125" style="136" customWidth="1"/>
    <col min="2572" max="2572" width="15.140625" style="136" customWidth="1"/>
    <col min="2573" max="2573" width="11.5703125" style="136" bestFit="1" customWidth="1"/>
    <col min="2574" max="2575" width="13.140625" style="136" bestFit="1" customWidth="1"/>
    <col min="2576" max="2576" width="10.28515625" style="136" bestFit="1" customWidth="1"/>
    <col min="2577" max="2816" width="9.140625" style="136"/>
    <col min="2817" max="2817" width="3.42578125" style="136" customWidth="1"/>
    <col min="2818" max="2818" width="20.5703125" style="136" customWidth="1"/>
    <col min="2819" max="2819" width="15.42578125" style="136" customWidth="1"/>
    <col min="2820" max="2820" width="14.28515625" style="136" bestFit="1" customWidth="1"/>
    <col min="2821" max="2821" width="11.5703125" style="136" bestFit="1" customWidth="1"/>
    <col min="2822" max="2822" width="13.28515625" style="136" bestFit="1" customWidth="1"/>
    <col min="2823" max="2823" width="13.85546875" style="136" customWidth="1"/>
    <col min="2824" max="2824" width="13.140625" style="136" bestFit="1" customWidth="1"/>
    <col min="2825" max="2826" width="15.28515625" style="136" customWidth="1"/>
    <col min="2827" max="2827" width="15.42578125" style="136" customWidth="1"/>
    <col min="2828" max="2828" width="15.140625" style="136" customWidth="1"/>
    <col min="2829" max="2829" width="11.5703125" style="136" bestFit="1" customWidth="1"/>
    <col min="2830" max="2831" width="13.140625" style="136" bestFit="1" customWidth="1"/>
    <col min="2832" max="2832" width="10.28515625" style="136" bestFit="1" customWidth="1"/>
    <col min="2833" max="3072" width="9.140625" style="136"/>
    <col min="3073" max="3073" width="3.42578125" style="136" customWidth="1"/>
    <col min="3074" max="3074" width="20.5703125" style="136" customWidth="1"/>
    <col min="3075" max="3075" width="15.42578125" style="136" customWidth="1"/>
    <col min="3076" max="3076" width="14.28515625" style="136" bestFit="1" customWidth="1"/>
    <col min="3077" max="3077" width="11.5703125" style="136" bestFit="1" customWidth="1"/>
    <col min="3078" max="3078" width="13.28515625" style="136" bestFit="1" customWidth="1"/>
    <col min="3079" max="3079" width="13.85546875" style="136" customWidth="1"/>
    <col min="3080" max="3080" width="13.140625" style="136" bestFit="1" customWidth="1"/>
    <col min="3081" max="3082" width="15.28515625" style="136" customWidth="1"/>
    <col min="3083" max="3083" width="15.42578125" style="136" customWidth="1"/>
    <col min="3084" max="3084" width="15.140625" style="136" customWidth="1"/>
    <col min="3085" max="3085" width="11.5703125" style="136" bestFit="1" customWidth="1"/>
    <col min="3086" max="3087" width="13.140625" style="136" bestFit="1" customWidth="1"/>
    <col min="3088" max="3088" width="10.28515625" style="136" bestFit="1" customWidth="1"/>
    <col min="3089" max="3328" width="9.140625" style="136"/>
    <col min="3329" max="3329" width="3.42578125" style="136" customWidth="1"/>
    <col min="3330" max="3330" width="20.5703125" style="136" customWidth="1"/>
    <col min="3331" max="3331" width="15.42578125" style="136" customWidth="1"/>
    <col min="3332" max="3332" width="14.28515625" style="136" bestFit="1" customWidth="1"/>
    <col min="3333" max="3333" width="11.5703125" style="136" bestFit="1" customWidth="1"/>
    <col min="3334" max="3334" width="13.28515625" style="136" bestFit="1" customWidth="1"/>
    <col min="3335" max="3335" width="13.85546875" style="136" customWidth="1"/>
    <col min="3336" max="3336" width="13.140625" style="136" bestFit="1" customWidth="1"/>
    <col min="3337" max="3338" width="15.28515625" style="136" customWidth="1"/>
    <col min="3339" max="3339" width="15.42578125" style="136" customWidth="1"/>
    <col min="3340" max="3340" width="15.140625" style="136" customWidth="1"/>
    <col min="3341" max="3341" width="11.5703125" style="136" bestFit="1" customWidth="1"/>
    <col min="3342" max="3343" width="13.140625" style="136" bestFit="1" customWidth="1"/>
    <col min="3344" max="3344" width="10.28515625" style="136" bestFit="1" customWidth="1"/>
    <col min="3345" max="3584" width="9.140625" style="136"/>
    <col min="3585" max="3585" width="3.42578125" style="136" customWidth="1"/>
    <col min="3586" max="3586" width="20.5703125" style="136" customWidth="1"/>
    <col min="3587" max="3587" width="15.42578125" style="136" customWidth="1"/>
    <col min="3588" max="3588" width="14.28515625" style="136" bestFit="1" customWidth="1"/>
    <col min="3589" max="3589" width="11.5703125" style="136" bestFit="1" customWidth="1"/>
    <col min="3590" max="3590" width="13.28515625" style="136" bestFit="1" customWidth="1"/>
    <col min="3591" max="3591" width="13.85546875" style="136" customWidth="1"/>
    <col min="3592" max="3592" width="13.140625" style="136" bestFit="1" customWidth="1"/>
    <col min="3593" max="3594" width="15.28515625" style="136" customWidth="1"/>
    <col min="3595" max="3595" width="15.42578125" style="136" customWidth="1"/>
    <col min="3596" max="3596" width="15.140625" style="136" customWidth="1"/>
    <col min="3597" max="3597" width="11.5703125" style="136" bestFit="1" customWidth="1"/>
    <col min="3598" max="3599" width="13.140625" style="136" bestFit="1" customWidth="1"/>
    <col min="3600" max="3600" width="10.28515625" style="136" bestFit="1" customWidth="1"/>
    <col min="3601" max="3840" width="9.140625" style="136"/>
    <col min="3841" max="3841" width="3.42578125" style="136" customWidth="1"/>
    <col min="3842" max="3842" width="20.5703125" style="136" customWidth="1"/>
    <col min="3843" max="3843" width="15.42578125" style="136" customWidth="1"/>
    <col min="3844" max="3844" width="14.28515625" style="136" bestFit="1" customWidth="1"/>
    <col min="3845" max="3845" width="11.5703125" style="136" bestFit="1" customWidth="1"/>
    <col min="3846" max="3846" width="13.28515625" style="136" bestFit="1" customWidth="1"/>
    <col min="3847" max="3847" width="13.85546875" style="136" customWidth="1"/>
    <col min="3848" max="3848" width="13.140625" style="136" bestFit="1" customWidth="1"/>
    <col min="3849" max="3850" width="15.28515625" style="136" customWidth="1"/>
    <col min="3851" max="3851" width="15.42578125" style="136" customWidth="1"/>
    <col min="3852" max="3852" width="15.140625" style="136" customWidth="1"/>
    <col min="3853" max="3853" width="11.5703125" style="136" bestFit="1" customWidth="1"/>
    <col min="3854" max="3855" width="13.140625" style="136" bestFit="1" customWidth="1"/>
    <col min="3856" max="3856" width="10.28515625" style="136" bestFit="1" customWidth="1"/>
    <col min="3857" max="4096" width="9.140625" style="136"/>
    <col min="4097" max="4097" width="3.42578125" style="136" customWidth="1"/>
    <col min="4098" max="4098" width="20.5703125" style="136" customWidth="1"/>
    <col min="4099" max="4099" width="15.42578125" style="136" customWidth="1"/>
    <col min="4100" max="4100" width="14.28515625" style="136" bestFit="1" customWidth="1"/>
    <col min="4101" max="4101" width="11.5703125" style="136" bestFit="1" customWidth="1"/>
    <col min="4102" max="4102" width="13.28515625" style="136" bestFit="1" customWidth="1"/>
    <col min="4103" max="4103" width="13.85546875" style="136" customWidth="1"/>
    <col min="4104" max="4104" width="13.140625" style="136" bestFit="1" customWidth="1"/>
    <col min="4105" max="4106" width="15.28515625" style="136" customWidth="1"/>
    <col min="4107" max="4107" width="15.42578125" style="136" customWidth="1"/>
    <col min="4108" max="4108" width="15.140625" style="136" customWidth="1"/>
    <col min="4109" max="4109" width="11.5703125" style="136" bestFit="1" customWidth="1"/>
    <col min="4110" max="4111" width="13.140625" style="136" bestFit="1" customWidth="1"/>
    <col min="4112" max="4112" width="10.28515625" style="136" bestFit="1" customWidth="1"/>
    <col min="4113" max="4352" width="9.140625" style="136"/>
    <col min="4353" max="4353" width="3.42578125" style="136" customWidth="1"/>
    <col min="4354" max="4354" width="20.5703125" style="136" customWidth="1"/>
    <col min="4355" max="4355" width="15.42578125" style="136" customWidth="1"/>
    <col min="4356" max="4356" width="14.28515625" style="136" bestFit="1" customWidth="1"/>
    <col min="4357" max="4357" width="11.5703125" style="136" bestFit="1" customWidth="1"/>
    <col min="4358" max="4358" width="13.28515625" style="136" bestFit="1" customWidth="1"/>
    <col min="4359" max="4359" width="13.85546875" style="136" customWidth="1"/>
    <col min="4360" max="4360" width="13.140625" style="136" bestFit="1" customWidth="1"/>
    <col min="4361" max="4362" width="15.28515625" style="136" customWidth="1"/>
    <col min="4363" max="4363" width="15.42578125" style="136" customWidth="1"/>
    <col min="4364" max="4364" width="15.140625" style="136" customWidth="1"/>
    <col min="4365" max="4365" width="11.5703125" style="136" bestFit="1" customWidth="1"/>
    <col min="4366" max="4367" width="13.140625" style="136" bestFit="1" customWidth="1"/>
    <col min="4368" max="4368" width="10.28515625" style="136" bestFit="1" customWidth="1"/>
    <col min="4369" max="4608" width="9.140625" style="136"/>
    <col min="4609" max="4609" width="3.42578125" style="136" customWidth="1"/>
    <col min="4610" max="4610" width="20.5703125" style="136" customWidth="1"/>
    <col min="4611" max="4611" width="15.42578125" style="136" customWidth="1"/>
    <col min="4612" max="4612" width="14.28515625" style="136" bestFit="1" customWidth="1"/>
    <col min="4613" max="4613" width="11.5703125" style="136" bestFit="1" customWidth="1"/>
    <col min="4614" max="4614" width="13.28515625" style="136" bestFit="1" customWidth="1"/>
    <col min="4615" max="4615" width="13.85546875" style="136" customWidth="1"/>
    <col min="4616" max="4616" width="13.140625" style="136" bestFit="1" customWidth="1"/>
    <col min="4617" max="4618" width="15.28515625" style="136" customWidth="1"/>
    <col min="4619" max="4619" width="15.42578125" style="136" customWidth="1"/>
    <col min="4620" max="4620" width="15.140625" style="136" customWidth="1"/>
    <col min="4621" max="4621" width="11.5703125" style="136" bestFit="1" customWidth="1"/>
    <col min="4622" max="4623" width="13.140625" style="136" bestFit="1" customWidth="1"/>
    <col min="4624" max="4624" width="10.28515625" style="136" bestFit="1" customWidth="1"/>
    <col min="4625" max="4864" width="9.140625" style="136"/>
    <col min="4865" max="4865" width="3.42578125" style="136" customWidth="1"/>
    <col min="4866" max="4866" width="20.5703125" style="136" customWidth="1"/>
    <col min="4867" max="4867" width="15.42578125" style="136" customWidth="1"/>
    <col min="4868" max="4868" width="14.28515625" style="136" bestFit="1" customWidth="1"/>
    <col min="4869" max="4869" width="11.5703125" style="136" bestFit="1" customWidth="1"/>
    <col min="4870" max="4870" width="13.28515625" style="136" bestFit="1" customWidth="1"/>
    <col min="4871" max="4871" width="13.85546875" style="136" customWidth="1"/>
    <col min="4872" max="4872" width="13.140625" style="136" bestFit="1" customWidth="1"/>
    <col min="4873" max="4874" width="15.28515625" style="136" customWidth="1"/>
    <col min="4875" max="4875" width="15.42578125" style="136" customWidth="1"/>
    <col min="4876" max="4876" width="15.140625" style="136" customWidth="1"/>
    <col min="4877" max="4877" width="11.5703125" style="136" bestFit="1" customWidth="1"/>
    <col min="4878" max="4879" width="13.140625" style="136" bestFit="1" customWidth="1"/>
    <col min="4880" max="4880" width="10.28515625" style="136" bestFit="1" customWidth="1"/>
    <col min="4881" max="5120" width="9.140625" style="136"/>
    <col min="5121" max="5121" width="3.42578125" style="136" customWidth="1"/>
    <col min="5122" max="5122" width="20.5703125" style="136" customWidth="1"/>
    <col min="5123" max="5123" width="15.42578125" style="136" customWidth="1"/>
    <col min="5124" max="5124" width="14.28515625" style="136" bestFit="1" customWidth="1"/>
    <col min="5125" max="5125" width="11.5703125" style="136" bestFit="1" customWidth="1"/>
    <col min="5126" max="5126" width="13.28515625" style="136" bestFit="1" customWidth="1"/>
    <col min="5127" max="5127" width="13.85546875" style="136" customWidth="1"/>
    <col min="5128" max="5128" width="13.140625" style="136" bestFit="1" customWidth="1"/>
    <col min="5129" max="5130" width="15.28515625" style="136" customWidth="1"/>
    <col min="5131" max="5131" width="15.42578125" style="136" customWidth="1"/>
    <col min="5132" max="5132" width="15.140625" style="136" customWidth="1"/>
    <col min="5133" max="5133" width="11.5703125" style="136" bestFit="1" customWidth="1"/>
    <col min="5134" max="5135" width="13.140625" style="136" bestFit="1" customWidth="1"/>
    <col min="5136" max="5136" width="10.28515625" style="136" bestFit="1" customWidth="1"/>
    <col min="5137" max="5376" width="9.140625" style="136"/>
    <col min="5377" max="5377" width="3.42578125" style="136" customWidth="1"/>
    <col min="5378" max="5378" width="20.5703125" style="136" customWidth="1"/>
    <col min="5379" max="5379" width="15.42578125" style="136" customWidth="1"/>
    <col min="5380" max="5380" width="14.28515625" style="136" bestFit="1" customWidth="1"/>
    <col min="5381" max="5381" width="11.5703125" style="136" bestFit="1" customWidth="1"/>
    <col min="5382" max="5382" width="13.28515625" style="136" bestFit="1" customWidth="1"/>
    <col min="5383" max="5383" width="13.85546875" style="136" customWidth="1"/>
    <col min="5384" max="5384" width="13.140625" style="136" bestFit="1" customWidth="1"/>
    <col min="5385" max="5386" width="15.28515625" style="136" customWidth="1"/>
    <col min="5387" max="5387" width="15.42578125" style="136" customWidth="1"/>
    <col min="5388" max="5388" width="15.140625" style="136" customWidth="1"/>
    <col min="5389" max="5389" width="11.5703125" style="136" bestFit="1" customWidth="1"/>
    <col min="5390" max="5391" width="13.140625" style="136" bestFit="1" customWidth="1"/>
    <col min="5392" max="5392" width="10.28515625" style="136" bestFit="1" customWidth="1"/>
    <col min="5393" max="5632" width="9.140625" style="136"/>
    <col min="5633" max="5633" width="3.42578125" style="136" customWidth="1"/>
    <col min="5634" max="5634" width="20.5703125" style="136" customWidth="1"/>
    <col min="5635" max="5635" width="15.42578125" style="136" customWidth="1"/>
    <col min="5636" max="5636" width="14.28515625" style="136" bestFit="1" customWidth="1"/>
    <col min="5637" max="5637" width="11.5703125" style="136" bestFit="1" customWidth="1"/>
    <col min="5638" max="5638" width="13.28515625" style="136" bestFit="1" customWidth="1"/>
    <col min="5639" max="5639" width="13.85546875" style="136" customWidth="1"/>
    <col min="5640" max="5640" width="13.140625" style="136" bestFit="1" customWidth="1"/>
    <col min="5641" max="5642" width="15.28515625" style="136" customWidth="1"/>
    <col min="5643" max="5643" width="15.42578125" style="136" customWidth="1"/>
    <col min="5644" max="5644" width="15.140625" style="136" customWidth="1"/>
    <col min="5645" max="5645" width="11.5703125" style="136" bestFit="1" customWidth="1"/>
    <col min="5646" max="5647" width="13.140625" style="136" bestFit="1" customWidth="1"/>
    <col min="5648" max="5648" width="10.28515625" style="136" bestFit="1" customWidth="1"/>
    <col min="5649" max="5888" width="9.140625" style="136"/>
    <col min="5889" max="5889" width="3.42578125" style="136" customWidth="1"/>
    <col min="5890" max="5890" width="20.5703125" style="136" customWidth="1"/>
    <col min="5891" max="5891" width="15.42578125" style="136" customWidth="1"/>
    <col min="5892" max="5892" width="14.28515625" style="136" bestFit="1" customWidth="1"/>
    <col min="5893" max="5893" width="11.5703125" style="136" bestFit="1" customWidth="1"/>
    <col min="5894" max="5894" width="13.28515625" style="136" bestFit="1" customWidth="1"/>
    <col min="5895" max="5895" width="13.85546875" style="136" customWidth="1"/>
    <col min="5896" max="5896" width="13.140625" style="136" bestFit="1" customWidth="1"/>
    <col min="5897" max="5898" width="15.28515625" style="136" customWidth="1"/>
    <col min="5899" max="5899" width="15.42578125" style="136" customWidth="1"/>
    <col min="5900" max="5900" width="15.140625" style="136" customWidth="1"/>
    <col min="5901" max="5901" width="11.5703125" style="136" bestFit="1" customWidth="1"/>
    <col min="5902" max="5903" width="13.140625" style="136" bestFit="1" customWidth="1"/>
    <col min="5904" max="5904" width="10.28515625" style="136" bestFit="1" customWidth="1"/>
    <col min="5905" max="6144" width="9.140625" style="136"/>
    <col min="6145" max="6145" width="3.42578125" style="136" customWidth="1"/>
    <col min="6146" max="6146" width="20.5703125" style="136" customWidth="1"/>
    <col min="6147" max="6147" width="15.42578125" style="136" customWidth="1"/>
    <col min="6148" max="6148" width="14.28515625" style="136" bestFit="1" customWidth="1"/>
    <col min="6149" max="6149" width="11.5703125" style="136" bestFit="1" customWidth="1"/>
    <col min="6150" max="6150" width="13.28515625" style="136" bestFit="1" customWidth="1"/>
    <col min="6151" max="6151" width="13.85546875" style="136" customWidth="1"/>
    <col min="6152" max="6152" width="13.140625" style="136" bestFit="1" customWidth="1"/>
    <col min="6153" max="6154" width="15.28515625" style="136" customWidth="1"/>
    <col min="6155" max="6155" width="15.42578125" style="136" customWidth="1"/>
    <col min="6156" max="6156" width="15.140625" style="136" customWidth="1"/>
    <col min="6157" max="6157" width="11.5703125" style="136" bestFit="1" customWidth="1"/>
    <col min="6158" max="6159" width="13.140625" style="136" bestFit="1" customWidth="1"/>
    <col min="6160" max="6160" width="10.28515625" style="136" bestFit="1" customWidth="1"/>
    <col min="6161" max="6400" width="9.140625" style="136"/>
    <col min="6401" max="6401" width="3.42578125" style="136" customWidth="1"/>
    <col min="6402" max="6402" width="20.5703125" style="136" customWidth="1"/>
    <col min="6403" max="6403" width="15.42578125" style="136" customWidth="1"/>
    <col min="6404" max="6404" width="14.28515625" style="136" bestFit="1" customWidth="1"/>
    <col min="6405" max="6405" width="11.5703125" style="136" bestFit="1" customWidth="1"/>
    <col min="6406" max="6406" width="13.28515625" style="136" bestFit="1" customWidth="1"/>
    <col min="6407" max="6407" width="13.85546875" style="136" customWidth="1"/>
    <col min="6408" max="6408" width="13.140625" style="136" bestFit="1" customWidth="1"/>
    <col min="6409" max="6410" width="15.28515625" style="136" customWidth="1"/>
    <col min="6411" max="6411" width="15.42578125" style="136" customWidth="1"/>
    <col min="6412" max="6412" width="15.140625" style="136" customWidth="1"/>
    <col min="6413" max="6413" width="11.5703125" style="136" bestFit="1" customWidth="1"/>
    <col min="6414" max="6415" width="13.140625" style="136" bestFit="1" customWidth="1"/>
    <col min="6416" max="6416" width="10.28515625" style="136" bestFit="1" customWidth="1"/>
    <col min="6417" max="6656" width="9.140625" style="136"/>
    <col min="6657" max="6657" width="3.42578125" style="136" customWidth="1"/>
    <col min="6658" max="6658" width="20.5703125" style="136" customWidth="1"/>
    <col min="6659" max="6659" width="15.42578125" style="136" customWidth="1"/>
    <col min="6660" max="6660" width="14.28515625" style="136" bestFit="1" customWidth="1"/>
    <col min="6661" max="6661" width="11.5703125" style="136" bestFit="1" customWidth="1"/>
    <col min="6662" max="6662" width="13.28515625" style="136" bestFit="1" customWidth="1"/>
    <col min="6663" max="6663" width="13.85546875" style="136" customWidth="1"/>
    <col min="6664" max="6664" width="13.140625" style="136" bestFit="1" customWidth="1"/>
    <col min="6665" max="6666" width="15.28515625" style="136" customWidth="1"/>
    <col min="6667" max="6667" width="15.42578125" style="136" customWidth="1"/>
    <col min="6668" max="6668" width="15.140625" style="136" customWidth="1"/>
    <col min="6669" max="6669" width="11.5703125" style="136" bestFit="1" customWidth="1"/>
    <col min="6670" max="6671" width="13.140625" style="136" bestFit="1" customWidth="1"/>
    <col min="6672" max="6672" width="10.28515625" style="136" bestFit="1" customWidth="1"/>
    <col min="6673" max="6912" width="9.140625" style="136"/>
    <col min="6913" max="6913" width="3.42578125" style="136" customWidth="1"/>
    <col min="6914" max="6914" width="20.5703125" style="136" customWidth="1"/>
    <col min="6915" max="6915" width="15.42578125" style="136" customWidth="1"/>
    <col min="6916" max="6916" width="14.28515625" style="136" bestFit="1" customWidth="1"/>
    <col min="6917" max="6917" width="11.5703125" style="136" bestFit="1" customWidth="1"/>
    <col min="6918" max="6918" width="13.28515625" style="136" bestFit="1" customWidth="1"/>
    <col min="6919" max="6919" width="13.85546875" style="136" customWidth="1"/>
    <col min="6920" max="6920" width="13.140625" style="136" bestFit="1" customWidth="1"/>
    <col min="6921" max="6922" width="15.28515625" style="136" customWidth="1"/>
    <col min="6923" max="6923" width="15.42578125" style="136" customWidth="1"/>
    <col min="6924" max="6924" width="15.140625" style="136" customWidth="1"/>
    <col min="6925" max="6925" width="11.5703125" style="136" bestFit="1" customWidth="1"/>
    <col min="6926" max="6927" width="13.140625" style="136" bestFit="1" customWidth="1"/>
    <col min="6928" max="6928" width="10.28515625" style="136" bestFit="1" customWidth="1"/>
    <col min="6929" max="7168" width="9.140625" style="136"/>
    <col min="7169" max="7169" width="3.42578125" style="136" customWidth="1"/>
    <col min="7170" max="7170" width="20.5703125" style="136" customWidth="1"/>
    <col min="7171" max="7171" width="15.42578125" style="136" customWidth="1"/>
    <col min="7172" max="7172" width="14.28515625" style="136" bestFit="1" customWidth="1"/>
    <col min="7173" max="7173" width="11.5703125" style="136" bestFit="1" customWidth="1"/>
    <col min="7174" max="7174" width="13.28515625" style="136" bestFit="1" customWidth="1"/>
    <col min="7175" max="7175" width="13.85546875" style="136" customWidth="1"/>
    <col min="7176" max="7176" width="13.140625" style="136" bestFit="1" customWidth="1"/>
    <col min="7177" max="7178" width="15.28515625" style="136" customWidth="1"/>
    <col min="7179" max="7179" width="15.42578125" style="136" customWidth="1"/>
    <col min="7180" max="7180" width="15.140625" style="136" customWidth="1"/>
    <col min="7181" max="7181" width="11.5703125" style="136" bestFit="1" customWidth="1"/>
    <col min="7182" max="7183" width="13.140625" style="136" bestFit="1" customWidth="1"/>
    <col min="7184" max="7184" width="10.28515625" style="136" bestFit="1" customWidth="1"/>
    <col min="7185" max="7424" width="9.140625" style="136"/>
    <col min="7425" max="7425" width="3.42578125" style="136" customWidth="1"/>
    <col min="7426" max="7426" width="20.5703125" style="136" customWidth="1"/>
    <col min="7427" max="7427" width="15.42578125" style="136" customWidth="1"/>
    <col min="7428" max="7428" width="14.28515625" style="136" bestFit="1" customWidth="1"/>
    <col min="7429" max="7429" width="11.5703125" style="136" bestFit="1" customWidth="1"/>
    <col min="7430" max="7430" width="13.28515625" style="136" bestFit="1" customWidth="1"/>
    <col min="7431" max="7431" width="13.85546875" style="136" customWidth="1"/>
    <col min="7432" max="7432" width="13.140625" style="136" bestFit="1" customWidth="1"/>
    <col min="7433" max="7434" width="15.28515625" style="136" customWidth="1"/>
    <col min="7435" max="7435" width="15.42578125" style="136" customWidth="1"/>
    <col min="7436" max="7436" width="15.140625" style="136" customWidth="1"/>
    <col min="7437" max="7437" width="11.5703125" style="136" bestFit="1" customWidth="1"/>
    <col min="7438" max="7439" width="13.140625" style="136" bestFit="1" customWidth="1"/>
    <col min="7440" max="7440" width="10.28515625" style="136" bestFit="1" customWidth="1"/>
    <col min="7441" max="7680" width="9.140625" style="136"/>
    <col min="7681" max="7681" width="3.42578125" style="136" customWidth="1"/>
    <col min="7682" max="7682" width="20.5703125" style="136" customWidth="1"/>
    <col min="7683" max="7683" width="15.42578125" style="136" customWidth="1"/>
    <col min="7684" max="7684" width="14.28515625" style="136" bestFit="1" customWidth="1"/>
    <col min="7685" max="7685" width="11.5703125" style="136" bestFit="1" customWidth="1"/>
    <col min="7686" max="7686" width="13.28515625" style="136" bestFit="1" customWidth="1"/>
    <col min="7687" max="7687" width="13.85546875" style="136" customWidth="1"/>
    <col min="7688" max="7688" width="13.140625" style="136" bestFit="1" customWidth="1"/>
    <col min="7689" max="7690" width="15.28515625" style="136" customWidth="1"/>
    <col min="7691" max="7691" width="15.42578125" style="136" customWidth="1"/>
    <col min="7692" max="7692" width="15.140625" style="136" customWidth="1"/>
    <col min="7693" max="7693" width="11.5703125" style="136" bestFit="1" customWidth="1"/>
    <col min="7694" max="7695" width="13.140625" style="136" bestFit="1" customWidth="1"/>
    <col min="7696" max="7696" width="10.28515625" style="136" bestFit="1" customWidth="1"/>
    <col min="7697" max="7936" width="9.140625" style="136"/>
    <col min="7937" max="7937" width="3.42578125" style="136" customWidth="1"/>
    <col min="7938" max="7938" width="20.5703125" style="136" customWidth="1"/>
    <col min="7939" max="7939" width="15.42578125" style="136" customWidth="1"/>
    <col min="7940" max="7940" width="14.28515625" style="136" bestFit="1" customWidth="1"/>
    <col min="7941" max="7941" width="11.5703125" style="136" bestFit="1" customWidth="1"/>
    <col min="7942" max="7942" width="13.28515625" style="136" bestFit="1" customWidth="1"/>
    <col min="7943" max="7943" width="13.85546875" style="136" customWidth="1"/>
    <col min="7944" max="7944" width="13.140625" style="136" bestFit="1" customWidth="1"/>
    <col min="7945" max="7946" width="15.28515625" style="136" customWidth="1"/>
    <col min="7947" max="7947" width="15.42578125" style="136" customWidth="1"/>
    <col min="7948" max="7948" width="15.140625" style="136" customWidth="1"/>
    <col min="7949" max="7949" width="11.5703125" style="136" bestFit="1" customWidth="1"/>
    <col min="7950" max="7951" width="13.140625" style="136" bestFit="1" customWidth="1"/>
    <col min="7952" max="7952" width="10.28515625" style="136" bestFit="1" customWidth="1"/>
    <col min="7953" max="8192" width="9.140625" style="136"/>
    <col min="8193" max="8193" width="3.42578125" style="136" customWidth="1"/>
    <col min="8194" max="8194" width="20.5703125" style="136" customWidth="1"/>
    <col min="8195" max="8195" width="15.42578125" style="136" customWidth="1"/>
    <col min="8196" max="8196" width="14.28515625" style="136" bestFit="1" customWidth="1"/>
    <col min="8197" max="8197" width="11.5703125" style="136" bestFit="1" customWidth="1"/>
    <col min="8198" max="8198" width="13.28515625" style="136" bestFit="1" customWidth="1"/>
    <col min="8199" max="8199" width="13.85546875" style="136" customWidth="1"/>
    <col min="8200" max="8200" width="13.140625" style="136" bestFit="1" customWidth="1"/>
    <col min="8201" max="8202" width="15.28515625" style="136" customWidth="1"/>
    <col min="8203" max="8203" width="15.42578125" style="136" customWidth="1"/>
    <col min="8204" max="8204" width="15.140625" style="136" customWidth="1"/>
    <col min="8205" max="8205" width="11.5703125" style="136" bestFit="1" customWidth="1"/>
    <col min="8206" max="8207" width="13.140625" style="136" bestFit="1" customWidth="1"/>
    <col min="8208" max="8208" width="10.28515625" style="136" bestFit="1" customWidth="1"/>
    <col min="8209" max="8448" width="9.140625" style="136"/>
    <col min="8449" max="8449" width="3.42578125" style="136" customWidth="1"/>
    <col min="8450" max="8450" width="20.5703125" style="136" customWidth="1"/>
    <col min="8451" max="8451" width="15.42578125" style="136" customWidth="1"/>
    <col min="8452" max="8452" width="14.28515625" style="136" bestFit="1" customWidth="1"/>
    <col min="8453" max="8453" width="11.5703125" style="136" bestFit="1" customWidth="1"/>
    <col min="8454" max="8454" width="13.28515625" style="136" bestFit="1" customWidth="1"/>
    <col min="8455" max="8455" width="13.85546875" style="136" customWidth="1"/>
    <col min="8456" max="8456" width="13.140625" style="136" bestFit="1" customWidth="1"/>
    <col min="8457" max="8458" width="15.28515625" style="136" customWidth="1"/>
    <col min="8459" max="8459" width="15.42578125" style="136" customWidth="1"/>
    <col min="8460" max="8460" width="15.140625" style="136" customWidth="1"/>
    <col min="8461" max="8461" width="11.5703125" style="136" bestFit="1" customWidth="1"/>
    <col min="8462" max="8463" width="13.140625" style="136" bestFit="1" customWidth="1"/>
    <col min="8464" max="8464" width="10.28515625" style="136" bestFit="1" customWidth="1"/>
    <col min="8465" max="8704" width="9.140625" style="136"/>
    <col min="8705" max="8705" width="3.42578125" style="136" customWidth="1"/>
    <col min="8706" max="8706" width="20.5703125" style="136" customWidth="1"/>
    <col min="8707" max="8707" width="15.42578125" style="136" customWidth="1"/>
    <col min="8708" max="8708" width="14.28515625" style="136" bestFit="1" customWidth="1"/>
    <col min="8709" max="8709" width="11.5703125" style="136" bestFit="1" customWidth="1"/>
    <col min="8710" max="8710" width="13.28515625" style="136" bestFit="1" customWidth="1"/>
    <col min="8711" max="8711" width="13.85546875" style="136" customWidth="1"/>
    <col min="8712" max="8712" width="13.140625" style="136" bestFit="1" customWidth="1"/>
    <col min="8713" max="8714" width="15.28515625" style="136" customWidth="1"/>
    <col min="8715" max="8715" width="15.42578125" style="136" customWidth="1"/>
    <col min="8716" max="8716" width="15.140625" style="136" customWidth="1"/>
    <col min="8717" max="8717" width="11.5703125" style="136" bestFit="1" customWidth="1"/>
    <col min="8718" max="8719" width="13.140625" style="136" bestFit="1" customWidth="1"/>
    <col min="8720" max="8720" width="10.28515625" style="136" bestFit="1" customWidth="1"/>
    <col min="8721" max="8960" width="9.140625" style="136"/>
    <col min="8961" max="8961" width="3.42578125" style="136" customWidth="1"/>
    <col min="8962" max="8962" width="20.5703125" style="136" customWidth="1"/>
    <col min="8963" max="8963" width="15.42578125" style="136" customWidth="1"/>
    <col min="8964" max="8964" width="14.28515625" style="136" bestFit="1" customWidth="1"/>
    <col min="8965" max="8965" width="11.5703125" style="136" bestFit="1" customWidth="1"/>
    <col min="8966" max="8966" width="13.28515625" style="136" bestFit="1" customWidth="1"/>
    <col min="8967" max="8967" width="13.85546875" style="136" customWidth="1"/>
    <col min="8968" max="8968" width="13.140625" style="136" bestFit="1" customWidth="1"/>
    <col min="8969" max="8970" width="15.28515625" style="136" customWidth="1"/>
    <col min="8971" max="8971" width="15.42578125" style="136" customWidth="1"/>
    <col min="8972" max="8972" width="15.140625" style="136" customWidth="1"/>
    <col min="8973" max="8973" width="11.5703125" style="136" bestFit="1" customWidth="1"/>
    <col min="8974" max="8975" width="13.140625" style="136" bestFit="1" customWidth="1"/>
    <col min="8976" max="8976" width="10.28515625" style="136" bestFit="1" customWidth="1"/>
    <col min="8977" max="9216" width="9.140625" style="136"/>
    <col min="9217" max="9217" width="3.42578125" style="136" customWidth="1"/>
    <col min="9218" max="9218" width="20.5703125" style="136" customWidth="1"/>
    <col min="9219" max="9219" width="15.42578125" style="136" customWidth="1"/>
    <col min="9220" max="9220" width="14.28515625" style="136" bestFit="1" customWidth="1"/>
    <col min="9221" max="9221" width="11.5703125" style="136" bestFit="1" customWidth="1"/>
    <col min="9222" max="9222" width="13.28515625" style="136" bestFit="1" customWidth="1"/>
    <col min="9223" max="9223" width="13.85546875" style="136" customWidth="1"/>
    <col min="9224" max="9224" width="13.140625" style="136" bestFit="1" customWidth="1"/>
    <col min="9225" max="9226" width="15.28515625" style="136" customWidth="1"/>
    <col min="9227" max="9227" width="15.42578125" style="136" customWidth="1"/>
    <col min="9228" max="9228" width="15.140625" style="136" customWidth="1"/>
    <col min="9229" max="9229" width="11.5703125" style="136" bestFit="1" customWidth="1"/>
    <col min="9230" max="9231" width="13.140625" style="136" bestFit="1" customWidth="1"/>
    <col min="9232" max="9232" width="10.28515625" style="136" bestFit="1" customWidth="1"/>
    <col min="9233" max="9472" width="9.140625" style="136"/>
    <col min="9473" max="9473" width="3.42578125" style="136" customWidth="1"/>
    <col min="9474" max="9474" width="20.5703125" style="136" customWidth="1"/>
    <col min="9475" max="9475" width="15.42578125" style="136" customWidth="1"/>
    <col min="9476" max="9476" width="14.28515625" style="136" bestFit="1" customWidth="1"/>
    <col min="9477" max="9477" width="11.5703125" style="136" bestFit="1" customWidth="1"/>
    <col min="9478" max="9478" width="13.28515625" style="136" bestFit="1" customWidth="1"/>
    <col min="9479" max="9479" width="13.85546875" style="136" customWidth="1"/>
    <col min="9480" max="9480" width="13.140625" style="136" bestFit="1" customWidth="1"/>
    <col min="9481" max="9482" width="15.28515625" style="136" customWidth="1"/>
    <col min="9483" max="9483" width="15.42578125" style="136" customWidth="1"/>
    <col min="9484" max="9484" width="15.140625" style="136" customWidth="1"/>
    <col min="9485" max="9485" width="11.5703125" style="136" bestFit="1" customWidth="1"/>
    <col min="9486" max="9487" width="13.140625" style="136" bestFit="1" customWidth="1"/>
    <col min="9488" max="9488" width="10.28515625" style="136" bestFit="1" customWidth="1"/>
    <col min="9489" max="9728" width="9.140625" style="136"/>
    <col min="9729" max="9729" width="3.42578125" style="136" customWidth="1"/>
    <col min="9730" max="9730" width="20.5703125" style="136" customWidth="1"/>
    <col min="9731" max="9731" width="15.42578125" style="136" customWidth="1"/>
    <col min="9732" max="9732" width="14.28515625" style="136" bestFit="1" customWidth="1"/>
    <col min="9733" max="9733" width="11.5703125" style="136" bestFit="1" customWidth="1"/>
    <col min="9734" max="9734" width="13.28515625" style="136" bestFit="1" customWidth="1"/>
    <col min="9735" max="9735" width="13.85546875" style="136" customWidth="1"/>
    <col min="9736" max="9736" width="13.140625" style="136" bestFit="1" customWidth="1"/>
    <col min="9737" max="9738" width="15.28515625" style="136" customWidth="1"/>
    <col min="9739" max="9739" width="15.42578125" style="136" customWidth="1"/>
    <col min="9740" max="9740" width="15.140625" style="136" customWidth="1"/>
    <col min="9741" max="9741" width="11.5703125" style="136" bestFit="1" customWidth="1"/>
    <col min="9742" max="9743" width="13.140625" style="136" bestFit="1" customWidth="1"/>
    <col min="9744" max="9744" width="10.28515625" style="136" bestFit="1" customWidth="1"/>
    <col min="9745" max="9984" width="9.140625" style="136"/>
    <col min="9985" max="9985" width="3.42578125" style="136" customWidth="1"/>
    <col min="9986" max="9986" width="20.5703125" style="136" customWidth="1"/>
    <col min="9987" max="9987" width="15.42578125" style="136" customWidth="1"/>
    <col min="9988" max="9988" width="14.28515625" style="136" bestFit="1" customWidth="1"/>
    <col min="9989" max="9989" width="11.5703125" style="136" bestFit="1" customWidth="1"/>
    <col min="9990" max="9990" width="13.28515625" style="136" bestFit="1" customWidth="1"/>
    <col min="9991" max="9991" width="13.85546875" style="136" customWidth="1"/>
    <col min="9992" max="9992" width="13.140625" style="136" bestFit="1" customWidth="1"/>
    <col min="9993" max="9994" width="15.28515625" style="136" customWidth="1"/>
    <col min="9995" max="9995" width="15.42578125" style="136" customWidth="1"/>
    <col min="9996" max="9996" width="15.140625" style="136" customWidth="1"/>
    <col min="9997" max="9997" width="11.5703125" style="136" bestFit="1" customWidth="1"/>
    <col min="9998" max="9999" width="13.140625" style="136" bestFit="1" customWidth="1"/>
    <col min="10000" max="10000" width="10.28515625" style="136" bestFit="1" customWidth="1"/>
    <col min="10001" max="10240" width="9.140625" style="136"/>
    <col min="10241" max="10241" width="3.42578125" style="136" customWidth="1"/>
    <col min="10242" max="10242" width="20.5703125" style="136" customWidth="1"/>
    <col min="10243" max="10243" width="15.42578125" style="136" customWidth="1"/>
    <col min="10244" max="10244" width="14.28515625" style="136" bestFit="1" customWidth="1"/>
    <col min="10245" max="10245" width="11.5703125" style="136" bestFit="1" customWidth="1"/>
    <col min="10246" max="10246" width="13.28515625" style="136" bestFit="1" customWidth="1"/>
    <col min="10247" max="10247" width="13.85546875" style="136" customWidth="1"/>
    <col min="10248" max="10248" width="13.140625" style="136" bestFit="1" customWidth="1"/>
    <col min="10249" max="10250" width="15.28515625" style="136" customWidth="1"/>
    <col min="10251" max="10251" width="15.42578125" style="136" customWidth="1"/>
    <col min="10252" max="10252" width="15.140625" style="136" customWidth="1"/>
    <col min="10253" max="10253" width="11.5703125" style="136" bestFit="1" customWidth="1"/>
    <col min="10254" max="10255" width="13.140625" style="136" bestFit="1" customWidth="1"/>
    <col min="10256" max="10256" width="10.28515625" style="136" bestFit="1" customWidth="1"/>
    <col min="10257" max="10496" width="9.140625" style="136"/>
    <col min="10497" max="10497" width="3.42578125" style="136" customWidth="1"/>
    <col min="10498" max="10498" width="20.5703125" style="136" customWidth="1"/>
    <col min="10499" max="10499" width="15.42578125" style="136" customWidth="1"/>
    <col min="10500" max="10500" width="14.28515625" style="136" bestFit="1" customWidth="1"/>
    <col min="10501" max="10501" width="11.5703125" style="136" bestFit="1" customWidth="1"/>
    <col min="10502" max="10502" width="13.28515625" style="136" bestFit="1" customWidth="1"/>
    <col min="10503" max="10503" width="13.85546875" style="136" customWidth="1"/>
    <col min="10504" max="10504" width="13.140625" style="136" bestFit="1" customWidth="1"/>
    <col min="10505" max="10506" width="15.28515625" style="136" customWidth="1"/>
    <col min="10507" max="10507" width="15.42578125" style="136" customWidth="1"/>
    <col min="10508" max="10508" width="15.140625" style="136" customWidth="1"/>
    <col min="10509" max="10509" width="11.5703125" style="136" bestFit="1" customWidth="1"/>
    <col min="10510" max="10511" width="13.140625" style="136" bestFit="1" customWidth="1"/>
    <col min="10512" max="10512" width="10.28515625" style="136" bestFit="1" customWidth="1"/>
    <col min="10513" max="10752" width="9.140625" style="136"/>
    <col min="10753" max="10753" width="3.42578125" style="136" customWidth="1"/>
    <col min="10754" max="10754" width="20.5703125" style="136" customWidth="1"/>
    <col min="10755" max="10755" width="15.42578125" style="136" customWidth="1"/>
    <col min="10756" max="10756" width="14.28515625" style="136" bestFit="1" customWidth="1"/>
    <col min="10757" max="10757" width="11.5703125" style="136" bestFit="1" customWidth="1"/>
    <col min="10758" max="10758" width="13.28515625" style="136" bestFit="1" customWidth="1"/>
    <col min="10759" max="10759" width="13.85546875" style="136" customWidth="1"/>
    <col min="10760" max="10760" width="13.140625" style="136" bestFit="1" customWidth="1"/>
    <col min="10761" max="10762" width="15.28515625" style="136" customWidth="1"/>
    <col min="10763" max="10763" width="15.42578125" style="136" customWidth="1"/>
    <col min="10764" max="10764" width="15.140625" style="136" customWidth="1"/>
    <col min="10765" max="10765" width="11.5703125" style="136" bestFit="1" customWidth="1"/>
    <col min="10766" max="10767" width="13.140625" style="136" bestFit="1" customWidth="1"/>
    <col min="10768" max="10768" width="10.28515625" style="136" bestFit="1" customWidth="1"/>
    <col min="10769" max="11008" width="9.140625" style="136"/>
    <col min="11009" max="11009" width="3.42578125" style="136" customWidth="1"/>
    <col min="11010" max="11010" width="20.5703125" style="136" customWidth="1"/>
    <col min="11011" max="11011" width="15.42578125" style="136" customWidth="1"/>
    <col min="11012" max="11012" width="14.28515625" style="136" bestFit="1" customWidth="1"/>
    <col min="11013" max="11013" width="11.5703125" style="136" bestFit="1" customWidth="1"/>
    <col min="11014" max="11014" width="13.28515625" style="136" bestFit="1" customWidth="1"/>
    <col min="11015" max="11015" width="13.85546875" style="136" customWidth="1"/>
    <col min="11016" max="11016" width="13.140625" style="136" bestFit="1" customWidth="1"/>
    <col min="11017" max="11018" width="15.28515625" style="136" customWidth="1"/>
    <col min="11019" max="11019" width="15.42578125" style="136" customWidth="1"/>
    <col min="11020" max="11020" width="15.140625" style="136" customWidth="1"/>
    <col min="11021" max="11021" width="11.5703125" style="136" bestFit="1" customWidth="1"/>
    <col min="11022" max="11023" width="13.140625" style="136" bestFit="1" customWidth="1"/>
    <col min="11024" max="11024" width="10.28515625" style="136" bestFit="1" customWidth="1"/>
    <col min="11025" max="11264" width="9.140625" style="136"/>
    <col min="11265" max="11265" width="3.42578125" style="136" customWidth="1"/>
    <col min="11266" max="11266" width="20.5703125" style="136" customWidth="1"/>
    <col min="11267" max="11267" width="15.42578125" style="136" customWidth="1"/>
    <col min="11268" max="11268" width="14.28515625" style="136" bestFit="1" customWidth="1"/>
    <col min="11269" max="11269" width="11.5703125" style="136" bestFit="1" customWidth="1"/>
    <col min="11270" max="11270" width="13.28515625" style="136" bestFit="1" customWidth="1"/>
    <col min="11271" max="11271" width="13.85546875" style="136" customWidth="1"/>
    <col min="11272" max="11272" width="13.140625" style="136" bestFit="1" customWidth="1"/>
    <col min="11273" max="11274" width="15.28515625" style="136" customWidth="1"/>
    <col min="11275" max="11275" width="15.42578125" style="136" customWidth="1"/>
    <col min="11276" max="11276" width="15.140625" style="136" customWidth="1"/>
    <col min="11277" max="11277" width="11.5703125" style="136" bestFit="1" customWidth="1"/>
    <col min="11278" max="11279" width="13.140625" style="136" bestFit="1" customWidth="1"/>
    <col min="11280" max="11280" width="10.28515625" style="136" bestFit="1" customWidth="1"/>
    <col min="11281" max="11520" width="9.140625" style="136"/>
    <col min="11521" max="11521" width="3.42578125" style="136" customWidth="1"/>
    <col min="11522" max="11522" width="20.5703125" style="136" customWidth="1"/>
    <col min="11523" max="11523" width="15.42578125" style="136" customWidth="1"/>
    <col min="11524" max="11524" width="14.28515625" style="136" bestFit="1" customWidth="1"/>
    <col min="11525" max="11525" width="11.5703125" style="136" bestFit="1" customWidth="1"/>
    <col min="11526" max="11526" width="13.28515625" style="136" bestFit="1" customWidth="1"/>
    <col min="11527" max="11527" width="13.85546875" style="136" customWidth="1"/>
    <col min="11528" max="11528" width="13.140625" style="136" bestFit="1" customWidth="1"/>
    <col min="11529" max="11530" width="15.28515625" style="136" customWidth="1"/>
    <col min="11531" max="11531" width="15.42578125" style="136" customWidth="1"/>
    <col min="11532" max="11532" width="15.140625" style="136" customWidth="1"/>
    <col min="11533" max="11533" width="11.5703125" style="136" bestFit="1" customWidth="1"/>
    <col min="11534" max="11535" width="13.140625" style="136" bestFit="1" customWidth="1"/>
    <col min="11536" max="11536" width="10.28515625" style="136" bestFit="1" customWidth="1"/>
    <col min="11537" max="11776" width="9.140625" style="136"/>
    <col min="11777" max="11777" width="3.42578125" style="136" customWidth="1"/>
    <col min="11778" max="11778" width="20.5703125" style="136" customWidth="1"/>
    <col min="11779" max="11779" width="15.42578125" style="136" customWidth="1"/>
    <col min="11780" max="11780" width="14.28515625" style="136" bestFit="1" customWidth="1"/>
    <col min="11781" max="11781" width="11.5703125" style="136" bestFit="1" customWidth="1"/>
    <col min="11782" max="11782" width="13.28515625" style="136" bestFit="1" customWidth="1"/>
    <col min="11783" max="11783" width="13.85546875" style="136" customWidth="1"/>
    <col min="11784" max="11784" width="13.140625" style="136" bestFit="1" customWidth="1"/>
    <col min="11785" max="11786" width="15.28515625" style="136" customWidth="1"/>
    <col min="11787" max="11787" width="15.42578125" style="136" customWidth="1"/>
    <col min="11788" max="11788" width="15.140625" style="136" customWidth="1"/>
    <col min="11789" max="11789" width="11.5703125" style="136" bestFit="1" customWidth="1"/>
    <col min="11790" max="11791" width="13.140625" style="136" bestFit="1" customWidth="1"/>
    <col min="11792" max="11792" width="10.28515625" style="136" bestFit="1" customWidth="1"/>
    <col min="11793" max="12032" width="9.140625" style="136"/>
    <col min="12033" max="12033" width="3.42578125" style="136" customWidth="1"/>
    <col min="12034" max="12034" width="20.5703125" style="136" customWidth="1"/>
    <col min="12035" max="12035" width="15.42578125" style="136" customWidth="1"/>
    <col min="12036" max="12036" width="14.28515625" style="136" bestFit="1" customWidth="1"/>
    <col min="12037" max="12037" width="11.5703125" style="136" bestFit="1" customWidth="1"/>
    <col min="12038" max="12038" width="13.28515625" style="136" bestFit="1" customWidth="1"/>
    <col min="12039" max="12039" width="13.85546875" style="136" customWidth="1"/>
    <col min="12040" max="12040" width="13.140625" style="136" bestFit="1" customWidth="1"/>
    <col min="12041" max="12042" width="15.28515625" style="136" customWidth="1"/>
    <col min="12043" max="12043" width="15.42578125" style="136" customWidth="1"/>
    <col min="12044" max="12044" width="15.140625" style="136" customWidth="1"/>
    <col min="12045" max="12045" width="11.5703125" style="136" bestFit="1" customWidth="1"/>
    <col min="12046" max="12047" width="13.140625" style="136" bestFit="1" customWidth="1"/>
    <col min="12048" max="12048" width="10.28515625" style="136" bestFit="1" customWidth="1"/>
    <col min="12049" max="12288" width="9.140625" style="136"/>
    <col min="12289" max="12289" width="3.42578125" style="136" customWidth="1"/>
    <col min="12290" max="12290" width="20.5703125" style="136" customWidth="1"/>
    <col min="12291" max="12291" width="15.42578125" style="136" customWidth="1"/>
    <col min="12292" max="12292" width="14.28515625" style="136" bestFit="1" customWidth="1"/>
    <col min="12293" max="12293" width="11.5703125" style="136" bestFit="1" customWidth="1"/>
    <col min="12294" max="12294" width="13.28515625" style="136" bestFit="1" customWidth="1"/>
    <col min="12295" max="12295" width="13.85546875" style="136" customWidth="1"/>
    <col min="12296" max="12296" width="13.140625" style="136" bestFit="1" customWidth="1"/>
    <col min="12297" max="12298" width="15.28515625" style="136" customWidth="1"/>
    <col min="12299" max="12299" width="15.42578125" style="136" customWidth="1"/>
    <col min="12300" max="12300" width="15.140625" style="136" customWidth="1"/>
    <col min="12301" max="12301" width="11.5703125" style="136" bestFit="1" customWidth="1"/>
    <col min="12302" max="12303" width="13.140625" style="136" bestFit="1" customWidth="1"/>
    <col min="12304" max="12304" width="10.28515625" style="136" bestFit="1" customWidth="1"/>
    <col min="12305" max="12544" width="9.140625" style="136"/>
    <col min="12545" max="12545" width="3.42578125" style="136" customWidth="1"/>
    <col min="12546" max="12546" width="20.5703125" style="136" customWidth="1"/>
    <col min="12547" max="12547" width="15.42578125" style="136" customWidth="1"/>
    <col min="12548" max="12548" width="14.28515625" style="136" bestFit="1" customWidth="1"/>
    <col min="12549" max="12549" width="11.5703125" style="136" bestFit="1" customWidth="1"/>
    <col min="12550" max="12550" width="13.28515625" style="136" bestFit="1" customWidth="1"/>
    <col min="12551" max="12551" width="13.85546875" style="136" customWidth="1"/>
    <col min="12552" max="12552" width="13.140625" style="136" bestFit="1" customWidth="1"/>
    <col min="12553" max="12554" width="15.28515625" style="136" customWidth="1"/>
    <col min="12555" max="12555" width="15.42578125" style="136" customWidth="1"/>
    <col min="12556" max="12556" width="15.140625" style="136" customWidth="1"/>
    <col min="12557" max="12557" width="11.5703125" style="136" bestFit="1" customWidth="1"/>
    <col min="12558" max="12559" width="13.140625" style="136" bestFit="1" customWidth="1"/>
    <col min="12560" max="12560" width="10.28515625" style="136" bestFit="1" customWidth="1"/>
    <col min="12561" max="12800" width="9.140625" style="136"/>
    <col min="12801" max="12801" width="3.42578125" style="136" customWidth="1"/>
    <col min="12802" max="12802" width="20.5703125" style="136" customWidth="1"/>
    <col min="12803" max="12803" width="15.42578125" style="136" customWidth="1"/>
    <col min="12804" max="12804" width="14.28515625" style="136" bestFit="1" customWidth="1"/>
    <col min="12805" max="12805" width="11.5703125" style="136" bestFit="1" customWidth="1"/>
    <col min="12806" max="12806" width="13.28515625" style="136" bestFit="1" customWidth="1"/>
    <col min="12807" max="12807" width="13.85546875" style="136" customWidth="1"/>
    <col min="12808" max="12808" width="13.140625" style="136" bestFit="1" customWidth="1"/>
    <col min="12809" max="12810" width="15.28515625" style="136" customWidth="1"/>
    <col min="12811" max="12811" width="15.42578125" style="136" customWidth="1"/>
    <col min="12812" max="12812" width="15.140625" style="136" customWidth="1"/>
    <col min="12813" max="12813" width="11.5703125" style="136" bestFit="1" customWidth="1"/>
    <col min="12814" max="12815" width="13.140625" style="136" bestFit="1" customWidth="1"/>
    <col min="12816" max="12816" width="10.28515625" style="136" bestFit="1" customWidth="1"/>
    <col min="12817" max="13056" width="9.140625" style="136"/>
    <col min="13057" max="13057" width="3.42578125" style="136" customWidth="1"/>
    <col min="13058" max="13058" width="20.5703125" style="136" customWidth="1"/>
    <col min="13059" max="13059" width="15.42578125" style="136" customWidth="1"/>
    <col min="13060" max="13060" width="14.28515625" style="136" bestFit="1" customWidth="1"/>
    <col min="13061" max="13061" width="11.5703125" style="136" bestFit="1" customWidth="1"/>
    <col min="13062" max="13062" width="13.28515625" style="136" bestFit="1" customWidth="1"/>
    <col min="13063" max="13063" width="13.85546875" style="136" customWidth="1"/>
    <col min="13064" max="13064" width="13.140625" style="136" bestFit="1" customWidth="1"/>
    <col min="13065" max="13066" width="15.28515625" style="136" customWidth="1"/>
    <col min="13067" max="13067" width="15.42578125" style="136" customWidth="1"/>
    <col min="13068" max="13068" width="15.140625" style="136" customWidth="1"/>
    <col min="13069" max="13069" width="11.5703125" style="136" bestFit="1" customWidth="1"/>
    <col min="13070" max="13071" width="13.140625" style="136" bestFit="1" customWidth="1"/>
    <col min="13072" max="13072" width="10.28515625" style="136" bestFit="1" customWidth="1"/>
    <col min="13073" max="13312" width="9.140625" style="136"/>
    <col min="13313" max="13313" width="3.42578125" style="136" customWidth="1"/>
    <col min="13314" max="13314" width="20.5703125" style="136" customWidth="1"/>
    <col min="13315" max="13315" width="15.42578125" style="136" customWidth="1"/>
    <col min="13316" max="13316" width="14.28515625" style="136" bestFit="1" customWidth="1"/>
    <col min="13317" max="13317" width="11.5703125" style="136" bestFit="1" customWidth="1"/>
    <col min="13318" max="13318" width="13.28515625" style="136" bestFit="1" customWidth="1"/>
    <col min="13319" max="13319" width="13.85546875" style="136" customWidth="1"/>
    <col min="13320" max="13320" width="13.140625" style="136" bestFit="1" customWidth="1"/>
    <col min="13321" max="13322" width="15.28515625" style="136" customWidth="1"/>
    <col min="13323" max="13323" width="15.42578125" style="136" customWidth="1"/>
    <col min="13324" max="13324" width="15.140625" style="136" customWidth="1"/>
    <col min="13325" max="13325" width="11.5703125" style="136" bestFit="1" customWidth="1"/>
    <col min="13326" max="13327" width="13.140625" style="136" bestFit="1" customWidth="1"/>
    <col min="13328" max="13328" width="10.28515625" style="136" bestFit="1" customWidth="1"/>
    <col min="13329" max="13568" width="9.140625" style="136"/>
    <col min="13569" max="13569" width="3.42578125" style="136" customWidth="1"/>
    <col min="13570" max="13570" width="20.5703125" style="136" customWidth="1"/>
    <col min="13571" max="13571" width="15.42578125" style="136" customWidth="1"/>
    <col min="13572" max="13572" width="14.28515625" style="136" bestFit="1" customWidth="1"/>
    <col min="13573" max="13573" width="11.5703125" style="136" bestFit="1" customWidth="1"/>
    <col min="13574" max="13574" width="13.28515625" style="136" bestFit="1" customWidth="1"/>
    <col min="13575" max="13575" width="13.85546875" style="136" customWidth="1"/>
    <col min="13576" max="13576" width="13.140625" style="136" bestFit="1" customWidth="1"/>
    <col min="13577" max="13578" width="15.28515625" style="136" customWidth="1"/>
    <col min="13579" max="13579" width="15.42578125" style="136" customWidth="1"/>
    <col min="13580" max="13580" width="15.140625" style="136" customWidth="1"/>
    <col min="13581" max="13581" width="11.5703125" style="136" bestFit="1" customWidth="1"/>
    <col min="13582" max="13583" width="13.140625" style="136" bestFit="1" customWidth="1"/>
    <col min="13584" max="13584" width="10.28515625" style="136" bestFit="1" customWidth="1"/>
    <col min="13585" max="13824" width="9.140625" style="136"/>
    <col min="13825" max="13825" width="3.42578125" style="136" customWidth="1"/>
    <col min="13826" max="13826" width="20.5703125" style="136" customWidth="1"/>
    <col min="13827" max="13827" width="15.42578125" style="136" customWidth="1"/>
    <col min="13828" max="13828" width="14.28515625" style="136" bestFit="1" customWidth="1"/>
    <col min="13829" max="13829" width="11.5703125" style="136" bestFit="1" customWidth="1"/>
    <col min="13830" max="13830" width="13.28515625" style="136" bestFit="1" customWidth="1"/>
    <col min="13831" max="13831" width="13.85546875" style="136" customWidth="1"/>
    <col min="13832" max="13832" width="13.140625" style="136" bestFit="1" customWidth="1"/>
    <col min="13833" max="13834" width="15.28515625" style="136" customWidth="1"/>
    <col min="13835" max="13835" width="15.42578125" style="136" customWidth="1"/>
    <col min="13836" max="13836" width="15.140625" style="136" customWidth="1"/>
    <col min="13837" max="13837" width="11.5703125" style="136" bestFit="1" customWidth="1"/>
    <col min="13838" max="13839" width="13.140625" style="136" bestFit="1" customWidth="1"/>
    <col min="13840" max="13840" width="10.28515625" style="136" bestFit="1" customWidth="1"/>
    <col min="13841" max="14080" width="9.140625" style="136"/>
    <col min="14081" max="14081" width="3.42578125" style="136" customWidth="1"/>
    <col min="14082" max="14082" width="20.5703125" style="136" customWidth="1"/>
    <col min="14083" max="14083" width="15.42578125" style="136" customWidth="1"/>
    <col min="14084" max="14084" width="14.28515625" style="136" bestFit="1" customWidth="1"/>
    <col min="14085" max="14085" width="11.5703125" style="136" bestFit="1" customWidth="1"/>
    <col min="14086" max="14086" width="13.28515625" style="136" bestFit="1" customWidth="1"/>
    <col min="14087" max="14087" width="13.85546875" style="136" customWidth="1"/>
    <col min="14088" max="14088" width="13.140625" style="136" bestFit="1" customWidth="1"/>
    <col min="14089" max="14090" width="15.28515625" style="136" customWidth="1"/>
    <col min="14091" max="14091" width="15.42578125" style="136" customWidth="1"/>
    <col min="14092" max="14092" width="15.140625" style="136" customWidth="1"/>
    <col min="14093" max="14093" width="11.5703125" style="136" bestFit="1" customWidth="1"/>
    <col min="14094" max="14095" width="13.140625" style="136" bestFit="1" customWidth="1"/>
    <col min="14096" max="14096" width="10.28515625" style="136" bestFit="1" customWidth="1"/>
    <col min="14097" max="14336" width="9.140625" style="136"/>
    <col min="14337" max="14337" width="3.42578125" style="136" customWidth="1"/>
    <col min="14338" max="14338" width="20.5703125" style="136" customWidth="1"/>
    <col min="14339" max="14339" width="15.42578125" style="136" customWidth="1"/>
    <col min="14340" max="14340" width="14.28515625" style="136" bestFit="1" customWidth="1"/>
    <col min="14341" max="14341" width="11.5703125" style="136" bestFit="1" customWidth="1"/>
    <col min="14342" max="14342" width="13.28515625" style="136" bestFit="1" customWidth="1"/>
    <col min="14343" max="14343" width="13.85546875" style="136" customWidth="1"/>
    <col min="14344" max="14344" width="13.140625" style="136" bestFit="1" customWidth="1"/>
    <col min="14345" max="14346" width="15.28515625" style="136" customWidth="1"/>
    <col min="14347" max="14347" width="15.42578125" style="136" customWidth="1"/>
    <col min="14348" max="14348" width="15.140625" style="136" customWidth="1"/>
    <col min="14349" max="14349" width="11.5703125" style="136" bestFit="1" customWidth="1"/>
    <col min="14350" max="14351" width="13.140625" style="136" bestFit="1" customWidth="1"/>
    <col min="14352" max="14352" width="10.28515625" style="136" bestFit="1" customWidth="1"/>
    <col min="14353" max="14592" width="9.140625" style="136"/>
    <col min="14593" max="14593" width="3.42578125" style="136" customWidth="1"/>
    <col min="14594" max="14594" width="20.5703125" style="136" customWidth="1"/>
    <col min="14595" max="14595" width="15.42578125" style="136" customWidth="1"/>
    <col min="14596" max="14596" width="14.28515625" style="136" bestFit="1" customWidth="1"/>
    <col min="14597" max="14597" width="11.5703125" style="136" bestFit="1" customWidth="1"/>
    <col min="14598" max="14598" width="13.28515625" style="136" bestFit="1" customWidth="1"/>
    <col min="14599" max="14599" width="13.85546875" style="136" customWidth="1"/>
    <col min="14600" max="14600" width="13.140625" style="136" bestFit="1" customWidth="1"/>
    <col min="14601" max="14602" width="15.28515625" style="136" customWidth="1"/>
    <col min="14603" max="14603" width="15.42578125" style="136" customWidth="1"/>
    <col min="14604" max="14604" width="15.140625" style="136" customWidth="1"/>
    <col min="14605" max="14605" width="11.5703125" style="136" bestFit="1" customWidth="1"/>
    <col min="14606" max="14607" width="13.140625" style="136" bestFit="1" customWidth="1"/>
    <col min="14608" max="14608" width="10.28515625" style="136" bestFit="1" customWidth="1"/>
    <col min="14609" max="14848" width="9.140625" style="136"/>
    <col min="14849" max="14849" width="3.42578125" style="136" customWidth="1"/>
    <col min="14850" max="14850" width="20.5703125" style="136" customWidth="1"/>
    <col min="14851" max="14851" width="15.42578125" style="136" customWidth="1"/>
    <col min="14852" max="14852" width="14.28515625" style="136" bestFit="1" customWidth="1"/>
    <col min="14853" max="14853" width="11.5703125" style="136" bestFit="1" customWidth="1"/>
    <col min="14854" max="14854" width="13.28515625" style="136" bestFit="1" customWidth="1"/>
    <col min="14855" max="14855" width="13.85546875" style="136" customWidth="1"/>
    <col min="14856" max="14856" width="13.140625" style="136" bestFit="1" customWidth="1"/>
    <col min="14857" max="14858" width="15.28515625" style="136" customWidth="1"/>
    <col min="14859" max="14859" width="15.42578125" style="136" customWidth="1"/>
    <col min="14860" max="14860" width="15.140625" style="136" customWidth="1"/>
    <col min="14861" max="14861" width="11.5703125" style="136" bestFit="1" customWidth="1"/>
    <col min="14862" max="14863" width="13.140625" style="136" bestFit="1" customWidth="1"/>
    <col min="14864" max="14864" width="10.28515625" style="136" bestFit="1" customWidth="1"/>
    <col min="14865" max="15104" width="9.140625" style="136"/>
    <col min="15105" max="15105" width="3.42578125" style="136" customWidth="1"/>
    <col min="15106" max="15106" width="20.5703125" style="136" customWidth="1"/>
    <col min="15107" max="15107" width="15.42578125" style="136" customWidth="1"/>
    <col min="15108" max="15108" width="14.28515625" style="136" bestFit="1" customWidth="1"/>
    <col min="15109" max="15109" width="11.5703125" style="136" bestFit="1" customWidth="1"/>
    <col min="15110" max="15110" width="13.28515625" style="136" bestFit="1" customWidth="1"/>
    <col min="15111" max="15111" width="13.85546875" style="136" customWidth="1"/>
    <col min="15112" max="15112" width="13.140625" style="136" bestFit="1" customWidth="1"/>
    <col min="15113" max="15114" width="15.28515625" style="136" customWidth="1"/>
    <col min="15115" max="15115" width="15.42578125" style="136" customWidth="1"/>
    <col min="15116" max="15116" width="15.140625" style="136" customWidth="1"/>
    <col min="15117" max="15117" width="11.5703125" style="136" bestFit="1" customWidth="1"/>
    <col min="15118" max="15119" width="13.140625" style="136" bestFit="1" customWidth="1"/>
    <col min="15120" max="15120" width="10.28515625" style="136" bestFit="1" customWidth="1"/>
    <col min="15121" max="15360" width="9.140625" style="136"/>
    <col min="15361" max="15361" width="3.42578125" style="136" customWidth="1"/>
    <col min="15362" max="15362" width="20.5703125" style="136" customWidth="1"/>
    <col min="15363" max="15363" width="15.42578125" style="136" customWidth="1"/>
    <col min="15364" max="15364" width="14.28515625" style="136" bestFit="1" customWidth="1"/>
    <col min="15365" max="15365" width="11.5703125" style="136" bestFit="1" customWidth="1"/>
    <col min="15366" max="15366" width="13.28515625" style="136" bestFit="1" customWidth="1"/>
    <col min="15367" max="15367" width="13.85546875" style="136" customWidth="1"/>
    <col min="15368" max="15368" width="13.140625" style="136" bestFit="1" customWidth="1"/>
    <col min="15369" max="15370" width="15.28515625" style="136" customWidth="1"/>
    <col min="15371" max="15371" width="15.42578125" style="136" customWidth="1"/>
    <col min="15372" max="15372" width="15.140625" style="136" customWidth="1"/>
    <col min="15373" max="15373" width="11.5703125" style="136" bestFit="1" customWidth="1"/>
    <col min="15374" max="15375" width="13.140625" style="136" bestFit="1" customWidth="1"/>
    <col min="15376" max="15376" width="10.28515625" style="136" bestFit="1" customWidth="1"/>
    <col min="15377" max="15616" width="9.140625" style="136"/>
    <col min="15617" max="15617" width="3.42578125" style="136" customWidth="1"/>
    <col min="15618" max="15618" width="20.5703125" style="136" customWidth="1"/>
    <col min="15619" max="15619" width="15.42578125" style="136" customWidth="1"/>
    <col min="15620" max="15620" width="14.28515625" style="136" bestFit="1" customWidth="1"/>
    <col min="15621" max="15621" width="11.5703125" style="136" bestFit="1" customWidth="1"/>
    <col min="15622" max="15622" width="13.28515625" style="136" bestFit="1" customWidth="1"/>
    <col min="15623" max="15623" width="13.85546875" style="136" customWidth="1"/>
    <col min="15624" max="15624" width="13.140625" style="136" bestFit="1" customWidth="1"/>
    <col min="15625" max="15626" width="15.28515625" style="136" customWidth="1"/>
    <col min="15627" max="15627" width="15.42578125" style="136" customWidth="1"/>
    <col min="15628" max="15628" width="15.140625" style="136" customWidth="1"/>
    <col min="15629" max="15629" width="11.5703125" style="136" bestFit="1" customWidth="1"/>
    <col min="15630" max="15631" width="13.140625" style="136" bestFit="1" customWidth="1"/>
    <col min="15632" max="15632" width="10.28515625" style="136" bestFit="1" customWidth="1"/>
    <col min="15633" max="15872" width="9.140625" style="136"/>
    <col min="15873" max="15873" width="3.42578125" style="136" customWidth="1"/>
    <col min="15874" max="15874" width="20.5703125" style="136" customWidth="1"/>
    <col min="15875" max="15875" width="15.42578125" style="136" customWidth="1"/>
    <col min="15876" max="15876" width="14.28515625" style="136" bestFit="1" customWidth="1"/>
    <col min="15877" max="15877" width="11.5703125" style="136" bestFit="1" customWidth="1"/>
    <col min="15878" max="15878" width="13.28515625" style="136" bestFit="1" customWidth="1"/>
    <col min="15879" max="15879" width="13.85546875" style="136" customWidth="1"/>
    <col min="15880" max="15880" width="13.140625" style="136" bestFit="1" customWidth="1"/>
    <col min="15881" max="15882" width="15.28515625" style="136" customWidth="1"/>
    <col min="15883" max="15883" width="15.42578125" style="136" customWidth="1"/>
    <col min="15884" max="15884" width="15.140625" style="136" customWidth="1"/>
    <col min="15885" max="15885" width="11.5703125" style="136" bestFit="1" customWidth="1"/>
    <col min="15886" max="15887" width="13.140625" style="136" bestFit="1" customWidth="1"/>
    <col min="15888" max="15888" width="10.28515625" style="136" bestFit="1" customWidth="1"/>
    <col min="15889" max="16128" width="9.140625" style="136"/>
    <col min="16129" max="16129" width="3.42578125" style="136" customWidth="1"/>
    <col min="16130" max="16130" width="20.5703125" style="136" customWidth="1"/>
    <col min="16131" max="16131" width="15.42578125" style="136" customWidth="1"/>
    <col min="16132" max="16132" width="14.28515625" style="136" bestFit="1" customWidth="1"/>
    <col min="16133" max="16133" width="11.5703125" style="136" bestFit="1" customWidth="1"/>
    <col min="16134" max="16134" width="13.28515625" style="136" bestFit="1" customWidth="1"/>
    <col min="16135" max="16135" width="13.85546875" style="136" customWidth="1"/>
    <col min="16136" max="16136" width="13.140625" style="136" bestFit="1" customWidth="1"/>
    <col min="16137" max="16138" width="15.28515625" style="136" customWidth="1"/>
    <col min="16139" max="16139" width="15.42578125" style="136" customWidth="1"/>
    <col min="16140" max="16140" width="15.140625" style="136" customWidth="1"/>
    <col min="16141" max="16141" width="11.5703125" style="136" bestFit="1" customWidth="1"/>
    <col min="16142" max="16143" width="13.140625" style="136" bestFit="1" customWidth="1"/>
    <col min="16144" max="16144" width="10.28515625" style="136" bestFit="1" customWidth="1"/>
    <col min="16145" max="16384" width="9.140625" style="136"/>
  </cols>
  <sheetData>
    <row r="1" spans="1:15" ht="18.75" x14ac:dyDescent="0.25">
      <c r="A1" s="135">
        <f>'Note 1'!B1</f>
        <v>0</v>
      </c>
    </row>
    <row r="2" spans="1:15" ht="15" x14ac:dyDescent="0.25">
      <c r="A2" s="66" t="str">
        <f>+'Note 2 - 7'!A2</f>
        <v>Notes to financial statements for the year ended March 31, 2025</v>
      </c>
    </row>
    <row r="3" spans="1:15" ht="15" x14ac:dyDescent="0.25">
      <c r="A3" s="66">
        <f>+'Note 2 - 7'!A3</f>
        <v>0</v>
      </c>
    </row>
    <row r="4" spans="1:15" x14ac:dyDescent="0.25">
      <c r="A4" s="67"/>
    </row>
    <row r="5" spans="1:15" ht="19.5" thickBot="1" x14ac:dyDescent="0.35">
      <c r="B5" s="952"/>
      <c r="C5" s="952"/>
      <c r="D5" s="138"/>
      <c r="E5" s="138"/>
      <c r="F5" s="138"/>
      <c r="G5" s="138"/>
      <c r="H5" s="138"/>
      <c r="J5" s="138"/>
      <c r="L5" s="139" t="str">
        <f>'P&amp;L'!D4</f>
        <v>In Rupees</v>
      </c>
    </row>
    <row r="6" spans="1:15" s="140" customFormat="1" ht="16.5" x14ac:dyDescent="0.3">
      <c r="A6" s="953" t="s">
        <v>699</v>
      </c>
      <c r="B6" s="954"/>
      <c r="C6" s="954"/>
      <c r="D6" s="954"/>
      <c r="E6" s="954"/>
      <c r="F6" s="954"/>
      <c r="G6" s="954"/>
      <c r="H6" s="954"/>
      <c r="I6" s="954"/>
      <c r="J6" s="954"/>
      <c r="K6" s="954"/>
      <c r="L6" s="955"/>
      <c r="M6" s="1"/>
      <c r="N6" s="136"/>
    </row>
    <row r="7" spans="1:15" s="140" customFormat="1" ht="26.1" customHeight="1" x14ac:dyDescent="0.3">
      <c r="A7" s="956" t="s">
        <v>0</v>
      </c>
      <c r="B7" s="957"/>
      <c r="C7" s="960" t="s">
        <v>118</v>
      </c>
      <c r="D7" s="960"/>
      <c r="E7" s="960"/>
      <c r="F7" s="960"/>
      <c r="G7" s="960" t="s">
        <v>119</v>
      </c>
      <c r="H7" s="960"/>
      <c r="I7" s="960"/>
      <c r="J7" s="960"/>
      <c r="K7" s="960" t="s">
        <v>120</v>
      </c>
      <c r="L7" s="961"/>
      <c r="M7" s="1"/>
      <c r="N7" s="136"/>
      <c r="O7" s="141"/>
    </row>
    <row r="8" spans="1:15" s="140" customFormat="1" ht="33" x14ac:dyDescent="0.3">
      <c r="A8" s="958"/>
      <c r="B8" s="959"/>
      <c r="C8" s="142" t="s">
        <v>1008</v>
      </c>
      <c r="D8" s="283" t="s">
        <v>1</v>
      </c>
      <c r="E8" s="142" t="s">
        <v>121</v>
      </c>
      <c r="F8" s="142" t="s">
        <v>1009</v>
      </c>
      <c r="G8" s="142" t="str">
        <f>C8</f>
        <v>As at 1st April 2024</v>
      </c>
      <c r="H8" s="283" t="s">
        <v>122</v>
      </c>
      <c r="I8" s="142" t="s">
        <v>121</v>
      </c>
      <c r="J8" s="142" t="str">
        <f>F8</f>
        <v>As at 31st March  2025</v>
      </c>
      <c r="K8" s="142" t="str">
        <f>J8</f>
        <v>As at 31st March  2025</v>
      </c>
      <c r="L8" s="577" t="str">
        <f>G8</f>
        <v>As at 1st April 2024</v>
      </c>
      <c r="M8" s="1"/>
      <c r="N8" s="136"/>
    </row>
    <row r="9" spans="1:15" s="140" customFormat="1" ht="16.5" x14ac:dyDescent="0.3">
      <c r="A9" s="578" t="s">
        <v>171</v>
      </c>
      <c r="B9" s="143"/>
      <c r="C9" s="144"/>
      <c r="D9" s="284"/>
      <c r="E9" s="144"/>
      <c r="F9" s="243"/>
      <c r="G9" s="144"/>
      <c r="H9" s="284"/>
      <c r="I9" s="144"/>
      <c r="J9" s="223"/>
      <c r="K9" s="243"/>
      <c r="L9" s="579"/>
      <c r="M9" s="1"/>
      <c r="N9" s="136"/>
    </row>
    <row r="10" spans="1:15" s="140" customFormat="1" ht="16.5" x14ac:dyDescent="0.3">
      <c r="A10" s="580">
        <v>1</v>
      </c>
      <c r="B10" s="145" t="s">
        <v>123</v>
      </c>
      <c r="C10" s="531">
        <v>38523</v>
      </c>
      <c r="D10" s="532">
        <v>0</v>
      </c>
      <c r="E10" s="531">
        <v>0</v>
      </c>
      <c r="F10" s="531">
        <f>+C10+D10-E10</f>
        <v>38523</v>
      </c>
      <c r="G10" s="531">
        <v>31135</v>
      </c>
      <c r="H10" s="531"/>
      <c r="I10" s="531">
        <v>0</v>
      </c>
      <c r="J10" s="532">
        <f>+G10+H10-I10</f>
        <v>31135</v>
      </c>
      <c r="K10" s="531">
        <f>+F10-J10</f>
        <v>7388</v>
      </c>
      <c r="L10" s="581">
        <f>+C10-G10</f>
        <v>7388</v>
      </c>
      <c r="M10" s="1"/>
      <c r="N10" s="136"/>
      <c r="O10" s="146"/>
    </row>
    <row r="11" spans="1:15" s="140" customFormat="1" ht="16.5" x14ac:dyDescent="0.3">
      <c r="A11" s="580">
        <v>2</v>
      </c>
      <c r="B11" s="145" t="s">
        <v>190</v>
      </c>
      <c r="C11" s="531">
        <v>17523149.640000001</v>
      </c>
      <c r="D11" s="532">
        <v>0</v>
      </c>
      <c r="E11" s="531">
        <v>0</v>
      </c>
      <c r="F11" s="531">
        <f>+C11+D11-E11</f>
        <v>17523149.640000001</v>
      </c>
      <c r="G11" s="531">
        <v>16860121.850000001</v>
      </c>
      <c r="H11" s="532"/>
      <c r="I11" s="531">
        <v>0</v>
      </c>
      <c r="J11" s="532">
        <f t="shared" ref="J11:J12" si="0">+G11+H11-I11</f>
        <v>16860121.850000001</v>
      </c>
      <c r="K11" s="531">
        <f t="shared" ref="K11:K12" si="1">+F11-J11</f>
        <v>663027.78999999911</v>
      </c>
      <c r="L11" s="581">
        <f t="shared" ref="L11:L12" si="2">+C11-G11</f>
        <v>663027.78999999911</v>
      </c>
      <c r="M11" s="1"/>
      <c r="N11" s="136"/>
      <c r="O11" s="146"/>
    </row>
    <row r="12" spans="1:15" s="140" customFormat="1" ht="16.5" x14ac:dyDescent="0.3">
      <c r="A12" s="580">
        <v>3</v>
      </c>
      <c r="B12" s="145" t="s">
        <v>619</v>
      </c>
      <c r="C12" s="531">
        <v>12288.14</v>
      </c>
      <c r="D12" s="532">
        <v>0</v>
      </c>
      <c r="E12" s="531">
        <v>0</v>
      </c>
      <c r="F12" s="531">
        <f t="shared" ref="F12" si="3">+C12+D12-E12</f>
        <v>12288.14</v>
      </c>
      <c r="G12" s="531">
        <v>11392</v>
      </c>
      <c r="H12" s="531"/>
      <c r="I12" s="531">
        <v>0</v>
      </c>
      <c r="J12" s="532">
        <f t="shared" si="0"/>
        <v>11392</v>
      </c>
      <c r="K12" s="531">
        <f t="shared" si="1"/>
        <v>896.13999999999942</v>
      </c>
      <c r="L12" s="581">
        <f t="shared" si="2"/>
        <v>896.13999999999942</v>
      </c>
      <c r="M12" s="1"/>
      <c r="N12" s="136"/>
      <c r="O12" s="146"/>
    </row>
    <row r="13" spans="1:15" ht="17.25" thickBot="1" x14ac:dyDescent="0.3">
      <c r="A13" s="582"/>
      <c r="B13" s="147" t="s">
        <v>158</v>
      </c>
      <c r="C13" s="533">
        <f t="shared" ref="C13:L13" si="4">SUM(C10:C12)</f>
        <v>17573960.780000001</v>
      </c>
      <c r="D13" s="533">
        <f t="shared" si="4"/>
        <v>0</v>
      </c>
      <c r="E13" s="534">
        <f t="shared" si="4"/>
        <v>0</v>
      </c>
      <c r="F13" s="533">
        <f t="shared" si="4"/>
        <v>17573960.780000001</v>
      </c>
      <c r="G13" s="533">
        <f t="shared" si="4"/>
        <v>16902648.850000001</v>
      </c>
      <c r="H13" s="533">
        <f>SUM(H10:H12)</f>
        <v>0</v>
      </c>
      <c r="I13" s="534">
        <f t="shared" si="4"/>
        <v>0</v>
      </c>
      <c r="J13" s="533">
        <f t="shared" si="4"/>
        <v>16902648.850000001</v>
      </c>
      <c r="K13" s="533">
        <f t="shared" si="4"/>
        <v>671311.92999999912</v>
      </c>
      <c r="L13" s="583">
        <f t="shared" si="4"/>
        <v>671311.92999999912</v>
      </c>
    </row>
    <row r="14" spans="1:15" x14ac:dyDescent="0.25">
      <c r="K14" s="137"/>
    </row>
    <row r="15" spans="1:15" x14ac:dyDescent="0.25">
      <c r="K15" s="629"/>
    </row>
    <row r="16" spans="1:15" x14ac:dyDescent="0.25">
      <c r="E16" s="438"/>
    </row>
    <row r="18" spans="5:5" x14ac:dyDescent="0.25">
      <c r="E18" s="438"/>
    </row>
  </sheetData>
  <mergeCells count="6">
    <mergeCell ref="B5:C5"/>
    <mergeCell ref="A6:L6"/>
    <mergeCell ref="A7:B8"/>
    <mergeCell ref="C7:F7"/>
    <mergeCell ref="G7:J7"/>
    <mergeCell ref="K7:L7"/>
  </mergeCells>
  <printOptions horizontalCentered="1"/>
  <pageMargins left="0.23622047244094491" right="0.23622047244094491" top="0.74803149606299213" bottom="0.74803149606299213" header="0.31496062992125984" footer="0.31496062992125984"/>
  <pageSetup paperSize="9" scale="72"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D7CEE-92C7-4F11-8B7A-25F48BE0BACF}">
  <dimension ref="A3:AI96"/>
  <sheetViews>
    <sheetView topLeftCell="A100" workbookViewId="0">
      <pane xSplit="1" topLeftCell="B1" activePane="topRight" state="frozen"/>
      <selection activeCell="A61" sqref="A61"/>
      <selection pane="topRight" activeCell="A73" sqref="A73"/>
    </sheetView>
  </sheetViews>
  <sheetFormatPr defaultRowHeight="15" x14ac:dyDescent="0.25"/>
  <cols>
    <col min="1" max="1" width="36.7109375" bestFit="1" customWidth="1"/>
    <col min="2" max="2" width="25.85546875" bestFit="1" customWidth="1"/>
    <col min="3" max="4" width="16.7109375" customWidth="1"/>
    <col min="5" max="5" width="15.7109375" customWidth="1"/>
    <col min="6" max="6" width="13" hidden="1" customWidth="1"/>
    <col min="7" max="7" width="14.85546875" hidden="1" customWidth="1"/>
    <col min="8" max="11" width="12.42578125" hidden="1" customWidth="1"/>
    <col min="12" max="12" width="13" hidden="1" customWidth="1"/>
    <col min="13" max="13" width="13.7109375" hidden="1" customWidth="1"/>
    <col min="14" max="14" width="12.42578125" hidden="1" customWidth="1"/>
    <col min="15" max="15" width="11.28515625" hidden="1" customWidth="1"/>
    <col min="16" max="16" width="13" hidden="1" customWidth="1"/>
    <col min="17" max="17" width="17.42578125" hidden="1" customWidth="1"/>
    <col min="18" max="18" width="0" hidden="1" customWidth="1"/>
    <col min="19" max="19" width="12.28515625" hidden="1" customWidth="1"/>
    <col min="20" max="20" width="11.28515625" hidden="1" customWidth="1"/>
    <col min="21" max="21" width="12" bestFit="1" customWidth="1"/>
    <col min="22" max="22" width="21.85546875" bestFit="1" customWidth="1"/>
    <col min="23" max="23" width="13.28515625" bestFit="1" customWidth="1"/>
    <col min="24" max="24" width="16.28515625" bestFit="1" customWidth="1"/>
    <col min="25" max="25" width="12.7109375" bestFit="1" customWidth="1"/>
    <col min="26" max="26" width="10.5703125" bestFit="1" customWidth="1"/>
    <col min="27" max="28" width="15.140625" bestFit="1" customWidth="1"/>
    <col min="29" max="29" width="15.42578125" bestFit="1" customWidth="1"/>
    <col min="30" max="30" width="12.85546875" bestFit="1" customWidth="1"/>
    <col min="31" max="31" width="16.28515625" bestFit="1" customWidth="1"/>
    <col min="32" max="32" width="8.140625" bestFit="1" customWidth="1"/>
    <col min="33" max="33" width="9.7109375" bestFit="1" customWidth="1"/>
    <col min="34" max="34" width="12.85546875" bestFit="1" customWidth="1"/>
    <col min="35" max="35" width="14.42578125" bestFit="1" customWidth="1"/>
  </cols>
  <sheetData>
    <row r="3" spans="1:35" ht="18.75" x14ac:dyDescent="0.3">
      <c r="A3" s="962" t="s">
        <v>719</v>
      </c>
      <c r="B3" s="963"/>
      <c r="C3" s="963"/>
      <c r="D3" s="963"/>
      <c r="E3" s="963"/>
      <c r="F3" s="963"/>
      <c r="G3" s="963"/>
      <c r="H3" s="963"/>
      <c r="I3" s="963"/>
      <c r="J3" s="963"/>
      <c r="K3" s="963"/>
      <c r="L3" s="963"/>
      <c r="M3" s="963"/>
      <c r="N3" s="589"/>
      <c r="V3" s="964" t="s">
        <v>1056</v>
      </c>
      <c r="W3" s="964"/>
      <c r="X3" s="964"/>
      <c r="Y3" s="964"/>
      <c r="Z3" s="964"/>
      <c r="AA3" s="964"/>
      <c r="AB3" s="964"/>
      <c r="AC3" s="964" t="s">
        <v>1057</v>
      </c>
      <c r="AD3" s="964"/>
      <c r="AE3" s="964"/>
      <c r="AF3" s="964"/>
      <c r="AG3" s="964"/>
      <c r="AH3" s="964"/>
      <c r="AI3" s="964"/>
    </row>
    <row r="4" spans="1:35" x14ac:dyDescent="0.25">
      <c r="A4" s="886" t="s">
        <v>720</v>
      </c>
      <c r="B4" s="886"/>
      <c r="C4" s="886" t="s">
        <v>721</v>
      </c>
      <c r="D4" s="886"/>
      <c r="E4" s="886"/>
      <c r="F4" s="591">
        <v>44651</v>
      </c>
      <c r="G4" s="886"/>
      <c r="H4" s="886"/>
      <c r="I4" s="591">
        <v>45016</v>
      </c>
      <c r="J4" s="886"/>
      <c r="K4" s="886"/>
      <c r="L4" s="886"/>
      <c r="M4" s="591">
        <v>45016</v>
      </c>
      <c r="N4" s="591">
        <v>45016</v>
      </c>
      <c r="O4" s="886"/>
      <c r="P4" s="886"/>
      <c r="Q4" s="591">
        <v>45382</v>
      </c>
      <c r="R4" s="886"/>
      <c r="S4" s="886"/>
      <c r="T4" s="886"/>
      <c r="U4" s="591">
        <v>45382</v>
      </c>
      <c r="V4" s="887"/>
      <c r="W4" s="887"/>
      <c r="X4" s="887"/>
      <c r="Y4" s="887"/>
      <c r="Z4" s="887"/>
      <c r="AA4" s="887"/>
      <c r="AB4" s="888">
        <v>45747</v>
      </c>
      <c r="AC4" s="887"/>
      <c r="AD4" s="887"/>
      <c r="AE4" s="887"/>
      <c r="AF4" s="887"/>
      <c r="AG4" s="887"/>
      <c r="AH4" s="887"/>
      <c r="AI4" s="889">
        <v>46112</v>
      </c>
    </row>
    <row r="5" spans="1:35" ht="77.45" customHeight="1" x14ac:dyDescent="0.25">
      <c r="A5" s="592" t="s">
        <v>722</v>
      </c>
      <c r="B5" s="592" t="s">
        <v>723</v>
      </c>
      <c r="C5" s="593" t="s">
        <v>724</v>
      </c>
      <c r="D5" s="593" t="s">
        <v>1058</v>
      </c>
      <c r="E5" s="594" t="s">
        <v>725</v>
      </c>
      <c r="F5" s="594" t="s">
        <v>726</v>
      </c>
      <c r="G5" s="594" t="s">
        <v>727</v>
      </c>
      <c r="H5" s="593" t="s">
        <v>728</v>
      </c>
      <c r="I5" s="593" t="s">
        <v>729</v>
      </c>
      <c r="J5" s="593" t="s">
        <v>730</v>
      </c>
      <c r="K5" s="595" t="s">
        <v>731</v>
      </c>
      <c r="L5" s="594" t="s">
        <v>732</v>
      </c>
      <c r="M5" s="594" t="s">
        <v>733</v>
      </c>
      <c r="N5" s="594" t="s">
        <v>733</v>
      </c>
      <c r="O5" s="594" t="s">
        <v>727</v>
      </c>
      <c r="P5" s="593" t="s">
        <v>728</v>
      </c>
      <c r="Q5" s="593" t="s">
        <v>734</v>
      </c>
      <c r="R5" s="593" t="s">
        <v>730</v>
      </c>
      <c r="S5" s="595" t="s">
        <v>731</v>
      </c>
      <c r="T5" s="594" t="s">
        <v>732</v>
      </c>
      <c r="U5" s="890" t="s">
        <v>735</v>
      </c>
      <c r="V5" s="594" t="s">
        <v>727</v>
      </c>
      <c r="W5" s="593" t="s">
        <v>728</v>
      </c>
      <c r="X5" s="593" t="s">
        <v>1059</v>
      </c>
      <c r="Y5" s="593" t="s">
        <v>730</v>
      </c>
      <c r="Z5" s="595" t="s">
        <v>731</v>
      </c>
      <c r="AA5" s="594" t="s">
        <v>732</v>
      </c>
      <c r="AB5" s="890" t="s">
        <v>1060</v>
      </c>
      <c r="AC5" s="594" t="s">
        <v>727</v>
      </c>
      <c r="AD5" s="593" t="s">
        <v>728</v>
      </c>
      <c r="AE5" s="593" t="s">
        <v>1061</v>
      </c>
      <c r="AF5" s="593" t="s">
        <v>730</v>
      </c>
      <c r="AG5" s="595" t="s">
        <v>731</v>
      </c>
      <c r="AH5" s="594" t="s">
        <v>732</v>
      </c>
      <c r="AI5" s="890" t="s">
        <v>1062</v>
      </c>
    </row>
    <row r="6" spans="1:35" ht="15.75" x14ac:dyDescent="0.25">
      <c r="A6" s="596" t="s">
        <v>463</v>
      </c>
      <c r="B6" s="596" t="s">
        <v>123</v>
      </c>
      <c r="C6" s="597">
        <v>43054</v>
      </c>
      <c r="D6" s="606">
        <f>+C6+(365*W6)</f>
        <v>46704</v>
      </c>
      <c r="E6" s="598">
        <v>16750</v>
      </c>
      <c r="F6" s="588">
        <v>4665</v>
      </c>
      <c r="G6" s="596"/>
      <c r="H6" s="599">
        <v>10</v>
      </c>
      <c r="I6" s="600">
        <f>IF(C6&lt;$F$4,(H6*365-(DATEDIF(C6,$F$4,"D"))),(H6*365))</f>
        <v>2053</v>
      </c>
      <c r="J6" s="600">
        <v>365</v>
      </c>
      <c r="K6" s="601">
        <v>0.25890000000000002</v>
      </c>
      <c r="L6" s="588">
        <f>ROUND(((F6+G6)*K6)*J6/(IF(I6=J6,J6,365)),0)</f>
        <v>1208</v>
      </c>
      <c r="M6" s="588">
        <f>F6-L6</f>
        <v>3457</v>
      </c>
      <c r="N6" s="588">
        <v>3457</v>
      </c>
      <c r="O6" s="596"/>
      <c r="P6" s="599">
        <v>10</v>
      </c>
      <c r="Q6" s="600">
        <f>IF(C6&lt;$M$4,(P6*365-(DATEDIF(C6,$M$4,"D"))),(P6*365))</f>
        <v>1688</v>
      </c>
      <c r="R6" s="600">
        <v>365</v>
      </c>
      <c r="S6" s="601">
        <v>0.25890000000000002</v>
      </c>
      <c r="T6" s="588">
        <f>ROUND(((N6+O6)*S6)*R6/(IF(Q6=R6,R6,365)),0)</f>
        <v>895</v>
      </c>
      <c r="U6" s="588">
        <f>N6-T6</f>
        <v>2562</v>
      </c>
      <c r="V6" s="596"/>
      <c r="W6" s="599">
        <v>10</v>
      </c>
      <c r="X6" s="600">
        <f>IF(C6&lt;$U$4,(W6*365-(DATEDIF(C6,$U$4,"D"))),(W6*365))</f>
        <v>1322</v>
      </c>
      <c r="Y6" s="605">
        <f>IF(AND(C6&gt;$U$4,C6&lt;$AB$4),$AB$4-C6+1,IF(D6&lt;=$U$4,0,IF(D6&gt;$AB$4,$AB$4-$U$4,D6-$U$4)))</f>
        <v>365</v>
      </c>
      <c r="Z6" s="601">
        <v>0.25890000000000002</v>
      </c>
      <c r="AA6" s="588">
        <f>ROUND(((U6+V6)*Z6)*Y6/(IF(X6=Y6,Y6,365)),0)</f>
        <v>663</v>
      </c>
      <c r="AB6" s="588">
        <f>U6-AA6</f>
        <v>1899</v>
      </c>
      <c r="AC6" s="891"/>
      <c r="AD6" s="599">
        <v>10</v>
      </c>
      <c r="AE6" s="600">
        <f>IF(C6&lt;$AB$4,(AD6*365-(DATEDIF(C6,$AB$4,"D"))),(AD6*365))</f>
        <v>957</v>
      </c>
      <c r="AF6" s="605">
        <f>IF(AND(C6&gt;$AB$4,C6&lt;$AI$4),$AI$4-C6+1,IF(D6&lt;=$AB$4,0,IF(D6&gt;$AI$4,$AI$4-$AB$4,D6-$AB$4)))</f>
        <v>365</v>
      </c>
      <c r="AG6" s="601">
        <v>0.25890000000000002</v>
      </c>
      <c r="AH6" s="588">
        <f>ROUND(((AB6+AC6)*AG6)*AF6/(IF(AE6=AF6,AF6,365)),0)</f>
        <v>492</v>
      </c>
      <c r="AI6" s="588">
        <f>AB6-AH6</f>
        <v>1407</v>
      </c>
    </row>
    <row r="7" spans="1:35" ht="15.75" x14ac:dyDescent="0.25">
      <c r="A7" s="596" t="s">
        <v>464</v>
      </c>
      <c r="B7" s="596" t="s">
        <v>123</v>
      </c>
      <c r="C7" s="597">
        <v>43543</v>
      </c>
      <c r="D7" s="606">
        <f>+C7+(365*W7)</f>
        <v>47193</v>
      </c>
      <c r="E7" s="598">
        <v>21773</v>
      </c>
      <c r="F7" s="588">
        <v>8787</v>
      </c>
      <c r="G7" s="602"/>
      <c r="H7" s="599">
        <v>10</v>
      </c>
      <c r="I7" s="600">
        <f>IF(C7&lt;$F$4,(H7*365-(DATEDIF(C7,$F$4,"D"))),(H7*365))</f>
        <v>2542</v>
      </c>
      <c r="J7" s="600">
        <v>365</v>
      </c>
      <c r="K7" s="601">
        <v>0.25890000000000002</v>
      </c>
      <c r="L7" s="588">
        <f>ROUND(((F7+G7)*K7)*J7/(IF(I7=J7,J7,365)),0)</f>
        <v>2275</v>
      </c>
      <c r="M7" s="588">
        <f>F7-L7</f>
        <v>6512</v>
      </c>
      <c r="N7" s="588">
        <v>6512</v>
      </c>
      <c r="O7" s="602"/>
      <c r="P7" s="599">
        <v>10</v>
      </c>
      <c r="Q7" s="600">
        <f>IF(C7&lt;$M$4,(P7*365-(DATEDIF(C7,$M$4,"D"))),(P7*365))</f>
        <v>2177</v>
      </c>
      <c r="R7" s="600">
        <v>365</v>
      </c>
      <c r="S7" s="601">
        <v>0.25890000000000002</v>
      </c>
      <c r="T7" s="588">
        <f t="shared" ref="T7" si="0">ROUND(((N7+O7)*S7)*R7/(IF(Q7=R7,R7,365)),0)</f>
        <v>1686</v>
      </c>
      <c r="U7" s="588">
        <f>N7-T7</f>
        <v>4826</v>
      </c>
      <c r="V7" s="602"/>
      <c r="W7" s="599">
        <v>10</v>
      </c>
      <c r="X7" s="600">
        <f t="shared" ref="X7" si="1">IF(C7&lt;$U$4,(W7*365-(DATEDIF(C7,$U$4,"D"))),(W7*365))</f>
        <v>1811</v>
      </c>
      <c r="Y7" s="605">
        <f>IF(AND(C7&gt;$U$4,C7&lt;$AB$4),$AB$4-C7+1,IF(D7&lt;=$U$4,0,IF(D7&gt;$AB$4,$AB$4-$U$4,D7-$U$4)))</f>
        <v>365</v>
      </c>
      <c r="Z7" s="601">
        <v>0.25890000000000002</v>
      </c>
      <c r="AA7" s="588">
        <f>ROUND(((U7+V7)*Z7)*Y7/(IF(X7=Y7,Y7,365)),0)</f>
        <v>1249</v>
      </c>
      <c r="AB7" s="588">
        <f>U7-AA7</f>
        <v>3577</v>
      </c>
      <c r="AC7" s="891"/>
      <c r="AD7" s="599">
        <v>10</v>
      </c>
      <c r="AE7" s="600">
        <f t="shared" ref="AE7" si="2">IF(C7&lt;$AB$4,(AD7*365-(DATEDIF(C7,$AB$4,"D"))),(AD7*365))</f>
        <v>1446</v>
      </c>
      <c r="AF7" s="605">
        <f t="shared" ref="AF7" si="3">IF(AND(C7&gt;$AB$4,C7&lt;$AI$4),$AI$4-C7+1,IF(D7&lt;=$AB$4,0,IF(D7&gt;$AI$4,$AI$4-$AB$4,D7-$AB$4)))</f>
        <v>365</v>
      </c>
      <c r="AG7" s="601">
        <v>0.25890000000000002</v>
      </c>
      <c r="AH7" s="588">
        <f>ROUND(((AB7+AC7)*AG7)*AF7/(IF(AE7=AF7,AF7,365)),0)</f>
        <v>926</v>
      </c>
      <c r="AI7" s="588">
        <f>AB7-AH7</f>
        <v>2651</v>
      </c>
    </row>
    <row r="8" spans="1:35" ht="15.75" x14ac:dyDescent="0.25">
      <c r="A8" s="596" t="s">
        <v>496</v>
      </c>
      <c r="B8" s="596" t="s">
        <v>619</v>
      </c>
      <c r="C8" s="597">
        <v>43780</v>
      </c>
      <c r="D8" s="606">
        <f>+C8+(365*W8)</f>
        <v>45605</v>
      </c>
      <c r="E8" s="598">
        <v>12288.14</v>
      </c>
      <c r="F8" s="588">
        <v>3062.1399999999994</v>
      </c>
      <c r="G8" s="603"/>
      <c r="H8" s="604">
        <v>5</v>
      </c>
      <c r="I8" s="600">
        <f>IF(C8&lt;$F$4,(H8*365-(DATEDIF(C8,$F$4,"D"))),(H8*365))</f>
        <v>954</v>
      </c>
      <c r="J8" s="600">
        <v>365</v>
      </c>
      <c r="K8" s="601">
        <v>0.45910000000000001</v>
      </c>
      <c r="L8" s="588">
        <f>ROUND(((F8+G8)*K8)*J8/(IF(I8=J8,J8,365)),0)</f>
        <v>1406</v>
      </c>
      <c r="M8" s="588">
        <f>F8-L8</f>
        <v>1656.1399999999994</v>
      </c>
      <c r="N8" s="588">
        <v>1656.1399999999994</v>
      </c>
      <c r="O8" s="603"/>
      <c r="P8" s="604">
        <v>5</v>
      </c>
      <c r="Q8" s="600">
        <f>IF(C8&lt;$M$4,(P8*365-(DATEDIF(C8,$M$4,"D"))),(P8*365))</f>
        <v>589</v>
      </c>
      <c r="R8" s="600">
        <v>365</v>
      </c>
      <c r="S8" s="601">
        <v>0.45910000000000001</v>
      </c>
      <c r="T8" s="588">
        <f>ROUND(((N8+O8)*S8)*R8/(IF(Q8=R8,R8,365)),0)</f>
        <v>760</v>
      </c>
      <c r="U8" s="588">
        <f>N8-T8</f>
        <v>896.13999999999942</v>
      </c>
      <c r="V8" s="603"/>
      <c r="W8" s="604">
        <v>5</v>
      </c>
      <c r="X8" s="600">
        <f>IF(C8&lt;$U$4,(W8*365-(DATEDIF(C8,$U$4,"D"))),(W8*365))</f>
        <v>223</v>
      </c>
      <c r="Y8" s="605">
        <f>IF(AND(C8&gt;$U$4,C8&lt;$AB$4),$AB$4-C8+1,IF(D8&lt;=$U$4,0,IF(D8&gt;$AB$4,$AB$4-$U$4,D8-$U$4)))</f>
        <v>223</v>
      </c>
      <c r="Z8" s="601">
        <v>0.45910000000000001</v>
      </c>
      <c r="AA8" s="588">
        <f>+U8-AB8</f>
        <v>281.73299999999938</v>
      </c>
      <c r="AB8" s="892">
        <f>+E8*0.05</f>
        <v>614.40700000000004</v>
      </c>
      <c r="AC8" s="891"/>
      <c r="AD8" s="599">
        <v>5</v>
      </c>
      <c r="AE8" s="600">
        <v>0</v>
      </c>
      <c r="AF8" s="605">
        <f>IF(AND(C8&gt;$AB$4,C8&lt;$AI$4),$AI$4-C8+1,IF(D8&lt;=$AB$4,0,IF(D8&gt;$AI$4,$AI$4-$AB$4,D8-$AB$4)))</f>
        <v>0</v>
      </c>
      <c r="AG8" s="601">
        <v>0.45910000000000001</v>
      </c>
      <c r="AH8" s="588">
        <f>+AB8-AI8</f>
        <v>0</v>
      </c>
      <c r="AI8" s="892">
        <f>+E8*0.05</f>
        <v>614.40700000000004</v>
      </c>
    </row>
    <row r="9" spans="1:35" ht="15.75" x14ac:dyDescent="0.25">
      <c r="A9" s="605" t="s">
        <v>462</v>
      </c>
      <c r="B9" s="605" t="s">
        <v>190</v>
      </c>
      <c r="C9" s="606">
        <v>42998</v>
      </c>
      <c r="D9" s="606"/>
      <c r="E9" s="607">
        <v>36536</v>
      </c>
      <c r="F9" s="588">
        <v>1</v>
      </c>
      <c r="G9" s="605"/>
      <c r="H9" s="599">
        <v>3</v>
      </c>
      <c r="I9" s="600"/>
      <c r="J9" s="608">
        <f>I9</f>
        <v>0</v>
      </c>
      <c r="K9" s="601">
        <v>1</v>
      </c>
      <c r="L9" s="588"/>
      <c r="M9" s="588">
        <f t="shared" ref="M9:M41" si="4">F9-L9</f>
        <v>1</v>
      </c>
      <c r="N9" s="588">
        <v>1</v>
      </c>
      <c r="O9" s="605"/>
      <c r="P9" s="599">
        <v>3</v>
      </c>
      <c r="Q9" s="600"/>
      <c r="R9" s="608">
        <f>Q9</f>
        <v>0</v>
      </c>
      <c r="S9" s="601">
        <v>1</v>
      </c>
      <c r="T9" s="588"/>
      <c r="U9" s="588">
        <f>N9-T9</f>
        <v>1</v>
      </c>
      <c r="V9" s="605"/>
      <c r="W9" s="599">
        <v>3</v>
      </c>
      <c r="X9" s="600"/>
      <c r="Y9" s="608">
        <f>X9</f>
        <v>0</v>
      </c>
      <c r="Z9" s="601">
        <v>1</v>
      </c>
      <c r="AA9" s="588"/>
      <c r="AB9" s="588">
        <f>U9-AA9</f>
        <v>1</v>
      </c>
      <c r="AC9" s="605"/>
      <c r="AD9" s="599">
        <v>3</v>
      </c>
      <c r="AE9" s="600"/>
      <c r="AF9" s="608">
        <f>AE9</f>
        <v>0</v>
      </c>
      <c r="AG9" s="601">
        <v>1</v>
      </c>
      <c r="AH9" s="588"/>
      <c r="AI9" s="588">
        <f>AB9-AH9</f>
        <v>1</v>
      </c>
    </row>
    <row r="10" spans="1:35" ht="15.75" x14ac:dyDescent="0.25">
      <c r="A10" s="605" t="s">
        <v>456</v>
      </c>
      <c r="B10" s="605" t="s">
        <v>190</v>
      </c>
      <c r="C10" s="606">
        <v>42998</v>
      </c>
      <c r="D10" s="606"/>
      <c r="E10" s="607">
        <v>18000</v>
      </c>
      <c r="F10" s="588">
        <v>1</v>
      </c>
      <c r="G10" s="605"/>
      <c r="H10" s="599">
        <v>3</v>
      </c>
      <c r="I10" s="600"/>
      <c r="J10" s="608">
        <f t="shared" ref="J10:J19" si="5">I10</f>
        <v>0</v>
      </c>
      <c r="K10" s="601">
        <v>1</v>
      </c>
      <c r="L10" s="588"/>
      <c r="M10" s="588">
        <f t="shared" si="4"/>
        <v>1</v>
      </c>
      <c r="N10" s="588">
        <v>1</v>
      </c>
      <c r="O10" s="605"/>
      <c r="P10" s="599">
        <v>3</v>
      </c>
      <c r="Q10" s="600"/>
      <c r="R10" s="608">
        <f t="shared" ref="R10:R19" si="6">Q10</f>
        <v>0</v>
      </c>
      <c r="S10" s="601">
        <v>1</v>
      </c>
      <c r="T10" s="588"/>
      <c r="U10" s="588">
        <f t="shared" ref="U10:U41" si="7">N10-T10</f>
        <v>1</v>
      </c>
      <c r="V10" s="605"/>
      <c r="W10" s="599">
        <v>3</v>
      </c>
      <c r="X10" s="600"/>
      <c r="Y10" s="608">
        <f t="shared" ref="Y10:Y19" si="8">X10</f>
        <v>0</v>
      </c>
      <c r="Z10" s="601">
        <v>1</v>
      </c>
      <c r="AA10" s="588"/>
      <c r="AB10" s="588">
        <f t="shared" ref="AB10:AB41" si="9">U10-AA10</f>
        <v>1</v>
      </c>
      <c r="AC10" s="605"/>
      <c r="AD10" s="599">
        <v>3</v>
      </c>
      <c r="AE10" s="600"/>
      <c r="AF10" s="608">
        <f t="shared" ref="AF10:AF19" si="10">AE10</f>
        <v>0</v>
      </c>
      <c r="AG10" s="601">
        <v>1</v>
      </c>
      <c r="AH10" s="588"/>
      <c r="AI10" s="588">
        <f t="shared" ref="AI10" si="11">AB10-AH10</f>
        <v>1</v>
      </c>
    </row>
    <row r="11" spans="1:35" ht="15.75" x14ac:dyDescent="0.25">
      <c r="A11" s="605" t="s">
        <v>467</v>
      </c>
      <c r="B11" s="605" t="s">
        <v>190</v>
      </c>
      <c r="C11" s="606">
        <v>43063</v>
      </c>
      <c r="D11" s="606"/>
      <c r="E11" s="607">
        <v>365800</v>
      </c>
      <c r="F11" s="588">
        <v>1</v>
      </c>
      <c r="G11" s="605"/>
      <c r="H11" s="599">
        <v>3</v>
      </c>
      <c r="I11" s="600"/>
      <c r="J11" s="608">
        <f t="shared" si="5"/>
        <v>0</v>
      </c>
      <c r="K11" s="601">
        <v>1</v>
      </c>
      <c r="L11" s="588"/>
      <c r="M11" s="588">
        <f t="shared" si="4"/>
        <v>1</v>
      </c>
      <c r="N11" s="588">
        <v>1</v>
      </c>
      <c r="O11" s="605"/>
      <c r="P11" s="599">
        <v>3</v>
      </c>
      <c r="Q11" s="600"/>
      <c r="R11" s="608">
        <f t="shared" si="6"/>
        <v>0</v>
      </c>
      <c r="S11" s="601">
        <v>1</v>
      </c>
      <c r="T11" s="588"/>
      <c r="U11" s="588">
        <f t="shared" si="7"/>
        <v>1</v>
      </c>
      <c r="V11" s="605"/>
      <c r="W11" s="599">
        <v>3</v>
      </c>
      <c r="X11" s="600"/>
      <c r="Y11" s="608">
        <f t="shared" si="8"/>
        <v>0</v>
      </c>
      <c r="Z11" s="601">
        <v>1</v>
      </c>
      <c r="AA11" s="588"/>
      <c r="AB11" s="610">
        <f>U11-AA11-1</f>
        <v>0</v>
      </c>
      <c r="AC11" s="605"/>
      <c r="AD11" s="599">
        <v>3</v>
      </c>
      <c r="AE11" s="600"/>
      <c r="AF11" s="608">
        <f t="shared" si="10"/>
        <v>0</v>
      </c>
      <c r="AG11" s="601">
        <v>1</v>
      </c>
      <c r="AH11" s="588"/>
      <c r="AI11" s="610">
        <f>AB11-AH11</f>
        <v>0</v>
      </c>
    </row>
    <row r="12" spans="1:35" ht="15.75" x14ac:dyDescent="0.25">
      <c r="A12" s="605" t="s">
        <v>477</v>
      </c>
      <c r="B12" s="605" t="s">
        <v>190</v>
      </c>
      <c r="C12" s="606">
        <v>43081</v>
      </c>
      <c r="D12" s="606"/>
      <c r="E12" s="607">
        <v>365800</v>
      </c>
      <c r="F12" s="588">
        <v>1</v>
      </c>
      <c r="G12" s="605"/>
      <c r="H12" s="599">
        <v>3</v>
      </c>
      <c r="I12" s="600"/>
      <c r="J12" s="608">
        <f t="shared" si="5"/>
        <v>0</v>
      </c>
      <c r="K12" s="601">
        <v>1</v>
      </c>
      <c r="L12" s="588"/>
      <c r="M12" s="588">
        <f t="shared" si="4"/>
        <v>1</v>
      </c>
      <c r="N12" s="588">
        <v>1</v>
      </c>
      <c r="O12" s="605"/>
      <c r="P12" s="599">
        <v>3</v>
      </c>
      <c r="Q12" s="600"/>
      <c r="R12" s="608">
        <f t="shared" si="6"/>
        <v>0</v>
      </c>
      <c r="S12" s="601">
        <v>1</v>
      </c>
      <c r="T12" s="588"/>
      <c r="U12" s="588">
        <f t="shared" si="7"/>
        <v>1</v>
      </c>
      <c r="V12" s="605"/>
      <c r="W12" s="599">
        <v>3</v>
      </c>
      <c r="X12" s="600"/>
      <c r="Y12" s="608">
        <f t="shared" si="8"/>
        <v>0</v>
      </c>
      <c r="Z12" s="601">
        <v>1</v>
      </c>
      <c r="AA12" s="588"/>
      <c r="AB12" s="610">
        <f>U12-AA12-1</f>
        <v>0</v>
      </c>
      <c r="AC12" s="605"/>
      <c r="AD12" s="599">
        <v>3</v>
      </c>
      <c r="AE12" s="600"/>
      <c r="AF12" s="608">
        <f t="shared" si="10"/>
        <v>0</v>
      </c>
      <c r="AG12" s="601">
        <v>1</v>
      </c>
      <c r="AH12" s="588"/>
      <c r="AI12" s="610">
        <f>AB12-AH12</f>
        <v>0</v>
      </c>
    </row>
    <row r="13" spans="1:35" ht="15.75" x14ac:dyDescent="0.25">
      <c r="A13" s="605" t="s">
        <v>478</v>
      </c>
      <c r="B13" s="605" t="s">
        <v>190</v>
      </c>
      <c r="C13" s="606">
        <v>43118</v>
      </c>
      <c r="D13" s="606"/>
      <c r="E13" s="607">
        <v>364620</v>
      </c>
      <c r="F13" s="588">
        <v>1</v>
      </c>
      <c r="G13" s="605"/>
      <c r="H13" s="599">
        <v>3</v>
      </c>
      <c r="I13" s="600"/>
      <c r="J13" s="608">
        <f t="shared" si="5"/>
        <v>0</v>
      </c>
      <c r="K13" s="601">
        <v>1</v>
      </c>
      <c r="L13" s="588"/>
      <c r="M13" s="588">
        <f t="shared" si="4"/>
        <v>1</v>
      </c>
      <c r="N13" s="588">
        <v>1</v>
      </c>
      <c r="O13" s="605"/>
      <c r="P13" s="599">
        <v>3</v>
      </c>
      <c r="Q13" s="600"/>
      <c r="R13" s="608">
        <f t="shared" si="6"/>
        <v>0</v>
      </c>
      <c r="S13" s="601">
        <v>1</v>
      </c>
      <c r="T13" s="588"/>
      <c r="U13" s="588">
        <f t="shared" si="7"/>
        <v>1</v>
      </c>
      <c r="V13" s="605"/>
      <c r="W13" s="599">
        <v>3</v>
      </c>
      <c r="X13" s="600"/>
      <c r="Y13" s="608">
        <f t="shared" si="8"/>
        <v>0</v>
      </c>
      <c r="Z13" s="601">
        <v>1</v>
      </c>
      <c r="AA13" s="588"/>
      <c r="AB13" s="610">
        <f>U13-AA13-1</f>
        <v>0</v>
      </c>
      <c r="AC13" s="605"/>
      <c r="AD13" s="599">
        <v>3</v>
      </c>
      <c r="AE13" s="600"/>
      <c r="AF13" s="608">
        <f t="shared" si="10"/>
        <v>0</v>
      </c>
      <c r="AG13" s="601">
        <v>1</v>
      </c>
      <c r="AH13" s="588"/>
      <c r="AI13" s="610">
        <f>AB13-AH13</f>
        <v>0</v>
      </c>
    </row>
    <row r="14" spans="1:35" ht="15.75" x14ac:dyDescent="0.25">
      <c r="A14" s="605" t="s">
        <v>479</v>
      </c>
      <c r="B14" s="605" t="s">
        <v>190</v>
      </c>
      <c r="C14" s="606">
        <v>43151</v>
      </c>
      <c r="D14" s="606"/>
      <c r="E14" s="607">
        <v>93456</v>
      </c>
      <c r="F14" s="588">
        <v>1</v>
      </c>
      <c r="G14" s="605"/>
      <c r="H14" s="599">
        <v>3</v>
      </c>
      <c r="I14" s="600"/>
      <c r="J14" s="608">
        <f t="shared" si="5"/>
        <v>0</v>
      </c>
      <c r="K14" s="601">
        <v>1</v>
      </c>
      <c r="L14" s="588"/>
      <c r="M14" s="588">
        <f t="shared" si="4"/>
        <v>1</v>
      </c>
      <c r="N14" s="588">
        <v>1</v>
      </c>
      <c r="O14" s="605"/>
      <c r="P14" s="599">
        <v>3</v>
      </c>
      <c r="Q14" s="600"/>
      <c r="R14" s="608">
        <f t="shared" si="6"/>
        <v>0</v>
      </c>
      <c r="S14" s="601">
        <v>1</v>
      </c>
      <c r="T14" s="588"/>
      <c r="U14" s="588">
        <f t="shared" si="7"/>
        <v>1</v>
      </c>
      <c r="V14" s="605"/>
      <c r="W14" s="599">
        <v>3</v>
      </c>
      <c r="X14" s="600"/>
      <c r="Y14" s="608">
        <f t="shared" si="8"/>
        <v>0</v>
      </c>
      <c r="Z14" s="601">
        <v>1</v>
      </c>
      <c r="AA14" s="588"/>
      <c r="AB14" s="588">
        <f t="shared" si="9"/>
        <v>1</v>
      </c>
      <c r="AC14" s="605"/>
      <c r="AD14" s="599">
        <v>3</v>
      </c>
      <c r="AE14" s="600"/>
      <c r="AF14" s="608">
        <f t="shared" si="10"/>
        <v>0</v>
      </c>
      <c r="AG14" s="601">
        <v>1</v>
      </c>
      <c r="AH14" s="588"/>
      <c r="AI14" s="588">
        <f t="shared" ref="AI14" si="12">AB14-AH14</f>
        <v>1</v>
      </c>
    </row>
    <row r="15" spans="1:35" ht="15.75" x14ac:dyDescent="0.25">
      <c r="A15" s="605" t="s">
        <v>480</v>
      </c>
      <c r="B15" s="605" t="s">
        <v>190</v>
      </c>
      <c r="C15" s="606">
        <v>43152</v>
      </c>
      <c r="D15" s="606"/>
      <c r="E15" s="607">
        <v>364620</v>
      </c>
      <c r="F15" s="588">
        <v>1</v>
      </c>
      <c r="G15" s="605"/>
      <c r="H15" s="599">
        <v>3</v>
      </c>
      <c r="I15" s="600"/>
      <c r="J15" s="608">
        <f t="shared" si="5"/>
        <v>0</v>
      </c>
      <c r="K15" s="601">
        <v>1</v>
      </c>
      <c r="L15" s="588"/>
      <c r="M15" s="588">
        <f t="shared" si="4"/>
        <v>1</v>
      </c>
      <c r="N15" s="588">
        <v>1</v>
      </c>
      <c r="O15" s="605"/>
      <c r="P15" s="599">
        <v>3</v>
      </c>
      <c r="Q15" s="600"/>
      <c r="R15" s="608">
        <f t="shared" si="6"/>
        <v>0</v>
      </c>
      <c r="S15" s="601">
        <v>1</v>
      </c>
      <c r="T15" s="588"/>
      <c r="U15" s="588">
        <f t="shared" si="7"/>
        <v>1</v>
      </c>
      <c r="V15" s="605"/>
      <c r="W15" s="599">
        <v>3</v>
      </c>
      <c r="X15" s="600"/>
      <c r="Y15" s="608">
        <f t="shared" si="8"/>
        <v>0</v>
      </c>
      <c r="Z15" s="601">
        <v>1</v>
      </c>
      <c r="AA15" s="588"/>
      <c r="AB15" s="610">
        <f>U15-AA15-1</f>
        <v>0</v>
      </c>
      <c r="AC15" s="605"/>
      <c r="AD15" s="599">
        <v>3</v>
      </c>
      <c r="AE15" s="600"/>
      <c r="AF15" s="608">
        <f t="shared" si="10"/>
        <v>0</v>
      </c>
      <c r="AG15" s="601">
        <v>1</v>
      </c>
      <c r="AH15" s="588"/>
      <c r="AI15" s="610">
        <f>AB15-AH15</f>
        <v>0</v>
      </c>
    </row>
    <row r="16" spans="1:35" ht="15.75" x14ac:dyDescent="0.25">
      <c r="A16" s="605" t="s">
        <v>481</v>
      </c>
      <c r="B16" s="605" t="s">
        <v>190</v>
      </c>
      <c r="C16" s="606">
        <v>43178</v>
      </c>
      <c r="D16" s="606"/>
      <c r="E16" s="607">
        <v>1215400</v>
      </c>
      <c r="F16" s="588">
        <v>1</v>
      </c>
      <c r="G16" s="605"/>
      <c r="H16" s="599">
        <v>3</v>
      </c>
      <c r="I16" s="600"/>
      <c r="J16" s="608">
        <f t="shared" si="5"/>
        <v>0</v>
      </c>
      <c r="K16" s="601">
        <v>1</v>
      </c>
      <c r="L16" s="588"/>
      <c r="M16" s="588">
        <f t="shared" si="4"/>
        <v>1</v>
      </c>
      <c r="N16" s="588">
        <v>1</v>
      </c>
      <c r="O16" s="605"/>
      <c r="P16" s="599">
        <v>3</v>
      </c>
      <c r="Q16" s="600"/>
      <c r="R16" s="608">
        <f t="shared" si="6"/>
        <v>0</v>
      </c>
      <c r="S16" s="601">
        <v>1</v>
      </c>
      <c r="T16" s="588"/>
      <c r="U16" s="588">
        <f t="shared" si="7"/>
        <v>1</v>
      </c>
      <c r="V16" s="605"/>
      <c r="W16" s="599">
        <v>3</v>
      </c>
      <c r="X16" s="600"/>
      <c r="Y16" s="608">
        <f t="shared" si="8"/>
        <v>0</v>
      </c>
      <c r="Z16" s="601">
        <v>1</v>
      </c>
      <c r="AA16" s="588"/>
      <c r="AB16" s="610">
        <f>U16-AA16-1</f>
        <v>0</v>
      </c>
      <c r="AC16" s="605"/>
      <c r="AD16" s="599">
        <v>3</v>
      </c>
      <c r="AE16" s="600"/>
      <c r="AF16" s="608">
        <f t="shared" si="10"/>
        <v>0</v>
      </c>
      <c r="AG16" s="601">
        <v>1</v>
      </c>
      <c r="AH16" s="588"/>
      <c r="AI16" s="610">
        <f>AB16-AH16</f>
        <v>0</v>
      </c>
    </row>
    <row r="17" spans="1:35" ht="15.75" x14ac:dyDescent="0.25">
      <c r="A17" s="605" t="s">
        <v>482</v>
      </c>
      <c r="B17" s="605" t="s">
        <v>190</v>
      </c>
      <c r="C17" s="606">
        <v>43188</v>
      </c>
      <c r="D17" s="606"/>
      <c r="E17" s="607">
        <v>210000</v>
      </c>
      <c r="F17" s="588">
        <v>1</v>
      </c>
      <c r="G17" s="605"/>
      <c r="H17" s="599">
        <v>3</v>
      </c>
      <c r="I17" s="600"/>
      <c r="J17" s="608">
        <f t="shared" si="5"/>
        <v>0</v>
      </c>
      <c r="K17" s="601">
        <v>1</v>
      </c>
      <c r="L17" s="588"/>
      <c r="M17" s="588">
        <f t="shared" si="4"/>
        <v>1</v>
      </c>
      <c r="N17" s="588">
        <v>1</v>
      </c>
      <c r="O17" s="605"/>
      <c r="P17" s="599">
        <v>3</v>
      </c>
      <c r="Q17" s="600"/>
      <c r="R17" s="608">
        <f t="shared" si="6"/>
        <v>0</v>
      </c>
      <c r="S17" s="601">
        <v>1</v>
      </c>
      <c r="T17" s="588"/>
      <c r="U17" s="588">
        <f t="shared" si="7"/>
        <v>1</v>
      </c>
      <c r="V17" s="605"/>
      <c r="W17" s="599">
        <v>3</v>
      </c>
      <c r="X17" s="600"/>
      <c r="Y17" s="608">
        <f t="shared" si="8"/>
        <v>0</v>
      </c>
      <c r="Z17" s="601">
        <v>1</v>
      </c>
      <c r="AA17" s="588"/>
      <c r="AB17" s="588">
        <f t="shared" si="9"/>
        <v>1</v>
      </c>
      <c r="AC17" s="605"/>
      <c r="AD17" s="599">
        <v>3</v>
      </c>
      <c r="AE17" s="600"/>
      <c r="AF17" s="608">
        <f t="shared" si="10"/>
        <v>0</v>
      </c>
      <c r="AG17" s="601">
        <v>1</v>
      </c>
      <c r="AH17" s="588"/>
      <c r="AI17" s="588">
        <f t="shared" ref="AI17:AI21" si="13">AB17-AH17</f>
        <v>1</v>
      </c>
    </row>
    <row r="18" spans="1:35" ht="15.75" x14ac:dyDescent="0.25">
      <c r="A18" s="605" t="s">
        <v>736</v>
      </c>
      <c r="B18" s="605" t="s">
        <v>190</v>
      </c>
      <c r="C18" s="606">
        <v>43108</v>
      </c>
      <c r="D18" s="606"/>
      <c r="E18" s="607">
        <v>5575.5</v>
      </c>
      <c r="F18" s="588">
        <v>0</v>
      </c>
      <c r="G18" s="605"/>
      <c r="H18" s="599">
        <v>3</v>
      </c>
      <c r="I18" s="600"/>
      <c r="J18" s="608">
        <f t="shared" si="5"/>
        <v>0</v>
      </c>
      <c r="K18" s="601">
        <v>1</v>
      </c>
      <c r="L18" s="588"/>
      <c r="M18" s="588">
        <f t="shared" si="4"/>
        <v>0</v>
      </c>
      <c r="N18" s="588">
        <v>0</v>
      </c>
      <c r="O18" s="605"/>
      <c r="P18" s="599">
        <v>3</v>
      </c>
      <c r="Q18" s="600"/>
      <c r="R18" s="608">
        <f t="shared" si="6"/>
        <v>0</v>
      </c>
      <c r="S18" s="601">
        <v>1</v>
      </c>
      <c r="T18" s="588"/>
      <c r="U18" s="588">
        <f t="shared" si="7"/>
        <v>0</v>
      </c>
      <c r="V18" s="605"/>
      <c r="W18" s="599">
        <v>3</v>
      </c>
      <c r="X18" s="600"/>
      <c r="Y18" s="608">
        <f t="shared" si="8"/>
        <v>0</v>
      </c>
      <c r="Z18" s="601">
        <v>1</v>
      </c>
      <c r="AA18" s="588"/>
      <c r="AB18" s="588">
        <f t="shared" si="9"/>
        <v>0</v>
      </c>
      <c r="AC18" s="605"/>
      <c r="AD18" s="599">
        <v>3</v>
      </c>
      <c r="AE18" s="600"/>
      <c r="AF18" s="608">
        <f t="shared" si="10"/>
        <v>0</v>
      </c>
      <c r="AG18" s="601">
        <v>1</v>
      </c>
      <c r="AH18" s="588"/>
      <c r="AI18" s="588">
        <f t="shared" si="13"/>
        <v>0</v>
      </c>
    </row>
    <row r="19" spans="1:35" ht="15.75" x14ac:dyDescent="0.25">
      <c r="A19" s="605" t="s">
        <v>737</v>
      </c>
      <c r="B19" s="605" t="s">
        <v>190</v>
      </c>
      <c r="C19" s="606">
        <v>43167</v>
      </c>
      <c r="D19" s="606"/>
      <c r="E19" s="607">
        <v>6490</v>
      </c>
      <c r="F19" s="588">
        <v>0</v>
      </c>
      <c r="G19" s="605"/>
      <c r="H19" s="599">
        <v>3</v>
      </c>
      <c r="I19" s="600"/>
      <c r="J19" s="608">
        <f t="shared" si="5"/>
        <v>0</v>
      </c>
      <c r="K19" s="601">
        <v>1</v>
      </c>
      <c r="L19" s="588"/>
      <c r="M19" s="588">
        <f t="shared" si="4"/>
        <v>0</v>
      </c>
      <c r="N19" s="588">
        <v>0</v>
      </c>
      <c r="O19" s="605"/>
      <c r="P19" s="599">
        <v>3</v>
      </c>
      <c r="Q19" s="600"/>
      <c r="R19" s="608">
        <f t="shared" si="6"/>
        <v>0</v>
      </c>
      <c r="S19" s="601">
        <v>1</v>
      </c>
      <c r="T19" s="588"/>
      <c r="U19" s="588">
        <f t="shared" si="7"/>
        <v>0</v>
      </c>
      <c r="V19" s="605"/>
      <c r="W19" s="599">
        <v>3</v>
      </c>
      <c r="X19" s="600"/>
      <c r="Y19" s="608">
        <f t="shared" si="8"/>
        <v>0</v>
      </c>
      <c r="Z19" s="601">
        <v>1</v>
      </c>
      <c r="AA19" s="588"/>
      <c r="AB19" s="588">
        <f t="shared" si="9"/>
        <v>0</v>
      </c>
      <c r="AC19" s="605"/>
      <c r="AD19" s="599">
        <v>3</v>
      </c>
      <c r="AE19" s="600"/>
      <c r="AF19" s="608">
        <f t="shared" si="10"/>
        <v>0</v>
      </c>
      <c r="AG19" s="601">
        <v>1</v>
      </c>
      <c r="AH19" s="588"/>
      <c r="AI19" s="588">
        <f t="shared" si="13"/>
        <v>0</v>
      </c>
    </row>
    <row r="20" spans="1:35" ht="15.75" x14ac:dyDescent="0.25">
      <c r="A20" s="605" t="s">
        <v>466</v>
      </c>
      <c r="B20" s="605" t="s">
        <v>190</v>
      </c>
      <c r="C20" s="606">
        <v>43216</v>
      </c>
      <c r="D20" s="606"/>
      <c r="E20" s="607">
        <v>95580</v>
      </c>
      <c r="F20" s="588">
        <v>1</v>
      </c>
      <c r="G20" s="605"/>
      <c r="H20" s="599">
        <v>3</v>
      </c>
      <c r="I20" s="600"/>
      <c r="J20" s="608">
        <f>I20</f>
        <v>0</v>
      </c>
      <c r="K20" s="601">
        <v>1</v>
      </c>
      <c r="L20" s="588"/>
      <c r="M20" s="588">
        <f t="shared" si="4"/>
        <v>1</v>
      </c>
      <c r="N20" s="588">
        <v>1</v>
      </c>
      <c r="O20" s="605"/>
      <c r="P20" s="599">
        <v>3</v>
      </c>
      <c r="Q20" s="600"/>
      <c r="R20" s="608">
        <f>Q20</f>
        <v>0</v>
      </c>
      <c r="S20" s="601">
        <v>1</v>
      </c>
      <c r="T20" s="588"/>
      <c r="U20" s="588">
        <f t="shared" si="7"/>
        <v>1</v>
      </c>
      <c r="V20" s="605"/>
      <c r="W20" s="599">
        <v>3</v>
      </c>
      <c r="X20" s="600"/>
      <c r="Y20" s="608">
        <f>X20</f>
        <v>0</v>
      </c>
      <c r="Z20" s="601">
        <v>1</v>
      </c>
      <c r="AA20" s="588"/>
      <c r="AB20" s="588">
        <f t="shared" si="9"/>
        <v>1</v>
      </c>
      <c r="AC20" s="605"/>
      <c r="AD20" s="599">
        <v>3</v>
      </c>
      <c r="AE20" s="600"/>
      <c r="AF20" s="608">
        <f>AE20</f>
        <v>0</v>
      </c>
      <c r="AG20" s="601">
        <v>1</v>
      </c>
      <c r="AH20" s="588"/>
      <c r="AI20" s="588">
        <f t="shared" si="13"/>
        <v>1</v>
      </c>
    </row>
    <row r="21" spans="1:35" ht="15.75" x14ac:dyDescent="0.25">
      <c r="A21" s="605" t="s">
        <v>400</v>
      </c>
      <c r="B21" s="605" t="s">
        <v>190</v>
      </c>
      <c r="C21" s="606">
        <v>43216</v>
      </c>
      <c r="D21" s="606"/>
      <c r="E21" s="607">
        <v>171800</v>
      </c>
      <c r="F21" s="588">
        <v>1</v>
      </c>
      <c r="G21" s="605"/>
      <c r="H21" s="599">
        <v>3</v>
      </c>
      <c r="I21" s="600"/>
      <c r="J21" s="608">
        <f t="shared" ref="J21:J41" si="14">I21</f>
        <v>0</v>
      </c>
      <c r="K21" s="601">
        <v>1</v>
      </c>
      <c r="L21" s="588"/>
      <c r="M21" s="588">
        <f t="shared" si="4"/>
        <v>1</v>
      </c>
      <c r="N21" s="588">
        <v>1</v>
      </c>
      <c r="O21" s="605"/>
      <c r="P21" s="599">
        <v>3</v>
      </c>
      <c r="Q21" s="600"/>
      <c r="R21" s="608">
        <f t="shared" ref="R21:R41" si="15">Q21</f>
        <v>0</v>
      </c>
      <c r="S21" s="601">
        <v>1</v>
      </c>
      <c r="T21" s="588"/>
      <c r="U21" s="588">
        <f t="shared" si="7"/>
        <v>1</v>
      </c>
      <c r="V21" s="605"/>
      <c r="W21" s="599">
        <v>3</v>
      </c>
      <c r="X21" s="600"/>
      <c r="Y21" s="608">
        <f t="shared" ref="Y21:Y47" si="16">X21</f>
        <v>0</v>
      </c>
      <c r="Z21" s="601">
        <v>1</v>
      </c>
      <c r="AA21" s="588"/>
      <c r="AB21" s="588">
        <f t="shared" si="9"/>
        <v>1</v>
      </c>
      <c r="AC21" s="605"/>
      <c r="AD21" s="599">
        <v>3</v>
      </c>
      <c r="AE21" s="600"/>
      <c r="AF21" s="608">
        <f t="shared" ref="AF21:AF70" si="17">AE21</f>
        <v>0</v>
      </c>
      <c r="AG21" s="601">
        <v>1</v>
      </c>
      <c r="AH21" s="588"/>
      <c r="AI21" s="588">
        <f t="shared" si="13"/>
        <v>1</v>
      </c>
    </row>
    <row r="22" spans="1:35" ht="15.75" x14ac:dyDescent="0.25">
      <c r="A22" s="605" t="s">
        <v>483</v>
      </c>
      <c r="B22" s="605" t="s">
        <v>190</v>
      </c>
      <c r="C22" s="606">
        <v>43236</v>
      </c>
      <c r="D22" s="606"/>
      <c r="E22" s="607">
        <v>191160</v>
      </c>
      <c r="F22" s="588">
        <v>1</v>
      </c>
      <c r="G22" s="605"/>
      <c r="H22" s="599">
        <v>3</v>
      </c>
      <c r="I22" s="600"/>
      <c r="J22" s="608">
        <f t="shared" si="14"/>
        <v>0</v>
      </c>
      <c r="K22" s="601">
        <v>1</v>
      </c>
      <c r="L22" s="588"/>
      <c r="M22" s="588">
        <f t="shared" si="4"/>
        <v>1</v>
      </c>
      <c r="N22" s="588">
        <v>1</v>
      </c>
      <c r="O22" s="605"/>
      <c r="P22" s="599">
        <v>3</v>
      </c>
      <c r="Q22" s="600"/>
      <c r="R22" s="608">
        <f t="shared" si="15"/>
        <v>0</v>
      </c>
      <c r="S22" s="601">
        <v>1</v>
      </c>
      <c r="T22" s="588"/>
      <c r="U22" s="588">
        <f t="shared" si="7"/>
        <v>1</v>
      </c>
      <c r="V22" s="605"/>
      <c r="W22" s="599">
        <v>3</v>
      </c>
      <c r="X22" s="600"/>
      <c r="Y22" s="608">
        <f t="shared" si="16"/>
        <v>0</v>
      </c>
      <c r="Z22" s="601">
        <v>1</v>
      </c>
      <c r="AA22" s="588"/>
      <c r="AB22" s="610">
        <f>U22-AA22-1</f>
        <v>0</v>
      </c>
      <c r="AC22" s="605"/>
      <c r="AD22" s="599">
        <v>3</v>
      </c>
      <c r="AE22" s="600"/>
      <c r="AF22" s="608">
        <f t="shared" si="17"/>
        <v>0</v>
      </c>
      <c r="AG22" s="601">
        <v>1</v>
      </c>
      <c r="AH22" s="588"/>
      <c r="AI22" s="610">
        <f>AB22-AH22</f>
        <v>0</v>
      </c>
    </row>
    <row r="23" spans="1:35" ht="15.75" x14ac:dyDescent="0.25">
      <c r="A23" s="605" t="s">
        <v>484</v>
      </c>
      <c r="B23" s="605" t="s">
        <v>190</v>
      </c>
      <c r="C23" s="606">
        <v>43237</v>
      </c>
      <c r="D23" s="606"/>
      <c r="E23" s="607">
        <v>729240</v>
      </c>
      <c r="F23" s="588">
        <v>1</v>
      </c>
      <c r="G23" s="605"/>
      <c r="H23" s="599">
        <v>3</v>
      </c>
      <c r="I23" s="600"/>
      <c r="J23" s="608">
        <f t="shared" si="14"/>
        <v>0</v>
      </c>
      <c r="K23" s="601">
        <v>1</v>
      </c>
      <c r="L23" s="588"/>
      <c r="M23" s="588">
        <f t="shared" si="4"/>
        <v>1</v>
      </c>
      <c r="N23" s="588">
        <v>1</v>
      </c>
      <c r="O23" s="605"/>
      <c r="P23" s="599">
        <v>3</v>
      </c>
      <c r="Q23" s="600"/>
      <c r="R23" s="608">
        <f t="shared" si="15"/>
        <v>0</v>
      </c>
      <c r="S23" s="601">
        <v>1</v>
      </c>
      <c r="T23" s="588"/>
      <c r="U23" s="588">
        <f t="shared" si="7"/>
        <v>1</v>
      </c>
      <c r="V23" s="605"/>
      <c r="W23" s="599">
        <v>3</v>
      </c>
      <c r="X23" s="600"/>
      <c r="Y23" s="608">
        <f t="shared" si="16"/>
        <v>0</v>
      </c>
      <c r="Z23" s="601">
        <v>1</v>
      </c>
      <c r="AA23" s="588"/>
      <c r="AB23" s="610">
        <f>U23-AA23-1</f>
        <v>0</v>
      </c>
      <c r="AC23" s="605"/>
      <c r="AD23" s="599">
        <v>3</v>
      </c>
      <c r="AE23" s="600"/>
      <c r="AF23" s="608">
        <f t="shared" si="17"/>
        <v>0</v>
      </c>
      <c r="AG23" s="601">
        <v>1</v>
      </c>
      <c r="AH23" s="588"/>
      <c r="AI23" s="610">
        <f>AB23-AH23</f>
        <v>0</v>
      </c>
    </row>
    <row r="24" spans="1:35" ht="15.75" x14ac:dyDescent="0.25">
      <c r="A24" s="605" t="s">
        <v>488</v>
      </c>
      <c r="B24" s="605" t="s">
        <v>190</v>
      </c>
      <c r="C24" s="606">
        <v>43252</v>
      </c>
      <c r="D24" s="606"/>
      <c r="E24" s="607">
        <v>18085</v>
      </c>
      <c r="F24" s="588">
        <v>1</v>
      </c>
      <c r="G24" s="605"/>
      <c r="H24" s="599">
        <v>3</v>
      </c>
      <c r="I24" s="600"/>
      <c r="J24" s="608">
        <f t="shared" si="14"/>
        <v>0</v>
      </c>
      <c r="K24" s="601">
        <v>1</v>
      </c>
      <c r="L24" s="588"/>
      <c r="M24" s="588">
        <f t="shared" si="4"/>
        <v>1</v>
      </c>
      <c r="N24" s="588">
        <v>1</v>
      </c>
      <c r="O24" s="605"/>
      <c r="P24" s="599">
        <v>3</v>
      </c>
      <c r="Q24" s="600"/>
      <c r="R24" s="608">
        <f t="shared" si="15"/>
        <v>0</v>
      </c>
      <c r="S24" s="601">
        <v>1</v>
      </c>
      <c r="T24" s="588"/>
      <c r="U24" s="588">
        <f t="shared" si="7"/>
        <v>1</v>
      </c>
      <c r="V24" s="605"/>
      <c r="W24" s="599">
        <v>3</v>
      </c>
      <c r="X24" s="600"/>
      <c r="Y24" s="608">
        <f t="shared" si="16"/>
        <v>0</v>
      </c>
      <c r="Z24" s="601">
        <v>1</v>
      </c>
      <c r="AA24" s="588"/>
      <c r="AB24" s="588">
        <f t="shared" si="9"/>
        <v>1</v>
      </c>
      <c r="AC24" s="605"/>
      <c r="AD24" s="599">
        <v>3</v>
      </c>
      <c r="AE24" s="600"/>
      <c r="AF24" s="608">
        <f t="shared" si="17"/>
        <v>0</v>
      </c>
      <c r="AG24" s="601">
        <v>1</v>
      </c>
      <c r="AH24" s="588"/>
      <c r="AI24" s="588">
        <f t="shared" ref="AI24" si="18">AB24-AH24</f>
        <v>1</v>
      </c>
    </row>
    <row r="25" spans="1:35" ht="15.75" x14ac:dyDescent="0.25">
      <c r="A25" s="605" t="s">
        <v>468</v>
      </c>
      <c r="B25" s="605" t="s">
        <v>190</v>
      </c>
      <c r="C25" s="606">
        <v>43256</v>
      </c>
      <c r="D25" s="606"/>
      <c r="E25" s="607">
        <v>247800</v>
      </c>
      <c r="F25" s="588">
        <v>1</v>
      </c>
      <c r="G25" s="605"/>
      <c r="H25" s="599">
        <v>3</v>
      </c>
      <c r="I25" s="600"/>
      <c r="J25" s="608">
        <f t="shared" si="14"/>
        <v>0</v>
      </c>
      <c r="K25" s="601">
        <v>1</v>
      </c>
      <c r="L25" s="588"/>
      <c r="M25" s="588">
        <f t="shared" si="4"/>
        <v>1</v>
      </c>
      <c r="N25" s="588">
        <v>1</v>
      </c>
      <c r="O25" s="605"/>
      <c r="P25" s="599">
        <v>3</v>
      </c>
      <c r="Q25" s="600"/>
      <c r="R25" s="608">
        <f t="shared" si="15"/>
        <v>0</v>
      </c>
      <c r="S25" s="601">
        <v>1</v>
      </c>
      <c r="T25" s="588"/>
      <c r="U25" s="588">
        <f t="shared" si="7"/>
        <v>1</v>
      </c>
      <c r="V25" s="605"/>
      <c r="W25" s="599">
        <v>3</v>
      </c>
      <c r="X25" s="600"/>
      <c r="Y25" s="608">
        <f t="shared" si="16"/>
        <v>0</v>
      </c>
      <c r="Z25" s="601">
        <v>1</v>
      </c>
      <c r="AA25" s="588"/>
      <c r="AB25" s="610">
        <f>U25-AA25-1</f>
        <v>0</v>
      </c>
      <c r="AC25" s="605"/>
      <c r="AD25" s="599">
        <v>3</v>
      </c>
      <c r="AE25" s="600"/>
      <c r="AF25" s="608">
        <f t="shared" si="17"/>
        <v>0</v>
      </c>
      <c r="AG25" s="601">
        <v>1</v>
      </c>
      <c r="AH25" s="588"/>
      <c r="AI25" s="610">
        <f>AB25-AH25</f>
        <v>0</v>
      </c>
    </row>
    <row r="26" spans="1:35" ht="15.75" x14ac:dyDescent="0.25">
      <c r="A26" s="605" t="s">
        <v>469</v>
      </c>
      <c r="B26" s="605" t="s">
        <v>190</v>
      </c>
      <c r="C26" s="606">
        <v>43290</v>
      </c>
      <c r="D26" s="606"/>
      <c r="E26" s="607">
        <v>1030000</v>
      </c>
      <c r="F26" s="588">
        <v>1</v>
      </c>
      <c r="G26" s="605"/>
      <c r="H26" s="599">
        <v>3</v>
      </c>
      <c r="I26" s="600"/>
      <c r="J26" s="608">
        <f t="shared" si="14"/>
        <v>0</v>
      </c>
      <c r="K26" s="601">
        <v>1</v>
      </c>
      <c r="L26" s="588"/>
      <c r="M26" s="588">
        <f t="shared" si="4"/>
        <v>1</v>
      </c>
      <c r="N26" s="588">
        <v>1</v>
      </c>
      <c r="O26" s="605"/>
      <c r="P26" s="599">
        <v>3</v>
      </c>
      <c r="Q26" s="600"/>
      <c r="R26" s="608">
        <f t="shared" si="15"/>
        <v>0</v>
      </c>
      <c r="S26" s="601">
        <v>1</v>
      </c>
      <c r="T26" s="588"/>
      <c r="U26" s="588">
        <f t="shared" si="7"/>
        <v>1</v>
      </c>
      <c r="V26" s="605"/>
      <c r="W26" s="599">
        <v>3</v>
      </c>
      <c r="X26" s="600"/>
      <c r="Y26" s="608">
        <f t="shared" si="16"/>
        <v>0</v>
      </c>
      <c r="Z26" s="601">
        <v>1</v>
      </c>
      <c r="AA26" s="588"/>
      <c r="AB26" s="610">
        <f>U26-AA26-1</f>
        <v>0</v>
      </c>
      <c r="AC26" s="605"/>
      <c r="AD26" s="599">
        <v>3</v>
      </c>
      <c r="AE26" s="600"/>
      <c r="AF26" s="608">
        <f t="shared" si="17"/>
        <v>0</v>
      </c>
      <c r="AG26" s="601">
        <v>1</v>
      </c>
      <c r="AH26" s="588"/>
      <c r="AI26" s="610">
        <f>AB26-AH26</f>
        <v>0</v>
      </c>
    </row>
    <row r="27" spans="1:35" ht="15.75" x14ac:dyDescent="0.25">
      <c r="A27" s="605" t="s">
        <v>493</v>
      </c>
      <c r="B27" s="605" t="s">
        <v>190</v>
      </c>
      <c r="C27" s="606">
        <v>43295</v>
      </c>
      <c r="D27" s="606"/>
      <c r="E27" s="607">
        <v>21000</v>
      </c>
      <c r="F27" s="588">
        <v>1</v>
      </c>
      <c r="G27" s="605"/>
      <c r="H27" s="599">
        <v>3</v>
      </c>
      <c r="I27" s="600"/>
      <c r="J27" s="608">
        <f t="shared" si="14"/>
        <v>0</v>
      </c>
      <c r="K27" s="601">
        <v>1</v>
      </c>
      <c r="L27" s="588"/>
      <c r="M27" s="588">
        <f t="shared" si="4"/>
        <v>1</v>
      </c>
      <c r="N27" s="588">
        <v>1</v>
      </c>
      <c r="O27" s="605"/>
      <c r="P27" s="599">
        <v>3</v>
      </c>
      <c r="Q27" s="600"/>
      <c r="R27" s="608">
        <f t="shared" si="15"/>
        <v>0</v>
      </c>
      <c r="S27" s="601">
        <v>1</v>
      </c>
      <c r="T27" s="588"/>
      <c r="U27" s="588">
        <f t="shared" si="7"/>
        <v>1</v>
      </c>
      <c r="V27" s="605"/>
      <c r="W27" s="599">
        <v>3</v>
      </c>
      <c r="X27" s="600"/>
      <c r="Y27" s="608">
        <f t="shared" si="16"/>
        <v>0</v>
      </c>
      <c r="Z27" s="601">
        <v>1</v>
      </c>
      <c r="AA27" s="588"/>
      <c r="AB27" s="588">
        <f t="shared" si="9"/>
        <v>1</v>
      </c>
      <c r="AC27" s="605"/>
      <c r="AD27" s="599">
        <v>3</v>
      </c>
      <c r="AE27" s="600"/>
      <c r="AF27" s="608">
        <f t="shared" si="17"/>
        <v>0</v>
      </c>
      <c r="AG27" s="601">
        <v>1</v>
      </c>
      <c r="AH27" s="588"/>
      <c r="AI27" s="588">
        <f t="shared" ref="AI27:AI31" si="19">AB27-AH27</f>
        <v>1</v>
      </c>
    </row>
    <row r="28" spans="1:35" ht="15.75" x14ac:dyDescent="0.25">
      <c r="A28" s="605" t="s">
        <v>487</v>
      </c>
      <c r="B28" s="605" t="s">
        <v>190</v>
      </c>
      <c r="C28" s="606">
        <v>43295</v>
      </c>
      <c r="D28" s="606"/>
      <c r="E28" s="607">
        <v>17200</v>
      </c>
      <c r="F28" s="588">
        <v>1</v>
      </c>
      <c r="G28" s="605"/>
      <c r="H28" s="599">
        <v>3</v>
      </c>
      <c r="I28" s="600"/>
      <c r="J28" s="608">
        <f t="shared" si="14"/>
        <v>0</v>
      </c>
      <c r="K28" s="601">
        <v>1</v>
      </c>
      <c r="L28" s="588"/>
      <c r="M28" s="588">
        <f t="shared" si="4"/>
        <v>1</v>
      </c>
      <c r="N28" s="588">
        <v>1</v>
      </c>
      <c r="O28" s="605"/>
      <c r="P28" s="599">
        <v>3</v>
      </c>
      <c r="Q28" s="600"/>
      <c r="R28" s="608">
        <f t="shared" si="15"/>
        <v>0</v>
      </c>
      <c r="S28" s="601">
        <v>1</v>
      </c>
      <c r="T28" s="588"/>
      <c r="U28" s="588">
        <f t="shared" si="7"/>
        <v>1</v>
      </c>
      <c r="V28" s="605"/>
      <c r="W28" s="599">
        <v>3</v>
      </c>
      <c r="X28" s="600"/>
      <c r="Y28" s="608">
        <f t="shared" si="16"/>
        <v>0</v>
      </c>
      <c r="Z28" s="601">
        <v>1</v>
      </c>
      <c r="AA28" s="588"/>
      <c r="AB28" s="588">
        <f t="shared" si="9"/>
        <v>1</v>
      </c>
      <c r="AC28" s="605"/>
      <c r="AD28" s="599">
        <v>3</v>
      </c>
      <c r="AE28" s="600"/>
      <c r="AF28" s="608">
        <f t="shared" si="17"/>
        <v>0</v>
      </c>
      <c r="AG28" s="601">
        <v>1</v>
      </c>
      <c r="AH28" s="588"/>
      <c r="AI28" s="588">
        <f t="shared" si="19"/>
        <v>1</v>
      </c>
    </row>
    <row r="29" spans="1:35" ht="15.75" x14ac:dyDescent="0.25">
      <c r="A29" s="605" t="s">
        <v>498</v>
      </c>
      <c r="B29" s="605" t="s">
        <v>190</v>
      </c>
      <c r="C29" s="606">
        <v>43302</v>
      </c>
      <c r="D29" s="606"/>
      <c r="E29" s="607">
        <v>5850</v>
      </c>
      <c r="F29" s="588">
        <v>1</v>
      </c>
      <c r="G29" s="605"/>
      <c r="H29" s="599">
        <v>3</v>
      </c>
      <c r="I29" s="600"/>
      <c r="J29" s="608">
        <f t="shared" si="14"/>
        <v>0</v>
      </c>
      <c r="K29" s="601">
        <v>1</v>
      </c>
      <c r="L29" s="588"/>
      <c r="M29" s="588">
        <f t="shared" si="4"/>
        <v>1</v>
      </c>
      <c r="N29" s="588">
        <v>1</v>
      </c>
      <c r="O29" s="605"/>
      <c r="P29" s="599">
        <v>3</v>
      </c>
      <c r="Q29" s="600"/>
      <c r="R29" s="608">
        <f t="shared" si="15"/>
        <v>0</v>
      </c>
      <c r="S29" s="601">
        <v>1</v>
      </c>
      <c r="T29" s="588"/>
      <c r="U29" s="588">
        <f t="shared" si="7"/>
        <v>1</v>
      </c>
      <c r="V29" s="605"/>
      <c r="W29" s="599">
        <v>3</v>
      </c>
      <c r="X29" s="600"/>
      <c r="Y29" s="608">
        <f t="shared" si="16"/>
        <v>0</v>
      </c>
      <c r="Z29" s="601">
        <v>1</v>
      </c>
      <c r="AA29" s="588"/>
      <c r="AB29" s="588">
        <f t="shared" si="9"/>
        <v>1</v>
      </c>
      <c r="AC29" s="605"/>
      <c r="AD29" s="599">
        <v>3</v>
      </c>
      <c r="AE29" s="600"/>
      <c r="AF29" s="608">
        <f t="shared" si="17"/>
        <v>0</v>
      </c>
      <c r="AG29" s="601">
        <v>1</v>
      </c>
      <c r="AH29" s="588"/>
      <c r="AI29" s="588">
        <f t="shared" si="19"/>
        <v>1</v>
      </c>
    </row>
    <row r="30" spans="1:35" ht="15.75" x14ac:dyDescent="0.25">
      <c r="A30" s="605" t="s">
        <v>454</v>
      </c>
      <c r="B30" s="605" t="s">
        <v>190</v>
      </c>
      <c r="C30" s="606">
        <v>43314</v>
      </c>
      <c r="D30" s="606"/>
      <c r="E30" s="607">
        <v>330000</v>
      </c>
      <c r="F30" s="588">
        <v>1</v>
      </c>
      <c r="G30" s="605"/>
      <c r="H30" s="599">
        <v>3</v>
      </c>
      <c r="I30" s="600"/>
      <c r="J30" s="608">
        <f t="shared" si="14"/>
        <v>0</v>
      </c>
      <c r="K30" s="601">
        <v>1</v>
      </c>
      <c r="L30" s="588"/>
      <c r="M30" s="588">
        <f t="shared" si="4"/>
        <v>1</v>
      </c>
      <c r="N30" s="588">
        <v>1</v>
      </c>
      <c r="O30" s="605"/>
      <c r="P30" s="599">
        <v>3</v>
      </c>
      <c r="Q30" s="600"/>
      <c r="R30" s="608">
        <f t="shared" si="15"/>
        <v>0</v>
      </c>
      <c r="S30" s="601">
        <v>1</v>
      </c>
      <c r="T30" s="588"/>
      <c r="U30" s="588">
        <f t="shared" si="7"/>
        <v>1</v>
      </c>
      <c r="V30" s="605"/>
      <c r="W30" s="599">
        <v>3</v>
      </c>
      <c r="X30" s="600"/>
      <c r="Y30" s="608">
        <f t="shared" si="16"/>
        <v>0</v>
      </c>
      <c r="Z30" s="601">
        <v>1</v>
      </c>
      <c r="AA30" s="588"/>
      <c r="AB30" s="588">
        <f t="shared" si="9"/>
        <v>1</v>
      </c>
      <c r="AC30" s="605"/>
      <c r="AD30" s="599">
        <v>3</v>
      </c>
      <c r="AE30" s="600"/>
      <c r="AF30" s="608">
        <f t="shared" si="17"/>
        <v>0</v>
      </c>
      <c r="AG30" s="601">
        <v>1</v>
      </c>
      <c r="AH30" s="588"/>
      <c r="AI30" s="588">
        <f t="shared" si="19"/>
        <v>1</v>
      </c>
    </row>
    <row r="31" spans="1:35" ht="15.75" x14ac:dyDescent="0.25">
      <c r="A31" s="605" t="s">
        <v>495</v>
      </c>
      <c r="B31" s="605" t="s">
        <v>190</v>
      </c>
      <c r="C31" s="606">
        <v>43344</v>
      </c>
      <c r="D31" s="606"/>
      <c r="E31" s="607">
        <v>47232</v>
      </c>
      <c r="F31" s="588">
        <v>1</v>
      </c>
      <c r="G31" s="605"/>
      <c r="H31" s="599">
        <v>3</v>
      </c>
      <c r="I31" s="600"/>
      <c r="J31" s="608">
        <f t="shared" si="14"/>
        <v>0</v>
      </c>
      <c r="K31" s="601">
        <v>1</v>
      </c>
      <c r="L31" s="588"/>
      <c r="M31" s="588">
        <f t="shared" si="4"/>
        <v>1</v>
      </c>
      <c r="N31" s="588">
        <v>1</v>
      </c>
      <c r="O31" s="605"/>
      <c r="P31" s="599">
        <v>3</v>
      </c>
      <c r="Q31" s="600"/>
      <c r="R31" s="608">
        <f t="shared" si="15"/>
        <v>0</v>
      </c>
      <c r="S31" s="601">
        <v>1</v>
      </c>
      <c r="T31" s="588"/>
      <c r="U31" s="588">
        <f t="shared" si="7"/>
        <v>1</v>
      </c>
      <c r="V31" s="605"/>
      <c r="W31" s="599">
        <v>3</v>
      </c>
      <c r="X31" s="600"/>
      <c r="Y31" s="608">
        <f t="shared" si="16"/>
        <v>0</v>
      </c>
      <c r="Z31" s="601">
        <v>1</v>
      </c>
      <c r="AA31" s="588"/>
      <c r="AB31" s="588">
        <f t="shared" si="9"/>
        <v>1</v>
      </c>
      <c r="AC31" s="605"/>
      <c r="AD31" s="599">
        <v>3</v>
      </c>
      <c r="AE31" s="600"/>
      <c r="AF31" s="608">
        <f t="shared" si="17"/>
        <v>0</v>
      </c>
      <c r="AG31" s="601">
        <v>1</v>
      </c>
      <c r="AH31" s="588"/>
      <c r="AI31" s="588">
        <f t="shared" si="19"/>
        <v>1</v>
      </c>
    </row>
    <row r="32" spans="1:35" ht="15.75" x14ac:dyDescent="0.25">
      <c r="A32" s="605" t="s">
        <v>470</v>
      </c>
      <c r="B32" s="605" t="s">
        <v>190</v>
      </c>
      <c r="C32" s="606">
        <v>43349</v>
      </c>
      <c r="D32" s="606"/>
      <c r="E32" s="607">
        <v>1030000</v>
      </c>
      <c r="F32" s="588">
        <v>1</v>
      </c>
      <c r="G32" s="605"/>
      <c r="H32" s="599">
        <v>3</v>
      </c>
      <c r="I32" s="600"/>
      <c r="J32" s="608">
        <f t="shared" si="14"/>
        <v>0</v>
      </c>
      <c r="K32" s="601">
        <v>1</v>
      </c>
      <c r="L32" s="588"/>
      <c r="M32" s="588">
        <f t="shared" si="4"/>
        <v>1</v>
      </c>
      <c r="N32" s="588">
        <v>1</v>
      </c>
      <c r="O32" s="605"/>
      <c r="P32" s="599">
        <v>3</v>
      </c>
      <c r="Q32" s="600"/>
      <c r="R32" s="608">
        <f t="shared" si="15"/>
        <v>0</v>
      </c>
      <c r="S32" s="601">
        <v>1</v>
      </c>
      <c r="T32" s="588"/>
      <c r="U32" s="588">
        <f t="shared" si="7"/>
        <v>1</v>
      </c>
      <c r="V32" s="605"/>
      <c r="W32" s="599">
        <v>3</v>
      </c>
      <c r="X32" s="600"/>
      <c r="Y32" s="608">
        <f t="shared" si="16"/>
        <v>0</v>
      </c>
      <c r="Z32" s="601">
        <v>1</v>
      </c>
      <c r="AA32" s="588"/>
      <c r="AB32" s="610">
        <f>U32-AA32-1</f>
        <v>0</v>
      </c>
      <c r="AC32" s="605"/>
      <c r="AD32" s="599">
        <v>3</v>
      </c>
      <c r="AE32" s="600"/>
      <c r="AF32" s="608">
        <f t="shared" si="17"/>
        <v>0</v>
      </c>
      <c r="AG32" s="601">
        <v>1</v>
      </c>
      <c r="AH32" s="588"/>
      <c r="AI32" s="610">
        <f>AB32-AH32</f>
        <v>0</v>
      </c>
    </row>
    <row r="33" spans="1:35" ht="15.75" x14ac:dyDescent="0.25">
      <c r="A33" s="605" t="s">
        <v>738</v>
      </c>
      <c r="B33" s="605" t="s">
        <v>190</v>
      </c>
      <c r="C33" s="606">
        <v>43381</v>
      </c>
      <c r="D33" s="606"/>
      <c r="E33" s="607">
        <v>61073</v>
      </c>
      <c r="F33" s="588">
        <v>1</v>
      </c>
      <c r="G33" s="605"/>
      <c r="H33" s="599">
        <v>3</v>
      </c>
      <c r="I33" s="600"/>
      <c r="J33" s="608">
        <f t="shared" si="14"/>
        <v>0</v>
      </c>
      <c r="K33" s="601">
        <v>1</v>
      </c>
      <c r="L33" s="588"/>
      <c r="M33" s="588">
        <f t="shared" si="4"/>
        <v>1</v>
      </c>
      <c r="N33" s="588">
        <v>1</v>
      </c>
      <c r="O33" s="605"/>
      <c r="P33" s="599">
        <v>3</v>
      </c>
      <c r="Q33" s="600"/>
      <c r="R33" s="608">
        <f t="shared" si="15"/>
        <v>0</v>
      </c>
      <c r="S33" s="601">
        <v>1</v>
      </c>
      <c r="T33" s="588"/>
      <c r="U33" s="588">
        <f t="shared" si="7"/>
        <v>1</v>
      </c>
      <c r="V33" s="605"/>
      <c r="W33" s="599">
        <v>3</v>
      </c>
      <c r="X33" s="600"/>
      <c r="Y33" s="608">
        <f t="shared" si="16"/>
        <v>0</v>
      </c>
      <c r="Z33" s="601">
        <v>1</v>
      </c>
      <c r="AA33" s="588"/>
      <c r="AB33" s="588">
        <f t="shared" si="9"/>
        <v>1</v>
      </c>
      <c r="AC33" s="605"/>
      <c r="AD33" s="599">
        <v>3</v>
      </c>
      <c r="AE33" s="600"/>
      <c r="AF33" s="608">
        <f t="shared" si="17"/>
        <v>0</v>
      </c>
      <c r="AG33" s="601">
        <v>1</v>
      </c>
      <c r="AH33" s="588"/>
      <c r="AI33" s="588">
        <f t="shared" ref="AI33:AI35" si="20">AB33-AH33</f>
        <v>1</v>
      </c>
    </row>
    <row r="34" spans="1:35" ht="15.75" x14ac:dyDescent="0.25">
      <c r="A34" s="605" t="s">
        <v>485</v>
      </c>
      <c r="B34" s="605" t="s">
        <v>190</v>
      </c>
      <c r="C34" s="606">
        <v>43395</v>
      </c>
      <c r="D34" s="606"/>
      <c r="E34" s="607">
        <v>78000</v>
      </c>
      <c r="F34" s="588">
        <v>1</v>
      </c>
      <c r="G34" s="605"/>
      <c r="H34" s="599">
        <v>3</v>
      </c>
      <c r="I34" s="600"/>
      <c r="J34" s="608">
        <f t="shared" si="14"/>
        <v>0</v>
      </c>
      <c r="K34" s="601">
        <v>1</v>
      </c>
      <c r="L34" s="588"/>
      <c r="M34" s="588">
        <f t="shared" si="4"/>
        <v>1</v>
      </c>
      <c r="N34" s="588">
        <v>1</v>
      </c>
      <c r="O34" s="605"/>
      <c r="P34" s="599">
        <v>3</v>
      </c>
      <c r="Q34" s="600"/>
      <c r="R34" s="608">
        <f t="shared" si="15"/>
        <v>0</v>
      </c>
      <c r="S34" s="601">
        <v>1</v>
      </c>
      <c r="T34" s="588"/>
      <c r="U34" s="588">
        <f t="shared" si="7"/>
        <v>1</v>
      </c>
      <c r="V34" s="605"/>
      <c r="W34" s="599">
        <v>3</v>
      </c>
      <c r="X34" s="600"/>
      <c r="Y34" s="608">
        <f t="shared" si="16"/>
        <v>0</v>
      </c>
      <c r="Z34" s="601">
        <v>1</v>
      </c>
      <c r="AA34" s="588"/>
      <c r="AB34" s="588">
        <f t="shared" si="9"/>
        <v>1</v>
      </c>
      <c r="AC34" s="605"/>
      <c r="AD34" s="599">
        <v>3</v>
      </c>
      <c r="AE34" s="600"/>
      <c r="AF34" s="608">
        <f t="shared" si="17"/>
        <v>0</v>
      </c>
      <c r="AG34" s="601">
        <v>1</v>
      </c>
      <c r="AH34" s="588"/>
      <c r="AI34" s="588">
        <f t="shared" si="20"/>
        <v>1</v>
      </c>
    </row>
    <row r="35" spans="1:35" ht="15.75" x14ac:dyDescent="0.25">
      <c r="A35" s="605" t="s">
        <v>486</v>
      </c>
      <c r="B35" s="605" t="s">
        <v>190</v>
      </c>
      <c r="C35" s="606">
        <v>43399</v>
      </c>
      <c r="D35" s="606"/>
      <c r="E35" s="607">
        <v>39000</v>
      </c>
      <c r="F35" s="588">
        <v>1</v>
      </c>
      <c r="G35" s="605"/>
      <c r="H35" s="599">
        <v>3</v>
      </c>
      <c r="I35" s="600"/>
      <c r="J35" s="608">
        <f t="shared" si="14"/>
        <v>0</v>
      </c>
      <c r="K35" s="601">
        <v>1</v>
      </c>
      <c r="L35" s="588"/>
      <c r="M35" s="588">
        <f t="shared" si="4"/>
        <v>1</v>
      </c>
      <c r="N35" s="588">
        <v>1</v>
      </c>
      <c r="O35" s="605"/>
      <c r="P35" s="599">
        <v>3</v>
      </c>
      <c r="Q35" s="600"/>
      <c r="R35" s="608">
        <f t="shared" si="15"/>
        <v>0</v>
      </c>
      <c r="S35" s="601">
        <v>1</v>
      </c>
      <c r="T35" s="588"/>
      <c r="U35" s="588">
        <f t="shared" si="7"/>
        <v>1</v>
      </c>
      <c r="V35" s="605"/>
      <c r="W35" s="599">
        <v>3</v>
      </c>
      <c r="X35" s="600"/>
      <c r="Y35" s="608">
        <f t="shared" si="16"/>
        <v>0</v>
      </c>
      <c r="Z35" s="601">
        <v>1</v>
      </c>
      <c r="AA35" s="588"/>
      <c r="AB35" s="588">
        <f t="shared" si="9"/>
        <v>1</v>
      </c>
      <c r="AC35" s="605"/>
      <c r="AD35" s="599">
        <v>3</v>
      </c>
      <c r="AE35" s="600"/>
      <c r="AF35" s="608">
        <f t="shared" si="17"/>
        <v>0</v>
      </c>
      <c r="AG35" s="601">
        <v>1</v>
      </c>
      <c r="AH35" s="588"/>
      <c r="AI35" s="588">
        <f t="shared" si="20"/>
        <v>1</v>
      </c>
    </row>
    <row r="36" spans="1:35" ht="15.75" x14ac:dyDescent="0.25">
      <c r="A36" s="605" t="s">
        <v>471</v>
      </c>
      <c r="B36" s="605" t="s">
        <v>190</v>
      </c>
      <c r="C36" s="606">
        <v>43440</v>
      </c>
      <c r="D36" s="606"/>
      <c r="E36" s="607">
        <v>1135000</v>
      </c>
      <c r="F36" s="588">
        <v>1</v>
      </c>
      <c r="G36" s="605"/>
      <c r="H36" s="599">
        <v>3</v>
      </c>
      <c r="I36" s="600"/>
      <c r="J36" s="608">
        <f t="shared" si="14"/>
        <v>0</v>
      </c>
      <c r="K36" s="601">
        <v>1</v>
      </c>
      <c r="L36" s="588"/>
      <c r="M36" s="588">
        <f t="shared" si="4"/>
        <v>1</v>
      </c>
      <c r="N36" s="588">
        <v>1</v>
      </c>
      <c r="O36" s="605"/>
      <c r="P36" s="599">
        <v>3</v>
      </c>
      <c r="Q36" s="600"/>
      <c r="R36" s="608">
        <f t="shared" si="15"/>
        <v>0</v>
      </c>
      <c r="S36" s="601">
        <v>1</v>
      </c>
      <c r="T36" s="588"/>
      <c r="U36" s="588">
        <f t="shared" si="7"/>
        <v>1</v>
      </c>
      <c r="V36" s="605"/>
      <c r="W36" s="599">
        <v>3</v>
      </c>
      <c r="X36" s="600"/>
      <c r="Y36" s="608">
        <f t="shared" si="16"/>
        <v>0</v>
      </c>
      <c r="Z36" s="601">
        <v>1</v>
      </c>
      <c r="AA36" s="588"/>
      <c r="AB36" s="610">
        <f>U36-AA36-1</f>
        <v>0</v>
      </c>
      <c r="AC36" s="605"/>
      <c r="AD36" s="599">
        <v>3</v>
      </c>
      <c r="AE36" s="600"/>
      <c r="AF36" s="608">
        <f t="shared" si="17"/>
        <v>0</v>
      </c>
      <c r="AG36" s="601">
        <v>1</v>
      </c>
      <c r="AH36" s="588"/>
      <c r="AI36" s="610">
        <f>AB36-AH36</f>
        <v>0</v>
      </c>
    </row>
    <row r="37" spans="1:35" ht="15.75" x14ac:dyDescent="0.25">
      <c r="A37" s="605" t="s">
        <v>472</v>
      </c>
      <c r="B37" s="605" t="s">
        <v>190</v>
      </c>
      <c r="C37" s="606">
        <v>43469</v>
      </c>
      <c r="D37" s="606"/>
      <c r="E37" s="607">
        <v>1120000</v>
      </c>
      <c r="F37" s="588">
        <v>1</v>
      </c>
      <c r="G37" s="605"/>
      <c r="H37" s="599">
        <v>3</v>
      </c>
      <c r="I37" s="600"/>
      <c r="J37" s="608">
        <f t="shared" si="14"/>
        <v>0</v>
      </c>
      <c r="K37" s="601">
        <v>1</v>
      </c>
      <c r="L37" s="588"/>
      <c r="M37" s="588">
        <f t="shared" si="4"/>
        <v>1</v>
      </c>
      <c r="N37" s="588">
        <v>1</v>
      </c>
      <c r="O37" s="605"/>
      <c r="P37" s="599">
        <v>3</v>
      </c>
      <c r="Q37" s="600"/>
      <c r="R37" s="608">
        <f t="shared" si="15"/>
        <v>0</v>
      </c>
      <c r="S37" s="601">
        <v>1</v>
      </c>
      <c r="T37" s="588"/>
      <c r="U37" s="588">
        <f t="shared" si="7"/>
        <v>1</v>
      </c>
      <c r="V37" s="605"/>
      <c r="W37" s="599">
        <v>3</v>
      </c>
      <c r="X37" s="600"/>
      <c r="Y37" s="608">
        <f t="shared" si="16"/>
        <v>0</v>
      </c>
      <c r="Z37" s="601">
        <v>1</v>
      </c>
      <c r="AA37" s="588"/>
      <c r="AB37" s="610">
        <f>U37-AA37-1</f>
        <v>0</v>
      </c>
      <c r="AC37" s="605"/>
      <c r="AD37" s="599">
        <v>3</v>
      </c>
      <c r="AE37" s="600"/>
      <c r="AF37" s="608">
        <f t="shared" si="17"/>
        <v>0</v>
      </c>
      <c r="AG37" s="601">
        <v>1</v>
      </c>
      <c r="AH37" s="588"/>
      <c r="AI37" s="610">
        <f>AB37-AH37</f>
        <v>0</v>
      </c>
    </row>
    <row r="38" spans="1:35" ht="15.75" x14ac:dyDescent="0.25">
      <c r="A38" s="605" t="s">
        <v>473</v>
      </c>
      <c r="B38" s="605" t="s">
        <v>190</v>
      </c>
      <c r="C38" s="606">
        <v>43474</v>
      </c>
      <c r="D38" s="606"/>
      <c r="E38" s="607">
        <v>560000</v>
      </c>
      <c r="F38" s="588">
        <v>1</v>
      </c>
      <c r="G38" s="605"/>
      <c r="H38" s="599">
        <v>3</v>
      </c>
      <c r="I38" s="600"/>
      <c r="J38" s="608">
        <f t="shared" si="14"/>
        <v>0</v>
      </c>
      <c r="K38" s="601">
        <v>1</v>
      </c>
      <c r="L38" s="588"/>
      <c r="M38" s="588">
        <f t="shared" si="4"/>
        <v>1</v>
      </c>
      <c r="N38" s="588">
        <v>1</v>
      </c>
      <c r="O38" s="605"/>
      <c r="P38" s="599">
        <v>3</v>
      </c>
      <c r="Q38" s="600"/>
      <c r="R38" s="608">
        <f t="shared" si="15"/>
        <v>0</v>
      </c>
      <c r="S38" s="601">
        <v>1</v>
      </c>
      <c r="T38" s="588"/>
      <c r="U38" s="588">
        <f t="shared" si="7"/>
        <v>1</v>
      </c>
      <c r="V38" s="605"/>
      <c r="W38" s="599">
        <v>3</v>
      </c>
      <c r="X38" s="600"/>
      <c r="Y38" s="608">
        <f t="shared" si="16"/>
        <v>0</v>
      </c>
      <c r="Z38" s="601">
        <v>1</v>
      </c>
      <c r="AA38" s="588"/>
      <c r="AB38" s="610">
        <f>U38-AA38-1</f>
        <v>0</v>
      </c>
      <c r="AC38" s="605"/>
      <c r="AD38" s="599">
        <v>3</v>
      </c>
      <c r="AE38" s="600"/>
      <c r="AF38" s="608">
        <f t="shared" si="17"/>
        <v>0</v>
      </c>
      <c r="AG38" s="601">
        <v>1</v>
      </c>
      <c r="AH38" s="588"/>
      <c r="AI38" s="610">
        <f>AB38-AH38</f>
        <v>0</v>
      </c>
    </row>
    <row r="39" spans="1:35" ht="15.75" x14ac:dyDescent="0.25">
      <c r="A39" s="605" t="s">
        <v>474</v>
      </c>
      <c r="B39" s="605" t="s">
        <v>190</v>
      </c>
      <c r="C39" s="606">
        <v>43476</v>
      </c>
      <c r="D39" s="606"/>
      <c r="E39" s="607">
        <v>560000</v>
      </c>
      <c r="F39" s="588">
        <v>1</v>
      </c>
      <c r="G39" s="605"/>
      <c r="H39" s="599">
        <v>3</v>
      </c>
      <c r="I39" s="600"/>
      <c r="J39" s="608">
        <f t="shared" si="14"/>
        <v>0</v>
      </c>
      <c r="K39" s="601">
        <v>1</v>
      </c>
      <c r="L39" s="588"/>
      <c r="M39" s="588">
        <f t="shared" si="4"/>
        <v>1</v>
      </c>
      <c r="N39" s="588">
        <v>1</v>
      </c>
      <c r="O39" s="605"/>
      <c r="P39" s="599">
        <v>3</v>
      </c>
      <c r="Q39" s="600"/>
      <c r="R39" s="608">
        <f t="shared" si="15"/>
        <v>0</v>
      </c>
      <c r="S39" s="601">
        <v>1</v>
      </c>
      <c r="T39" s="588"/>
      <c r="U39" s="588">
        <f t="shared" si="7"/>
        <v>1</v>
      </c>
      <c r="V39" s="605"/>
      <c r="W39" s="599">
        <v>3</v>
      </c>
      <c r="X39" s="600"/>
      <c r="Y39" s="608">
        <f t="shared" si="16"/>
        <v>0</v>
      </c>
      <c r="Z39" s="601">
        <v>1</v>
      </c>
      <c r="AA39" s="588"/>
      <c r="AB39" s="610">
        <f>U39-AA39-1</f>
        <v>0</v>
      </c>
      <c r="AC39" s="605"/>
      <c r="AD39" s="599">
        <v>3</v>
      </c>
      <c r="AE39" s="600"/>
      <c r="AF39" s="608">
        <f t="shared" si="17"/>
        <v>0</v>
      </c>
      <c r="AG39" s="601">
        <v>1</v>
      </c>
      <c r="AH39" s="588"/>
      <c r="AI39" s="610">
        <f>AB39-AH39</f>
        <v>0</v>
      </c>
    </row>
    <row r="40" spans="1:35" ht="15.75" x14ac:dyDescent="0.25">
      <c r="A40" s="605" t="s">
        <v>457</v>
      </c>
      <c r="B40" s="605" t="s">
        <v>190</v>
      </c>
      <c r="C40" s="606">
        <v>43507</v>
      </c>
      <c r="D40" s="606"/>
      <c r="E40" s="607">
        <v>16950</v>
      </c>
      <c r="F40" s="588">
        <v>1</v>
      </c>
      <c r="G40" s="605"/>
      <c r="H40" s="599">
        <v>3</v>
      </c>
      <c r="I40" s="600"/>
      <c r="J40" s="608">
        <f t="shared" si="14"/>
        <v>0</v>
      </c>
      <c r="K40" s="601">
        <v>1</v>
      </c>
      <c r="L40" s="588"/>
      <c r="M40" s="588">
        <f t="shared" si="4"/>
        <v>1</v>
      </c>
      <c r="N40" s="588">
        <v>1</v>
      </c>
      <c r="O40" s="605"/>
      <c r="P40" s="599">
        <v>3</v>
      </c>
      <c r="Q40" s="600"/>
      <c r="R40" s="608">
        <f t="shared" si="15"/>
        <v>0</v>
      </c>
      <c r="S40" s="601">
        <v>1</v>
      </c>
      <c r="T40" s="588"/>
      <c r="U40" s="588">
        <f t="shared" si="7"/>
        <v>1</v>
      </c>
      <c r="V40" s="605"/>
      <c r="W40" s="599">
        <v>3</v>
      </c>
      <c r="X40" s="600"/>
      <c r="Y40" s="608">
        <f t="shared" si="16"/>
        <v>0</v>
      </c>
      <c r="Z40" s="601">
        <v>1</v>
      </c>
      <c r="AA40" s="588"/>
      <c r="AB40" s="588">
        <f t="shared" si="9"/>
        <v>1</v>
      </c>
      <c r="AC40" s="605"/>
      <c r="AD40" s="599">
        <v>3</v>
      </c>
      <c r="AE40" s="600"/>
      <c r="AF40" s="608">
        <f t="shared" si="17"/>
        <v>0</v>
      </c>
      <c r="AG40" s="601">
        <v>1</v>
      </c>
      <c r="AH40" s="588"/>
      <c r="AI40" s="588">
        <f t="shared" ref="AI40:AI41" si="21">AB40-AH40</f>
        <v>1</v>
      </c>
    </row>
    <row r="41" spans="1:35" ht="15.75" x14ac:dyDescent="0.25">
      <c r="A41" s="605" t="s">
        <v>739</v>
      </c>
      <c r="B41" s="605" t="s">
        <v>190</v>
      </c>
      <c r="C41" s="606">
        <v>43512</v>
      </c>
      <c r="D41" s="606"/>
      <c r="E41" s="607">
        <v>8801</v>
      </c>
      <c r="F41" s="588">
        <v>1</v>
      </c>
      <c r="G41" s="605"/>
      <c r="H41" s="599">
        <v>3</v>
      </c>
      <c r="I41" s="600"/>
      <c r="J41" s="608">
        <f t="shared" si="14"/>
        <v>0</v>
      </c>
      <c r="K41" s="601">
        <v>1</v>
      </c>
      <c r="L41" s="588"/>
      <c r="M41" s="588">
        <f t="shared" si="4"/>
        <v>1</v>
      </c>
      <c r="N41" s="588">
        <v>1</v>
      </c>
      <c r="O41" s="605"/>
      <c r="P41" s="599">
        <v>3</v>
      </c>
      <c r="Q41" s="600"/>
      <c r="R41" s="608">
        <f t="shared" si="15"/>
        <v>0</v>
      </c>
      <c r="S41" s="601">
        <v>1</v>
      </c>
      <c r="T41" s="588"/>
      <c r="U41" s="588">
        <f t="shared" si="7"/>
        <v>1</v>
      </c>
      <c r="V41" s="605"/>
      <c r="W41" s="599">
        <v>3</v>
      </c>
      <c r="X41" s="600"/>
      <c r="Y41" s="608">
        <f t="shared" si="16"/>
        <v>0</v>
      </c>
      <c r="Z41" s="601">
        <v>1</v>
      </c>
      <c r="AA41" s="588"/>
      <c r="AB41" s="588">
        <f t="shared" si="9"/>
        <v>1</v>
      </c>
      <c r="AC41" s="605"/>
      <c r="AD41" s="599">
        <v>3</v>
      </c>
      <c r="AE41" s="600"/>
      <c r="AF41" s="608">
        <f t="shared" si="17"/>
        <v>0</v>
      </c>
      <c r="AG41" s="601">
        <v>1</v>
      </c>
      <c r="AH41" s="588"/>
      <c r="AI41" s="588">
        <f t="shared" si="21"/>
        <v>1</v>
      </c>
    </row>
    <row r="42" spans="1:35" ht="15.75" x14ac:dyDescent="0.25">
      <c r="A42" s="605" t="s">
        <v>400</v>
      </c>
      <c r="B42" s="605" t="s">
        <v>190</v>
      </c>
      <c r="C42" s="606">
        <v>43585</v>
      </c>
      <c r="D42" s="606"/>
      <c r="E42" s="607">
        <v>192400</v>
      </c>
      <c r="F42" s="588">
        <v>10930</v>
      </c>
      <c r="G42" s="605"/>
      <c r="H42" s="599">
        <v>3</v>
      </c>
      <c r="I42" s="600">
        <f t="shared" ref="I42:I70" si="22">IF(C42&lt;$F$4,(H42*365-(DATEDIF(C42,$F$4,"D"))),(H42*365))</f>
        <v>29</v>
      </c>
      <c r="J42" s="600">
        <v>29</v>
      </c>
      <c r="K42" s="601">
        <v>0.79948049355818296</v>
      </c>
      <c r="L42" s="588">
        <f t="shared" ref="L42:L63" si="23">+IF(ROUND(F42*K42,0)&gt;ROUND(F42-M42,0),ROUND(F42-M42,0),ROUND(F42*K42,0))</f>
        <v>1310</v>
      </c>
      <c r="M42" s="610">
        <f>+E42*5%</f>
        <v>9620</v>
      </c>
      <c r="N42" s="588">
        <v>9620</v>
      </c>
      <c r="O42" s="605"/>
      <c r="P42" s="599">
        <v>3</v>
      </c>
      <c r="Q42" s="600"/>
      <c r="R42" s="600">
        <v>29</v>
      </c>
      <c r="S42" s="601">
        <v>0.79948049355818296</v>
      </c>
      <c r="T42" s="588"/>
      <c r="U42" s="588">
        <v>9620</v>
      </c>
      <c r="V42" s="605"/>
      <c r="W42" s="599">
        <v>3</v>
      </c>
      <c r="X42" s="600"/>
      <c r="Y42" s="608">
        <f t="shared" si="16"/>
        <v>0</v>
      </c>
      <c r="Z42" s="601">
        <v>0.79948049355818296</v>
      </c>
      <c r="AA42" s="588"/>
      <c r="AB42" s="892">
        <f>+E42*0.05</f>
        <v>9620</v>
      </c>
      <c r="AC42" s="605"/>
      <c r="AD42" s="599">
        <v>3</v>
      </c>
      <c r="AE42" s="600"/>
      <c r="AF42" s="608">
        <f t="shared" si="17"/>
        <v>0</v>
      </c>
      <c r="AG42" s="601">
        <v>0.79948049355818296</v>
      </c>
      <c r="AH42" s="588"/>
      <c r="AI42" s="892">
        <v>9620</v>
      </c>
    </row>
    <row r="43" spans="1:35" ht="15.75" x14ac:dyDescent="0.25">
      <c r="A43" s="605" t="s">
        <v>401</v>
      </c>
      <c r="B43" s="605" t="s">
        <v>190</v>
      </c>
      <c r="C43" s="606">
        <v>43585</v>
      </c>
      <c r="D43" s="606"/>
      <c r="E43" s="607">
        <v>14200</v>
      </c>
      <c r="F43" s="588">
        <v>807</v>
      </c>
      <c r="G43" s="605"/>
      <c r="H43" s="599">
        <v>3</v>
      </c>
      <c r="I43" s="600">
        <f t="shared" si="22"/>
        <v>29</v>
      </c>
      <c r="J43" s="600">
        <v>29</v>
      </c>
      <c r="K43" s="601">
        <v>0.80046652672430441</v>
      </c>
      <c r="L43" s="588">
        <f t="shared" si="23"/>
        <v>97</v>
      </c>
      <c r="M43" s="610">
        <f t="shared" ref="M43:M63" si="24">+E43*5%</f>
        <v>710</v>
      </c>
      <c r="N43" s="588">
        <v>710</v>
      </c>
      <c r="O43" s="605"/>
      <c r="P43" s="599">
        <v>3</v>
      </c>
      <c r="Q43" s="600"/>
      <c r="R43" s="600">
        <v>29</v>
      </c>
      <c r="S43" s="601">
        <v>0.80046652672430441</v>
      </c>
      <c r="T43" s="588"/>
      <c r="U43" s="588">
        <v>710</v>
      </c>
      <c r="V43" s="605"/>
      <c r="W43" s="599">
        <v>3</v>
      </c>
      <c r="X43" s="600"/>
      <c r="Y43" s="608">
        <f t="shared" si="16"/>
        <v>0</v>
      </c>
      <c r="Z43" s="601">
        <v>0.80046652672430441</v>
      </c>
      <c r="AA43" s="588"/>
      <c r="AB43" s="892">
        <f>+E43*0.05</f>
        <v>710</v>
      </c>
      <c r="AC43" s="605"/>
      <c r="AD43" s="599">
        <v>3</v>
      </c>
      <c r="AE43" s="600"/>
      <c r="AF43" s="608">
        <f t="shared" si="17"/>
        <v>0</v>
      </c>
      <c r="AG43" s="601">
        <v>0.80046652672430441</v>
      </c>
      <c r="AH43" s="588"/>
      <c r="AI43" s="892">
        <v>710</v>
      </c>
    </row>
    <row r="44" spans="1:35" ht="15.75" x14ac:dyDescent="0.25">
      <c r="A44" s="605" t="s">
        <v>740</v>
      </c>
      <c r="B44" s="605" t="s">
        <v>190</v>
      </c>
      <c r="C44" s="606">
        <v>43639</v>
      </c>
      <c r="D44" s="606"/>
      <c r="E44" s="607">
        <v>68165</v>
      </c>
      <c r="F44" s="588">
        <v>4737</v>
      </c>
      <c r="G44" s="605"/>
      <c r="H44" s="599">
        <v>3</v>
      </c>
      <c r="I44" s="600">
        <f t="shared" si="22"/>
        <v>83</v>
      </c>
      <c r="J44" s="600">
        <v>83</v>
      </c>
      <c r="K44" s="601">
        <v>0.76489169591682349</v>
      </c>
      <c r="L44" s="588">
        <f t="shared" si="23"/>
        <v>1329</v>
      </c>
      <c r="M44" s="610">
        <f t="shared" si="24"/>
        <v>3408.25</v>
      </c>
      <c r="N44" s="588">
        <v>3408.25</v>
      </c>
      <c r="O44" s="605"/>
      <c r="P44" s="599">
        <v>3</v>
      </c>
      <c r="Q44" s="600"/>
      <c r="R44" s="600">
        <v>83</v>
      </c>
      <c r="S44" s="601">
        <v>0.76489169591682349</v>
      </c>
      <c r="T44" s="588"/>
      <c r="U44" s="588">
        <v>3408.25</v>
      </c>
      <c r="V44" s="605"/>
      <c r="W44" s="599">
        <v>3</v>
      </c>
      <c r="X44" s="600"/>
      <c r="Y44" s="608">
        <f t="shared" si="16"/>
        <v>0</v>
      </c>
      <c r="Z44" s="601">
        <v>0.76489169591682349</v>
      </c>
      <c r="AA44" s="588"/>
      <c r="AB44" s="892">
        <f>+E44*0.05</f>
        <v>3408.25</v>
      </c>
      <c r="AC44" s="605"/>
      <c r="AD44" s="599">
        <v>3</v>
      </c>
      <c r="AE44" s="600"/>
      <c r="AF44" s="608">
        <f t="shared" si="17"/>
        <v>0</v>
      </c>
      <c r="AG44" s="601">
        <v>0.76489169591682349</v>
      </c>
      <c r="AH44" s="588"/>
      <c r="AI44" s="892">
        <v>3408.25</v>
      </c>
    </row>
    <row r="45" spans="1:35" ht="15.75" x14ac:dyDescent="0.25">
      <c r="A45" s="605" t="s">
        <v>741</v>
      </c>
      <c r="B45" s="605" t="s">
        <v>190</v>
      </c>
      <c r="C45" s="606">
        <v>43634</v>
      </c>
      <c r="D45" s="606"/>
      <c r="E45" s="607">
        <v>16555</v>
      </c>
      <c r="F45" s="588">
        <v>1131</v>
      </c>
      <c r="G45" s="605"/>
      <c r="H45" s="599">
        <v>3</v>
      </c>
      <c r="I45" s="600">
        <f t="shared" si="22"/>
        <v>78</v>
      </c>
      <c r="J45" s="600">
        <v>78</v>
      </c>
      <c r="K45" s="601">
        <v>0.76792266155916233</v>
      </c>
      <c r="L45" s="588">
        <f t="shared" si="23"/>
        <v>303</v>
      </c>
      <c r="M45" s="610">
        <f t="shared" si="24"/>
        <v>827.75</v>
      </c>
      <c r="N45" s="588">
        <v>827.75</v>
      </c>
      <c r="O45" s="605"/>
      <c r="P45" s="599">
        <v>3</v>
      </c>
      <c r="Q45" s="600"/>
      <c r="R45" s="600">
        <v>78</v>
      </c>
      <c r="S45" s="601">
        <v>0.76792266155916233</v>
      </c>
      <c r="T45" s="588"/>
      <c r="U45" s="588">
        <v>827.75</v>
      </c>
      <c r="V45" s="605"/>
      <c r="W45" s="599">
        <v>3</v>
      </c>
      <c r="X45" s="600"/>
      <c r="Y45" s="608">
        <f t="shared" si="16"/>
        <v>0</v>
      </c>
      <c r="Z45" s="601">
        <v>0.76792266155916233</v>
      </c>
      <c r="AA45" s="588"/>
      <c r="AB45" s="892">
        <f>+E45*0.05</f>
        <v>827.75</v>
      </c>
      <c r="AC45" s="605"/>
      <c r="AD45" s="599">
        <v>3</v>
      </c>
      <c r="AE45" s="600"/>
      <c r="AF45" s="608">
        <f t="shared" si="17"/>
        <v>0</v>
      </c>
      <c r="AG45" s="601">
        <v>0.76792266155916233</v>
      </c>
      <c r="AH45" s="588"/>
      <c r="AI45" s="892">
        <v>827.75</v>
      </c>
    </row>
    <row r="46" spans="1:35" ht="15.75" x14ac:dyDescent="0.25">
      <c r="A46" s="605" t="s">
        <v>742</v>
      </c>
      <c r="B46" s="605" t="s">
        <v>190</v>
      </c>
      <c r="C46" s="606">
        <v>43704</v>
      </c>
      <c r="D46" s="606"/>
      <c r="E46" s="607">
        <v>379000</v>
      </c>
      <c r="F46" s="588">
        <v>32123</v>
      </c>
      <c r="G46" s="605"/>
      <c r="H46" s="599">
        <v>3</v>
      </c>
      <c r="I46" s="600">
        <f t="shared" si="22"/>
        <v>148</v>
      </c>
      <c r="J46" s="600">
        <v>148</v>
      </c>
      <c r="K46" s="601">
        <v>0.72790142504719479</v>
      </c>
      <c r="L46" s="588">
        <f t="shared" si="23"/>
        <v>13173</v>
      </c>
      <c r="M46" s="610">
        <f t="shared" si="24"/>
        <v>18950</v>
      </c>
      <c r="N46" s="588">
        <v>18950</v>
      </c>
      <c r="O46" s="605"/>
      <c r="P46" s="599">
        <v>3</v>
      </c>
      <c r="Q46" s="600"/>
      <c r="R46" s="600">
        <v>148</v>
      </c>
      <c r="S46" s="601">
        <v>0.72790142504719479</v>
      </c>
      <c r="T46" s="588"/>
      <c r="U46" s="588">
        <v>18950</v>
      </c>
      <c r="V46" s="605"/>
      <c r="W46" s="599">
        <v>3</v>
      </c>
      <c r="X46" s="600"/>
      <c r="Y46" s="608">
        <f t="shared" si="16"/>
        <v>0</v>
      </c>
      <c r="Z46" s="601">
        <v>0.72790142504719479</v>
      </c>
      <c r="AA46" s="588"/>
      <c r="AB46" s="610">
        <f>18950/5</f>
        <v>3790</v>
      </c>
      <c r="AC46" s="605"/>
      <c r="AD46" s="599">
        <v>3</v>
      </c>
      <c r="AE46" s="600"/>
      <c r="AF46" s="608">
        <f t="shared" si="17"/>
        <v>0</v>
      </c>
      <c r="AG46" s="601">
        <v>0.72790142504719479</v>
      </c>
      <c r="AH46" s="588"/>
      <c r="AI46" s="610">
        <f>18950/5</f>
        <v>3790</v>
      </c>
    </row>
    <row r="47" spans="1:35" ht="15.75" x14ac:dyDescent="0.25">
      <c r="A47" s="605" t="s">
        <v>743</v>
      </c>
      <c r="B47" s="605" t="s">
        <v>190</v>
      </c>
      <c r="C47" s="606">
        <v>43705</v>
      </c>
      <c r="D47" s="606"/>
      <c r="E47" s="607">
        <v>67500</v>
      </c>
      <c r="F47" s="588">
        <v>5737</v>
      </c>
      <c r="G47" s="605"/>
      <c r="H47" s="599">
        <v>3</v>
      </c>
      <c r="I47" s="600">
        <f t="shared" si="22"/>
        <v>149</v>
      </c>
      <c r="J47" s="600">
        <v>149</v>
      </c>
      <c r="K47" s="601">
        <v>0.72737216735329802</v>
      </c>
      <c r="L47" s="588">
        <f t="shared" si="23"/>
        <v>2362</v>
      </c>
      <c r="M47" s="610">
        <f t="shared" si="24"/>
        <v>3375</v>
      </c>
      <c r="N47" s="588">
        <v>3375</v>
      </c>
      <c r="O47" s="605"/>
      <c r="P47" s="599">
        <v>3</v>
      </c>
      <c r="Q47" s="600"/>
      <c r="R47" s="600">
        <v>149</v>
      </c>
      <c r="S47" s="601">
        <v>0.72737216735329802</v>
      </c>
      <c r="T47" s="588"/>
      <c r="U47" s="588">
        <v>3375</v>
      </c>
      <c r="V47" s="605"/>
      <c r="W47" s="599">
        <v>3</v>
      </c>
      <c r="X47" s="600"/>
      <c r="Y47" s="608">
        <f t="shared" si="16"/>
        <v>0</v>
      </c>
      <c r="Z47" s="601">
        <v>0.72737216735329802</v>
      </c>
      <c r="AA47" s="588"/>
      <c r="AB47" s="892">
        <v>3375</v>
      </c>
      <c r="AC47" s="605"/>
      <c r="AD47" s="599">
        <v>3</v>
      </c>
      <c r="AE47" s="600"/>
      <c r="AF47" s="608">
        <f t="shared" si="17"/>
        <v>0</v>
      </c>
      <c r="AG47" s="601">
        <v>0.72737216735329802</v>
      </c>
      <c r="AH47" s="588"/>
      <c r="AI47" s="892">
        <v>3375</v>
      </c>
    </row>
    <row r="48" spans="1:35" ht="15.75" x14ac:dyDescent="0.25">
      <c r="A48" s="605" t="s">
        <v>744</v>
      </c>
      <c r="B48" s="605" t="s">
        <v>190</v>
      </c>
      <c r="C48" s="606">
        <v>43769</v>
      </c>
      <c r="D48" s="606"/>
      <c r="E48" s="607">
        <v>35000</v>
      </c>
      <c r="F48" s="588">
        <v>3501</v>
      </c>
      <c r="G48" s="605"/>
      <c r="H48" s="599">
        <v>3</v>
      </c>
      <c r="I48" s="600">
        <f t="shared" si="22"/>
        <v>213</v>
      </c>
      <c r="J48" s="600">
        <v>213</v>
      </c>
      <c r="K48" s="601">
        <v>0.69510487747627803</v>
      </c>
      <c r="L48" s="588">
        <f t="shared" si="23"/>
        <v>1751</v>
      </c>
      <c r="M48" s="610">
        <f t="shared" si="24"/>
        <v>1750</v>
      </c>
      <c r="N48" s="588">
        <v>1750</v>
      </c>
      <c r="O48" s="605"/>
      <c r="P48" s="599">
        <v>3</v>
      </c>
      <c r="Q48" s="600"/>
      <c r="R48" s="600">
        <v>213</v>
      </c>
      <c r="S48" s="601">
        <v>0.69510487747627803</v>
      </c>
      <c r="T48" s="588"/>
      <c r="U48" s="588">
        <v>1750</v>
      </c>
      <c r="V48" s="605"/>
      <c r="W48" s="599">
        <v>3</v>
      </c>
      <c r="X48" s="600"/>
      <c r="Y48" s="608">
        <f>X48</f>
        <v>0</v>
      </c>
      <c r="Z48" s="601">
        <v>0.69510487747627803</v>
      </c>
      <c r="AA48" s="588"/>
      <c r="AB48" s="892">
        <v>1750</v>
      </c>
      <c r="AC48" s="605"/>
      <c r="AD48" s="599">
        <v>3</v>
      </c>
      <c r="AE48" s="600"/>
      <c r="AF48" s="608">
        <f t="shared" si="17"/>
        <v>0</v>
      </c>
      <c r="AG48" s="601">
        <v>0.69510487747627803</v>
      </c>
      <c r="AH48" s="588"/>
      <c r="AI48" s="892">
        <v>1750</v>
      </c>
    </row>
    <row r="49" spans="1:35" ht="15.75" x14ac:dyDescent="0.25">
      <c r="A49" s="605" t="s">
        <v>491</v>
      </c>
      <c r="B49" s="605" t="s">
        <v>190</v>
      </c>
      <c r="C49" s="606">
        <v>43782</v>
      </c>
      <c r="D49" s="606"/>
      <c r="E49" s="607">
        <v>8474.57</v>
      </c>
      <c r="F49" s="588">
        <v>873.56999999999971</v>
      </c>
      <c r="G49" s="611"/>
      <c r="H49" s="599">
        <v>3</v>
      </c>
      <c r="I49" s="600">
        <f t="shared" si="22"/>
        <v>226</v>
      </c>
      <c r="J49" s="600">
        <f>+I49</f>
        <v>226</v>
      </c>
      <c r="K49" s="601">
        <v>0.68916000766526941</v>
      </c>
      <c r="L49" s="588">
        <f t="shared" si="23"/>
        <v>450</v>
      </c>
      <c r="M49" s="610">
        <f t="shared" si="24"/>
        <v>423.7285</v>
      </c>
      <c r="N49" s="588">
        <v>423.7285</v>
      </c>
      <c r="O49" s="611"/>
      <c r="P49" s="599">
        <v>3</v>
      </c>
      <c r="Q49" s="600"/>
      <c r="R49" s="600">
        <f>+Q49</f>
        <v>0</v>
      </c>
      <c r="S49" s="601">
        <v>0.68916000766526941</v>
      </c>
      <c r="T49" s="588"/>
      <c r="U49" s="588">
        <v>423.7285</v>
      </c>
      <c r="V49" s="611"/>
      <c r="W49" s="599">
        <v>3</v>
      </c>
      <c r="X49" s="600"/>
      <c r="Y49" s="608">
        <f t="shared" ref="Y49:Y68" si="25">X49</f>
        <v>0</v>
      </c>
      <c r="Z49" s="601">
        <v>0.68916000766526941</v>
      </c>
      <c r="AA49" s="588"/>
      <c r="AB49" s="892">
        <v>423.7285</v>
      </c>
      <c r="AC49" s="611"/>
      <c r="AD49" s="599">
        <v>3</v>
      </c>
      <c r="AE49" s="600"/>
      <c r="AF49" s="608">
        <f t="shared" si="17"/>
        <v>0</v>
      </c>
      <c r="AG49" s="601">
        <v>0.68916000766526941</v>
      </c>
      <c r="AH49" s="588"/>
      <c r="AI49" s="892">
        <v>423.7285</v>
      </c>
    </row>
    <row r="50" spans="1:35" ht="15.75" x14ac:dyDescent="0.25">
      <c r="A50" s="605" t="s">
        <v>491</v>
      </c>
      <c r="B50" s="605" t="s">
        <v>190</v>
      </c>
      <c r="C50" s="606">
        <v>43782</v>
      </c>
      <c r="D50" s="606"/>
      <c r="E50" s="607">
        <v>8474.57</v>
      </c>
      <c r="F50" s="588">
        <v>873.56999999999971</v>
      </c>
      <c r="G50" s="611"/>
      <c r="H50" s="599">
        <v>3</v>
      </c>
      <c r="I50" s="600">
        <f t="shared" si="22"/>
        <v>226</v>
      </c>
      <c r="J50" s="600">
        <f>+I50</f>
        <v>226</v>
      </c>
      <c r="K50" s="601">
        <v>0.68916000766526941</v>
      </c>
      <c r="L50" s="588">
        <f t="shared" si="23"/>
        <v>450</v>
      </c>
      <c r="M50" s="610">
        <f t="shared" si="24"/>
        <v>423.7285</v>
      </c>
      <c r="N50" s="588">
        <v>423.7285</v>
      </c>
      <c r="O50" s="611"/>
      <c r="P50" s="599">
        <v>3</v>
      </c>
      <c r="Q50" s="600"/>
      <c r="R50" s="600">
        <f>+Q50</f>
        <v>0</v>
      </c>
      <c r="S50" s="601">
        <v>0.68916000766526941</v>
      </c>
      <c r="T50" s="588"/>
      <c r="U50" s="588">
        <v>423.7285</v>
      </c>
      <c r="V50" s="611"/>
      <c r="W50" s="599">
        <v>3</v>
      </c>
      <c r="X50" s="600"/>
      <c r="Y50" s="608">
        <f t="shared" si="25"/>
        <v>0</v>
      </c>
      <c r="Z50" s="601">
        <v>0.68916000766526941</v>
      </c>
      <c r="AA50" s="588"/>
      <c r="AB50" s="892">
        <v>423.7285</v>
      </c>
      <c r="AC50" s="611"/>
      <c r="AD50" s="599">
        <v>3</v>
      </c>
      <c r="AE50" s="600"/>
      <c r="AF50" s="608">
        <f t="shared" si="17"/>
        <v>0</v>
      </c>
      <c r="AG50" s="601">
        <v>0.68916000766526941</v>
      </c>
      <c r="AH50" s="588"/>
      <c r="AI50" s="892">
        <v>423.7285</v>
      </c>
    </row>
    <row r="51" spans="1:35" ht="15.75" x14ac:dyDescent="0.25">
      <c r="A51" s="605" t="s">
        <v>492</v>
      </c>
      <c r="B51" s="605" t="s">
        <v>190</v>
      </c>
      <c r="C51" s="606">
        <v>43873</v>
      </c>
      <c r="D51" s="606"/>
      <c r="E51" s="607">
        <v>8475</v>
      </c>
      <c r="F51" s="588">
        <v>1055</v>
      </c>
      <c r="G51" s="605"/>
      <c r="H51" s="599">
        <v>3</v>
      </c>
      <c r="I51" s="600">
        <f t="shared" si="22"/>
        <v>317</v>
      </c>
      <c r="J51" s="600">
        <f>+I51</f>
        <v>317</v>
      </c>
      <c r="K51" s="601">
        <v>0.65015675590705246</v>
      </c>
      <c r="L51" s="588">
        <f t="shared" si="23"/>
        <v>631</v>
      </c>
      <c r="M51" s="610">
        <f t="shared" si="24"/>
        <v>423.75</v>
      </c>
      <c r="N51" s="588">
        <v>423.75</v>
      </c>
      <c r="O51" s="605"/>
      <c r="P51" s="599">
        <v>3</v>
      </c>
      <c r="Q51" s="600"/>
      <c r="R51" s="600">
        <f>+Q51</f>
        <v>0</v>
      </c>
      <c r="S51" s="601">
        <v>0.65015675590705246</v>
      </c>
      <c r="T51" s="588"/>
      <c r="U51" s="588">
        <v>423.75</v>
      </c>
      <c r="V51" s="605"/>
      <c r="W51" s="599">
        <v>3</v>
      </c>
      <c r="X51" s="600"/>
      <c r="Y51" s="608">
        <f t="shared" si="25"/>
        <v>0</v>
      </c>
      <c r="Z51" s="601">
        <v>0.65015675590705246</v>
      </c>
      <c r="AA51" s="588"/>
      <c r="AB51" s="892">
        <v>423.75</v>
      </c>
      <c r="AC51" s="605"/>
      <c r="AD51" s="599">
        <v>3</v>
      </c>
      <c r="AE51" s="600"/>
      <c r="AF51" s="608">
        <f t="shared" si="17"/>
        <v>0</v>
      </c>
      <c r="AG51" s="601">
        <v>0.65015675590705246</v>
      </c>
      <c r="AH51" s="588"/>
      <c r="AI51" s="892">
        <v>423.75</v>
      </c>
    </row>
    <row r="52" spans="1:35" ht="15.75" x14ac:dyDescent="0.25">
      <c r="A52" s="605" t="s">
        <v>492</v>
      </c>
      <c r="B52" s="605" t="s">
        <v>190</v>
      </c>
      <c r="C52" s="606">
        <v>43873</v>
      </c>
      <c r="D52" s="606"/>
      <c r="E52" s="607">
        <v>8475</v>
      </c>
      <c r="F52" s="588">
        <v>1055</v>
      </c>
      <c r="G52" s="605"/>
      <c r="H52" s="599">
        <v>3</v>
      </c>
      <c r="I52" s="600">
        <f t="shared" si="22"/>
        <v>317</v>
      </c>
      <c r="J52" s="600">
        <f t="shared" ref="J52:J63" si="26">+I52</f>
        <v>317</v>
      </c>
      <c r="K52" s="601">
        <v>0.65015675590705246</v>
      </c>
      <c r="L52" s="588">
        <f t="shared" si="23"/>
        <v>631</v>
      </c>
      <c r="M52" s="610">
        <f t="shared" si="24"/>
        <v>423.75</v>
      </c>
      <c r="N52" s="588">
        <v>423.75</v>
      </c>
      <c r="O52" s="605"/>
      <c r="P52" s="599">
        <v>3</v>
      </c>
      <c r="Q52" s="600"/>
      <c r="R52" s="600">
        <f t="shared" ref="R52:R62" si="27">+Q52</f>
        <v>0</v>
      </c>
      <c r="S52" s="601">
        <v>0.65015675590705246</v>
      </c>
      <c r="T52" s="588"/>
      <c r="U52" s="588">
        <v>423.75</v>
      </c>
      <c r="V52" s="605"/>
      <c r="W52" s="599">
        <v>3</v>
      </c>
      <c r="X52" s="600"/>
      <c r="Y52" s="608">
        <f t="shared" si="25"/>
        <v>0</v>
      </c>
      <c r="Z52" s="601">
        <v>0.65015675590705246</v>
      </c>
      <c r="AA52" s="588"/>
      <c r="AB52" s="892">
        <v>423.75</v>
      </c>
      <c r="AC52" s="605"/>
      <c r="AD52" s="599">
        <v>3</v>
      </c>
      <c r="AE52" s="600"/>
      <c r="AF52" s="608">
        <f t="shared" si="17"/>
        <v>0</v>
      </c>
      <c r="AG52" s="601">
        <v>0.65015675590705246</v>
      </c>
      <c r="AH52" s="588"/>
      <c r="AI52" s="892">
        <v>423.75</v>
      </c>
    </row>
    <row r="53" spans="1:35" ht="15.75" x14ac:dyDescent="0.25">
      <c r="A53" s="605" t="s">
        <v>492</v>
      </c>
      <c r="B53" s="605" t="s">
        <v>190</v>
      </c>
      <c r="C53" s="606">
        <v>43873</v>
      </c>
      <c r="D53" s="606"/>
      <c r="E53" s="607">
        <v>8475</v>
      </c>
      <c r="F53" s="588">
        <v>1055</v>
      </c>
      <c r="G53" s="605"/>
      <c r="H53" s="599">
        <v>3</v>
      </c>
      <c r="I53" s="600">
        <f t="shared" si="22"/>
        <v>317</v>
      </c>
      <c r="J53" s="600">
        <f t="shared" si="26"/>
        <v>317</v>
      </c>
      <c r="K53" s="601">
        <v>0.65015675590705246</v>
      </c>
      <c r="L53" s="588">
        <f t="shared" si="23"/>
        <v>631</v>
      </c>
      <c r="M53" s="610">
        <f t="shared" si="24"/>
        <v>423.75</v>
      </c>
      <c r="N53" s="588">
        <v>423.75</v>
      </c>
      <c r="O53" s="605"/>
      <c r="P53" s="599">
        <v>3</v>
      </c>
      <c r="Q53" s="600"/>
      <c r="R53" s="600">
        <f t="shared" si="27"/>
        <v>0</v>
      </c>
      <c r="S53" s="601">
        <v>0.65015675590705246</v>
      </c>
      <c r="T53" s="588"/>
      <c r="U53" s="588">
        <v>423.75</v>
      </c>
      <c r="V53" s="605"/>
      <c r="W53" s="599">
        <v>3</v>
      </c>
      <c r="X53" s="600"/>
      <c r="Y53" s="608">
        <f t="shared" si="25"/>
        <v>0</v>
      </c>
      <c r="Z53" s="601">
        <v>0.65015675590705246</v>
      </c>
      <c r="AA53" s="588"/>
      <c r="AB53" s="892">
        <v>423.75</v>
      </c>
      <c r="AC53" s="605"/>
      <c r="AD53" s="599">
        <v>3</v>
      </c>
      <c r="AE53" s="600"/>
      <c r="AF53" s="608">
        <f t="shared" si="17"/>
        <v>0</v>
      </c>
      <c r="AG53" s="601">
        <v>0.65015675590705246</v>
      </c>
      <c r="AH53" s="588"/>
      <c r="AI53" s="892">
        <v>423.75</v>
      </c>
    </row>
    <row r="54" spans="1:35" ht="15.75" x14ac:dyDescent="0.25">
      <c r="A54" s="605" t="s">
        <v>492</v>
      </c>
      <c r="B54" s="605" t="s">
        <v>190</v>
      </c>
      <c r="C54" s="606">
        <v>43873</v>
      </c>
      <c r="D54" s="606"/>
      <c r="E54" s="607">
        <v>8475</v>
      </c>
      <c r="F54" s="588">
        <v>1055</v>
      </c>
      <c r="G54" s="605"/>
      <c r="H54" s="599">
        <v>3</v>
      </c>
      <c r="I54" s="600">
        <f t="shared" si="22"/>
        <v>317</v>
      </c>
      <c r="J54" s="600">
        <f t="shared" si="26"/>
        <v>317</v>
      </c>
      <c r="K54" s="601">
        <v>0.65015675590705246</v>
      </c>
      <c r="L54" s="588">
        <f t="shared" si="23"/>
        <v>631</v>
      </c>
      <c r="M54" s="610">
        <f t="shared" si="24"/>
        <v>423.75</v>
      </c>
      <c r="N54" s="588">
        <v>423.75</v>
      </c>
      <c r="O54" s="605"/>
      <c r="P54" s="599">
        <v>3</v>
      </c>
      <c r="Q54" s="600"/>
      <c r="R54" s="600">
        <f t="shared" si="27"/>
        <v>0</v>
      </c>
      <c r="S54" s="601">
        <v>0.65015675590705246</v>
      </c>
      <c r="T54" s="588"/>
      <c r="U54" s="588">
        <v>423.75</v>
      </c>
      <c r="V54" s="605"/>
      <c r="W54" s="599">
        <v>3</v>
      </c>
      <c r="X54" s="600"/>
      <c r="Y54" s="608">
        <f t="shared" si="25"/>
        <v>0</v>
      </c>
      <c r="Z54" s="601">
        <v>0.65015675590705246</v>
      </c>
      <c r="AA54" s="588"/>
      <c r="AB54" s="892">
        <v>423.75</v>
      </c>
      <c r="AC54" s="605"/>
      <c r="AD54" s="599">
        <v>3</v>
      </c>
      <c r="AE54" s="600"/>
      <c r="AF54" s="608">
        <f t="shared" si="17"/>
        <v>0</v>
      </c>
      <c r="AG54" s="601">
        <v>0.65015675590705246</v>
      </c>
      <c r="AH54" s="588"/>
      <c r="AI54" s="892">
        <v>423.75</v>
      </c>
    </row>
    <row r="55" spans="1:35" ht="15.75" x14ac:dyDescent="0.25">
      <c r="A55" s="605" t="s">
        <v>492</v>
      </c>
      <c r="B55" s="605" t="s">
        <v>190</v>
      </c>
      <c r="C55" s="606">
        <v>43873</v>
      </c>
      <c r="D55" s="606"/>
      <c r="E55" s="607">
        <v>8475</v>
      </c>
      <c r="F55" s="588">
        <v>1055</v>
      </c>
      <c r="G55" s="605"/>
      <c r="H55" s="599">
        <v>3</v>
      </c>
      <c r="I55" s="600">
        <f t="shared" si="22"/>
        <v>317</v>
      </c>
      <c r="J55" s="600">
        <f t="shared" si="26"/>
        <v>317</v>
      </c>
      <c r="K55" s="601">
        <v>0.65015675590705246</v>
      </c>
      <c r="L55" s="588">
        <f t="shared" si="23"/>
        <v>631</v>
      </c>
      <c r="M55" s="610">
        <f t="shared" si="24"/>
        <v>423.75</v>
      </c>
      <c r="N55" s="588">
        <v>423.75</v>
      </c>
      <c r="O55" s="605"/>
      <c r="P55" s="599">
        <v>3</v>
      </c>
      <c r="Q55" s="600"/>
      <c r="R55" s="600">
        <f t="shared" si="27"/>
        <v>0</v>
      </c>
      <c r="S55" s="601">
        <v>0.65015675590705246</v>
      </c>
      <c r="T55" s="588"/>
      <c r="U55" s="588">
        <v>423.75</v>
      </c>
      <c r="V55" s="605"/>
      <c r="W55" s="599">
        <v>3</v>
      </c>
      <c r="X55" s="600"/>
      <c r="Y55" s="608">
        <f t="shared" si="25"/>
        <v>0</v>
      </c>
      <c r="Z55" s="601">
        <v>0.65015675590705246</v>
      </c>
      <c r="AA55" s="588"/>
      <c r="AB55" s="892">
        <v>423.75</v>
      </c>
      <c r="AC55" s="605"/>
      <c r="AD55" s="599">
        <v>3</v>
      </c>
      <c r="AE55" s="600"/>
      <c r="AF55" s="608">
        <f t="shared" si="17"/>
        <v>0</v>
      </c>
      <c r="AG55" s="601">
        <v>0.65015675590705246</v>
      </c>
      <c r="AH55" s="588"/>
      <c r="AI55" s="892">
        <v>423.75</v>
      </c>
    </row>
    <row r="56" spans="1:35" ht="15.75" x14ac:dyDescent="0.25">
      <c r="A56" s="605" t="s">
        <v>492</v>
      </c>
      <c r="B56" s="605" t="s">
        <v>190</v>
      </c>
      <c r="C56" s="606">
        <v>43873</v>
      </c>
      <c r="D56" s="606"/>
      <c r="E56" s="607">
        <v>8475</v>
      </c>
      <c r="F56" s="588">
        <v>1055</v>
      </c>
      <c r="G56" s="605"/>
      <c r="H56" s="599">
        <v>3</v>
      </c>
      <c r="I56" s="600">
        <f t="shared" si="22"/>
        <v>317</v>
      </c>
      <c r="J56" s="600">
        <f t="shared" si="26"/>
        <v>317</v>
      </c>
      <c r="K56" s="601">
        <v>0.65015675590705246</v>
      </c>
      <c r="L56" s="588">
        <f t="shared" si="23"/>
        <v>631</v>
      </c>
      <c r="M56" s="610">
        <f t="shared" si="24"/>
        <v>423.75</v>
      </c>
      <c r="N56" s="588">
        <v>423.75</v>
      </c>
      <c r="O56" s="605"/>
      <c r="P56" s="599">
        <v>3</v>
      </c>
      <c r="Q56" s="600"/>
      <c r="R56" s="600">
        <f t="shared" si="27"/>
        <v>0</v>
      </c>
      <c r="S56" s="601">
        <v>0.65015675590705246</v>
      </c>
      <c r="T56" s="588"/>
      <c r="U56" s="588">
        <v>423.75</v>
      </c>
      <c r="V56" s="605"/>
      <c r="W56" s="599">
        <v>3</v>
      </c>
      <c r="X56" s="600"/>
      <c r="Y56" s="608">
        <f t="shared" si="25"/>
        <v>0</v>
      </c>
      <c r="Z56" s="601">
        <v>0.65015675590705246</v>
      </c>
      <c r="AA56" s="588"/>
      <c r="AB56" s="892">
        <v>423.75</v>
      </c>
      <c r="AC56" s="605"/>
      <c r="AD56" s="599">
        <v>3</v>
      </c>
      <c r="AE56" s="600"/>
      <c r="AF56" s="608">
        <f t="shared" si="17"/>
        <v>0</v>
      </c>
      <c r="AG56" s="601">
        <v>0.65015675590705246</v>
      </c>
      <c r="AH56" s="588"/>
      <c r="AI56" s="892">
        <v>423.75</v>
      </c>
    </row>
    <row r="57" spans="1:35" ht="15.75" x14ac:dyDescent="0.25">
      <c r="A57" s="605" t="s">
        <v>492</v>
      </c>
      <c r="B57" s="605" t="s">
        <v>190</v>
      </c>
      <c r="C57" s="606">
        <v>43873</v>
      </c>
      <c r="D57" s="606"/>
      <c r="E57" s="607">
        <v>8475</v>
      </c>
      <c r="F57" s="588">
        <v>1055</v>
      </c>
      <c r="G57" s="605"/>
      <c r="H57" s="599">
        <v>3</v>
      </c>
      <c r="I57" s="600">
        <f t="shared" si="22"/>
        <v>317</v>
      </c>
      <c r="J57" s="600">
        <f t="shared" si="26"/>
        <v>317</v>
      </c>
      <c r="K57" s="601">
        <v>0.65015675590705246</v>
      </c>
      <c r="L57" s="588">
        <f t="shared" si="23"/>
        <v>631</v>
      </c>
      <c r="M57" s="610">
        <f t="shared" si="24"/>
        <v>423.75</v>
      </c>
      <c r="N57" s="588">
        <v>423.75</v>
      </c>
      <c r="O57" s="605"/>
      <c r="P57" s="599">
        <v>3</v>
      </c>
      <c r="Q57" s="600"/>
      <c r="R57" s="600">
        <f t="shared" si="27"/>
        <v>0</v>
      </c>
      <c r="S57" s="601">
        <v>0.65015675590705246</v>
      </c>
      <c r="T57" s="588"/>
      <c r="U57" s="588">
        <v>423.75</v>
      </c>
      <c r="V57" s="605"/>
      <c r="W57" s="599">
        <v>3</v>
      </c>
      <c r="X57" s="600"/>
      <c r="Y57" s="608">
        <f t="shared" si="25"/>
        <v>0</v>
      </c>
      <c r="Z57" s="601">
        <v>0.65015675590705246</v>
      </c>
      <c r="AA57" s="588"/>
      <c r="AB57" s="892">
        <v>423.75</v>
      </c>
      <c r="AC57" s="605"/>
      <c r="AD57" s="599">
        <v>3</v>
      </c>
      <c r="AE57" s="600"/>
      <c r="AF57" s="608">
        <f t="shared" si="17"/>
        <v>0</v>
      </c>
      <c r="AG57" s="601">
        <v>0.65015675590705246</v>
      </c>
      <c r="AH57" s="588"/>
      <c r="AI57" s="892">
        <v>423.75</v>
      </c>
    </row>
    <row r="58" spans="1:35" ht="15.75" x14ac:dyDescent="0.25">
      <c r="A58" s="605" t="s">
        <v>475</v>
      </c>
      <c r="B58" s="605" t="s">
        <v>190</v>
      </c>
      <c r="C58" s="606">
        <v>43890</v>
      </c>
      <c r="D58" s="606"/>
      <c r="E58" s="607">
        <v>108000</v>
      </c>
      <c r="F58" s="588">
        <v>13871</v>
      </c>
      <c r="G58" s="605"/>
      <c r="H58" s="599">
        <v>3</v>
      </c>
      <c r="I58" s="600">
        <f t="shared" si="22"/>
        <v>334</v>
      </c>
      <c r="J58" s="600">
        <f t="shared" si="26"/>
        <v>334</v>
      </c>
      <c r="K58" s="601">
        <v>0.66739999999999999</v>
      </c>
      <c r="L58" s="588">
        <f t="shared" si="23"/>
        <v>8471</v>
      </c>
      <c r="M58" s="610">
        <f t="shared" si="24"/>
        <v>5400</v>
      </c>
      <c r="N58" s="588">
        <v>5400</v>
      </c>
      <c r="O58" s="605"/>
      <c r="P58" s="599">
        <v>3</v>
      </c>
      <c r="Q58" s="600"/>
      <c r="R58" s="600">
        <f t="shared" si="27"/>
        <v>0</v>
      </c>
      <c r="S58" s="601">
        <v>0.66739999999999999</v>
      </c>
      <c r="T58" s="588"/>
      <c r="U58" s="588">
        <v>5400</v>
      </c>
      <c r="V58" s="605"/>
      <c r="W58" s="599">
        <v>3</v>
      </c>
      <c r="X58" s="600"/>
      <c r="Y58" s="608">
        <f t="shared" si="25"/>
        <v>0</v>
      </c>
      <c r="Z58" s="601">
        <v>0.66739999999999999</v>
      </c>
      <c r="AA58" s="588"/>
      <c r="AB58" s="892">
        <v>5400</v>
      </c>
      <c r="AC58" s="605"/>
      <c r="AD58" s="599">
        <v>3</v>
      </c>
      <c r="AE58" s="600"/>
      <c r="AF58" s="608">
        <f t="shared" si="17"/>
        <v>0</v>
      </c>
      <c r="AG58" s="601">
        <v>0.66739999999999999</v>
      </c>
      <c r="AH58" s="588"/>
      <c r="AI58" s="892">
        <v>5400</v>
      </c>
    </row>
    <row r="59" spans="1:35" ht="15.75" x14ac:dyDescent="0.25">
      <c r="A59" s="605" t="s">
        <v>475</v>
      </c>
      <c r="B59" s="605" t="s">
        <v>190</v>
      </c>
      <c r="C59" s="606">
        <v>43890</v>
      </c>
      <c r="D59" s="606"/>
      <c r="E59" s="607">
        <v>108000</v>
      </c>
      <c r="F59" s="588">
        <v>13871</v>
      </c>
      <c r="G59" s="605"/>
      <c r="H59" s="599">
        <v>3</v>
      </c>
      <c r="I59" s="600">
        <f t="shared" si="22"/>
        <v>334</v>
      </c>
      <c r="J59" s="600">
        <f t="shared" si="26"/>
        <v>334</v>
      </c>
      <c r="K59" s="601">
        <v>0.64443903924280499</v>
      </c>
      <c r="L59" s="588">
        <f t="shared" si="23"/>
        <v>8471</v>
      </c>
      <c r="M59" s="610">
        <f t="shared" si="24"/>
        <v>5400</v>
      </c>
      <c r="N59" s="588">
        <v>5400</v>
      </c>
      <c r="O59" s="605"/>
      <c r="P59" s="599">
        <v>3</v>
      </c>
      <c r="Q59" s="600"/>
      <c r="R59" s="600">
        <f t="shared" si="27"/>
        <v>0</v>
      </c>
      <c r="S59" s="601">
        <v>0.64443903924280499</v>
      </c>
      <c r="T59" s="588"/>
      <c r="U59" s="588">
        <v>5400</v>
      </c>
      <c r="V59" s="605"/>
      <c r="W59" s="599">
        <v>3</v>
      </c>
      <c r="X59" s="600"/>
      <c r="Y59" s="608">
        <f t="shared" si="25"/>
        <v>0</v>
      </c>
      <c r="Z59" s="601">
        <v>0.64443903924280499</v>
      </c>
      <c r="AA59" s="588"/>
      <c r="AB59" s="892">
        <v>5400</v>
      </c>
      <c r="AC59" s="605"/>
      <c r="AD59" s="599">
        <v>3</v>
      </c>
      <c r="AE59" s="600"/>
      <c r="AF59" s="608">
        <f t="shared" si="17"/>
        <v>0</v>
      </c>
      <c r="AG59" s="601">
        <v>0.64443903924280499</v>
      </c>
      <c r="AH59" s="588"/>
      <c r="AI59" s="892">
        <v>5400</v>
      </c>
    </row>
    <row r="60" spans="1:35" ht="15.75" x14ac:dyDescent="0.25">
      <c r="A60" s="605" t="s">
        <v>475</v>
      </c>
      <c r="B60" s="605" t="s">
        <v>190</v>
      </c>
      <c r="C60" s="606">
        <v>43890</v>
      </c>
      <c r="D60" s="606"/>
      <c r="E60" s="607">
        <v>108000</v>
      </c>
      <c r="F60" s="588">
        <v>13871</v>
      </c>
      <c r="G60" s="605"/>
      <c r="H60" s="599">
        <v>3</v>
      </c>
      <c r="I60" s="600">
        <f t="shared" si="22"/>
        <v>334</v>
      </c>
      <c r="J60" s="600">
        <f t="shared" si="26"/>
        <v>334</v>
      </c>
      <c r="K60" s="601">
        <v>0.64443903924280499</v>
      </c>
      <c r="L60" s="588">
        <f t="shared" si="23"/>
        <v>8471</v>
      </c>
      <c r="M60" s="610">
        <f t="shared" si="24"/>
        <v>5400</v>
      </c>
      <c r="N60" s="588">
        <v>5400</v>
      </c>
      <c r="O60" s="605"/>
      <c r="P60" s="599">
        <v>3</v>
      </c>
      <c r="Q60" s="600"/>
      <c r="R60" s="600">
        <f t="shared" si="27"/>
        <v>0</v>
      </c>
      <c r="S60" s="601">
        <v>0.64443903924280499</v>
      </c>
      <c r="T60" s="588"/>
      <c r="U60" s="588">
        <v>5400</v>
      </c>
      <c r="V60" s="605"/>
      <c r="W60" s="599">
        <v>3</v>
      </c>
      <c r="X60" s="600"/>
      <c r="Y60" s="608">
        <f t="shared" si="25"/>
        <v>0</v>
      </c>
      <c r="Z60" s="601">
        <v>0.64443903924280499</v>
      </c>
      <c r="AA60" s="588"/>
      <c r="AB60" s="892">
        <v>5400</v>
      </c>
      <c r="AC60" s="605"/>
      <c r="AD60" s="599">
        <v>3</v>
      </c>
      <c r="AE60" s="600"/>
      <c r="AF60" s="608">
        <f t="shared" si="17"/>
        <v>0</v>
      </c>
      <c r="AG60" s="601">
        <v>0.64443903924280499</v>
      </c>
      <c r="AH60" s="588"/>
      <c r="AI60" s="892">
        <v>5400</v>
      </c>
    </row>
    <row r="61" spans="1:35" ht="15.75" x14ac:dyDescent="0.25">
      <c r="A61" s="605" t="s">
        <v>475</v>
      </c>
      <c r="B61" s="605" t="s">
        <v>190</v>
      </c>
      <c r="C61" s="606">
        <v>43890</v>
      </c>
      <c r="D61" s="606"/>
      <c r="E61" s="607">
        <v>108000</v>
      </c>
      <c r="F61" s="588">
        <v>13871</v>
      </c>
      <c r="G61" s="605"/>
      <c r="H61" s="599">
        <v>3</v>
      </c>
      <c r="I61" s="600">
        <f t="shared" si="22"/>
        <v>334</v>
      </c>
      <c r="J61" s="600">
        <f t="shared" si="26"/>
        <v>334</v>
      </c>
      <c r="K61" s="601">
        <v>0.64443903924280499</v>
      </c>
      <c r="L61" s="588">
        <f t="shared" si="23"/>
        <v>8471</v>
      </c>
      <c r="M61" s="610">
        <f t="shared" si="24"/>
        <v>5400</v>
      </c>
      <c r="N61" s="588">
        <v>5400</v>
      </c>
      <c r="O61" s="605"/>
      <c r="P61" s="599">
        <v>3</v>
      </c>
      <c r="Q61" s="600"/>
      <c r="R61" s="600">
        <f t="shared" si="27"/>
        <v>0</v>
      </c>
      <c r="S61" s="601">
        <v>0.64443903924280499</v>
      </c>
      <c r="T61" s="588"/>
      <c r="U61" s="588">
        <v>5400</v>
      </c>
      <c r="V61" s="605"/>
      <c r="W61" s="599">
        <v>3</v>
      </c>
      <c r="X61" s="600"/>
      <c r="Y61" s="608">
        <f t="shared" si="25"/>
        <v>0</v>
      </c>
      <c r="Z61" s="601">
        <v>0.64443903924280499</v>
      </c>
      <c r="AA61" s="588"/>
      <c r="AB61" s="892">
        <v>5400</v>
      </c>
      <c r="AC61" s="605"/>
      <c r="AD61" s="599">
        <v>3</v>
      </c>
      <c r="AE61" s="600"/>
      <c r="AF61" s="608">
        <f t="shared" si="17"/>
        <v>0</v>
      </c>
      <c r="AG61" s="601">
        <v>0.64443903924280499</v>
      </c>
      <c r="AH61" s="588"/>
      <c r="AI61" s="892">
        <v>5400</v>
      </c>
    </row>
    <row r="62" spans="1:35" ht="15.75" x14ac:dyDescent="0.25">
      <c r="A62" s="605" t="s">
        <v>475</v>
      </c>
      <c r="B62" s="605" t="s">
        <v>190</v>
      </c>
      <c r="C62" s="606">
        <v>43890</v>
      </c>
      <c r="D62" s="606"/>
      <c r="E62" s="607">
        <v>108000</v>
      </c>
      <c r="F62" s="588">
        <v>13871</v>
      </c>
      <c r="G62" s="605"/>
      <c r="H62" s="599">
        <v>3</v>
      </c>
      <c r="I62" s="600">
        <f t="shared" si="22"/>
        <v>334</v>
      </c>
      <c r="J62" s="600">
        <f t="shared" si="26"/>
        <v>334</v>
      </c>
      <c r="K62" s="601">
        <v>0.64443903924280499</v>
      </c>
      <c r="L62" s="588">
        <f t="shared" si="23"/>
        <v>8471</v>
      </c>
      <c r="M62" s="610">
        <f t="shared" si="24"/>
        <v>5400</v>
      </c>
      <c r="N62" s="588">
        <v>5400</v>
      </c>
      <c r="O62" s="605"/>
      <c r="P62" s="599">
        <v>3</v>
      </c>
      <c r="Q62" s="600"/>
      <c r="R62" s="600">
        <f t="shared" si="27"/>
        <v>0</v>
      </c>
      <c r="S62" s="601">
        <v>0.64443903924280499</v>
      </c>
      <c r="T62" s="588"/>
      <c r="U62" s="588">
        <v>5400</v>
      </c>
      <c r="V62" s="605"/>
      <c r="W62" s="599">
        <v>3</v>
      </c>
      <c r="X62" s="600"/>
      <c r="Y62" s="608">
        <f t="shared" si="25"/>
        <v>0</v>
      </c>
      <c r="Z62" s="601">
        <v>0.64443903924280499</v>
      </c>
      <c r="AA62" s="588"/>
      <c r="AB62" s="892">
        <v>5400</v>
      </c>
      <c r="AC62" s="605"/>
      <c r="AD62" s="599">
        <v>3</v>
      </c>
      <c r="AE62" s="600"/>
      <c r="AF62" s="608">
        <f t="shared" si="17"/>
        <v>0</v>
      </c>
      <c r="AG62" s="601">
        <v>0.64443903924280499</v>
      </c>
      <c r="AH62" s="588"/>
      <c r="AI62" s="892">
        <v>5400</v>
      </c>
    </row>
    <row r="63" spans="1:35" ht="15.75" x14ac:dyDescent="0.25">
      <c r="A63" s="605" t="s">
        <v>465</v>
      </c>
      <c r="B63" s="605" t="s">
        <v>190</v>
      </c>
      <c r="C63" s="606">
        <v>43795</v>
      </c>
      <c r="D63" s="606"/>
      <c r="E63" s="607">
        <f>237200-12500</f>
        <v>224700</v>
      </c>
      <c r="F63" s="588">
        <v>23849</v>
      </c>
      <c r="G63" s="605"/>
      <c r="H63" s="599">
        <v>3</v>
      </c>
      <c r="I63" s="600">
        <f t="shared" si="22"/>
        <v>239</v>
      </c>
      <c r="J63" s="600">
        <f t="shared" si="26"/>
        <v>239</v>
      </c>
      <c r="K63" s="601">
        <v>0.68321555531242173</v>
      </c>
      <c r="L63" s="588">
        <f t="shared" si="23"/>
        <v>12614</v>
      </c>
      <c r="M63" s="610">
        <f t="shared" si="24"/>
        <v>11235</v>
      </c>
      <c r="N63" s="588">
        <v>11235</v>
      </c>
      <c r="O63" s="605"/>
      <c r="P63" s="599">
        <v>3</v>
      </c>
      <c r="Q63" s="600"/>
      <c r="R63" s="600">
        <f>+Q63</f>
        <v>0</v>
      </c>
      <c r="S63" s="601">
        <v>0.68321555531242173</v>
      </c>
      <c r="T63" s="588"/>
      <c r="U63" s="588">
        <v>11235</v>
      </c>
      <c r="V63" s="605"/>
      <c r="W63" s="599">
        <v>3</v>
      </c>
      <c r="X63" s="600"/>
      <c r="Y63" s="608">
        <f t="shared" si="25"/>
        <v>0</v>
      </c>
      <c r="Z63" s="601">
        <v>0.68321555531242173</v>
      </c>
      <c r="AA63" s="588"/>
      <c r="AB63" s="892">
        <v>11235</v>
      </c>
      <c r="AC63" s="605"/>
      <c r="AD63" s="599">
        <v>3</v>
      </c>
      <c r="AE63" s="600"/>
      <c r="AF63" s="608">
        <f t="shared" si="17"/>
        <v>0</v>
      </c>
      <c r="AG63" s="601">
        <v>0.68321555531242173</v>
      </c>
      <c r="AH63" s="588"/>
      <c r="AI63" s="892">
        <v>11235</v>
      </c>
    </row>
    <row r="64" spans="1:35" ht="15.75" x14ac:dyDescent="0.25">
      <c r="A64" s="605" t="s">
        <v>476</v>
      </c>
      <c r="B64" s="605" t="s">
        <v>190</v>
      </c>
      <c r="C64" s="606">
        <v>44023</v>
      </c>
      <c r="D64" s="606"/>
      <c r="E64" s="607">
        <v>1271214</v>
      </c>
      <c r="F64" s="588">
        <v>242913</v>
      </c>
      <c r="G64" s="612"/>
      <c r="H64" s="599">
        <v>3</v>
      </c>
      <c r="I64" s="600">
        <f t="shared" si="22"/>
        <v>467</v>
      </c>
      <c r="J64" s="600">
        <v>365</v>
      </c>
      <c r="K64" s="601">
        <v>0.65032489378677782</v>
      </c>
      <c r="L64" s="588">
        <f t="shared" ref="L64:L70" si="28">+ROUND(F64*K64,0)</f>
        <v>157972</v>
      </c>
      <c r="M64" s="588">
        <f t="shared" ref="M64:M70" si="29">F64-L64</f>
        <v>84941</v>
      </c>
      <c r="N64" s="588">
        <v>84941</v>
      </c>
      <c r="O64" s="612"/>
      <c r="P64" s="599">
        <v>3</v>
      </c>
      <c r="Q64" s="600">
        <f>IF(C64&lt;$M$4,(P64*365-(DATEDIF(C64,$M$4,"D"))),(P64*365))</f>
        <v>102</v>
      </c>
      <c r="R64" s="600">
        <v>365</v>
      </c>
      <c r="S64" s="601">
        <v>0.65032489378677782</v>
      </c>
      <c r="T64" s="588">
        <f>+N64-U64</f>
        <v>21380.299999999996</v>
      </c>
      <c r="U64" s="588">
        <f>+E64*0.05</f>
        <v>63560.700000000004</v>
      </c>
      <c r="V64" s="612"/>
      <c r="W64" s="599">
        <v>3</v>
      </c>
      <c r="X64" s="600"/>
      <c r="Y64" s="608">
        <f t="shared" si="25"/>
        <v>0</v>
      </c>
      <c r="Z64" s="601">
        <v>0.65032489378677782</v>
      </c>
      <c r="AA64" s="588">
        <f>+U64-AB64</f>
        <v>0</v>
      </c>
      <c r="AB64" s="892">
        <f>+E64*0.05</f>
        <v>63560.700000000004</v>
      </c>
      <c r="AC64" s="612"/>
      <c r="AD64" s="599">
        <v>3</v>
      </c>
      <c r="AE64" s="600"/>
      <c r="AF64" s="608">
        <f t="shared" si="17"/>
        <v>0</v>
      </c>
      <c r="AG64" s="601">
        <v>0.65032489378677782</v>
      </c>
      <c r="AH64" s="588">
        <f>+AB64-AI64</f>
        <v>0</v>
      </c>
      <c r="AI64" s="892">
        <f t="shared" ref="AI64:AI69" si="30">+E64*0.05</f>
        <v>63560.700000000004</v>
      </c>
    </row>
    <row r="65" spans="1:35" ht="15.75" x14ac:dyDescent="0.25">
      <c r="A65" s="605" t="s">
        <v>746</v>
      </c>
      <c r="B65" s="605" t="s">
        <v>190</v>
      </c>
      <c r="C65" s="606">
        <v>44081</v>
      </c>
      <c r="D65" s="606"/>
      <c r="E65" s="607">
        <v>40900</v>
      </c>
      <c r="F65" s="588">
        <v>9245</v>
      </c>
      <c r="G65" s="612"/>
      <c r="H65" s="599">
        <v>3</v>
      </c>
      <c r="I65" s="600">
        <f t="shared" si="22"/>
        <v>525</v>
      </c>
      <c r="J65" s="600">
        <v>365</v>
      </c>
      <c r="K65" s="601">
        <v>0.65068075191668173</v>
      </c>
      <c r="L65" s="588">
        <f t="shared" si="28"/>
        <v>6016</v>
      </c>
      <c r="M65" s="588">
        <f t="shared" si="29"/>
        <v>3229</v>
      </c>
      <c r="N65" s="588">
        <v>3229</v>
      </c>
      <c r="O65" s="612"/>
      <c r="P65" s="599">
        <v>3</v>
      </c>
      <c r="Q65" s="600">
        <f t="shared" ref="Q65:Q72" si="31">IF(C65&lt;$M$4,(P65*365-(DATEDIF(C65,$M$4,"D"))),(P65*365))</f>
        <v>160</v>
      </c>
      <c r="R65" s="600">
        <v>365</v>
      </c>
      <c r="S65" s="601">
        <v>0.65068075191668173</v>
      </c>
      <c r="T65" s="588">
        <f>+N65-U65</f>
        <v>1184</v>
      </c>
      <c r="U65" s="588">
        <f>+E65*0.05</f>
        <v>2045</v>
      </c>
      <c r="V65" s="612"/>
      <c r="W65" s="599">
        <v>3</v>
      </c>
      <c r="X65" s="600"/>
      <c r="Y65" s="608">
        <f t="shared" si="25"/>
        <v>0</v>
      </c>
      <c r="Z65" s="601">
        <v>0.65068075191668173</v>
      </c>
      <c r="AA65" s="588">
        <f t="shared" ref="AA65:AA67" si="32">+U65-AB65</f>
        <v>0</v>
      </c>
      <c r="AB65" s="892">
        <f t="shared" ref="AB65" si="33">+E65*0.05</f>
        <v>2045</v>
      </c>
      <c r="AC65" s="612"/>
      <c r="AD65" s="599">
        <v>3</v>
      </c>
      <c r="AE65" s="600"/>
      <c r="AF65" s="608">
        <f t="shared" si="17"/>
        <v>0</v>
      </c>
      <c r="AG65" s="601">
        <v>0.65068075191668173</v>
      </c>
      <c r="AH65" s="588">
        <f t="shared" ref="AH65:AH67" si="34">+AB65-AI65</f>
        <v>0</v>
      </c>
      <c r="AI65" s="892">
        <f t="shared" si="30"/>
        <v>2045</v>
      </c>
    </row>
    <row r="66" spans="1:35" ht="15.75" x14ac:dyDescent="0.25">
      <c r="A66" s="605" t="s">
        <v>747</v>
      </c>
      <c r="B66" s="605" t="s">
        <v>190</v>
      </c>
      <c r="C66" s="606">
        <v>44214</v>
      </c>
      <c r="D66" s="606"/>
      <c r="E66" s="607">
        <v>758764</v>
      </c>
      <c r="F66" s="588">
        <v>239187</v>
      </c>
      <c r="G66" s="612"/>
      <c r="H66" s="599">
        <v>3</v>
      </c>
      <c r="I66" s="600">
        <f t="shared" si="22"/>
        <v>658</v>
      </c>
      <c r="J66" s="600">
        <v>365</v>
      </c>
      <c r="K66" s="601">
        <v>0.64090955986640075</v>
      </c>
      <c r="L66" s="588">
        <f t="shared" si="28"/>
        <v>153297</v>
      </c>
      <c r="M66" s="588">
        <f t="shared" si="29"/>
        <v>85890</v>
      </c>
      <c r="N66" s="588">
        <v>85890</v>
      </c>
      <c r="O66" s="612"/>
      <c r="P66" s="599">
        <v>3</v>
      </c>
      <c r="Q66" s="600">
        <f t="shared" si="31"/>
        <v>293</v>
      </c>
      <c r="R66" s="600">
        <v>365</v>
      </c>
      <c r="S66" s="601">
        <v>0.64090955986640075</v>
      </c>
      <c r="T66" s="588">
        <f t="shared" ref="T66:T68" si="35">+N66-U66</f>
        <v>47951.799999999996</v>
      </c>
      <c r="U66" s="588">
        <f>+E66*0.05</f>
        <v>37938.200000000004</v>
      </c>
      <c r="V66" s="612"/>
      <c r="W66" s="599">
        <v>3</v>
      </c>
      <c r="X66" s="600"/>
      <c r="Y66" s="608">
        <f t="shared" si="25"/>
        <v>0</v>
      </c>
      <c r="Z66" s="601">
        <v>0.64090955986640075</v>
      </c>
      <c r="AA66" s="588">
        <f t="shared" si="32"/>
        <v>0</v>
      </c>
      <c r="AB66" s="892">
        <f>+E66*0.05</f>
        <v>37938.200000000004</v>
      </c>
      <c r="AC66" s="612"/>
      <c r="AD66" s="599">
        <v>3</v>
      </c>
      <c r="AE66" s="600"/>
      <c r="AF66" s="608">
        <f t="shared" si="17"/>
        <v>0</v>
      </c>
      <c r="AG66" s="601">
        <v>0.64090955986640075</v>
      </c>
      <c r="AH66" s="588">
        <f t="shared" si="34"/>
        <v>0</v>
      </c>
      <c r="AI66" s="892">
        <f t="shared" si="30"/>
        <v>37938.200000000004</v>
      </c>
    </row>
    <row r="67" spans="1:35" ht="15.75" x14ac:dyDescent="0.25">
      <c r="A67" s="605" t="s">
        <v>451</v>
      </c>
      <c r="B67" s="605" t="s">
        <v>190</v>
      </c>
      <c r="C67" s="606">
        <v>44264</v>
      </c>
      <c r="D67" s="606"/>
      <c r="E67" s="607">
        <v>124000</v>
      </c>
      <c r="F67" s="588">
        <v>43624</v>
      </c>
      <c r="G67" s="612"/>
      <c r="H67" s="599">
        <v>3</v>
      </c>
      <c r="I67" s="600">
        <f t="shared" si="22"/>
        <v>708</v>
      </c>
      <c r="J67" s="600">
        <v>365</v>
      </c>
      <c r="K67" s="601">
        <v>0.63475075713233953</v>
      </c>
      <c r="L67" s="588">
        <f t="shared" si="28"/>
        <v>27690</v>
      </c>
      <c r="M67" s="588">
        <f t="shared" si="29"/>
        <v>15934</v>
      </c>
      <c r="N67" s="588">
        <v>15934</v>
      </c>
      <c r="O67" s="612"/>
      <c r="P67" s="599">
        <v>3</v>
      </c>
      <c r="Q67" s="600">
        <f t="shared" si="31"/>
        <v>343</v>
      </c>
      <c r="R67" s="600">
        <v>365</v>
      </c>
      <c r="S67" s="601">
        <v>0.63475075713233953</v>
      </c>
      <c r="T67" s="588">
        <f t="shared" si="35"/>
        <v>9734</v>
      </c>
      <c r="U67" s="588">
        <f>+E67*0.05</f>
        <v>6200</v>
      </c>
      <c r="V67" s="612"/>
      <c r="W67" s="599">
        <v>3</v>
      </c>
      <c r="X67" s="600"/>
      <c r="Y67" s="608">
        <f t="shared" si="25"/>
        <v>0</v>
      </c>
      <c r="Z67" s="601">
        <v>0.63475075713233953</v>
      </c>
      <c r="AA67" s="588">
        <f t="shared" si="32"/>
        <v>0</v>
      </c>
      <c r="AB67" s="892">
        <f>+E67*0.05</f>
        <v>6200</v>
      </c>
      <c r="AC67" s="612"/>
      <c r="AD67" s="599">
        <v>3</v>
      </c>
      <c r="AE67" s="600"/>
      <c r="AF67" s="608">
        <f t="shared" si="17"/>
        <v>0</v>
      </c>
      <c r="AG67" s="601">
        <v>0.63475075713233953</v>
      </c>
      <c r="AH67" s="588">
        <f t="shared" si="34"/>
        <v>0</v>
      </c>
      <c r="AI67" s="892">
        <f t="shared" si="30"/>
        <v>6200</v>
      </c>
    </row>
    <row r="68" spans="1:35" ht="15.75" x14ac:dyDescent="0.25">
      <c r="A68" s="605" t="s">
        <v>748</v>
      </c>
      <c r="B68" s="605" t="s">
        <v>190</v>
      </c>
      <c r="C68" s="606">
        <v>44277</v>
      </c>
      <c r="D68" s="606"/>
      <c r="E68" s="607">
        <v>1138145</v>
      </c>
      <c r="F68" s="588">
        <v>411530</v>
      </c>
      <c r="G68" s="612"/>
      <c r="H68" s="599">
        <v>3</v>
      </c>
      <c r="I68" s="600">
        <f t="shared" si="22"/>
        <v>721</v>
      </c>
      <c r="J68" s="600">
        <v>365</v>
      </c>
      <c r="K68" s="601">
        <v>0.63319717128982167</v>
      </c>
      <c r="L68" s="588">
        <f t="shared" si="28"/>
        <v>260580</v>
      </c>
      <c r="M68" s="588">
        <f t="shared" si="29"/>
        <v>150950</v>
      </c>
      <c r="N68" s="588">
        <v>150950</v>
      </c>
      <c r="O68" s="612"/>
      <c r="P68" s="599">
        <v>3</v>
      </c>
      <c r="Q68" s="600">
        <f t="shared" si="31"/>
        <v>356</v>
      </c>
      <c r="R68" s="600">
        <v>365</v>
      </c>
      <c r="S68" s="601">
        <v>0.63319717128982167</v>
      </c>
      <c r="T68" s="588">
        <f t="shared" si="35"/>
        <v>94042.75</v>
      </c>
      <c r="U68" s="588">
        <f>+E68*0.05</f>
        <v>56907.25</v>
      </c>
      <c r="V68" s="612"/>
      <c r="W68" s="599">
        <v>3</v>
      </c>
      <c r="X68" s="600"/>
      <c r="Y68" s="608">
        <f t="shared" si="25"/>
        <v>0</v>
      </c>
      <c r="Z68" s="601">
        <v>0.63319717128982167</v>
      </c>
      <c r="AA68" s="588">
        <f>+U68-AB68</f>
        <v>0</v>
      </c>
      <c r="AB68" s="892">
        <f>+E68*0.05</f>
        <v>56907.25</v>
      </c>
      <c r="AC68" s="612"/>
      <c r="AD68" s="599">
        <v>3</v>
      </c>
      <c r="AE68" s="600"/>
      <c r="AF68" s="608">
        <f t="shared" si="17"/>
        <v>0</v>
      </c>
      <c r="AG68" s="601">
        <v>0.63319717128982167</v>
      </c>
      <c r="AH68" s="588">
        <f>+AB68-AI68</f>
        <v>0</v>
      </c>
      <c r="AI68" s="892">
        <f t="shared" si="30"/>
        <v>56907.25</v>
      </c>
    </row>
    <row r="69" spans="1:35" ht="15.75" x14ac:dyDescent="0.25">
      <c r="A69" s="605" t="s">
        <v>452</v>
      </c>
      <c r="B69" s="605" t="s">
        <v>190</v>
      </c>
      <c r="C69" s="606">
        <v>44292</v>
      </c>
      <c r="D69" s="606">
        <f>+C69+(365*W69)</f>
        <v>45387</v>
      </c>
      <c r="E69" s="607">
        <v>123000</v>
      </c>
      <c r="F69" s="588">
        <v>46590</v>
      </c>
      <c r="G69" s="612"/>
      <c r="H69" s="599">
        <v>3</v>
      </c>
      <c r="I69" s="600">
        <f t="shared" si="22"/>
        <v>736</v>
      </c>
      <c r="J69" s="600">
        <v>365</v>
      </c>
      <c r="K69" s="601">
        <v>0.63416738707320741</v>
      </c>
      <c r="L69" s="588">
        <f t="shared" si="28"/>
        <v>29546</v>
      </c>
      <c r="M69" s="588">
        <f t="shared" si="29"/>
        <v>17044</v>
      </c>
      <c r="N69" s="588">
        <v>17044</v>
      </c>
      <c r="O69" s="612"/>
      <c r="P69" s="599">
        <v>3</v>
      </c>
      <c r="Q69" s="600">
        <f t="shared" si="31"/>
        <v>371</v>
      </c>
      <c r="R69" s="600">
        <v>365</v>
      </c>
      <c r="S69" s="601">
        <v>0.63416738707320741</v>
      </c>
      <c r="T69" s="588">
        <f>ROUND(((N69+O69)*S69)*R69/(IF(Q69=R69,R69,365)),0)</f>
        <v>10809</v>
      </c>
      <c r="U69" s="588">
        <f>N69-T69</f>
        <v>6235</v>
      </c>
      <c r="V69" s="612"/>
      <c r="W69" s="599">
        <v>3</v>
      </c>
      <c r="X69" s="600">
        <f>IF(C69&lt;$U$4,(W69*365-(DATEDIF(C69,$U$4,"D"))),(W69*365))</f>
        <v>5</v>
      </c>
      <c r="Y69" s="605">
        <f>IF(AND(C69&gt;$U$4,C69&lt;$AB$4),$AB$4-C69+1,IF(D69&lt;=$U$4,0,IF(D69&gt;$AB$4,$AB$4-$U$4,D69-$U$4)))</f>
        <v>5</v>
      </c>
      <c r="Z69" s="601">
        <v>0.63416738707320741</v>
      </c>
      <c r="AA69" s="588">
        <f>+U69-AB69</f>
        <v>85</v>
      </c>
      <c r="AB69" s="892">
        <f>+E69*0.05</f>
        <v>6150</v>
      </c>
      <c r="AC69" s="612"/>
      <c r="AD69" s="599">
        <v>3</v>
      </c>
      <c r="AE69" s="600"/>
      <c r="AF69" s="608">
        <f t="shared" si="17"/>
        <v>0</v>
      </c>
      <c r="AG69" s="601">
        <v>0.63416738707320741</v>
      </c>
      <c r="AH69" s="588">
        <f>+AB69-AI69</f>
        <v>0</v>
      </c>
      <c r="AI69" s="892">
        <f t="shared" si="30"/>
        <v>6150</v>
      </c>
    </row>
    <row r="70" spans="1:35" ht="15.75" x14ac:dyDescent="0.25">
      <c r="A70" s="605" t="s">
        <v>461</v>
      </c>
      <c r="B70" s="605" t="s">
        <v>190</v>
      </c>
      <c r="C70" s="606">
        <v>44446</v>
      </c>
      <c r="D70" s="606">
        <f>+C70+(365*W70)</f>
        <v>45541</v>
      </c>
      <c r="E70" s="607">
        <v>1510400</v>
      </c>
      <c r="F70" s="588">
        <v>974609</v>
      </c>
      <c r="G70" s="612"/>
      <c r="H70" s="599">
        <v>3</v>
      </c>
      <c r="I70" s="600">
        <f t="shared" si="22"/>
        <v>890</v>
      </c>
      <c r="J70" s="600">
        <v>365</v>
      </c>
      <c r="K70" s="601">
        <v>0.6500969586335118</v>
      </c>
      <c r="L70" s="588">
        <f t="shared" si="28"/>
        <v>633590</v>
      </c>
      <c r="M70" s="588">
        <f t="shared" si="29"/>
        <v>341019</v>
      </c>
      <c r="N70" s="588">
        <v>341019</v>
      </c>
      <c r="O70" s="612"/>
      <c r="P70" s="599">
        <v>3</v>
      </c>
      <c r="Q70" s="600">
        <f t="shared" si="31"/>
        <v>525</v>
      </c>
      <c r="R70" s="600">
        <v>365</v>
      </c>
      <c r="S70" s="601">
        <v>0.6500969586335118</v>
      </c>
      <c r="T70" s="588">
        <f t="shared" ref="T70:T72" si="36">ROUND(((N70+O70)*S70)*R70/(IF(Q70=R70,R70,365)),0)</f>
        <v>221695</v>
      </c>
      <c r="U70" s="588">
        <f>N70-T70</f>
        <v>119324</v>
      </c>
      <c r="V70" s="612"/>
      <c r="W70" s="599">
        <v>3</v>
      </c>
      <c r="X70" s="600">
        <f t="shared" ref="X70:X83" si="37">IF(C70&lt;$U$4,(W70*365-(DATEDIF(C70,$U$4,"D"))),(W70*365))</f>
        <v>159</v>
      </c>
      <c r="Y70" s="605">
        <f>IF(AND(C70&gt;$U$4,C70&lt;$AB$4),$AB$4-C70+1,IF(D70&lt;=$U$4,0,IF(D70&gt;$AB$4,$AB$4-$U$4,D70-$U$4)))</f>
        <v>159</v>
      </c>
      <c r="Z70" s="601">
        <v>0.6500969586335118</v>
      </c>
      <c r="AA70" s="588">
        <v>43804</v>
      </c>
      <c r="AB70" s="610">
        <f>(+E70*0.05)-3776</f>
        <v>71744</v>
      </c>
      <c r="AC70" s="612"/>
      <c r="AD70" s="599">
        <v>3</v>
      </c>
      <c r="AE70" s="600"/>
      <c r="AF70" s="608">
        <f t="shared" si="17"/>
        <v>0</v>
      </c>
      <c r="AG70" s="601">
        <v>0.6500969586335118</v>
      </c>
      <c r="AH70" s="588">
        <v>0</v>
      </c>
      <c r="AI70" s="610">
        <f>(+E70*0.05)-3776</f>
        <v>71744</v>
      </c>
    </row>
    <row r="71" spans="1:35" ht="15.75" x14ac:dyDescent="0.25">
      <c r="A71" s="605" t="s">
        <v>749</v>
      </c>
      <c r="B71" s="605" t="s">
        <v>190</v>
      </c>
      <c r="C71" s="606">
        <v>45170</v>
      </c>
      <c r="D71" s="606">
        <f>+C71+(365*W71)</f>
        <v>46265</v>
      </c>
      <c r="E71" s="607">
        <v>179000</v>
      </c>
      <c r="F71" s="588">
        <v>0</v>
      </c>
      <c r="H71" s="599">
        <v>3</v>
      </c>
      <c r="I71" s="600"/>
      <c r="J71" s="600"/>
      <c r="K71" s="601"/>
      <c r="L71" s="588"/>
      <c r="M71" s="588"/>
      <c r="N71" s="588">
        <v>0</v>
      </c>
      <c r="O71" s="612">
        <v>179000</v>
      </c>
      <c r="P71" s="599">
        <v>3</v>
      </c>
      <c r="Q71" s="600">
        <f t="shared" si="31"/>
        <v>1095</v>
      </c>
      <c r="R71" s="600">
        <v>213</v>
      </c>
      <c r="S71" s="601">
        <v>0.63160000000000005</v>
      </c>
      <c r="T71" s="588">
        <f>ROUND(((N71+O71)*S71)*R71/(IF(Q71=R71,R71,365)),0)</f>
        <v>65975</v>
      </c>
      <c r="U71" s="588">
        <f>N71+O71-T71</f>
        <v>113025</v>
      </c>
      <c r="V71" s="612">
        <v>0</v>
      </c>
      <c r="W71" s="599">
        <v>3</v>
      </c>
      <c r="X71" s="600">
        <f>IF(C71&lt;$U$4,(W71*365-(DATEDIF(C71,$U$4,"D"))),(W71*365))</f>
        <v>883</v>
      </c>
      <c r="Y71" s="605">
        <f>IF(AND(C71&gt;$U$4,C71&lt;$AB$4),$AB$4-C71+1,IF(D71&lt;=$U$4,0,IF(D71&gt;$AB$4,$AB$4-$U$4,D71-$U$4)))</f>
        <v>365</v>
      </c>
      <c r="Z71" s="601">
        <v>0.63160000000000005</v>
      </c>
      <c r="AA71" s="588">
        <f>ROUND(((U71+V71)*Z71)*Y71/(IF(X71=Y71,Y71,365)),0)</f>
        <v>71387</v>
      </c>
      <c r="AB71" s="588">
        <f>U71+V71-AA71</f>
        <v>41638</v>
      </c>
      <c r="AC71" s="612"/>
      <c r="AD71" s="599">
        <v>3</v>
      </c>
      <c r="AE71" s="600">
        <f>IF(C71&lt;$AB$4,(AD71*365-(DATEDIF(C71,$AB$4,"D"))),(AD71*365))</f>
        <v>518</v>
      </c>
      <c r="AF71" s="605">
        <f t="shared" ref="AF71:AF83" si="38">IF(AND(C71&gt;$AB$4,C71&lt;$AI$4),$AI$4-C71+1,IF(D71&lt;=$AB$4,0,IF(D71&gt;$AI$4,$AI$4-$AB$4,D71-$AB$4)))</f>
        <v>365</v>
      </c>
      <c r="AG71" s="601">
        <v>0.63160000000000005</v>
      </c>
      <c r="AH71" s="588">
        <f t="shared" ref="AH71:AH83" si="39">ROUND(((AB71+AC71)*AG71)*AF71/(IF(AE71=AF71,AF71,365)),0)</f>
        <v>26299</v>
      </c>
      <c r="AI71" s="588">
        <f>AB71+AC71-AH71</f>
        <v>15339</v>
      </c>
    </row>
    <row r="72" spans="1:35" ht="15.75" x14ac:dyDescent="0.25">
      <c r="A72" s="605" t="s">
        <v>750</v>
      </c>
      <c r="B72" s="605" t="s">
        <v>190</v>
      </c>
      <c r="C72" s="606">
        <v>45279</v>
      </c>
      <c r="D72" s="606">
        <f t="shared" ref="D72:D83" si="40">+C72+(365*W72)</f>
        <v>46374</v>
      </c>
      <c r="E72" s="607">
        <v>215930</v>
      </c>
      <c r="F72" s="588">
        <v>0</v>
      </c>
      <c r="H72" s="599">
        <v>3</v>
      </c>
      <c r="I72" s="600"/>
      <c r="J72" s="600"/>
      <c r="K72" s="601"/>
      <c r="L72" s="588"/>
      <c r="M72" s="588"/>
      <c r="N72" s="588">
        <v>0</v>
      </c>
      <c r="O72" s="612">
        <v>215930</v>
      </c>
      <c r="P72" s="599">
        <v>3</v>
      </c>
      <c r="Q72" s="600">
        <f t="shared" si="31"/>
        <v>1095</v>
      </c>
      <c r="R72" s="600">
        <v>104</v>
      </c>
      <c r="S72" s="601">
        <v>0.63160000000000005</v>
      </c>
      <c r="T72" s="588">
        <f t="shared" si="36"/>
        <v>38859</v>
      </c>
      <c r="U72" s="588">
        <f>N72+O72-T72</f>
        <v>177071</v>
      </c>
      <c r="V72" s="612">
        <v>0</v>
      </c>
      <c r="W72" s="599">
        <v>3</v>
      </c>
      <c r="X72" s="600">
        <f t="shared" si="37"/>
        <v>992</v>
      </c>
      <c r="Y72" s="605">
        <f>IF(AND(C72&gt;$U$4,C72&lt;$AB$4),$AB$4-C72+1,IF(D72&lt;=$U$4,0,IF(D72&gt;$AB$4,$AB$4-$U$4,D72-$U$4)))</f>
        <v>365</v>
      </c>
      <c r="Z72" s="601">
        <v>0.63160000000000005</v>
      </c>
      <c r="AA72" s="588">
        <f t="shared" ref="AA72:AA83" si="41">ROUND(((U72+V72)*Z72)*Y72/(IF(X72=Y72,Y72,365)),0)</f>
        <v>111838</v>
      </c>
      <c r="AB72" s="588">
        <f>U72+V72-AA72</f>
        <v>65233</v>
      </c>
      <c r="AC72" s="612"/>
      <c r="AD72" s="599">
        <v>3</v>
      </c>
      <c r="AE72" s="600">
        <f t="shared" ref="AE72:AE83" si="42">IF(C72&lt;$AB$4,(AD72*365-(DATEDIF(C72,$AB$4,"D"))),(AD72*365))</f>
        <v>627</v>
      </c>
      <c r="AF72" s="605">
        <f t="shared" si="38"/>
        <v>365</v>
      </c>
      <c r="AG72" s="601">
        <v>0.63160000000000005</v>
      </c>
      <c r="AH72" s="588">
        <f t="shared" si="39"/>
        <v>41201</v>
      </c>
      <c r="AI72" s="588">
        <f>AB72+AC72-AH72</f>
        <v>24032</v>
      </c>
    </row>
    <row r="73" spans="1:35" ht="15.75" x14ac:dyDescent="0.25">
      <c r="A73" s="609" t="s">
        <v>1063</v>
      </c>
      <c r="B73" s="609" t="s">
        <v>190</v>
      </c>
      <c r="C73" s="893">
        <v>45412</v>
      </c>
      <c r="D73" s="606">
        <f t="shared" si="40"/>
        <v>46507</v>
      </c>
      <c r="E73" s="894">
        <v>825487</v>
      </c>
      <c r="F73" s="588">
        <v>0</v>
      </c>
      <c r="G73" s="895"/>
      <c r="H73" s="599"/>
      <c r="I73" s="600"/>
      <c r="J73" s="600"/>
      <c r="K73" s="601"/>
      <c r="L73" s="588"/>
      <c r="M73" s="588"/>
      <c r="N73" s="588"/>
      <c r="O73" s="612"/>
      <c r="P73" s="599"/>
      <c r="Q73" s="600"/>
      <c r="R73" s="600"/>
      <c r="S73" s="601"/>
      <c r="T73" s="588"/>
      <c r="U73" s="588"/>
      <c r="V73" s="895">
        <v>825487</v>
      </c>
      <c r="W73" s="599">
        <v>3</v>
      </c>
      <c r="X73" s="600">
        <f t="shared" si="37"/>
        <v>1095</v>
      </c>
      <c r="Y73" s="605">
        <f>IF(AND(C73&gt;$U$4,C73&lt;$AB$4),$AB$4-C73+1,IF(D73&lt;=$U$4,0,IF(D73&gt;$AB$4,$AB$4-$U$4,D73-$U$4)))</f>
        <v>336</v>
      </c>
      <c r="Z73" s="601">
        <v>0.63160000000000005</v>
      </c>
      <c r="AA73" s="588">
        <f t="shared" si="41"/>
        <v>479953</v>
      </c>
      <c r="AB73" s="588">
        <f t="shared" ref="AB73:AB83" si="43">U73+V73-AA73</f>
        <v>345534</v>
      </c>
      <c r="AC73" s="895">
        <v>0</v>
      </c>
      <c r="AD73" s="599">
        <v>3</v>
      </c>
      <c r="AE73" s="600">
        <f t="shared" si="42"/>
        <v>760</v>
      </c>
      <c r="AF73" s="605">
        <f t="shared" si="38"/>
        <v>365</v>
      </c>
      <c r="AG73" s="601">
        <v>0.63160000000000005</v>
      </c>
      <c r="AH73" s="588">
        <f t="shared" si="39"/>
        <v>218239</v>
      </c>
      <c r="AI73" s="588">
        <f t="shared" ref="AI73:AI83" si="44">AB73+AC73-AH73</f>
        <v>127295</v>
      </c>
    </row>
    <row r="74" spans="1:35" ht="15.75" x14ac:dyDescent="0.25">
      <c r="A74" s="609" t="s">
        <v>1064</v>
      </c>
      <c r="B74" s="609" t="s">
        <v>190</v>
      </c>
      <c r="C74" s="893">
        <v>45470</v>
      </c>
      <c r="D74" s="606">
        <f t="shared" si="40"/>
        <v>46565</v>
      </c>
      <c r="E74" s="894">
        <v>1312522.26</v>
      </c>
      <c r="F74" s="588">
        <v>0</v>
      </c>
      <c r="G74" s="895"/>
      <c r="H74" s="599"/>
      <c r="I74" s="600"/>
      <c r="J74" s="600"/>
      <c r="K74" s="601"/>
      <c r="L74" s="588"/>
      <c r="M74" s="588"/>
      <c r="N74" s="588"/>
      <c r="O74" s="612"/>
      <c r="P74" s="599"/>
      <c r="Q74" s="600"/>
      <c r="R74" s="600"/>
      <c r="S74" s="601"/>
      <c r="T74" s="588"/>
      <c r="U74" s="588"/>
      <c r="V74" s="895">
        <v>1312522.26</v>
      </c>
      <c r="W74" s="599">
        <v>3</v>
      </c>
      <c r="X74" s="600">
        <f t="shared" si="37"/>
        <v>1095</v>
      </c>
      <c r="Y74" s="605">
        <f t="shared" ref="Y74:Y83" si="45">IF(AND(C74&gt;$U$4,C74&lt;$AB$4),$AB$4-C74+1,IF(D74&lt;=$U$4,0,IF(D74&gt;$AB$4,$AB$4-$U$4,D74-$U$4)))</f>
        <v>278</v>
      </c>
      <c r="Z74" s="601">
        <v>0.63160000000000005</v>
      </c>
      <c r="AA74" s="588">
        <f t="shared" si="41"/>
        <v>631394</v>
      </c>
      <c r="AB74" s="588">
        <f t="shared" si="43"/>
        <v>681128.26</v>
      </c>
      <c r="AC74" s="895">
        <v>0</v>
      </c>
      <c r="AD74" s="599">
        <v>3</v>
      </c>
      <c r="AE74" s="600">
        <f t="shared" si="42"/>
        <v>818</v>
      </c>
      <c r="AF74" s="605">
        <f t="shared" si="38"/>
        <v>365</v>
      </c>
      <c r="AG74" s="601">
        <v>0.63160000000000005</v>
      </c>
      <c r="AH74" s="588">
        <f t="shared" si="39"/>
        <v>430201</v>
      </c>
      <c r="AI74" s="588">
        <f t="shared" si="44"/>
        <v>250927.26</v>
      </c>
    </row>
    <row r="75" spans="1:35" ht="15.75" x14ac:dyDescent="0.25">
      <c r="A75" s="609" t="s">
        <v>1064</v>
      </c>
      <c r="B75" s="609" t="s">
        <v>190</v>
      </c>
      <c r="C75" s="893">
        <v>45483</v>
      </c>
      <c r="D75" s="606">
        <f t="shared" si="40"/>
        <v>46578</v>
      </c>
      <c r="E75" s="894">
        <v>62501</v>
      </c>
      <c r="F75" s="588">
        <v>0</v>
      </c>
      <c r="G75" s="895"/>
      <c r="H75" s="599"/>
      <c r="I75" s="600"/>
      <c r="J75" s="600"/>
      <c r="K75" s="601"/>
      <c r="L75" s="588"/>
      <c r="M75" s="588"/>
      <c r="N75" s="588"/>
      <c r="O75" s="612"/>
      <c r="P75" s="599"/>
      <c r="Q75" s="600"/>
      <c r="R75" s="600"/>
      <c r="S75" s="601"/>
      <c r="T75" s="588"/>
      <c r="U75" s="588"/>
      <c r="V75" s="895">
        <v>62501</v>
      </c>
      <c r="W75" s="599">
        <v>3</v>
      </c>
      <c r="X75" s="600">
        <f t="shared" si="37"/>
        <v>1095</v>
      </c>
      <c r="Y75" s="605">
        <f t="shared" si="45"/>
        <v>265</v>
      </c>
      <c r="Z75" s="601">
        <v>0.63160000000000005</v>
      </c>
      <c r="AA75" s="588">
        <f t="shared" si="41"/>
        <v>28660</v>
      </c>
      <c r="AB75" s="588">
        <f t="shared" si="43"/>
        <v>33841</v>
      </c>
      <c r="AC75" s="895">
        <v>0</v>
      </c>
      <c r="AD75" s="599">
        <v>3</v>
      </c>
      <c r="AE75" s="600">
        <f t="shared" si="42"/>
        <v>831</v>
      </c>
      <c r="AF75" s="605">
        <f t="shared" si="38"/>
        <v>365</v>
      </c>
      <c r="AG75" s="601">
        <v>0.63160000000000005</v>
      </c>
      <c r="AH75" s="588">
        <f t="shared" si="39"/>
        <v>21374</v>
      </c>
      <c r="AI75" s="588">
        <f t="shared" si="44"/>
        <v>12467</v>
      </c>
    </row>
    <row r="76" spans="1:35" ht="15.75" x14ac:dyDescent="0.25">
      <c r="A76" s="609" t="s">
        <v>1065</v>
      </c>
      <c r="B76" s="609" t="s">
        <v>190</v>
      </c>
      <c r="C76" s="893">
        <v>45537</v>
      </c>
      <c r="D76" s="606">
        <f t="shared" si="40"/>
        <v>46632</v>
      </c>
      <c r="E76" s="894">
        <v>1423670</v>
      </c>
      <c r="F76" s="588">
        <v>0</v>
      </c>
      <c r="G76" s="895"/>
      <c r="H76" s="599"/>
      <c r="I76" s="600"/>
      <c r="J76" s="600"/>
      <c r="K76" s="601"/>
      <c r="L76" s="588"/>
      <c r="M76" s="588"/>
      <c r="N76" s="588"/>
      <c r="O76" s="612"/>
      <c r="P76" s="599"/>
      <c r="Q76" s="600"/>
      <c r="R76" s="600"/>
      <c r="S76" s="601"/>
      <c r="T76" s="588"/>
      <c r="U76" s="588"/>
      <c r="V76" s="895">
        <v>1423670</v>
      </c>
      <c r="W76" s="599">
        <v>3</v>
      </c>
      <c r="X76" s="600">
        <f t="shared" si="37"/>
        <v>1095</v>
      </c>
      <c r="Y76" s="605">
        <f t="shared" si="45"/>
        <v>211</v>
      </c>
      <c r="Z76" s="601">
        <v>0.63160000000000005</v>
      </c>
      <c r="AA76" s="588">
        <f t="shared" si="41"/>
        <v>519806</v>
      </c>
      <c r="AB76" s="588">
        <f t="shared" si="43"/>
        <v>903864</v>
      </c>
      <c r="AC76" s="895">
        <v>0</v>
      </c>
      <c r="AD76" s="599">
        <v>3</v>
      </c>
      <c r="AE76" s="600">
        <f t="shared" si="42"/>
        <v>885</v>
      </c>
      <c r="AF76" s="605">
        <f t="shared" si="38"/>
        <v>365</v>
      </c>
      <c r="AG76" s="601">
        <v>0.63160000000000005</v>
      </c>
      <c r="AH76" s="588">
        <f t="shared" si="39"/>
        <v>570881</v>
      </c>
      <c r="AI76" s="588">
        <f t="shared" si="44"/>
        <v>332983</v>
      </c>
    </row>
    <row r="77" spans="1:35" ht="15.75" x14ac:dyDescent="0.25">
      <c r="A77" s="609" t="s">
        <v>1066</v>
      </c>
      <c r="B77" s="609" t="s">
        <v>190</v>
      </c>
      <c r="C77" s="893">
        <v>45615</v>
      </c>
      <c r="D77" s="606">
        <f t="shared" si="40"/>
        <v>46710</v>
      </c>
      <c r="E77" s="894">
        <v>1498600</v>
      </c>
      <c r="F77" s="588">
        <v>0</v>
      </c>
      <c r="G77" s="895"/>
      <c r="H77" s="599"/>
      <c r="I77" s="600"/>
      <c r="J77" s="600"/>
      <c r="K77" s="601"/>
      <c r="L77" s="588"/>
      <c r="M77" s="588"/>
      <c r="N77" s="588"/>
      <c r="O77" s="612"/>
      <c r="P77" s="599"/>
      <c r="Q77" s="600"/>
      <c r="R77" s="600"/>
      <c r="S77" s="601"/>
      <c r="T77" s="588"/>
      <c r="U77" s="588"/>
      <c r="V77" s="895">
        <v>1498600</v>
      </c>
      <c r="W77" s="599">
        <v>3</v>
      </c>
      <c r="X77" s="600">
        <f t="shared" si="37"/>
        <v>1095</v>
      </c>
      <c r="Y77" s="605">
        <f t="shared" si="45"/>
        <v>133</v>
      </c>
      <c r="Z77" s="601">
        <v>0.63160000000000005</v>
      </c>
      <c r="AA77" s="588">
        <f t="shared" si="41"/>
        <v>344895</v>
      </c>
      <c r="AB77" s="588">
        <f t="shared" si="43"/>
        <v>1153705</v>
      </c>
      <c r="AC77" s="895">
        <v>0</v>
      </c>
      <c r="AD77" s="599">
        <v>3</v>
      </c>
      <c r="AE77" s="600">
        <f t="shared" si="42"/>
        <v>963</v>
      </c>
      <c r="AF77" s="605">
        <f t="shared" si="38"/>
        <v>365</v>
      </c>
      <c r="AG77" s="601">
        <v>0.63160000000000005</v>
      </c>
      <c r="AH77" s="588">
        <f t="shared" si="39"/>
        <v>728680</v>
      </c>
      <c r="AI77" s="588">
        <f t="shared" si="44"/>
        <v>425025</v>
      </c>
    </row>
    <row r="78" spans="1:35" ht="15.75" x14ac:dyDescent="0.25">
      <c r="A78" s="609" t="s">
        <v>1067</v>
      </c>
      <c r="B78" s="609" t="s">
        <v>190</v>
      </c>
      <c r="C78" s="893">
        <v>45688</v>
      </c>
      <c r="D78" s="606">
        <f t="shared" si="40"/>
        <v>46783</v>
      </c>
      <c r="E78" s="894">
        <v>749300</v>
      </c>
      <c r="F78" s="588">
        <v>0</v>
      </c>
      <c r="G78" s="895"/>
      <c r="H78" s="599"/>
      <c r="I78" s="600"/>
      <c r="J78" s="600"/>
      <c r="K78" s="601"/>
      <c r="L78" s="588"/>
      <c r="M78" s="588"/>
      <c r="N78" s="588"/>
      <c r="O78" s="612"/>
      <c r="P78" s="599"/>
      <c r="Q78" s="600"/>
      <c r="R78" s="600"/>
      <c r="S78" s="601"/>
      <c r="T78" s="588"/>
      <c r="U78" s="588"/>
      <c r="V78" s="895">
        <v>749300</v>
      </c>
      <c r="W78" s="599">
        <v>3</v>
      </c>
      <c r="X78" s="600">
        <f t="shared" si="37"/>
        <v>1095</v>
      </c>
      <c r="Y78" s="605">
        <f t="shared" si="45"/>
        <v>60</v>
      </c>
      <c r="Z78" s="601">
        <v>0.63160000000000005</v>
      </c>
      <c r="AA78" s="588">
        <f t="shared" si="41"/>
        <v>77796</v>
      </c>
      <c r="AB78" s="588">
        <f t="shared" si="43"/>
        <v>671504</v>
      </c>
      <c r="AC78" s="895">
        <v>0</v>
      </c>
      <c r="AD78" s="599">
        <v>3</v>
      </c>
      <c r="AE78" s="600">
        <f t="shared" si="42"/>
        <v>1036</v>
      </c>
      <c r="AF78" s="605">
        <f t="shared" si="38"/>
        <v>365</v>
      </c>
      <c r="AG78" s="601">
        <v>0.63160000000000005</v>
      </c>
      <c r="AH78" s="588">
        <f t="shared" si="39"/>
        <v>424122</v>
      </c>
      <c r="AI78" s="588">
        <f t="shared" si="44"/>
        <v>247382</v>
      </c>
    </row>
    <row r="79" spans="1:35" ht="15.75" x14ac:dyDescent="0.25">
      <c r="A79" s="609" t="s">
        <v>1068</v>
      </c>
      <c r="B79" s="609" t="s">
        <v>190</v>
      </c>
      <c r="C79" s="893">
        <v>45708</v>
      </c>
      <c r="D79" s="606">
        <f t="shared" si="40"/>
        <v>46803</v>
      </c>
      <c r="E79" s="894">
        <v>899160</v>
      </c>
      <c r="F79" s="588">
        <v>0</v>
      </c>
      <c r="G79" s="895"/>
      <c r="H79" s="599"/>
      <c r="I79" s="600"/>
      <c r="J79" s="600"/>
      <c r="K79" s="601"/>
      <c r="L79" s="588"/>
      <c r="M79" s="588"/>
      <c r="N79" s="588"/>
      <c r="O79" s="612"/>
      <c r="P79" s="599"/>
      <c r="Q79" s="600"/>
      <c r="R79" s="600"/>
      <c r="S79" s="601"/>
      <c r="T79" s="588"/>
      <c r="U79" s="588"/>
      <c r="V79" s="895">
        <v>899160</v>
      </c>
      <c r="W79" s="599">
        <v>3</v>
      </c>
      <c r="X79" s="600">
        <f t="shared" si="37"/>
        <v>1095</v>
      </c>
      <c r="Y79" s="605">
        <f t="shared" si="45"/>
        <v>40</v>
      </c>
      <c r="Z79" s="601">
        <v>0.63160000000000005</v>
      </c>
      <c r="AA79" s="588">
        <f t="shared" si="41"/>
        <v>62237</v>
      </c>
      <c r="AB79" s="588">
        <f t="shared" si="43"/>
        <v>836923</v>
      </c>
      <c r="AC79" s="895">
        <v>0</v>
      </c>
      <c r="AD79" s="599">
        <v>3</v>
      </c>
      <c r="AE79" s="600">
        <f t="shared" si="42"/>
        <v>1056</v>
      </c>
      <c r="AF79" s="605">
        <f t="shared" si="38"/>
        <v>365</v>
      </c>
      <c r="AG79" s="601">
        <v>0.63160000000000005</v>
      </c>
      <c r="AH79" s="588">
        <f t="shared" si="39"/>
        <v>528601</v>
      </c>
      <c r="AI79" s="588">
        <f t="shared" si="44"/>
        <v>308322</v>
      </c>
    </row>
    <row r="80" spans="1:35" ht="15.75" x14ac:dyDescent="0.25">
      <c r="A80" s="609" t="s">
        <v>1068</v>
      </c>
      <c r="B80" s="609" t="s">
        <v>190</v>
      </c>
      <c r="C80" s="893">
        <v>45714</v>
      </c>
      <c r="D80" s="606">
        <f t="shared" si="40"/>
        <v>46809</v>
      </c>
      <c r="E80" s="894">
        <v>149860</v>
      </c>
      <c r="F80" s="588">
        <v>0</v>
      </c>
      <c r="G80" s="895"/>
      <c r="H80" s="599"/>
      <c r="I80" s="600"/>
      <c r="J80" s="600"/>
      <c r="K80" s="601"/>
      <c r="L80" s="588"/>
      <c r="M80" s="588"/>
      <c r="N80" s="588"/>
      <c r="O80" s="612"/>
      <c r="P80" s="599"/>
      <c r="Q80" s="600"/>
      <c r="R80" s="600"/>
      <c r="S80" s="601"/>
      <c r="T80" s="588"/>
      <c r="U80" s="588"/>
      <c r="V80" s="895">
        <v>149860</v>
      </c>
      <c r="W80" s="599">
        <v>3</v>
      </c>
      <c r="X80" s="600">
        <f t="shared" si="37"/>
        <v>1095</v>
      </c>
      <c r="Y80" s="605">
        <f t="shared" si="45"/>
        <v>34</v>
      </c>
      <c r="Z80" s="601">
        <v>0.63160000000000005</v>
      </c>
      <c r="AA80" s="588">
        <f t="shared" si="41"/>
        <v>8817</v>
      </c>
      <c r="AB80" s="588">
        <f t="shared" si="43"/>
        <v>141043</v>
      </c>
      <c r="AC80" s="895">
        <v>0</v>
      </c>
      <c r="AD80" s="599">
        <v>3</v>
      </c>
      <c r="AE80" s="600">
        <f t="shared" si="42"/>
        <v>1062</v>
      </c>
      <c r="AF80" s="605">
        <f t="shared" si="38"/>
        <v>365</v>
      </c>
      <c r="AG80" s="601">
        <v>0.63160000000000005</v>
      </c>
      <c r="AH80" s="588">
        <f t="shared" si="39"/>
        <v>89083</v>
      </c>
      <c r="AI80" s="588">
        <f t="shared" si="44"/>
        <v>51960</v>
      </c>
    </row>
    <row r="81" spans="1:35" ht="15.75" x14ac:dyDescent="0.25">
      <c r="A81" s="609" t="s">
        <v>1069</v>
      </c>
      <c r="B81" s="609" t="s">
        <v>190</v>
      </c>
      <c r="C81" s="893">
        <v>45692</v>
      </c>
      <c r="D81" s="606">
        <f t="shared" si="40"/>
        <v>46787</v>
      </c>
      <c r="E81" s="894">
        <v>156114</v>
      </c>
      <c r="F81" s="588">
        <v>0</v>
      </c>
      <c r="G81" s="895"/>
      <c r="H81" s="599"/>
      <c r="I81" s="600"/>
      <c r="J81" s="600"/>
      <c r="K81" s="601"/>
      <c r="L81" s="588"/>
      <c r="M81" s="588"/>
      <c r="N81" s="588"/>
      <c r="O81" s="612"/>
      <c r="P81" s="599"/>
      <c r="Q81" s="600"/>
      <c r="R81" s="600"/>
      <c r="S81" s="601"/>
      <c r="T81" s="588"/>
      <c r="U81" s="588"/>
      <c r="V81" s="895">
        <v>156114</v>
      </c>
      <c r="W81" s="599">
        <v>3</v>
      </c>
      <c r="X81" s="600">
        <f t="shared" si="37"/>
        <v>1095</v>
      </c>
      <c r="Y81" s="605">
        <f t="shared" si="45"/>
        <v>56</v>
      </c>
      <c r="Z81" s="601">
        <v>0.63160000000000005</v>
      </c>
      <c r="AA81" s="588">
        <f t="shared" si="41"/>
        <v>15128</v>
      </c>
      <c r="AB81" s="588">
        <f t="shared" si="43"/>
        <v>140986</v>
      </c>
      <c r="AC81" s="895">
        <v>0</v>
      </c>
      <c r="AD81" s="599">
        <v>3</v>
      </c>
      <c r="AE81" s="600">
        <f t="shared" si="42"/>
        <v>1040</v>
      </c>
      <c r="AF81" s="605">
        <f t="shared" si="38"/>
        <v>365</v>
      </c>
      <c r="AG81" s="601">
        <v>0.63160000000000005</v>
      </c>
      <c r="AH81" s="588">
        <f t="shared" si="39"/>
        <v>89047</v>
      </c>
      <c r="AI81" s="588">
        <f t="shared" si="44"/>
        <v>51939</v>
      </c>
    </row>
    <row r="82" spans="1:35" ht="15.75" x14ac:dyDescent="0.25">
      <c r="A82" s="609" t="s">
        <v>1069</v>
      </c>
      <c r="B82" s="609" t="s">
        <v>190</v>
      </c>
      <c r="C82" s="893">
        <v>45692</v>
      </c>
      <c r="D82" s="606">
        <f t="shared" si="40"/>
        <v>46787</v>
      </c>
      <c r="E82" s="894">
        <v>156114</v>
      </c>
      <c r="F82" s="588">
        <v>0</v>
      </c>
      <c r="G82" s="895"/>
      <c r="H82" s="599"/>
      <c r="I82" s="600"/>
      <c r="J82" s="600"/>
      <c r="K82" s="601"/>
      <c r="L82" s="588"/>
      <c r="M82" s="588"/>
      <c r="N82" s="588"/>
      <c r="O82" s="612"/>
      <c r="P82" s="599"/>
      <c r="Q82" s="600"/>
      <c r="R82" s="600"/>
      <c r="S82" s="601"/>
      <c r="T82" s="588"/>
      <c r="U82" s="588"/>
      <c r="V82" s="895">
        <v>156114</v>
      </c>
      <c r="W82" s="599">
        <v>3</v>
      </c>
      <c r="X82" s="600">
        <f t="shared" si="37"/>
        <v>1095</v>
      </c>
      <c r="Y82" s="605">
        <f t="shared" si="45"/>
        <v>56</v>
      </c>
      <c r="Z82" s="601">
        <v>0.63160000000000005</v>
      </c>
      <c r="AA82" s="588">
        <f t="shared" si="41"/>
        <v>15128</v>
      </c>
      <c r="AB82" s="588">
        <f t="shared" si="43"/>
        <v>140986</v>
      </c>
      <c r="AC82" s="895">
        <v>0</v>
      </c>
      <c r="AD82" s="599">
        <v>3</v>
      </c>
      <c r="AE82" s="600">
        <f t="shared" si="42"/>
        <v>1040</v>
      </c>
      <c r="AF82" s="605">
        <f t="shared" si="38"/>
        <v>365</v>
      </c>
      <c r="AG82" s="601">
        <v>0.63160000000000005</v>
      </c>
      <c r="AH82" s="588">
        <f t="shared" si="39"/>
        <v>89047</v>
      </c>
      <c r="AI82" s="588">
        <f t="shared" si="44"/>
        <v>51939</v>
      </c>
    </row>
    <row r="83" spans="1:35" ht="15.75" x14ac:dyDescent="0.25">
      <c r="A83" s="609" t="s">
        <v>1069</v>
      </c>
      <c r="B83" s="609" t="s">
        <v>190</v>
      </c>
      <c r="C83" s="893">
        <v>45692</v>
      </c>
      <c r="D83" s="606">
        <f t="shared" si="40"/>
        <v>46787</v>
      </c>
      <c r="E83" s="894">
        <v>156114</v>
      </c>
      <c r="F83" s="588">
        <v>0</v>
      </c>
      <c r="G83" s="895"/>
      <c r="H83" s="599"/>
      <c r="I83" s="600"/>
      <c r="J83" s="600"/>
      <c r="K83" s="601"/>
      <c r="L83" s="588"/>
      <c r="M83" s="588"/>
      <c r="N83" s="588"/>
      <c r="O83" s="612"/>
      <c r="P83" s="599"/>
      <c r="Q83" s="600"/>
      <c r="R83" s="600"/>
      <c r="S83" s="601"/>
      <c r="T83" s="588"/>
      <c r="U83" s="588"/>
      <c r="V83" s="895">
        <v>156114</v>
      </c>
      <c r="W83" s="599">
        <v>3</v>
      </c>
      <c r="X83" s="600">
        <f t="shared" si="37"/>
        <v>1095</v>
      </c>
      <c r="Y83" s="605">
        <f t="shared" si="45"/>
        <v>56</v>
      </c>
      <c r="Z83" s="601">
        <v>0.63160000000000005</v>
      </c>
      <c r="AA83" s="588">
        <f t="shared" si="41"/>
        <v>15128</v>
      </c>
      <c r="AB83" s="588">
        <f t="shared" si="43"/>
        <v>140986</v>
      </c>
      <c r="AC83" s="895">
        <v>0</v>
      </c>
      <c r="AD83" s="599">
        <v>3</v>
      </c>
      <c r="AE83" s="600">
        <f t="shared" si="42"/>
        <v>1040</v>
      </c>
      <c r="AF83" s="605">
        <f t="shared" si="38"/>
        <v>365</v>
      </c>
      <c r="AG83" s="601">
        <v>0.63160000000000005</v>
      </c>
      <c r="AH83" s="588">
        <f t="shared" si="39"/>
        <v>89047</v>
      </c>
      <c r="AI83" s="588">
        <f t="shared" si="44"/>
        <v>51939</v>
      </c>
    </row>
    <row r="84" spans="1:35" ht="15.75" x14ac:dyDescent="0.25">
      <c r="A84" s="605"/>
      <c r="B84" s="605"/>
      <c r="C84" s="606"/>
      <c r="D84" s="606"/>
      <c r="E84" s="607"/>
      <c r="F84" s="588"/>
      <c r="H84" s="599"/>
      <c r="I84" s="600"/>
      <c r="J84" s="600"/>
      <c r="K84" s="601"/>
      <c r="L84" s="588"/>
      <c r="M84" s="588"/>
      <c r="N84" s="588"/>
      <c r="O84" s="612"/>
      <c r="P84" s="599"/>
      <c r="Q84" s="600"/>
      <c r="R84" s="600"/>
      <c r="S84" s="601"/>
      <c r="T84" s="588"/>
      <c r="U84" s="588"/>
      <c r="V84" s="612"/>
      <c r="W84" s="599"/>
      <c r="X84" s="600"/>
      <c r="Y84" s="600"/>
      <c r="Z84" s="601"/>
      <c r="AA84" s="588"/>
      <c r="AB84" s="588"/>
      <c r="AC84" s="612"/>
      <c r="AD84" s="599"/>
      <c r="AE84" s="600"/>
      <c r="AF84" s="600"/>
      <c r="AG84" s="601"/>
      <c r="AH84" s="588"/>
      <c r="AI84" s="588"/>
    </row>
    <row r="85" spans="1:35" ht="15.75" x14ac:dyDescent="0.25">
      <c r="A85" s="605"/>
      <c r="B85" s="605"/>
      <c r="C85" s="606"/>
      <c r="D85" s="606"/>
      <c r="E85" s="607"/>
      <c r="F85" s="588"/>
      <c r="H85" s="599"/>
      <c r="I85" s="600"/>
      <c r="J85" s="600"/>
      <c r="K85" s="601"/>
      <c r="L85" s="588"/>
      <c r="M85" s="588"/>
      <c r="N85" s="588"/>
      <c r="O85" s="612"/>
      <c r="P85" s="599"/>
      <c r="Q85" s="600"/>
      <c r="R85" s="600"/>
      <c r="S85" s="601"/>
      <c r="T85" s="588"/>
      <c r="U85" s="588"/>
      <c r="V85" s="612"/>
      <c r="W85" s="599"/>
      <c r="X85" s="600"/>
      <c r="Y85" s="600"/>
      <c r="Z85" s="601"/>
      <c r="AA85" s="588"/>
      <c r="AB85" s="588"/>
      <c r="AC85" s="612"/>
      <c r="AD85" s="599"/>
      <c r="AE85" s="600"/>
      <c r="AF85" s="600"/>
      <c r="AG85" s="601"/>
      <c r="AH85" s="588"/>
      <c r="AI85" s="588"/>
    </row>
    <row r="86" spans="1:35" ht="15.75" x14ac:dyDescent="0.25">
      <c r="A86" s="613" t="s">
        <v>13</v>
      </c>
      <c r="B86" s="613"/>
      <c r="C86" s="614"/>
      <c r="D86" s="614"/>
      <c r="E86" s="615">
        <f>SUM(E6:E85)</f>
        <v>24975469.040000003</v>
      </c>
      <c r="F86" s="615">
        <f>SUM(F6:F85)</f>
        <v>2145545.2800000003</v>
      </c>
      <c r="G86" s="615">
        <f>SUM(G6:G85)</f>
        <v>0</v>
      </c>
      <c r="H86" s="615"/>
      <c r="I86" s="615">
        <f>SUM(I6:I70)</f>
        <v>15563</v>
      </c>
      <c r="J86" s="615">
        <f>SUM(J6:J70)</f>
        <v>8959</v>
      </c>
      <c r="K86" s="615"/>
      <c r="L86" s="615">
        <f>SUM(L6:L70)</f>
        <v>1354191</v>
      </c>
      <c r="M86" s="615">
        <f>SUM(M6:M70)</f>
        <v>791352.84700000007</v>
      </c>
      <c r="N86" s="662">
        <f>SUM(N6:N72)</f>
        <v>791352.84700000007</v>
      </c>
      <c r="O86" s="615">
        <f>SUM(O6:O72)</f>
        <v>394930</v>
      </c>
      <c r="P86" s="615"/>
      <c r="Q86" s="615"/>
      <c r="R86" s="615"/>
      <c r="S86" s="615"/>
      <c r="T86" s="615">
        <f>SUM(T6:T85)</f>
        <v>514971.85</v>
      </c>
      <c r="U86" s="615">
        <f>SUM(U6:U85)</f>
        <v>671310.99699999997</v>
      </c>
      <c r="V86" s="615">
        <f>SUM(V6:V85)</f>
        <v>7389442.2599999998</v>
      </c>
      <c r="W86" s="615"/>
      <c r="X86" s="615"/>
      <c r="Y86" s="615"/>
      <c r="Z86" s="615"/>
      <c r="AA86" s="615">
        <f>SUM(AA6:AA85)</f>
        <v>2428249.733</v>
      </c>
      <c r="AB86" s="615">
        <f>SUM(AB6:AB85)</f>
        <v>5613553.5240000002</v>
      </c>
      <c r="AC86" s="615">
        <f>SUM(AC6:AC85)</f>
        <v>0</v>
      </c>
      <c r="AD86" s="615"/>
      <c r="AE86" s="615"/>
      <c r="AF86" s="615"/>
      <c r="AG86" s="615"/>
      <c r="AH86" s="615">
        <f>SUM(AH6:AH85)</f>
        <v>3347240</v>
      </c>
      <c r="AI86" s="615">
        <f>SUM(AI6:AI85)</f>
        <v>2266313.5240000002</v>
      </c>
    </row>
    <row r="87" spans="1:35" ht="15.75" thickBot="1" x14ac:dyDescent="0.3">
      <c r="AB87" s="399"/>
    </row>
    <row r="88" spans="1:35" x14ac:dyDescent="0.25">
      <c r="V88" s="901" t="s">
        <v>392</v>
      </c>
      <c r="W88" s="902">
        <f>U86</f>
        <v>671310.99699999997</v>
      </c>
      <c r="AA88" s="399"/>
      <c r="AB88" s="399"/>
      <c r="AD88" s="399"/>
      <c r="AF88" s="399"/>
      <c r="AG88" s="399"/>
    </row>
    <row r="89" spans="1:35" x14ac:dyDescent="0.25">
      <c r="P89" s="616"/>
      <c r="V89" s="903" t="s">
        <v>1072</v>
      </c>
      <c r="W89" s="904">
        <f>V86</f>
        <v>7389442.2599999998</v>
      </c>
      <c r="Z89" s="399"/>
      <c r="AA89" s="399"/>
    </row>
    <row r="90" spans="1:35" x14ac:dyDescent="0.25">
      <c r="P90" s="617"/>
      <c r="V90" s="903" t="s">
        <v>681</v>
      </c>
      <c r="W90" s="904">
        <f>AA86</f>
        <v>2428249.733</v>
      </c>
      <c r="AA90" s="224">
        <v>15160</v>
      </c>
      <c r="AB90" s="897" t="s">
        <v>1070</v>
      </c>
    </row>
    <row r="91" spans="1:35" x14ac:dyDescent="0.25">
      <c r="V91" s="903" t="s">
        <v>1073</v>
      </c>
      <c r="W91" s="904">
        <f>AA92+14</f>
        <v>18950</v>
      </c>
      <c r="AA91" s="224">
        <v>3776</v>
      </c>
      <c r="AB91" s="628" t="s">
        <v>1071</v>
      </c>
    </row>
    <row r="92" spans="1:35" ht="15.75" thickBot="1" x14ac:dyDescent="0.3">
      <c r="V92" s="899" t="s">
        <v>1074</v>
      </c>
      <c r="W92" s="900">
        <f>W88+W89-W90-W91</f>
        <v>5613553.5239999993</v>
      </c>
      <c r="AA92" s="224">
        <f>AA90+AA91</f>
        <v>18936</v>
      </c>
    </row>
    <row r="93" spans="1:35" x14ac:dyDescent="0.25">
      <c r="W93" s="616"/>
    </row>
    <row r="94" spans="1:35" x14ac:dyDescent="0.25">
      <c r="W94" s="616"/>
    </row>
    <row r="95" spans="1:35" x14ac:dyDescent="0.25">
      <c r="W95" s="616"/>
    </row>
    <row r="96" spans="1:35" x14ac:dyDescent="0.25">
      <c r="W96" s="896"/>
    </row>
  </sheetData>
  <mergeCells count="3">
    <mergeCell ref="A3:M3"/>
    <mergeCell ref="V3:AB3"/>
    <mergeCell ref="AC3:AI3"/>
  </mergeCells>
  <hyperlinks>
    <hyperlink ref="E76" r:id="rId1" location="/bills/962686000000435519" display="https://books.zoho.in/app/60015967871 - /bills/962686000000435519" xr:uid="{5B93ADA5-8812-41EF-8444-A4CB29FE3E9C}"/>
    <hyperlink ref="V76" r:id="rId2" location="/bills/962686000000435519" display="https://books.zoho.in/app/60015967871 - /bills/962686000000435519" xr:uid="{A8953337-10AB-4115-97F6-7AF7F512661D}"/>
    <hyperlink ref="AC76" r:id="rId3" location="/bills/962686000000435519" display="https://books.zoho.in/app/60015967871 - /bills/962686000000435519" xr:uid="{F9CFD610-D783-4963-87BE-93D380301AC6}"/>
  </hyperlinks>
  <pageMargins left="0.7" right="0.7" top="0.75" bottom="0.75" header="0.3" footer="0.3"/>
  <pageSetup orientation="portrait" r:id="rId4"/>
  <legacy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A7200-1B82-49BD-B353-32C83E8DD766}">
  <dimension ref="A1:J69"/>
  <sheetViews>
    <sheetView showGridLines="0" view="pageBreakPreview" topLeftCell="A28" zoomScale="115" zoomScaleNormal="100" zoomScaleSheetLayoutView="115" workbookViewId="0">
      <selection activeCell="B44" sqref="B44"/>
    </sheetView>
  </sheetViews>
  <sheetFormatPr defaultColWidth="6.140625" defaultRowHeight="13.5" x14ac:dyDescent="0.25"/>
  <cols>
    <col min="1" max="1" width="45.140625" style="148" customWidth="1"/>
    <col min="2" max="2" width="20.5703125" style="148" bestFit="1" customWidth="1"/>
    <col min="3" max="3" width="18.7109375" style="148" customWidth="1"/>
    <col min="4" max="4" width="14.85546875" style="148" bestFit="1" customWidth="1"/>
    <col min="5" max="5" width="9.5703125" style="148" bestFit="1" customWidth="1"/>
    <col min="6" max="6" width="9.140625" style="148" customWidth="1"/>
    <col min="7" max="7" width="46.85546875" style="148" customWidth="1"/>
    <col min="8" max="8" width="9.140625" style="148" customWidth="1"/>
    <col min="9" max="9" width="17.85546875" style="148" bestFit="1" customWidth="1"/>
    <col min="10" max="246" width="9.140625" style="148" customWidth="1"/>
    <col min="247" max="247" width="5.7109375" style="148" customWidth="1"/>
    <col min="248" max="256" width="6.140625" style="148"/>
    <col min="257" max="257" width="69" style="148" customWidth="1"/>
    <col min="258" max="258" width="20.5703125" style="148" bestFit="1" customWidth="1"/>
    <col min="259" max="259" width="18.7109375" style="148" customWidth="1"/>
    <col min="260" max="260" width="12" style="148" bestFit="1" customWidth="1"/>
    <col min="261" max="261" width="9.5703125" style="148" bestFit="1" customWidth="1"/>
    <col min="262" max="502" width="9.140625" style="148" customWidth="1"/>
    <col min="503" max="503" width="5.7109375" style="148" customWidth="1"/>
    <col min="504" max="512" width="6.140625" style="148"/>
    <col min="513" max="513" width="69" style="148" customWidth="1"/>
    <col min="514" max="514" width="20.5703125" style="148" bestFit="1" customWidth="1"/>
    <col min="515" max="515" width="18.7109375" style="148" customWidth="1"/>
    <col min="516" max="516" width="12" style="148" bestFit="1" customWidth="1"/>
    <col min="517" max="517" width="9.5703125" style="148" bestFit="1" customWidth="1"/>
    <col min="518" max="758" width="9.140625" style="148" customWidth="1"/>
    <col min="759" max="759" width="5.7109375" style="148" customWidth="1"/>
    <col min="760" max="768" width="6.140625" style="148"/>
    <col min="769" max="769" width="69" style="148" customWidth="1"/>
    <col min="770" max="770" width="20.5703125" style="148" bestFit="1" customWidth="1"/>
    <col min="771" max="771" width="18.7109375" style="148" customWidth="1"/>
    <col min="772" max="772" width="12" style="148" bestFit="1" customWidth="1"/>
    <col min="773" max="773" width="9.5703125" style="148" bestFit="1" customWidth="1"/>
    <col min="774" max="1014" width="9.140625" style="148" customWidth="1"/>
    <col min="1015" max="1015" width="5.7109375" style="148" customWidth="1"/>
    <col min="1016" max="1024" width="6.140625" style="148"/>
    <col min="1025" max="1025" width="69" style="148" customWidth="1"/>
    <col min="1026" max="1026" width="20.5703125" style="148" bestFit="1" customWidth="1"/>
    <col min="1027" max="1027" width="18.7109375" style="148" customWidth="1"/>
    <col min="1028" max="1028" width="12" style="148" bestFit="1" customWidth="1"/>
    <col min="1029" max="1029" width="9.5703125" style="148" bestFit="1" customWidth="1"/>
    <col min="1030" max="1270" width="9.140625" style="148" customWidth="1"/>
    <col min="1271" max="1271" width="5.7109375" style="148" customWidth="1"/>
    <col min="1272" max="1280" width="6.140625" style="148"/>
    <col min="1281" max="1281" width="69" style="148" customWidth="1"/>
    <col min="1282" max="1282" width="20.5703125" style="148" bestFit="1" customWidth="1"/>
    <col min="1283" max="1283" width="18.7109375" style="148" customWidth="1"/>
    <col min="1284" max="1284" width="12" style="148" bestFit="1" customWidth="1"/>
    <col min="1285" max="1285" width="9.5703125" style="148" bestFit="1" customWidth="1"/>
    <col min="1286" max="1526" width="9.140625" style="148" customWidth="1"/>
    <col min="1527" max="1527" width="5.7109375" style="148" customWidth="1"/>
    <col min="1528" max="1536" width="6.140625" style="148"/>
    <col min="1537" max="1537" width="69" style="148" customWidth="1"/>
    <col min="1538" max="1538" width="20.5703125" style="148" bestFit="1" customWidth="1"/>
    <col min="1539" max="1539" width="18.7109375" style="148" customWidth="1"/>
    <col min="1540" max="1540" width="12" style="148" bestFit="1" customWidth="1"/>
    <col min="1541" max="1541" width="9.5703125" style="148" bestFit="1" customWidth="1"/>
    <col min="1542" max="1782" width="9.140625" style="148" customWidth="1"/>
    <col min="1783" max="1783" width="5.7109375" style="148" customWidth="1"/>
    <col min="1784" max="1792" width="6.140625" style="148"/>
    <col min="1793" max="1793" width="69" style="148" customWidth="1"/>
    <col min="1794" max="1794" width="20.5703125" style="148" bestFit="1" customWidth="1"/>
    <col min="1795" max="1795" width="18.7109375" style="148" customWidth="1"/>
    <col min="1796" max="1796" width="12" style="148" bestFit="1" customWidth="1"/>
    <col min="1797" max="1797" width="9.5703125" style="148" bestFit="1" customWidth="1"/>
    <col min="1798" max="2038" width="9.140625" style="148" customWidth="1"/>
    <col min="2039" max="2039" width="5.7109375" style="148" customWidth="1"/>
    <col min="2040" max="2048" width="6.140625" style="148"/>
    <col min="2049" max="2049" width="69" style="148" customWidth="1"/>
    <col min="2050" max="2050" width="20.5703125" style="148" bestFit="1" customWidth="1"/>
    <col min="2051" max="2051" width="18.7109375" style="148" customWidth="1"/>
    <col min="2052" max="2052" width="12" style="148" bestFit="1" customWidth="1"/>
    <col min="2053" max="2053" width="9.5703125" style="148" bestFit="1" customWidth="1"/>
    <col min="2054" max="2294" width="9.140625" style="148" customWidth="1"/>
    <col min="2295" max="2295" width="5.7109375" style="148" customWidth="1"/>
    <col min="2296" max="2304" width="6.140625" style="148"/>
    <col min="2305" max="2305" width="69" style="148" customWidth="1"/>
    <col min="2306" max="2306" width="20.5703125" style="148" bestFit="1" customWidth="1"/>
    <col min="2307" max="2307" width="18.7109375" style="148" customWidth="1"/>
    <col min="2308" max="2308" width="12" style="148" bestFit="1" customWidth="1"/>
    <col min="2309" max="2309" width="9.5703125" style="148" bestFit="1" customWidth="1"/>
    <col min="2310" max="2550" width="9.140625" style="148" customWidth="1"/>
    <col min="2551" max="2551" width="5.7109375" style="148" customWidth="1"/>
    <col min="2552" max="2560" width="6.140625" style="148"/>
    <col min="2561" max="2561" width="69" style="148" customWidth="1"/>
    <col min="2562" max="2562" width="20.5703125" style="148" bestFit="1" customWidth="1"/>
    <col min="2563" max="2563" width="18.7109375" style="148" customWidth="1"/>
    <col min="2564" max="2564" width="12" style="148" bestFit="1" customWidth="1"/>
    <col min="2565" max="2565" width="9.5703125" style="148" bestFit="1" customWidth="1"/>
    <col min="2566" max="2806" width="9.140625" style="148" customWidth="1"/>
    <col min="2807" max="2807" width="5.7109375" style="148" customWidth="1"/>
    <col min="2808" max="2816" width="6.140625" style="148"/>
    <col min="2817" max="2817" width="69" style="148" customWidth="1"/>
    <col min="2818" max="2818" width="20.5703125" style="148" bestFit="1" customWidth="1"/>
    <col min="2819" max="2819" width="18.7109375" style="148" customWidth="1"/>
    <col min="2820" max="2820" width="12" style="148" bestFit="1" customWidth="1"/>
    <col min="2821" max="2821" width="9.5703125" style="148" bestFit="1" customWidth="1"/>
    <col min="2822" max="3062" width="9.140625" style="148" customWidth="1"/>
    <col min="3063" max="3063" width="5.7109375" style="148" customWidth="1"/>
    <col min="3064" max="3072" width="6.140625" style="148"/>
    <col min="3073" max="3073" width="69" style="148" customWidth="1"/>
    <col min="3074" max="3074" width="20.5703125" style="148" bestFit="1" customWidth="1"/>
    <col min="3075" max="3075" width="18.7109375" style="148" customWidth="1"/>
    <col min="3076" max="3076" width="12" style="148" bestFit="1" customWidth="1"/>
    <col min="3077" max="3077" width="9.5703125" style="148" bestFit="1" customWidth="1"/>
    <col min="3078" max="3318" width="9.140625" style="148" customWidth="1"/>
    <col min="3319" max="3319" width="5.7109375" style="148" customWidth="1"/>
    <col min="3320" max="3328" width="6.140625" style="148"/>
    <col min="3329" max="3329" width="69" style="148" customWidth="1"/>
    <col min="3330" max="3330" width="20.5703125" style="148" bestFit="1" customWidth="1"/>
    <col min="3331" max="3331" width="18.7109375" style="148" customWidth="1"/>
    <col min="3332" max="3332" width="12" style="148" bestFit="1" customWidth="1"/>
    <col min="3333" max="3333" width="9.5703125" style="148" bestFit="1" customWidth="1"/>
    <col min="3334" max="3574" width="9.140625" style="148" customWidth="1"/>
    <col min="3575" max="3575" width="5.7109375" style="148" customWidth="1"/>
    <col min="3576" max="3584" width="6.140625" style="148"/>
    <col min="3585" max="3585" width="69" style="148" customWidth="1"/>
    <col min="3586" max="3586" width="20.5703125" style="148" bestFit="1" customWidth="1"/>
    <col min="3587" max="3587" width="18.7109375" style="148" customWidth="1"/>
    <col min="3588" max="3588" width="12" style="148" bestFit="1" customWidth="1"/>
    <col min="3589" max="3589" width="9.5703125" style="148" bestFit="1" customWidth="1"/>
    <col min="3590" max="3830" width="9.140625" style="148" customWidth="1"/>
    <col min="3831" max="3831" width="5.7109375" style="148" customWidth="1"/>
    <col min="3832" max="3840" width="6.140625" style="148"/>
    <col min="3841" max="3841" width="69" style="148" customWidth="1"/>
    <col min="3842" max="3842" width="20.5703125" style="148" bestFit="1" customWidth="1"/>
    <col min="3843" max="3843" width="18.7109375" style="148" customWidth="1"/>
    <col min="3844" max="3844" width="12" style="148" bestFit="1" customWidth="1"/>
    <col min="3845" max="3845" width="9.5703125" style="148" bestFit="1" customWidth="1"/>
    <col min="3846" max="4086" width="9.140625" style="148" customWidth="1"/>
    <col min="4087" max="4087" width="5.7109375" style="148" customWidth="1"/>
    <col min="4088" max="4096" width="6.140625" style="148"/>
    <col min="4097" max="4097" width="69" style="148" customWidth="1"/>
    <col min="4098" max="4098" width="20.5703125" style="148" bestFit="1" customWidth="1"/>
    <col min="4099" max="4099" width="18.7109375" style="148" customWidth="1"/>
    <col min="4100" max="4100" width="12" style="148" bestFit="1" customWidth="1"/>
    <col min="4101" max="4101" width="9.5703125" style="148" bestFit="1" customWidth="1"/>
    <col min="4102" max="4342" width="9.140625" style="148" customWidth="1"/>
    <col min="4343" max="4343" width="5.7109375" style="148" customWidth="1"/>
    <col min="4344" max="4352" width="6.140625" style="148"/>
    <col min="4353" max="4353" width="69" style="148" customWidth="1"/>
    <col min="4354" max="4354" width="20.5703125" style="148" bestFit="1" customWidth="1"/>
    <col min="4355" max="4355" width="18.7109375" style="148" customWidth="1"/>
    <col min="4356" max="4356" width="12" style="148" bestFit="1" customWidth="1"/>
    <col min="4357" max="4357" width="9.5703125" style="148" bestFit="1" customWidth="1"/>
    <col min="4358" max="4598" width="9.140625" style="148" customWidth="1"/>
    <col min="4599" max="4599" width="5.7109375" style="148" customWidth="1"/>
    <col min="4600" max="4608" width="6.140625" style="148"/>
    <col min="4609" max="4609" width="69" style="148" customWidth="1"/>
    <col min="4610" max="4610" width="20.5703125" style="148" bestFit="1" customWidth="1"/>
    <col min="4611" max="4611" width="18.7109375" style="148" customWidth="1"/>
    <col min="4612" max="4612" width="12" style="148" bestFit="1" customWidth="1"/>
    <col min="4613" max="4613" width="9.5703125" style="148" bestFit="1" customWidth="1"/>
    <col min="4614" max="4854" width="9.140625" style="148" customWidth="1"/>
    <col min="4855" max="4855" width="5.7109375" style="148" customWidth="1"/>
    <col min="4856" max="4864" width="6.140625" style="148"/>
    <col min="4865" max="4865" width="69" style="148" customWidth="1"/>
    <col min="4866" max="4866" width="20.5703125" style="148" bestFit="1" customWidth="1"/>
    <col min="4867" max="4867" width="18.7109375" style="148" customWidth="1"/>
    <col min="4868" max="4868" width="12" style="148" bestFit="1" customWidth="1"/>
    <col min="4869" max="4869" width="9.5703125" style="148" bestFit="1" customWidth="1"/>
    <col min="4870" max="5110" width="9.140625" style="148" customWidth="1"/>
    <col min="5111" max="5111" width="5.7109375" style="148" customWidth="1"/>
    <col min="5112" max="5120" width="6.140625" style="148"/>
    <col min="5121" max="5121" width="69" style="148" customWidth="1"/>
    <col min="5122" max="5122" width="20.5703125" style="148" bestFit="1" customWidth="1"/>
    <col min="5123" max="5123" width="18.7109375" style="148" customWidth="1"/>
    <col min="5124" max="5124" width="12" style="148" bestFit="1" customWidth="1"/>
    <col min="5125" max="5125" width="9.5703125" style="148" bestFit="1" customWidth="1"/>
    <col min="5126" max="5366" width="9.140625" style="148" customWidth="1"/>
    <col min="5367" max="5367" width="5.7109375" style="148" customWidth="1"/>
    <col min="5368" max="5376" width="6.140625" style="148"/>
    <col min="5377" max="5377" width="69" style="148" customWidth="1"/>
    <col min="5378" max="5378" width="20.5703125" style="148" bestFit="1" customWidth="1"/>
    <col min="5379" max="5379" width="18.7109375" style="148" customWidth="1"/>
    <col min="5380" max="5380" width="12" style="148" bestFit="1" customWidth="1"/>
    <col min="5381" max="5381" width="9.5703125" style="148" bestFit="1" customWidth="1"/>
    <col min="5382" max="5622" width="9.140625" style="148" customWidth="1"/>
    <col min="5623" max="5623" width="5.7109375" style="148" customWidth="1"/>
    <col min="5624" max="5632" width="6.140625" style="148"/>
    <col min="5633" max="5633" width="69" style="148" customWidth="1"/>
    <col min="5634" max="5634" width="20.5703125" style="148" bestFit="1" customWidth="1"/>
    <col min="5635" max="5635" width="18.7109375" style="148" customWidth="1"/>
    <col min="5636" max="5636" width="12" style="148" bestFit="1" customWidth="1"/>
    <col min="5637" max="5637" width="9.5703125" style="148" bestFit="1" customWidth="1"/>
    <col min="5638" max="5878" width="9.140625" style="148" customWidth="1"/>
    <col min="5879" max="5879" width="5.7109375" style="148" customWidth="1"/>
    <col min="5880" max="5888" width="6.140625" style="148"/>
    <col min="5889" max="5889" width="69" style="148" customWidth="1"/>
    <col min="5890" max="5890" width="20.5703125" style="148" bestFit="1" customWidth="1"/>
    <col min="5891" max="5891" width="18.7109375" style="148" customWidth="1"/>
    <col min="5892" max="5892" width="12" style="148" bestFit="1" customWidth="1"/>
    <col min="5893" max="5893" width="9.5703125" style="148" bestFit="1" customWidth="1"/>
    <col min="5894" max="6134" width="9.140625" style="148" customWidth="1"/>
    <col min="6135" max="6135" width="5.7109375" style="148" customWidth="1"/>
    <col min="6136" max="6144" width="6.140625" style="148"/>
    <col min="6145" max="6145" width="69" style="148" customWidth="1"/>
    <col min="6146" max="6146" width="20.5703125" style="148" bestFit="1" customWidth="1"/>
    <col min="6147" max="6147" width="18.7109375" style="148" customWidth="1"/>
    <col min="6148" max="6148" width="12" style="148" bestFit="1" customWidth="1"/>
    <col min="6149" max="6149" width="9.5703125" style="148" bestFit="1" customWidth="1"/>
    <col min="6150" max="6390" width="9.140625" style="148" customWidth="1"/>
    <col min="6391" max="6391" width="5.7109375" style="148" customWidth="1"/>
    <col min="6392" max="6400" width="6.140625" style="148"/>
    <col min="6401" max="6401" width="69" style="148" customWidth="1"/>
    <col min="6402" max="6402" width="20.5703125" style="148" bestFit="1" customWidth="1"/>
    <col min="6403" max="6403" width="18.7109375" style="148" customWidth="1"/>
    <col min="6404" max="6404" width="12" style="148" bestFit="1" customWidth="1"/>
    <col min="6405" max="6405" width="9.5703125" style="148" bestFit="1" customWidth="1"/>
    <col min="6406" max="6646" width="9.140625" style="148" customWidth="1"/>
    <col min="6647" max="6647" width="5.7109375" style="148" customWidth="1"/>
    <col min="6648" max="6656" width="6.140625" style="148"/>
    <col min="6657" max="6657" width="69" style="148" customWidth="1"/>
    <col min="6658" max="6658" width="20.5703125" style="148" bestFit="1" customWidth="1"/>
    <col min="6659" max="6659" width="18.7109375" style="148" customWidth="1"/>
    <col min="6660" max="6660" width="12" style="148" bestFit="1" customWidth="1"/>
    <col min="6661" max="6661" width="9.5703125" style="148" bestFit="1" customWidth="1"/>
    <col min="6662" max="6902" width="9.140625" style="148" customWidth="1"/>
    <col min="6903" max="6903" width="5.7109375" style="148" customWidth="1"/>
    <col min="6904" max="6912" width="6.140625" style="148"/>
    <col min="6913" max="6913" width="69" style="148" customWidth="1"/>
    <col min="6914" max="6914" width="20.5703125" style="148" bestFit="1" customWidth="1"/>
    <col min="6915" max="6915" width="18.7109375" style="148" customWidth="1"/>
    <col min="6916" max="6916" width="12" style="148" bestFit="1" customWidth="1"/>
    <col min="6917" max="6917" width="9.5703125" style="148" bestFit="1" customWidth="1"/>
    <col min="6918" max="7158" width="9.140625" style="148" customWidth="1"/>
    <col min="7159" max="7159" width="5.7109375" style="148" customWidth="1"/>
    <col min="7160" max="7168" width="6.140625" style="148"/>
    <col min="7169" max="7169" width="69" style="148" customWidth="1"/>
    <col min="7170" max="7170" width="20.5703125" style="148" bestFit="1" customWidth="1"/>
    <col min="7171" max="7171" width="18.7109375" style="148" customWidth="1"/>
    <col min="7172" max="7172" width="12" style="148" bestFit="1" customWidth="1"/>
    <col min="7173" max="7173" width="9.5703125" style="148" bestFit="1" customWidth="1"/>
    <col min="7174" max="7414" width="9.140625" style="148" customWidth="1"/>
    <col min="7415" max="7415" width="5.7109375" style="148" customWidth="1"/>
    <col min="7416" max="7424" width="6.140625" style="148"/>
    <col min="7425" max="7425" width="69" style="148" customWidth="1"/>
    <col min="7426" max="7426" width="20.5703125" style="148" bestFit="1" customWidth="1"/>
    <col min="7427" max="7427" width="18.7109375" style="148" customWidth="1"/>
    <col min="7428" max="7428" width="12" style="148" bestFit="1" customWidth="1"/>
    <col min="7429" max="7429" width="9.5703125" style="148" bestFit="1" customWidth="1"/>
    <col min="7430" max="7670" width="9.140625" style="148" customWidth="1"/>
    <col min="7671" max="7671" width="5.7109375" style="148" customWidth="1"/>
    <col min="7672" max="7680" width="6.140625" style="148"/>
    <col min="7681" max="7681" width="69" style="148" customWidth="1"/>
    <col min="7682" max="7682" width="20.5703125" style="148" bestFit="1" customWidth="1"/>
    <col min="7683" max="7683" width="18.7109375" style="148" customWidth="1"/>
    <col min="7684" max="7684" width="12" style="148" bestFit="1" customWidth="1"/>
    <col min="7685" max="7685" width="9.5703125" style="148" bestFit="1" customWidth="1"/>
    <col min="7686" max="7926" width="9.140625" style="148" customWidth="1"/>
    <col min="7927" max="7927" width="5.7109375" style="148" customWidth="1"/>
    <col min="7928" max="7936" width="6.140625" style="148"/>
    <col min="7937" max="7937" width="69" style="148" customWidth="1"/>
    <col min="7938" max="7938" width="20.5703125" style="148" bestFit="1" customWidth="1"/>
    <col min="7939" max="7939" width="18.7109375" style="148" customWidth="1"/>
    <col min="7940" max="7940" width="12" style="148" bestFit="1" customWidth="1"/>
    <col min="7941" max="7941" width="9.5703125" style="148" bestFit="1" customWidth="1"/>
    <col min="7942" max="8182" width="9.140625" style="148" customWidth="1"/>
    <col min="8183" max="8183" width="5.7109375" style="148" customWidth="1"/>
    <col min="8184" max="8192" width="6.140625" style="148"/>
    <col min="8193" max="8193" width="69" style="148" customWidth="1"/>
    <col min="8194" max="8194" width="20.5703125" style="148" bestFit="1" customWidth="1"/>
    <col min="8195" max="8195" width="18.7109375" style="148" customWidth="1"/>
    <col min="8196" max="8196" width="12" style="148" bestFit="1" customWidth="1"/>
    <col min="8197" max="8197" width="9.5703125" style="148" bestFit="1" customWidth="1"/>
    <col min="8198" max="8438" width="9.140625" style="148" customWidth="1"/>
    <col min="8439" max="8439" width="5.7109375" style="148" customWidth="1"/>
    <col min="8440" max="8448" width="6.140625" style="148"/>
    <col min="8449" max="8449" width="69" style="148" customWidth="1"/>
    <col min="8450" max="8450" width="20.5703125" style="148" bestFit="1" customWidth="1"/>
    <col min="8451" max="8451" width="18.7109375" style="148" customWidth="1"/>
    <col min="8452" max="8452" width="12" style="148" bestFit="1" customWidth="1"/>
    <col min="8453" max="8453" width="9.5703125" style="148" bestFit="1" customWidth="1"/>
    <col min="8454" max="8694" width="9.140625" style="148" customWidth="1"/>
    <col min="8695" max="8695" width="5.7109375" style="148" customWidth="1"/>
    <col min="8696" max="8704" width="6.140625" style="148"/>
    <col min="8705" max="8705" width="69" style="148" customWidth="1"/>
    <col min="8706" max="8706" width="20.5703125" style="148" bestFit="1" customWidth="1"/>
    <col min="8707" max="8707" width="18.7109375" style="148" customWidth="1"/>
    <col min="8708" max="8708" width="12" style="148" bestFit="1" customWidth="1"/>
    <col min="8709" max="8709" width="9.5703125" style="148" bestFit="1" customWidth="1"/>
    <col min="8710" max="8950" width="9.140625" style="148" customWidth="1"/>
    <col min="8951" max="8951" width="5.7109375" style="148" customWidth="1"/>
    <col min="8952" max="8960" width="6.140625" style="148"/>
    <col min="8961" max="8961" width="69" style="148" customWidth="1"/>
    <col min="8962" max="8962" width="20.5703125" style="148" bestFit="1" customWidth="1"/>
    <col min="8963" max="8963" width="18.7109375" style="148" customWidth="1"/>
    <col min="8964" max="8964" width="12" style="148" bestFit="1" customWidth="1"/>
    <col min="8965" max="8965" width="9.5703125" style="148" bestFit="1" customWidth="1"/>
    <col min="8966" max="9206" width="9.140625" style="148" customWidth="1"/>
    <col min="9207" max="9207" width="5.7109375" style="148" customWidth="1"/>
    <col min="9208" max="9216" width="6.140625" style="148"/>
    <col min="9217" max="9217" width="69" style="148" customWidth="1"/>
    <col min="9218" max="9218" width="20.5703125" style="148" bestFit="1" customWidth="1"/>
    <col min="9219" max="9219" width="18.7109375" style="148" customWidth="1"/>
    <col min="9220" max="9220" width="12" style="148" bestFit="1" customWidth="1"/>
    <col min="9221" max="9221" width="9.5703125" style="148" bestFit="1" customWidth="1"/>
    <col min="9222" max="9462" width="9.140625" style="148" customWidth="1"/>
    <col min="9463" max="9463" width="5.7109375" style="148" customWidth="1"/>
    <col min="9464" max="9472" width="6.140625" style="148"/>
    <col min="9473" max="9473" width="69" style="148" customWidth="1"/>
    <col min="9474" max="9474" width="20.5703125" style="148" bestFit="1" customWidth="1"/>
    <col min="9475" max="9475" width="18.7109375" style="148" customWidth="1"/>
    <col min="9476" max="9476" width="12" style="148" bestFit="1" customWidth="1"/>
    <col min="9477" max="9477" width="9.5703125" style="148" bestFit="1" customWidth="1"/>
    <col min="9478" max="9718" width="9.140625" style="148" customWidth="1"/>
    <col min="9719" max="9719" width="5.7109375" style="148" customWidth="1"/>
    <col min="9720" max="9728" width="6.140625" style="148"/>
    <col min="9729" max="9729" width="69" style="148" customWidth="1"/>
    <col min="9730" max="9730" width="20.5703125" style="148" bestFit="1" customWidth="1"/>
    <col min="9731" max="9731" width="18.7109375" style="148" customWidth="1"/>
    <col min="9732" max="9732" width="12" style="148" bestFit="1" customWidth="1"/>
    <col min="9733" max="9733" width="9.5703125" style="148" bestFit="1" customWidth="1"/>
    <col min="9734" max="9974" width="9.140625" style="148" customWidth="1"/>
    <col min="9975" max="9975" width="5.7109375" style="148" customWidth="1"/>
    <col min="9976" max="9984" width="6.140625" style="148"/>
    <col min="9985" max="9985" width="69" style="148" customWidth="1"/>
    <col min="9986" max="9986" width="20.5703125" style="148" bestFit="1" customWidth="1"/>
    <col min="9987" max="9987" width="18.7109375" style="148" customWidth="1"/>
    <col min="9988" max="9988" width="12" style="148" bestFit="1" customWidth="1"/>
    <col min="9989" max="9989" width="9.5703125" style="148" bestFit="1" customWidth="1"/>
    <col min="9990" max="10230" width="9.140625" style="148" customWidth="1"/>
    <col min="10231" max="10231" width="5.7109375" style="148" customWidth="1"/>
    <col min="10232" max="10240" width="6.140625" style="148"/>
    <col min="10241" max="10241" width="69" style="148" customWidth="1"/>
    <col min="10242" max="10242" width="20.5703125" style="148" bestFit="1" customWidth="1"/>
    <col min="10243" max="10243" width="18.7109375" style="148" customWidth="1"/>
    <col min="10244" max="10244" width="12" style="148" bestFit="1" customWidth="1"/>
    <col min="10245" max="10245" width="9.5703125" style="148" bestFit="1" customWidth="1"/>
    <col min="10246" max="10486" width="9.140625" style="148" customWidth="1"/>
    <col min="10487" max="10487" width="5.7109375" style="148" customWidth="1"/>
    <col min="10488" max="10496" width="6.140625" style="148"/>
    <col min="10497" max="10497" width="69" style="148" customWidth="1"/>
    <col min="10498" max="10498" width="20.5703125" style="148" bestFit="1" customWidth="1"/>
    <col min="10499" max="10499" width="18.7109375" style="148" customWidth="1"/>
    <col min="10500" max="10500" width="12" style="148" bestFit="1" customWidth="1"/>
    <col min="10501" max="10501" width="9.5703125" style="148" bestFit="1" customWidth="1"/>
    <col min="10502" max="10742" width="9.140625" style="148" customWidth="1"/>
    <col min="10743" max="10743" width="5.7109375" style="148" customWidth="1"/>
    <col min="10744" max="10752" width="6.140625" style="148"/>
    <col min="10753" max="10753" width="69" style="148" customWidth="1"/>
    <col min="10754" max="10754" width="20.5703125" style="148" bestFit="1" customWidth="1"/>
    <col min="10755" max="10755" width="18.7109375" style="148" customWidth="1"/>
    <col min="10756" max="10756" width="12" style="148" bestFit="1" customWidth="1"/>
    <col min="10757" max="10757" width="9.5703125" style="148" bestFit="1" customWidth="1"/>
    <col min="10758" max="10998" width="9.140625" style="148" customWidth="1"/>
    <col min="10999" max="10999" width="5.7109375" style="148" customWidth="1"/>
    <col min="11000" max="11008" width="6.140625" style="148"/>
    <col min="11009" max="11009" width="69" style="148" customWidth="1"/>
    <col min="11010" max="11010" width="20.5703125" style="148" bestFit="1" customWidth="1"/>
    <col min="11011" max="11011" width="18.7109375" style="148" customWidth="1"/>
    <col min="11012" max="11012" width="12" style="148" bestFit="1" customWidth="1"/>
    <col min="11013" max="11013" width="9.5703125" style="148" bestFit="1" customWidth="1"/>
    <col min="11014" max="11254" width="9.140625" style="148" customWidth="1"/>
    <col min="11255" max="11255" width="5.7109375" style="148" customWidth="1"/>
    <col min="11256" max="11264" width="6.140625" style="148"/>
    <col min="11265" max="11265" width="69" style="148" customWidth="1"/>
    <col min="11266" max="11266" width="20.5703125" style="148" bestFit="1" customWidth="1"/>
    <col min="11267" max="11267" width="18.7109375" style="148" customWidth="1"/>
    <col min="11268" max="11268" width="12" style="148" bestFit="1" customWidth="1"/>
    <col min="11269" max="11269" width="9.5703125" style="148" bestFit="1" customWidth="1"/>
    <col min="11270" max="11510" width="9.140625" style="148" customWidth="1"/>
    <col min="11511" max="11511" width="5.7109375" style="148" customWidth="1"/>
    <col min="11512" max="11520" width="6.140625" style="148"/>
    <col min="11521" max="11521" width="69" style="148" customWidth="1"/>
    <col min="11522" max="11522" width="20.5703125" style="148" bestFit="1" customWidth="1"/>
    <col min="11523" max="11523" width="18.7109375" style="148" customWidth="1"/>
    <col min="11524" max="11524" width="12" style="148" bestFit="1" customWidth="1"/>
    <col min="11525" max="11525" width="9.5703125" style="148" bestFit="1" customWidth="1"/>
    <col min="11526" max="11766" width="9.140625" style="148" customWidth="1"/>
    <col min="11767" max="11767" width="5.7109375" style="148" customWidth="1"/>
    <col min="11768" max="11776" width="6.140625" style="148"/>
    <col min="11777" max="11777" width="69" style="148" customWidth="1"/>
    <col min="11778" max="11778" width="20.5703125" style="148" bestFit="1" customWidth="1"/>
    <col min="11779" max="11779" width="18.7109375" style="148" customWidth="1"/>
    <col min="11780" max="11780" width="12" style="148" bestFit="1" customWidth="1"/>
    <col min="11781" max="11781" width="9.5703125" style="148" bestFit="1" customWidth="1"/>
    <col min="11782" max="12022" width="9.140625" style="148" customWidth="1"/>
    <col min="12023" max="12023" width="5.7109375" style="148" customWidth="1"/>
    <col min="12024" max="12032" width="6.140625" style="148"/>
    <col min="12033" max="12033" width="69" style="148" customWidth="1"/>
    <col min="12034" max="12034" width="20.5703125" style="148" bestFit="1" customWidth="1"/>
    <col min="12035" max="12035" width="18.7109375" style="148" customWidth="1"/>
    <col min="12036" max="12036" width="12" style="148" bestFit="1" customWidth="1"/>
    <col min="12037" max="12037" width="9.5703125" style="148" bestFit="1" customWidth="1"/>
    <col min="12038" max="12278" width="9.140625" style="148" customWidth="1"/>
    <col min="12279" max="12279" width="5.7109375" style="148" customWidth="1"/>
    <col min="12280" max="12288" width="6.140625" style="148"/>
    <col min="12289" max="12289" width="69" style="148" customWidth="1"/>
    <col min="12290" max="12290" width="20.5703125" style="148" bestFit="1" customWidth="1"/>
    <col min="12291" max="12291" width="18.7109375" style="148" customWidth="1"/>
    <col min="12292" max="12292" width="12" style="148" bestFit="1" customWidth="1"/>
    <col min="12293" max="12293" width="9.5703125" style="148" bestFit="1" customWidth="1"/>
    <col min="12294" max="12534" width="9.140625" style="148" customWidth="1"/>
    <col min="12535" max="12535" width="5.7109375" style="148" customWidth="1"/>
    <col min="12536" max="12544" width="6.140625" style="148"/>
    <col min="12545" max="12545" width="69" style="148" customWidth="1"/>
    <col min="12546" max="12546" width="20.5703125" style="148" bestFit="1" customWidth="1"/>
    <col min="12547" max="12547" width="18.7109375" style="148" customWidth="1"/>
    <col min="12548" max="12548" width="12" style="148" bestFit="1" customWidth="1"/>
    <col min="12549" max="12549" width="9.5703125" style="148" bestFit="1" customWidth="1"/>
    <col min="12550" max="12790" width="9.140625" style="148" customWidth="1"/>
    <col min="12791" max="12791" width="5.7109375" style="148" customWidth="1"/>
    <col min="12792" max="12800" width="6.140625" style="148"/>
    <col min="12801" max="12801" width="69" style="148" customWidth="1"/>
    <col min="12802" max="12802" width="20.5703125" style="148" bestFit="1" customWidth="1"/>
    <col min="12803" max="12803" width="18.7109375" style="148" customWidth="1"/>
    <col min="12804" max="12804" width="12" style="148" bestFit="1" customWidth="1"/>
    <col min="12805" max="12805" width="9.5703125" style="148" bestFit="1" customWidth="1"/>
    <col min="12806" max="13046" width="9.140625" style="148" customWidth="1"/>
    <col min="13047" max="13047" width="5.7109375" style="148" customWidth="1"/>
    <col min="13048" max="13056" width="6.140625" style="148"/>
    <col min="13057" max="13057" width="69" style="148" customWidth="1"/>
    <col min="13058" max="13058" width="20.5703125" style="148" bestFit="1" customWidth="1"/>
    <col min="13059" max="13059" width="18.7109375" style="148" customWidth="1"/>
    <col min="13060" max="13060" width="12" style="148" bestFit="1" customWidth="1"/>
    <col min="13061" max="13061" width="9.5703125" style="148" bestFit="1" customWidth="1"/>
    <col min="13062" max="13302" width="9.140625" style="148" customWidth="1"/>
    <col min="13303" max="13303" width="5.7109375" style="148" customWidth="1"/>
    <col min="13304" max="13312" width="6.140625" style="148"/>
    <col min="13313" max="13313" width="69" style="148" customWidth="1"/>
    <col min="13314" max="13314" width="20.5703125" style="148" bestFit="1" customWidth="1"/>
    <col min="13315" max="13315" width="18.7109375" style="148" customWidth="1"/>
    <col min="13316" max="13316" width="12" style="148" bestFit="1" customWidth="1"/>
    <col min="13317" max="13317" width="9.5703125" style="148" bestFit="1" customWidth="1"/>
    <col min="13318" max="13558" width="9.140625" style="148" customWidth="1"/>
    <col min="13559" max="13559" width="5.7109375" style="148" customWidth="1"/>
    <col min="13560" max="13568" width="6.140625" style="148"/>
    <col min="13569" max="13569" width="69" style="148" customWidth="1"/>
    <col min="13570" max="13570" width="20.5703125" style="148" bestFit="1" customWidth="1"/>
    <col min="13571" max="13571" width="18.7109375" style="148" customWidth="1"/>
    <col min="13572" max="13572" width="12" style="148" bestFit="1" customWidth="1"/>
    <col min="13573" max="13573" width="9.5703125" style="148" bestFit="1" customWidth="1"/>
    <col min="13574" max="13814" width="9.140625" style="148" customWidth="1"/>
    <col min="13815" max="13815" width="5.7109375" style="148" customWidth="1"/>
    <col min="13816" max="13824" width="6.140625" style="148"/>
    <col min="13825" max="13825" width="69" style="148" customWidth="1"/>
    <col min="13826" max="13826" width="20.5703125" style="148" bestFit="1" customWidth="1"/>
    <col min="13827" max="13827" width="18.7109375" style="148" customWidth="1"/>
    <col min="13828" max="13828" width="12" style="148" bestFit="1" customWidth="1"/>
    <col min="13829" max="13829" width="9.5703125" style="148" bestFit="1" customWidth="1"/>
    <col min="13830" max="14070" width="9.140625" style="148" customWidth="1"/>
    <col min="14071" max="14071" width="5.7109375" style="148" customWidth="1"/>
    <col min="14072" max="14080" width="6.140625" style="148"/>
    <col min="14081" max="14081" width="69" style="148" customWidth="1"/>
    <col min="14082" max="14082" width="20.5703125" style="148" bestFit="1" customWidth="1"/>
    <col min="14083" max="14083" width="18.7109375" style="148" customWidth="1"/>
    <col min="14084" max="14084" width="12" style="148" bestFit="1" customWidth="1"/>
    <col min="14085" max="14085" width="9.5703125" style="148" bestFit="1" customWidth="1"/>
    <col min="14086" max="14326" width="9.140625" style="148" customWidth="1"/>
    <col min="14327" max="14327" width="5.7109375" style="148" customWidth="1"/>
    <col min="14328" max="14336" width="6.140625" style="148"/>
    <col min="14337" max="14337" width="69" style="148" customWidth="1"/>
    <col min="14338" max="14338" width="20.5703125" style="148" bestFit="1" customWidth="1"/>
    <col min="14339" max="14339" width="18.7109375" style="148" customWidth="1"/>
    <col min="14340" max="14340" width="12" style="148" bestFit="1" customWidth="1"/>
    <col min="14341" max="14341" width="9.5703125" style="148" bestFit="1" customWidth="1"/>
    <col min="14342" max="14582" width="9.140625" style="148" customWidth="1"/>
    <col min="14583" max="14583" width="5.7109375" style="148" customWidth="1"/>
    <col min="14584" max="14592" width="6.140625" style="148"/>
    <col min="14593" max="14593" width="69" style="148" customWidth="1"/>
    <col min="14594" max="14594" width="20.5703125" style="148" bestFit="1" customWidth="1"/>
    <col min="14595" max="14595" width="18.7109375" style="148" customWidth="1"/>
    <col min="14596" max="14596" width="12" style="148" bestFit="1" customWidth="1"/>
    <col min="14597" max="14597" width="9.5703125" style="148" bestFit="1" customWidth="1"/>
    <col min="14598" max="14838" width="9.140625" style="148" customWidth="1"/>
    <col min="14839" max="14839" width="5.7109375" style="148" customWidth="1"/>
    <col min="14840" max="14848" width="6.140625" style="148"/>
    <col min="14849" max="14849" width="69" style="148" customWidth="1"/>
    <col min="14850" max="14850" width="20.5703125" style="148" bestFit="1" customWidth="1"/>
    <col min="14851" max="14851" width="18.7109375" style="148" customWidth="1"/>
    <col min="14852" max="14852" width="12" style="148" bestFit="1" customWidth="1"/>
    <col min="14853" max="14853" width="9.5703125" style="148" bestFit="1" customWidth="1"/>
    <col min="14854" max="15094" width="9.140625" style="148" customWidth="1"/>
    <col min="15095" max="15095" width="5.7109375" style="148" customWidth="1"/>
    <col min="15096" max="15104" width="6.140625" style="148"/>
    <col min="15105" max="15105" width="69" style="148" customWidth="1"/>
    <col min="15106" max="15106" width="20.5703125" style="148" bestFit="1" customWidth="1"/>
    <col min="15107" max="15107" width="18.7109375" style="148" customWidth="1"/>
    <col min="15108" max="15108" width="12" style="148" bestFit="1" customWidth="1"/>
    <col min="15109" max="15109" width="9.5703125" style="148" bestFit="1" customWidth="1"/>
    <col min="15110" max="15350" width="9.140625" style="148" customWidth="1"/>
    <col min="15351" max="15351" width="5.7109375" style="148" customWidth="1"/>
    <col min="15352" max="15360" width="6.140625" style="148"/>
    <col min="15361" max="15361" width="69" style="148" customWidth="1"/>
    <col min="15362" max="15362" width="20.5703125" style="148" bestFit="1" customWidth="1"/>
    <col min="15363" max="15363" width="18.7109375" style="148" customWidth="1"/>
    <col min="15364" max="15364" width="12" style="148" bestFit="1" customWidth="1"/>
    <col min="15365" max="15365" width="9.5703125" style="148" bestFit="1" customWidth="1"/>
    <col min="15366" max="15606" width="9.140625" style="148" customWidth="1"/>
    <col min="15607" max="15607" width="5.7109375" style="148" customWidth="1"/>
    <col min="15608" max="15616" width="6.140625" style="148"/>
    <col min="15617" max="15617" width="69" style="148" customWidth="1"/>
    <col min="15618" max="15618" width="20.5703125" style="148" bestFit="1" customWidth="1"/>
    <col min="15619" max="15619" width="18.7109375" style="148" customWidth="1"/>
    <col min="15620" max="15620" width="12" style="148" bestFit="1" customWidth="1"/>
    <col min="15621" max="15621" width="9.5703125" style="148" bestFit="1" customWidth="1"/>
    <col min="15622" max="15862" width="9.140625" style="148" customWidth="1"/>
    <col min="15863" max="15863" width="5.7109375" style="148" customWidth="1"/>
    <col min="15864" max="15872" width="6.140625" style="148"/>
    <col min="15873" max="15873" width="69" style="148" customWidth="1"/>
    <col min="15874" max="15874" width="20.5703125" style="148" bestFit="1" customWidth="1"/>
    <col min="15875" max="15875" width="18.7109375" style="148" customWidth="1"/>
    <col min="15876" max="15876" width="12" style="148" bestFit="1" customWidth="1"/>
    <col min="15877" max="15877" width="9.5703125" style="148" bestFit="1" customWidth="1"/>
    <col min="15878" max="16118" width="9.140625" style="148" customWidth="1"/>
    <col min="16119" max="16119" width="5.7109375" style="148" customWidth="1"/>
    <col min="16120" max="16128" width="6.140625" style="148"/>
    <col min="16129" max="16129" width="69" style="148" customWidth="1"/>
    <col min="16130" max="16130" width="20.5703125" style="148" bestFit="1" customWidth="1"/>
    <col min="16131" max="16131" width="18.7109375" style="148" customWidth="1"/>
    <col min="16132" max="16132" width="12" style="148" bestFit="1" customWidth="1"/>
    <col min="16133" max="16133" width="9.5703125" style="148" bestFit="1" customWidth="1"/>
    <col min="16134" max="16374" width="9.140625" style="148" customWidth="1"/>
    <col min="16375" max="16375" width="5.7109375" style="148" customWidth="1"/>
    <col min="16376" max="16384" width="6.140625" style="148"/>
  </cols>
  <sheetData>
    <row r="1" spans="1:10" ht="18.75" x14ac:dyDescent="0.25">
      <c r="A1" s="2">
        <f>+'Note 8'!A1</f>
        <v>0</v>
      </c>
    </row>
    <row r="2" spans="1:10" ht="16.5" x14ac:dyDescent="0.25">
      <c r="A2" s="149" t="str">
        <f>+'Note 8'!A2</f>
        <v>Notes to financial statements for the year ended March 31, 2025</v>
      </c>
      <c r="B2" s="150"/>
      <c r="C2" s="150"/>
    </row>
    <row r="3" spans="1:10" ht="16.5" x14ac:dyDescent="0.25">
      <c r="A3" s="149">
        <f>+'Note 8'!A3</f>
        <v>0</v>
      </c>
      <c r="B3" s="150"/>
      <c r="C3" s="150"/>
    </row>
    <row r="4" spans="1:10" ht="16.5" x14ac:dyDescent="0.25">
      <c r="A4" s="151"/>
      <c r="B4" s="150"/>
      <c r="C4" s="152" t="str">
        <f>'Note 8'!L5</f>
        <v>In Rupees</v>
      </c>
    </row>
    <row r="5" spans="1:10" ht="16.5" x14ac:dyDescent="0.25">
      <c r="A5" s="153" t="s">
        <v>700</v>
      </c>
      <c r="B5" s="154"/>
      <c r="C5" s="150"/>
      <c r="H5"/>
      <c r="I5"/>
      <c r="J5"/>
    </row>
    <row r="6" spans="1:10" ht="15" x14ac:dyDescent="0.25">
      <c r="A6" s="155"/>
      <c r="B6" s="72">
        <v>45747</v>
      </c>
      <c r="C6" s="72">
        <v>45382</v>
      </c>
      <c r="H6"/>
      <c r="I6"/>
      <c r="J6"/>
    </row>
    <row r="7" spans="1:10" ht="15" x14ac:dyDescent="0.25">
      <c r="A7" s="159" t="s">
        <v>124</v>
      </c>
      <c r="B7" s="535"/>
      <c r="C7" s="535"/>
    </row>
    <row r="8" spans="1:10" ht="16.5" x14ac:dyDescent="0.25">
      <c r="A8" s="156" t="s">
        <v>192</v>
      </c>
      <c r="B8" s="537">
        <f>+Schedules!B133</f>
        <v>1155600</v>
      </c>
      <c r="C8" s="537">
        <f>+Schedules!C133</f>
        <v>1155600</v>
      </c>
      <c r="H8"/>
      <c r="I8"/>
      <c r="J8" s="246"/>
    </row>
    <row r="9" spans="1:10" ht="15" x14ac:dyDescent="0.25">
      <c r="A9" s="158"/>
      <c r="B9" s="538">
        <f>SUM(B8:B8)</f>
        <v>1155600</v>
      </c>
      <c r="C9" s="538">
        <f>SUM(C8:C8)</f>
        <v>1155600</v>
      </c>
      <c r="H9"/>
      <c r="I9"/>
      <c r="J9"/>
    </row>
    <row r="10" spans="1:10" ht="15" x14ac:dyDescent="0.25">
      <c r="A10" s="153"/>
      <c r="B10" s="540"/>
      <c r="C10" s="541"/>
      <c r="H10"/>
      <c r="I10"/>
      <c r="J10"/>
    </row>
    <row r="11" spans="1:10" s="29" customFormat="1" ht="15" x14ac:dyDescent="0.25">
      <c r="A11" s="128" t="s">
        <v>701</v>
      </c>
      <c r="B11" s="542"/>
      <c r="C11" s="542"/>
      <c r="D11" s="148"/>
      <c r="E11" s="148"/>
    </row>
    <row r="12" spans="1:10" s="29" customFormat="1" ht="16.5" x14ac:dyDescent="0.3">
      <c r="A12" s="130"/>
      <c r="B12" s="72">
        <f>$B$6</f>
        <v>45747</v>
      </c>
      <c r="C12" s="72">
        <f>$C$6</f>
        <v>45382</v>
      </c>
      <c r="D12" s="148"/>
      <c r="E12" s="148"/>
    </row>
    <row r="13" spans="1:10" s="29" customFormat="1" ht="16.5" x14ac:dyDescent="0.3">
      <c r="A13" s="105" t="s">
        <v>623</v>
      </c>
      <c r="B13" s="188">
        <v>313805.15829370014</v>
      </c>
      <c r="C13" s="188">
        <v>313805.15829370014</v>
      </c>
      <c r="D13" s="148"/>
      <c r="E13" s="148"/>
    </row>
    <row r="14" spans="1:10" s="29" customFormat="1" ht="16.5" x14ac:dyDescent="0.25">
      <c r="A14" s="133"/>
      <c r="B14" s="530">
        <f>SUM(B13:B13)</f>
        <v>313805.15829370014</v>
      </c>
      <c r="C14" s="530">
        <f>SUM(C13:C13)</f>
        <v>313805.15829370014</v>
      </c>
      <c r="D14" s="148"/>
      <c r="E14" s="148"/>
      <c r="H14"/>
      <c r="I14"/>
      <c r="J14"/>
    </row>
    <row r="15" spans="1:10" s="29" customFormat="1" ht="15" x14ac:dyDescent="0.25">
      <c r="B15" s="543"/>
      <c r="C15" s="543"/>
      <c r="D15" s="148"/>
      <c r="E15" s="148"/>
      <c r="H15"/>
      <c r="I15"/>
      <c r="J15"/>
    </row>
    <row r="16" spans="1:10" ht="16.5" x14ac:dyDescent="0.25">
      <c r="A16" s="153" t="s">
        <v>702</v>
      </c>
      <c r="B16" s="544"/>
      <c r="C16" s="545"/>
    </row>
    <row r="17" spans="1:9" ht="15" x14ac:dyDescent="0.25">
      <c r="A17" s="158"/>
      <c r="B17" s="72">
        <f>$B$6</f>
        <v>45747</v>
      </c>
      <c r="C17" s="72">
        <f>$C$6</f>
        <v>45382</v>
      </c>
    </row>
    <row r="18" spans="1:9" ht="16.5" x14ac:dyDescent="0.25">
      <c r="A18" s="153" t="s">
        <v>125</v>
      </c>
      <c r="B18" s="546"/>
      <c r="C18" s="547"/>
    </row>
    <row r="19" spans="1:9" ht="16.5" x14ac:dyDescent="0.25">
      <c r="A19" s="161" t="s">
        <v>126</v>
      </c>
      <c r="B19" s="549">
        <f>+Schedules!B140</f>
        <v>23038541.219999999</v>
      </c>
      <c r="C19" s="549">
        <f>+Schedules!C140</f>
        <v>14091759.130000001</v>
      </c>
    </row>
    <row r="20" spans="1:9" ht="16.5" x14ac:dyDescent="0.25">
      <c r="A20" s="161" t="s">
        <v>47</v>
      </c>
      <c r="B20" s="627">
        <f>'TB 23-24'!D64</f>
        <v>0</v>
      </c>
      <c r="C20" s="627">
        <f>'TB 23-24'!E64</f>
        <v>28397</v>
      </c>
      <c r="H20" s="248"/>
      <c r="I20" s="248"/>
    </row>
    <row r="21" spans="1:9" ht="15" x14ac:dyDescent="0.25">
      <c r="A21" s="155"/>
      <c r="B21" s="550">
        <f>SUM(B19:B20)</f>
        <v>23038541.219999999</v>
      </c>
      <c r="C21" s="550">
        <f>SUM(C19:C20)</f>
        <v>14120156.130000001</v>
      </c>
      <c r="H21" s="248"/>
      <c r="I21" s="248"/>
    </row>
    <row r="22" spans="1:9" ht="15" x14ac:dyDescent="0.25">
      <c r="A22" s="159"/>
      <c r="B22" s="551"/>
      <c r="C22" s="552"/>
      <c r="H22" s="248"/>
      <c r="I22" s="248"/>
    </row>
    <row r="23" spans="1:9" ht="16.5" x14ac:dyDescent="0.25">
      <c r="A23" s="153" t="s">
        <v>703</v>
      </c>
      <c r="B23" s="544"/>
      <c r="C23" s="545"/>
    </row>
    <row r="24" spans="1:9" ht="15" x14ac:dyDescent="0.25">
      <c r="A24" s="155"/>
      <c r="B24" s="72">
        <f>$B$6</f>
        <v>45747</v>
      </c>
      <c r="C24" s="72">
        <f>$C$6</f>
        <v>45382</v>
      </c>
    </row>
    <row r="25" spans="1:9" ht="15" x14ac:dyDescent="0.25">
      <c r="A25" s="159" t="s">
        <v>124</v>
      </c>
      <c r="B25" s="535"/>
      <c r="C25" s="535"/>
    </row>
    <row r="26" spans="1:9" ht="16.5" x14ac:dyDescent="0.25">
      <c r="A26" s="156" t="s">
        <v>127</v>
      </c>
      <c r="B26" s="536">
        <f>+Schedules!C146</f>
        <v>0</v>
      </c>
      <c r="C26" s="536">
        <f>+Schedules!D146</f>
        <v>0</v>
      </c>
      <c r="E26" s="157"/>
    </row>
    <row r="27" spans="1:9" ht="16.5" x14ac:dyDescent="0.25">
      <c r="A27" s="153" t="s">
        <v>128</v>
      </c>
      <c r="B27" s="546"/>
      <c r="C27" s="546"/>
      <c r="E27" s="157"/>
    </row>
    <row r="28" spans="1:9" ht="16.5" x14ac:dyDescent="0.25">
      <c r="A28" s="161" t="s">
        <v>129</v>
      </c>
      <c r="B28" s="537">
        <f>+Schedules!B154</f>
        <v>6265609.0099999998</v>
      </c>
      <c r="C28" s="537">
        <f>+Schedules!C154</f>
        <v>6022452.0299999993</v>
      </c>
      <c r="E28" s="157"/>
    </row>
    <row r="29" spans="1:9" ht="15" x14ac:dyDescent="0.25">
      <c r="A29" s="158"/>
      <c r="B29" s="538">
        <f>SUM(B26:B28)</f>
        <v>6265609.0099999998</v>
      </c>
      <c r="C29" s="538">
        <f>SUM(C26:C28)</f>
        <v>6022452.0299999993</v>
      </c>
      <c r="D29" s="239"/>
    </row>
    <row r="30" spans="1:9" ht="15" x14ac:dyDescent="0.25">
      <c r="A30" s="153"/>
      <c r="B30" s="540"/>
      <c r="C30" s="541"/>
      <c r="D30" s="239"/>
      <c r="G30" s="656"/>
    </row>
    <row r="31" spans="1:9" ht="14.45" customHeight="1" x14ac:dyDescent="0.25">
      <c r="A31" s="965" t="s">
        <v>914</v>
      </c>
      <c r="B31" s="965"/>
      <c r="C31" s="965"/>
      <c r="D31" s="239"/>
      <c r="G31" s="657"/>
    </row>
    <row r="32" spans="1:9" ht="14.45" customHeight="1" x14ac:dyDescent="0.25">
      <c r="A32" s="965"/>
      <c r="B32" s="965"/>
      <c r="C32" s="965"/>
      <c r="D32" s="239"/>
      <c r="G32" s="657"/>
    </row>
    <row r="33" spans="1:7" ht="14.45" customHeight="1" x14ac:dyDescent="0.25">
      <c r="A33" s="965"/>
      <c r="B33" s="965"/>
      <c r="C33" s="965"/>
      <c r="D33" s="239"/>
      <c r="G33" s="657"/>
    </row>
    <row r="34" spans="1:7" ht="14.45" customHeight="1" x14ac:dyDescent="0.25">
      <c r="A34" s="965"/>
      <c r="B34" s="965"/>
      <c r="C34" s="965"/>
      <c r="D34" s="239"/>
    </row>
    <row r="35" spans="1:7" ht="112.5" customHeight="1" x14ac:dyDescent="0.25">
      <c r="A35" s="965"/>
      <c r="B35" s="965"/>
      <c r="C35" s="965"/>
      <c r="D35" s="239"/>
    </row>
    <row r="36" spans="1:7" ht="15" customHeight="1" x14ac:dyDescent="0.25">
      <c r="A36" s="655"/>
      <c r="B36" s="655"/>
      <c r="C36" s="655"/>
      <c r="D36" s="239">
        <f>SUM(D31:D35)</f>
        <v>0</v>
      </c>
    </row>
    <row r="37" spans="1:7" ht="14.45" customHeight="1" x14ac:dyDescent="0.25">
      <c r="A37" s="160" t="s">
        <v>704</v>
      </c>
      <c r="B37" s="553"/>
      <c r="C37" s="554"/>
      <c r="D37" s="239"/>
    </row>
    <row r="38" spans="1:7" ht="14.45" customHeight="1" x14ac:dyDescent="0.25">
      <c r="A38" s="158"/>
      <c r="B38" s="72">
        <f>$B$6</f>
        <v>45747</v>
      </c>
      <c r="C38" s="72">
        <f>$C$6</f>
        <v>45382</v>
      </c>
      <c r="D38" s="239"/>
    </row>
    <row r="39" spans="1:7" ht="16.5" x14ac:dyDescent="0.25">
      <c r="A39" s="156" t="s">
        <v>762</v>
      </c>
      <c r="B39" s="549">
        <f>'Trail Balance'!E17+'Trail Balance'!E18+'Trail Balance'!E19</f>
        <v>427696.45</v>
      </c>
      <c r="C39" s="549">
        <f>'TB 23-24'!E17+'TB 23-24'!E18</f>
        <v>157441.53999999998</v>
      </c>
      <c r="D39" s="239"/>
    </row>
    <row r="40" spans="1:7" ht="16.5" x14ac:dyDescent="0.25">
      <c r="A40" s="156" t="s">
        <v>624</v>
      </c>
      <c r="B40" s="549">
        <f>'Trail Balance'!E52+'Trail Balance'!E53+'Trail Balance'!E57</f>
        <v>2612340.64</v>
      </c>
      <c r="C40" s="549">
        <f>'TB 23-24'!E66+'TB 23-24'!E65+'TB 23-24'!E69</f>
        <v>1416728.11</v>
      </c>
      <c r="D40" s="239"/>
    </row>
    <row r="41" spans="1:7" ht="16.5" x14ac:dyDescent="0.25">
      <c r="A41" s="161" t="s">
        <v>641</v>
      </c>
      <c r="B41" s="549">
        <f>'Trail Balance'!E55+'Trail Balance'!E56</f>
        <v>140785.09</v>
      </c>
      <c r="C41" s="549">
        <f>'TB 23-24'!E67+'TB 23-24'!E68</f>
        <v>376966.81</v>
      </c>
      <c r="D41" s="239"/>
    </row>
    <row r="42" spans="1:7" ht="16.5" x14ac:dyDescent="0.25">
      <c r="A42" s="161" t="s">
        <v>437</v>
      </c>
      <c r="B42" s="549"/>
      <c r="C42" s="549"/>
      <c r="D42" s="239"/>
    </row>
    <row r="43" spans="1:7" ht="16.5" x14ac:dyDescent="0.25">
      <c r="A43" s="161" t="s">
        <v>915</v>
      </c>
      <c r="B43" s="549"/>
      <c r="C43" s="549"/>
      <c r="D43" s="239"/>
    </row>
    <row r="44" spans="1:7" ht="16.5" x14ac:dyDescent="0.25">
      <c r="A44" s="161" t="s">
        <v>652</v>
      </c>
      <c r="B44" s="549">
        <f>Schedules!B156</f>
        <v>15626612.18</v>
      </c>
      <c r="C44" s="549">
        <f>'TB 23-24'!E5</f>
        <v>9556617.1600000001</v>
      </c>
      <c r="D44" s="239"/>
      <c r="E44" s="564"/>
    </row>
    <row r="45" spans="1:7" ht="15" x14ac:dyDescent="0.25">
      <c r="A45" s="158"/>
      <c r="B45" s="539">
        <f>SUM(B39:B44)</f>
        <v>18807434.359999999</v>
      </c>
      <c r="C45" s="539">
        <f>SUM(C39:C44)</f>
        <v>11507753.620000001</v>
      </c>
      <c r="D45" s="239"/>
    </row>
    <row r="46" spans="1:7" ht="16.5" x14ac:dyDescent="0.25">
      <c r="A46" s="150"/>
      <c r="B46" s="544"/>
      <c r="C46" s="545"/>
      <c r="D46" s="240"/>
    </row>
    <row r="47" spans="1:7" ht="16.5" x14ac:dyDescent="0.25">
      <c r="A47" s="162"/>
      <c r="B47" s="548"/>
      <c r="C47" s="555"/>
    </row>
    <row r="48" spans="1:7" ht="16.5" x14ac:dyDescent="0.25">
      <c r="A48" s="150"/>
      <c r="B48" s="154"/>
      <c r="C48" s="150"/>
      <c r="D48" s="240"/>
    </row>
    <row r="49" spans="1:3" ht="16.5" x14ac:dyDescent="0.25">
      <c r="A49" s="150"/>
      <c r="B49" s="154"/>
      <c r="C49" s="150"/>
    </row>
    <row r="50" spans="1:3" ht="16.5" x14ac:dyDescent="0.25">
      <c r="A50" s="150"/>
      <c r="B50" s="154"/>
      <c r="C50" s="150"/>
    </row>
    <row r="51" spans="1:3" ht="16.5" x14ac:dyDescent="0.25">
      <c r="A51" s="150"/>
      <c r="B51" s="154"/>
      <c r="C51" s="150"/>
    </row>
    <row r="52" spans="1:3" ht="16.5" x14ac:dyDescent="0.25">
      <c r="A52" s="150"/>
      <c r="B52" s="154"/>
      <c r="C52" s="150"/>
    </row>
    <row r="53" spans="1:3" ht="16.5" x14ac:dyDescent="0.25">
      <c r="A53" s="150"/>
      <c r="B53" s="154"/>
      <c r="C53" s="150"/>
    </row>
    <row r="54" spans="1:3" ht="16.5" x14ac:dyDescent="0.25">
      <c r="A54" s="150"/>
      <c r="B54" s="154"/>
      <c r="C54" s="150"/>
    </row>
    <row r="55" spans="1:3" ht="16.5" x14ac:dyDescent="0.25">
      <c r="A55" s="150"/>
      <c r="B55" s="154"/>
      <c r="C55" s="150"/>
    </row>
    <row r="56" spans="1:3" ht="13.9" customHeight="1" x14ac:dyDescent="0.25">
      <c r="A56" s="153"/>
      <c r="B56" s="153"/>
      <c r="C56" s="153"/>
    </row>
    <row r="57" spans="1:3" ht="13.9" customHeight="1" x14ac:dyDescent="0.25">
      <c r="A57" s="153"/>
      <c r="B57" s="153"/>
      <c r="C57" s="153"/>
    </row>
    <row r="58" spans="1:3" ht="13.9" customHeight="1" x14ac:dyDescent="0.25">
      <c r="A58" s="153"/>
      <c r="B58" s="153"/>
      <c r="C58" s="153"/>
    </row>
    <row r="59" spans="1:3" ht="13.9" customHeight="1" x14ac:dyDescent="0.25">
      <c r="A59" s="153"/>
      <c r="B59" s="153"/>
      <c r="C59" s="153"/>
    </row>
    <row r="60" spans="1:3" ht="13.9" customHeight="1" x14ac:dyDescent="0.25">
      <c r="A60" s="153"/>
      <c r="B60" s="153"/>
      <c r="C60" s="153"/>
    </row>
    <row r="61" spans="1:3" ht="13.9" customHeight="1" x14ac:dyDescent="0.25">
      <c r="A61" s="153"/>
      <c r="B61" s="153"/>
      <c r="C61" s="153"/>
    </row>
    <row r="62" spans="1:3" ht="16.5" x14ac:dyDescent="0.25">
      <c r="A62" s="150"/>
      <c r="B62" s="154"/>
      <c r="C62" s="150"/>
    </row>
    <row r="63" spans="1:3" ht="16.5" x14ac:dyDescent="0.25">
      <c r="A63" s="150"/>
      <c r="B63" s="154"/>
      <c r="C63" s="150"/>
    </row>
    <row r="64" spans="1:3" ht="16.5" x14ac:dyDescent="0.25">
      <c r="A64" s="150"/>
      <c r="B64" s="154"/>
      <c r="C64" s="150"/>
    </row>
    <row r="65" spans="1:3" ht="16.5" x14ac:dyDescent="0.25">
      <c r="A65" s="150"/>
      <c r="B65" s="154"/>
      <c r="C65" s="150"/>
    </row>
    <row r="66" spans="1:3" ht="16.5" x14ac:dyDescent="0.25">
      <c r="A66" s="150"/>
      <c r="B66" s="150"/>
      <c r="C66" s="150"/>
    </row>
    <row r="67" spans="1:3" ht="16.5" x14ac:dyDescent="0.25">
      <c r="A67" s="150"/>
      <c r="B67" s="150"/>
      <c r="C67" s="150"/>
    </row>
    <row r="68" spans="1:3" ht="16.5" x14ac:dyDescent="0.25">
      <c r="A68" s="150"/>
      <c r="B68" s="150"/>
      <c r="C68" s="150"/>
    </row>
    <row r="69" spans="1:3" ht="16.5" x14ac:dyDescent="0.25">
      <c r="A69" s="150"/>
      <c r="B69" s="150"/>
      <c r="C69" s="150"/>
    </row>
  </sheetData>
  <mergeCells count="1">
    <mergeCell ref="A31:C35"/>
  </mergeCells>
  <printOptions horizontalCentered="1"/>
  <pageMargins left="0.35433070866141736" right="0.31496062992125984" top="0.35433070866141736" bottom="0.35433070866141736" header="0.39370078740157483" footer="0.43307086614173229"/>
  <pageSetup paperSize="9" scale="91" fitToHeight="6"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82043-F17E-42B0-A5C4-8461A5FE622E}">
  <dimension ref="A1:F65569"/>
  <sheetViews>
    <sheetView showGridLines="0" view="pageBreakPreview" zoomScale="115" zoomScaleNormal="100" zoomScaleSheetLayoutView="115" workbookViewId="0">
      <selection activeCell="B14" sqref="B14"/>
    </sheetView>
  </sheetViews>
  <sheetFormatPr defaultColWidth="4.42578125" defaultRowHeight="13.5" zeroHeight="1" x14ac:dyDescent="0.25"/>
  <cols>
    <col min="1" max="1" width="65.85546875" style="163" customWidth="1"/>
    <col min="2" max="3" width="20.7109375" style="165" customWidth="1"/>
    <col min="4" max="4" width="55.7109375" style="165" bestFit="1" customWidth="1"/>
    <col min="5" max="5" width="14.5703125" style="163" bestFit="1" customWidth="1"/>
    <col min="6" max="6" width="9" style="163" bestFit="1" customWidth="1"/>
    <col min="7" max="7" width="12.140625" style="163" bestFit="1" customWidth="1"/>
    <col min="8" max="8" width="4.42578125" style="163"/>
    <col min="9" max="9" width="13.28515625" style="163" bestFit="1" customWidth="1"/>
    <col min="10" max="256" width="4.42578125" style="163"/>
    <col min="257" max="257" width="65.85546875" style="163" customWidth="1"/>
    <col min="258" max="259" width="20.7109375" style="163" customWidth="1"/>
    <col min="260" max="260" width="11.7109375" style="163" bestFit="1" customWidth="1"/>
    <col min="261" max="261" width="10.5703125" style="163" bestFit="1" customWidth="1"/>
    <col min="262" max="262" width="7.5703125" style="163" bestFit="1" customWidth="1"/>
    <col min="263" max="264" width="4.42578125" style="163"/>
    <col min="265" max="265" width="8" style="163" bestFit="1" customWidth="1"/>
    <col min="266" max="512" width="4.42578125" style="163"/>
    <col min="513" max="513" width="65.85546875" style="163" customWidth="1"/>
    <col min="514" max="515" width="20.7109375" style="163" customWidth="1"/>
    <col min="516" max="516" width="11.7109375" style="163" bestFit="1" customWidth="1"/>
    <col min="517" max="517" width="10.5703125" style="163" bestFit="1" customWidth="1"/>
    <col min="518" max="518" width="7.5703125" style="163" bestFit="1" customWidth="1"/>
    <col min="519" max="520" width="4.42578125" style="163"/>
    <col min="521" max="521" width="8" style="163" bestFit="1" customWidth="1"/>
    <col min="522" max="768" width="4.42578125" style="163"/>
    <col min="769" max="769" width="65.85546875" style="163" customWidth="1"/>
    <col min="770" max="771" width="20.7109375" style="163" customWidth="1"/>
    <col min="772" max="772" width="11.7109375" style="163" bestFit="1" customWidth="1"/>
    <col min="773" max="773" width="10.5703125" style="163" bestFit="1" customWidth="1"/>
    <col min="774" max="774" width="7.5703125" style="163" bestFit="1" customWidth="1"/>
    <col min="775" max="776" width="4.42578125" style="163"/>
    <col min="777" max="777" width="8" style="163" bestFit="1" customWidth="1"/>
    <col min="778" max="1024" width="4.42578125" style="163"/>
    <col min="1025" max="1025" width="65.85546875" style="163" customWidth="1"/>
    <col min="1026" max="1027" width="20.7109375" style="163" customWidth="1"/>
    <col min="1028" max="1028" width="11.7109375" style="163" bestFit="1" customWidth="1"/>
    <col min="1029" max="1029" width="10.5703125" style="163" bestFit="1" customWidth="1"/>
    <col min="1030" max="1030" width="7.5703125" style="163" bestFit="1" customWidth="1"/>
    <col min="1031" max="1032" width="4.42578125" style="163"/>
    <col min="1033" max="1033" width="8" style="163" bestFit="1" customWidth="1"/>
    <col min="1034" max="1280" width="4.42578125" style="163"/>
    <col min="1281" max="1281" width="65.85546875" style="163" customWidth="1"/>
    <col min="1282" max="1283" width="20.7109375" style="163" customWidth="1"/>
    <col min="1284" max="1284" width="11.7109375" style="163" bestFit="1" customWidth="1"/>
    <col min="1285" max="1285" width="10.5703125" style="163" bestFit="1" customWidth="1"/>
    <col min="1286" max="1286" width="7.5703125" style="163" bestFit="1" customWidth="1"/>
    <col min="1287" max="1288" width="4.42578125" style="163"/>
    <col min="1289" max="1289" width="8" style="163" bestFit="1" customWidth="1"/>
    <col min="1290" max="1536" width="4.42578125" style="163"/>
    <col min="1537" max="1537" width="65.85546875" style="163" customWidth="1"/>
    <col min="1538" max="1539" width="20.7109375" style="163" customWidth="1"/>
    <col min="1540" max="1540" width="11.7109375" style="163" bestFit="1" customWidth="1"/>
    <col min="1541" max="1541" width="10.5703125" style="163" bestFit="1" customWidth="1"/>
    <col min="1542" max="1542" width="7.5703125" style="163" bestFit="1" customWidth="1"/>
    <col min="1543" max="1544" width="4.42578125" style="163"/>
    <col min="1545" max="1545" width="8" style="163" bestFit="1" customWidth="1"/>
    <col min="1546" max="1792" width="4.42578125" style="163"/>
    <col min="1793" max="1793" width="65.85546875" style="163" customWidth="1"/>
    <col min="1794" max="1795" width="20.7109375" style="163" customWidth="1"/>
    <col min="1796" max="1796" width="11.7109375" style="163" bestFit="1" customWidth="1"/>
    <col min="1797" max="1797" width="10.5703125" style="163" bestFit="1" customWidth="1"/>
    <col min="1798" max="1798" width="7.5703125" style="163" bestFit="1" customWidth="1"/>
    <col min="1799" max="1800" width="4.42578125" style="163"/>
    <col min="1801" max="1801" width="8" style="163" bestFit="1" customWidth="1"/>
    <col min="1802" max="2048" width="4.42578125" style="163"/>
    <col min="2049" max="2049" width="65.85546875" style="163" customWidth="1"/>
    <col min="2050" max="2051" width="20.7109375" style="163" customWidth="1"/>
    <col min="2052" max="2052" width="11.7109375" style="163" bestFit="1" customWidth="1"/>
    <col min="2053" max="2053" width="10.5703125" style="163" bestFit="1" customWidth="1"/>
    <col min="2054" max="2054" width="7.5703125" style="163" bestFit="1" customWidth="1"/>
    <col min="2055" max="2056" width="4.42578125" style="163"/>
    <col min="2057" max="2057" width="8" style="163" bestFit="1" customWidth="1"/>
    <col min="2058" max="2304" width="4.42578125" style="163"/>
    <col min="2305" max="2305" width="65.85546875" style="163" customWidth="1"/>
    <col min="2306" max="2307" width="20.7109375" style="163" customWidth="1"/>
    <col min="2308" max="2308" width="11.7109375" style="163" bestFit="1" customWidth="1"/>
    <col min="2309" max="2309" width="10.5703125" style="163" bestFit="1" customWidth="1"/>
    <col min="2310" max="2310" width="7.5703125" style="163" bestFit="1" customWidth="1"/>
    <col min="2311" max="2312" width="4.42578125" style="163"/>
    <col min="2313" max="2313" width="8" style="163" bestFit="1" customWidth="1"/>
    <col min="2314" max="2560" width="4.42578125" style="163"/>
    <col min="2561" max="2561" width="65.85546875" style="163" customWidth="1"/>
    <col min="2562" max="2563" width="20.7109375" style="163" customWidth="1"/>
    <col min="2564" max="2564" width="11.7109375" style="163" bestFit="1" customWidth="1"/>
    <col min="2565" max="2565" width="10.5703125" style="163" bestFit="1" customWidth="1"/>
    <col min="2566" max="2566" width="7.5703125" style="163" bestFit="1" customWidth="1"/>
    <col min="2567" max="2568" width="4.42578125" style="163"/>
    <col min="2569" max="2569" width="8" style="163" bestFit="1" customWidth="1"/>
    <col min="2570" max="2816" width="4.42578125" style="163"/>
    <col min="2817" max="2817" width="65.85546875" style="163" customWidth="1"/>
    <col min="2818" max="2819" width="20.7109375" style="163" customWidth="1"/>
    <col min="2820" max="2820" width="11.7109375" style="163" bestFit="1" customWidth="1"/>
    <col min="2821" max="2821" width="10.5703125" style="163" bestFit="1" customWidth="1"/>
    <col min="2822" max="2822" width="7.5703125" style="163" bestFit="1" customWidth="1"/>
    <col min="2823" max="2824" width="4.42578125" style="163"/>
    <col min="2825" max="2825" width="8" style="163" bestFit="1" customWidth="1"/>
    <col min="2826" max="3072" width="4.42578125" style="163"/>
    <col min="3073" max="3073" width="65.85546875" style="163" customWidth="1"/>
    <col min="3074" max="3075" width="20.7109375" style="163" customWidth="1"/>
    <col min="3076" max="3076" width="11.7109375" style="163" bestFit="1" customWidth="1"/>
    <col min="3077" max="3077" width="10.5703125" style="163" bestFit="1" customWidth="1"/>
    <col min="3078" max="3078" width="7.5703125" style="163" bestFit="1" customWidth="1"/>
    <col min="3079" max="3080" width="4.42578125" style="163"/>
    <col min="3081" max="3081" width="8" style="163" bestFit="1" customWidth="1"/>
    <col min="3082" max="3328" width="4.42578125" style="163"/>
    <col min="3329" max="3329" width="65.85546875" style="163" customWidth="1"/>
    <col min="3330" max="3331" width="20.7109375" style="163" customWidth="1"/>
    <col min="3332" max="3332" width="11.7109375" style="163" bestFit="1" customWidth="1"/>
    <col min="3333" max="3333" width="10.5703125" style="163" bestFit="1" customWidth="1"/>
    <col min="3334" max="3334" width="7.5703125" style="163" bestFit="1" customWidth="1"/>
    <col min="3335" max="3336" width="4.42578125" style="163"/>
    <col min="3337" max="3337" width="8" style="163" bestFit="1" customWidth="1"/>
    <col min="3338" max="3584" width="4.42578125" style="163"/>
    <col min="3585" max="3585" width="65.85546875" style="163" customWidth="1"/>
    <col min="3586" max="3587" width="20.7109375" style="163" customWidth="1"/>
    <col min="3588" max="3588" width="11.7109375" style="163" bestFit="1" customWidth="1"/>
    <col min="3589" max="3589" width="10.5703125" style="163" bestFit="1" customWidth="1"/>
    <col min="3590" max="3590" width="7.5703125" style="163" bestFit="1" customWidth="1"/>
    <col min="3591" max="3592" width="4.42578125" style="163"/>
    <col min="3593" max="3593" width="8" style="163" bestFit="1" customWidth="1"/>
    <col min="3594" max="3840" width="4.42578125" style="163"/>
    <col min="3841" max="3841" width="65.85546875" style="163" customWidth="1"/>
    <col min="3842" max="3843" width="20.7109375" style="163" customWidth="1"/>
    <col min="3844" max="3844" width="11.7109375" style="163" bestFit="1" customWidth="1"/>
    <col min="3845" max="3845" width="10.5703125" style="163" bestFit="1" customWidth="1"/>
    <col min="3846" max="3846" width="7.5703125" style="163" bestFit="1" customWidth="1"/>
    <col min="3847" max="3848" width="4.42578125" style="163"/>
    <col min="3849" max="3849" width="8" style="163" bestFit="1" customWidth="1"/>
    <col min="3850" max="4096" width="4.42578125" style="163"/>
    <col min="4097" max="4097" width="65.85546875" style="163" customWidth="1"/>
    <col min="4098" max="4099" width="20.7109375" style="163" customWidth="1"/>
    <col min="4100" max="4100" width="11.7109375" style="163" bestFit="1" customWidth="1"/>
    <col min="4101" max="4101" width="10.5703125" style="163" bestFit="1" customWidth="1"/>
    <col min="4102" max="4102" width="7.5703125" style="163" bestFit="1" customWidth="1"/>
    <col min="4103" max="4104" width="4.42578125" style="163"/>
    <col min="4105" max="4105" width="8" style="163" bestFit="1" customWidth="1"/>
    <col min="4106" max="4352" width="4.42578125" style="163"/>
    <col min="4353" max="4353" width="65.85546875" style="163" customWidth="1"/>
    <col min="4354" max="4355" width="20.7109375" style="163" customWidth="1"/>
    <col min="4356" max="4356" width="11.7109375" style="163" bestFit="1" customWidth="1"/>
    <col min="4357" max="4357" width="10.5703125" style="163" bestFit="1" customWidth="1"/>
    <col min="4358" max="4358" width="7.5703125" style="163" bestFit="1" customWidth="1"/>
    <col min="4359" max="4360" width="4.42578125" style="163"/>
    <col min="4361" max="4361" width="8" style="163" bestFit="1" customWidth="1"/>
    <col min="4362" max="4608" width="4.42578125" style="163"/>
    <col min="4609" max="4609" width="65.85546875" style="163" customWidth="1"/>
    <col min="4610" max="4611" width="20.7109375" style="163" customWidth="1"/>
    <col min="4612" max="4612" width="11.7109375" style="163" bestFit="1" customWidth="1"/>
    <col min="4613" max="4613" width="10.5703125" style="163" bestFit="1" customWidth="1"/>
    <col min="4614" max="4614" width="7.5703125" style="163" bestFit="1" customWidth="1"/>
    <col min="4615" max="4616" width="4.42578125" style="163"/>
    <col min="4617" max="4617" width="8" style="163" bestFit="1" customWidth="1"/>
    <col min="4618" max="4864" width="4.42578125" style="163"/>
    <col min="4865" max="4865" width="65.85546875" style="163" customWidth="1"/>
    <col min="4866" max="4867" width="20.7109375" style="163" customWidth="1"/>
    <col min="4868" max="4868" width="11.7109375" style="163" bestFit="1" customWidth="1"/>
    <col min="4869" max="4869" width="10.5703125" style="163" bestFit="1" customWidth="1"/>
    <col min="4870" max="4870" width="7.5703125" style="163" bestFit="1" customWidth="1"/>
    <col min="4871" max="4872" width="4.42578125" style="163"/>
    <col min="4873" max="4873" width="8" style="163" bestFit="1" customWidth="1"/>
    <col min="4874" max="5120" width="4.42578125" style="163"/>
    <col min="5121" max="5121" width="65.85546875" style="163" customWidth="1"/>
    <col min="5122" max="5123" width="20.7109375" style="163" customWidth="1"/>
    <col min="5124" max="5124" width="11.7109375" style="163" bestFit="1" customWidth="1"/>
    <col min="5125" max="5125" width="10.5703125" style="163" bestFit="1" customWidth="1"/>
    <col min="5126" max="5126" width="7.5703125" style="163" bestFit="1" customWidth="1"/>
    <col min="5127" max="5128" width="4.42578125" style="163"/>
    <col min="5129" max="5129" width="8" style="163" bestFit="1" customWidth="1"/>
    <col min="5130" max="5376" width="4.42578125" style="163"/>
    <col min="5377" max="5377" width="65.85546875" style="163" customWidth="1"/>
    <col min="5378" max="5379" width="20.7109375" style="163" customWidth="1"/>
    <col min="5380" max="5380" width="11.7109375" style="163" bestFit="1" customWidth="1"/>
    <col min="5381" max="5381" width="10.5703125" style="163" bestFit="1" customWidth="1"/>
    <col min="5382" max="5382" width="7.5703125" style="163" bestFit="1" customWidth="1"/>
    <col min="5383" max="5384" width="4.42578125" style="163"/>
    <col min="5385" max="5385" width="8" style="163" bestFit="1" customWidth="1"/>
    <col min="5386" max="5632" width="4.42578125" style="163"/>
    <col min="5633" max="5633" width="65.85546875" style="163" customWidth="1"/>
    <col min="5634" max="5635" width="20.7109375" style="163" customWidth="1"/>
    <col min="5636" max="5636" width="11.7109375" style="163" bestFit="1" customWidth="1"/>
    <col min="5637" max="5637" width="10.5703125" style="163" bestFit="1" customWidth="1"/>
    <col min="5638" max="5638" width="7.5703125" style="163" bestFit="1" customWidth="1"/>
    <col min="5639" max="5640" width="4.42578125" style="163"/>
    <col min="5641" max="5641" width="8" style="163" bestFit="1" customWidth="1"/>
    <col min="5642" max="5888" width="4.42578125" style="163"/>
    <col min="5889" max="5889" width="65.85546875" style="163" customWidth="1"/>
    <col min="5890" max="5891" width="20.7109375" style="163" customWidth="1"/>
    <col min="5892" max="5892" width="11.7109375" style="163" bestFit="1" customWidth="1"/>
    <col min="5893" max="5893" width="10.5703125" style="163" bestFit="1" customWidth="1"/>
    <col min="5894" max="5894" width="7.5703125" style="163" bestFit="1" customWidth="1"/>
    <col min="5895" max="5896" width="4.42578125" style="163"/>
    <col min="5897" max="5897" width="8" style="163" bestFit="1" customWidth="1"/>
    <col min="5898" max="6144" width="4.42578125" style="163"/>
    <col min="6145" max="6145" width="65.85546875" style="163" customWidth="1"/>
    <col min="6146" max="6147" width="20.7109375" style="163" customWidth="1"/>
    <col min="6148" max="6148" width="11.7109375" style="163" bestFit="1" customWidth="1"/>
    <col min="6149" max="6149" width="10.5703125" style="163" bestFit="1" customWidth="1"/>
    <col min="6150" max="6150" width="7.5703125" style="163" bestFit="1" customWidth="1"/>
    <col min="6151" max="6152" width="4.42578125" style="163"/>
    <col min="6153" max="6153" width="8" style="163" bestFit="1" customWidth="1"/>
    <col min="6154" max="6400" width="4.42578125" style="163"/>
    <col min="6401" max="6401" width="65.85546875" style="163" customWidth="1"/>
    <col min="6402" max="6403" width="20.7109375" style="163" customWidth="1"/>
    <col min="6404" max="6404" width="11.7109375" style="163" bestFit="1" customWidth="1"/>
    <col min="6405" max="6405" width="10.5703125" style="163" bestFit="1" customWidth="1"/>
    <col min="6406" max="6406" width="7.5703125" style="163" bestFit="1" customWidth="1"/>
    <col min="6407" max="6408" width="4.42578125" style="163"/>
    <col min="6409" max="6409" width="8" style="163" bestFit="1" customWidth="1"/>
    <col min="6410" max="6656" width="4.42578125" style="163"/>
    <col min="6657" max="6657" width="65.85546875" style="163" customWidth="1"/>
    <col min="6658" max="6659" width="20.7109375" style="163" customWidth="1"/>
    <col min="6660" max="6660" width="11.7109375" style="163" bestFit="1" customWidth="1"/>
    <col min="6661" max="6661" width="10.5703125" style="163" bestFit="1" customWidth="1"/>
    <col min="6662" max="6662" width="7.5703125" style="163" bestFit="1" customWidth="1"/>
    <col min="6663" max="6664" width="4.42578125" style="163"/>
    <col min="6665" max="6665" width="8" style="163" bestFit="1" customWidth="1"/>
    <col min="6666" max="6912" width="4.42578125" style="163"/>
    <col min="6913" max="6913" width="65.85546875" style="163" customWidth="1"/>
    <col min="6914" max="6915" width="20.7109375" style="163" customWidth="1"/>
    <col min="6916" max="6916" width="11.7109375" style="163" bestFit="1" customWidth="1"/>
    <col min="6917" max="6917" width="10.5703125" style="163" bestFit="1" customWidth="1"/>
    <col min="6918" max="6918" width="7.5703125" style="163" bestFit="1" customWidth="1"/>
    <col min="6919" max="6920" width="4.42578125" style="163"/>
    <col min="6921" max="6921" width="8" style="163" bestFit="1" customWidth="1"/>
    <col min="6922" max="7168" width="4.42578125" style="163"/>
    <col min="7169" max="7169" width="65.85546875" style="163" customWidth="1"/>
    <col min="7170" max="7171" width="20.7109375" style="163" customWidth="1"/>
    <col min="7172" max="7172" width="11.7109375" style="163" bestFit="1" customWidth="1"/>
    <col min="7173" max="7173" width="10.5703125" style="163" bestFit="1" customWidth="1"/>
    <col min="7174" max="7174" width="7.5703125" style="163" bestFit="1" customWidth="1"/>
    <col min="7175" max="7176" width="4.42578125" style="163"/>
    <col min="7177" max="7177" width="8" style="163" bestFit="1" customWidth="1"/>
    <col min="7178" max="7424" width="4.42578125" style="163"/>
    <col min="7425" max="7425" width="65.85546875" style="163" customWidth="1"/>
    <col min="7426" max="7427" width="20.7109375" style="163" customWidth="1"/>
    <col min="7428" max="7428" width="11.7109375" style="163" bestFit="1" customWidth="1"/>
    <col min="7429" max="7429" width="10.5703125" style="163" bestFit="1" customWidth="1"/>
    <col min="7430" max="7430" width="7.5703125" style="163" bestFit="1" customWidth="1"/>
    <col min="7431" max="7432" width="4.42578125" style="163"/>
    <col min="7433" max="7433" width="8" style="163" bestFit="1" customWidth="1"/>
    <col min="7434" max="7680" width="4.42578125" style="163"/>
    <col min="7681" max="7681" width="65.85546875" style="163" customWidth="1"/>
    <col min="7682" max="7683" width="20.7109375" style="163" customWidth="1"/>
    <col min="7684" max="7684" width="11.7109375" style="163" bestFit="1" customWidth="1"/>
    <col min="7685" max="7685" width="10.5703125" style="163" bestFit="1" customWidth="1"/>
    <col min="7686" max="7686" width="7.5703125" style="163" bestFit="1" customWidth="1"/>
    <col min="7687" max="7688" width="4.42578125" style="163"/>
    <col min="7689" max="7689" width="8" style="163" bestFit="1" customWidth="1"/>
    <col min="7690" max="7936" width="4.42578125" style="163"/>
    <col min="7937" max="7937" width="65.85546875" style="163" customWidth="1"/>
    <col min="7938" max="7939" width="20.7109375" style="163" customWidth="1"/>
    <col min="7940" max="7940" width="11.7109375" style="163" bestFit="1" customWidth="1"/>
    <col min="7941" max="7941" width="10.5703125" style="163" bestFit="1" customWidth="1"/>
    <col min="7942" max="7942" width="7.5703125" style="163" bestFit="1" customWidth="1"/>
    <col min="7943" max="7944" width="4.42578125" style="163"/>
    <col min="7945" max="7945" width="8" style="163" bestFit="1" customWidth="1"/>
    <col min="7946" max="8192" width="4.42578125" style="163"/>
    <col min="8193" max="8193" width="65.85546875" style="163" customWidth="1"/>
    <col min="8194" max="8195" width="20.7109375" style="163" customWidth="1"/>
    <col min="8196" max="8196" width="11.7109375" style="163" bestFit="1" customWidth="1"/>
    <col min="8197" max="8197" width="10.5703125" style="163" bestFit="1" customWidth="1"/>
    <col min="8198" max="8198" width="7.5703125" style="163" bestFit="1" customWidth="1"/>
    <col min="8199" max="8200" width="4.42578125" style="163"/>
    <col min="8201" max="8201" width="8" style="163" bestFit="1" customWidth="1"/>
    <col min="8202" max="8448" width="4.42578125" style="163"/>
    <col min="8449" max="8449" width="65.85546875" style="163" customWidth="1"/>
    <col min="8450" max="8451" width="20.7109375" style="163" customWidth="1"/>
    <col min="8452" max="8452" width="11.7109375" style="163" bestFit="1" customWidth="1"/>
    <col min="8453" max="8453" width="10.5703125" style="163" bestFit="1" customWidth="1"/>
    <col min="8454" max="8454" width="7.5703125" style="163" bestFit="1" customWidth="1"/>
    <col min="8455" max="8456" width="4.42578125" style="163"/>
    <col min="8457" max="8457" width="8" style="163" bestFit="1" customWidth="1"/>
    <col min="8458" max="8704" width="4.42578125" style="163"/>
    <col min="8705" max="8705" width="65.85546875" style="163" customWidth="1"/>
    <col min="8706" max="8707" width="20.7109375" style="163" customWidth="1"/>
    <col min="8708" max="8708" width="11.7109375" style="163" bestFit="1" customWidth="1"/>
    <col min="8709" max="8709" width="10.5703125" style="163" bestFit="1" customWidth="1"/>
    <col min="8710" max="8710" width="7.5703125" style="163" bestFit="1" customWidth="1"/>
    <col min="8711" max="8712" width="4.42578125" style="163"/>
    <col min="8713" max="8713" width="8" style="163" bestFit="1" customWidth="1"/>
    <col min="8714" max="8960" width="4.42578125" style="163"/>
    <col min="8961" max="8961" width="65.85546875" style="163" customWidth="1"/>
    <col min="8962" max="8963" width="20.7109375" style="163" customWidth="1"/>
    <col min="8964" max="8964" width="11.7109375" style="163" bestFit="1" customWidth="1"/>
    <col min="8965" max="8965" width="10.5703125" style="163" bestFit="1" customWidth="1"/>
    <col min="8966" max="8966" width="7.5703125" style="163" bestFit="1" customWidth="1"/>
    <col min="8967" max="8968" width="4.42578125" style="163"/>
    <col min="8969" max="8969" width="8" style="163" bestFit="1" customWidth="1"/>
    <col min="8970" max="9216" width="4.42578125" style="163"/>
    <col min="9217" max="9217" width="65.85546875" style="163" customWidth="1"/>
    <col min="9218" max="9219" width="20.7109375" style="163" customWidth="1"/>
    <col min="9220" max="9220" width="11.7109375" style="163" bestFit="1" customWidth="1"/>
    <col min="9221" max="9221" width="10.5703125" style="163" bestFit="1" customWidth="1"/>
    <col min="9222" max="9222" width="7.5703125" style="163" bestFit="1" customWidth="1"/>
    <col min="9223" max="9224" width="4.42578125" style="163"/>
    <col min="9225" max="9225" width="8" style="163" bestFit="1" customWidth="1"/>
    <col min="9226" max="9472" width="4.42578125" style="163"/>
    <col min="9473" max="9473" width="65.85546875" style="163" customWidth="1"/>
    <col min="9474" max="9475" width="20.7109375" style="163" customWidth="1"/>
    <col min="9476" max="9476" width="11.7109375" style="163" bestFit="1" customWidth="1"/>
    <col min="9477" max="9477" width="10.5703125" style="163" bestFit="1" customWidth="1"/>
    <col min="9478" max="9478" width="7.5703125" style="163" bestFit="1" customWidth="1"/>
    <col min="9479" max="9480" width="4.42578125" style="163"/>
    <col min="9481" max="9481" width="8" style="163" bestFit="1" customWidth="1"/>
    <col min="9482" max="9728" width="4.42578125" style="163"/>
    <col min="9729" max="9729" width="65.85546875" style="163" customWidth="1"/>
    <col min="9730" max="9731" width="20.7109375" style="163" customWidth="1"/>
    <col min="9732" max="9732" width="11.7109375" style="163" bestFit="1" customWidth="1"/>
    <col min="9733" max="9733" width="10.5703125" style="163" bestFit="1" customWidth="1"/>
    <col min="9734" max="9734" width="7.5703125" style="163" bestFit="1" customWidth="1"/>
    <col min="9735" max="9736" width="4.42578125" style="163"/>
    <col min="9737" max="9737" width="8" style="163" bestFit="1" customWidth="1"/>
    <col min="9738" max="9984" width="4.42578125" style="163"/>
    <col min="9985" max="9985" width="65.85546875" style="163" customWidth="1"/>
    <col min="9986" max="9987" width="20.7109375" style="163" customWidth="1"/>
    <col min="9988" max="9988" width="11.7109375" style="163" bestFit="1" customWidth="1"/>
    <col min="9989" max="9989" width="10.5703125" style="163" bestFit="1" customWidth="1"/>
    <col min="9990" max="9990" width="7.5703125" style="163" bestFit="1" customWidth="1"/>
    <col min="9991" max="9992" width="4.42578125" style="163"/>
    <col min="9993" max="9993" width="8" style="163" bestFit="1" customWidth="1"/>
    <col min="9994" max="10240" width="4.42578125" style="163"/>
    <col min="10241" max="10241" width="65.85546875" style="163" customWidth="1"/>
    <col min="10242" max="10243" width="20.7109375" style="163" customWidth="1"/>
    <col min="10244" max="10244" width="11.7109375" style="163" bestFit="1" customWidth="1"/>
    <col min="10245" max="10245" width="10.5703125" style="163" bestFit="1" customWidth="1"/>
    <col min="10246" max="10246" width="7.5703125" style="163" bestFit="1" customWidth="1"/>
    <col min="10247" max="10248" width="4.42578125" style="163"/>
    <col min="10249" max="10249" width="8" style="163" bestFit="1" customWidth="1"/>
    <col min="10250" max="10496" width="4.42578125" style="163"/>
    <col min="10497" max="10497" width="65.85546875" style="163" customWidth="1"/>
    <col min="10498" max="10499" width="20.7109375" style="163" customWidth="1"/>
    <col min="10500" max="10500" width="11.7109375" style="163" bestFit="1" customWidth="1"/>
    <col min="10501" max="10501" width="10.5703125" style="163" bestFit="1" customWidth="1"/>
    <col min="10502" max="10502" width="7.5703125" style="163" bestFit="1" customWidth="1"/>
    <col min="10503" max="10504" width="4.42578125" style="163"/>
    <col min="10505" max="10505" width="8" style="163" bestFit="1" customWidth="1"/>
    <col min="10506" max="10752" width="4.42578125" style="163"/>
    <col min="10753" max="10753" width="65.85546875" style="163" customWidth="1"/>
    <col min="10754" max="10755" width="20.7109375" style="163" customWidth="1"/>
    <col min="10756" max="10756" width="11.7109375" style="163" bestFit="1" customWidth="1"/>
    <col min="10757" max="10757" width="10.5703125" style="163" bestFit="1" customWidth="1"/>
    <col min="10758" max="10758" width="7.5703125" style="163" bestFit="1" customWidth="1"/>
    <col min="10759" max="10760" width="4.42578125" style="163"/>
    <col min="10761" max="10761" width="8" style="163" bestFit="1" customWidth="1"/>
    <col min="10762" max="11008" width="4.42578125" style="163"/>
    <col min="11009" max="11009" width="65.85546875" style="163" customWidth="1"/>
    <col min="11010" max="11011" width="20.7109375" style="163" customWidth="1"/>
    <col min="11012" max="11012" width="11.7109375" style="163" bestFit="1" customWidth="1"/>
    <col min="11013" max="11013" width="10.5703125" style="163" bestFit="1" customWidth="1"/>
    <col min="11014" max="11014" width="7.5703125" style="163" bestFit="1" customWidth="1"/>
    <col min="11015" max="11016" width="4.42578125" style="163"/>
    <col min="11017" max="11017" width="8" style="163" bestFit="1" customWidth="1"/>
    <col min="11018" max="11264" width="4.42578125" style="163"/>
    <col min="11265" max="11265" width="65.85546875" style="163" customWidth="1"/>
    <col min="11266" max="11267" width="20.7109375" style="163" customWidth="1"/>
    <col min="11268" max="11268" width="11.7109375" style="163" bestFit="1" customWidth="1"/>
    <col min="11269" max="11269" width="10.5703125" style="163" bestFit="1" customWidth="1"/>
    <col min="11270" max="11270" width="7.5703125" style="163" bestFit="1" customWidth="1"/>
    <col min="11271" max="11272" width="4.42578125" style="163"/>
    <col min="11273" max="11273" width="8" style="163" bestFit="1" customWidth="1"/>
    <col min="11274" max="11520" width="4.42578125" style="163"/>
    <col min="11521" max="11521" width="65.85546875" style="163" customWidth="1"/>
    <col min="11522" max="11523" width="20.7109375" style="163" customWidth="1"/>
    <col min="11524" max="11524" width="11.7109375" style="163" bestFit="1" customWidth="1"/>
    <col min="11525" max="11525" width="10.5703125" style="163" bestFit="1" customWidth="1"/>
    <col min="11526" max="11526" width="7.5703125" style="163" bestFit="1" customWidth="1"/>
    <col min="11527" max="11528" width="4.42578125" style="163"/>
    <col min="11529" max="11529" width="8" style="163" bestFit="1" customWidth="1"/>
    <col min="11530" max="11776" width="4.42578125" style="163"/>
    <col min="11777" max="11777" width="65.85546875" style="163" customWidth="1"/>
    <col min="11778" max="11779" width="20.7109375" style="163" customWidth="1"/>
    <col min="11780" max="11780" width="11.7109375" style="163" bestFit="1" customWidth="1"/>
    <col min="11781" max="11781" width="10.5703125" style="163" bestFit="1" customWidth="1"/>
    <col min="11782" max="11782" width="7.5703125" style="163" bestFit="1" customWidth="1"/>
    <col min="11783" max="11784" width="4.42578125" style="163"/>
    <col min="11785" max="11785" width="8" style="163" bestFit="1" customWidth="1"/>
    <col min="11786" max="12032" width="4.42578125" style="163"/>
    <col min="12033" max="12033" width="65.85546875" style="163" customWidth="1"/>
    <col min="12034" max="12035" width="20.7109375" style="163" customWidth="1"/>
    <col min="12036" max="12036" width="11.7109375" style="163" bestFit="1" customWidth="1"/>
    <col min="12037" max="12037" width="10.5703125" style="163" bestFit="1" customWidth="1"/>
    <col min="12038" max="12038" width="7.5703125" style="163" bestFit="1" customWidth="1"/>
    <col min="12039" max="12040" width="4.42578125" style="163"/>
    <col min="12041" max="12041" width="8" style="163" bestFit="1" customWidth="1"/>
    <col min="12042" max="12288" width="4.42578125" style="163"/>
    <col min="12289" max="12289" width="65.85546875" style="163" customWidth="1"/>
    <col min="12290" max="12291" width="20.7109375" style="163" customWidth="1"/>
    <col min="12292" max="12292" width="11.7109375" style="163" bestFit="1" customWidth="1"/>
    <col min="12293" max="12293" width="10.5703125" style="163" bestFit="1" customWidth="1"/>
    <col min="12294" max="12294" width="7.5703125" style="163" bestFit="1" customWidth="1"/>
    <col min="12295" max="12296" width="4.42578125" style="163"/>
    <col min="12297" max="12297" width="8" style="163" bestFit="1" customWidth="1"/>
    <col min="12298" max="12544" width="4.42578125" style="163"/>
    <col min="12545" max="12545" width="65.85546875" style="163" customWidth="1"/>
    <col min="12546" max="12547" width="20.7109375" style="163" customWidth="1"/>
    <col min="12548" max="12548" width="11.7109375" style="163" bestFit="1" customWidth="1"/>
    <col min="12549" max="12549" width="10.5703125" style="163" bestFit="1" customWidth="1"/>
    <col min="12550" max="12550" width="7.5703125" style="163" bestFit="1" customWidth="1"/>
    <col min="12551" max="12552" width="4.42578125" style="163"/>
    <col min="12553" max="12553" width="8" style="163" bestFit="1" customWidth="1"/>
    <col min="12554" max="12800" width="4.42578125" style="163"/>
    <col min="12801" max="12801" width="65.85546875" style="163" customWidth="1"/>
    <col min="12802" max="12803" width="20.7109375" style="163" customWidth="1"/>
    <col min="12804" max="12804" width="11.7109375" style="163" bestFit="1" customWidth="1"/>
    <col min="12805" max="12805" width="10.5703125" style="163" bestFit="1" customWidth="1"/>
    <col min="12806" max="12806" width="7.5703125" style="163" bestFit="1" customWidth="1"/>
    <col min="12807" max="12808" width="4.42578125" style="163"/>
    <col min="12809" max="12809" width="8" style="163" bestFit="1" customWidth="1"/>
    <col min="12810" max="13056" width="4.42578125" style="163"/>
    <col min="13057" max="13057" width="65.85546875" style="163" customWidth="1"/>
    <col min="13058" max="13059" width="20.7109375" style="163" customWidth="1"/>
    <col min="13060" max="13060" width="11.7109375" style="163" bestFit="1" customWidth="1"/>
    <col min="13061" max="13061" width="10.5703125" style="163" bestFit="1" customWidth="1"/>
    <col min="13062" max="13062" width="7.5703125" style="163" bestFit="1" customWidth="1"/>
    <col min="13063" max="13064" width="4.42578125" style="163"/>
    <col min="13065" max="13065" width="8" style="163" bestFit="1" customWidth="1"/>
    <col min="13066" max="13312" width="4.42578125" style="163"/>
    <col min="13313" max="13313" width="65.85546875" style="163" customWidth="1"/>
    <col min="13314" max="13315" width="20.7109375" style="163" customWidth="1"/>
    <col min="13316" max="13316" width="11.7109375" style="163" bestFit="1" customWidth="1"/>
    <col min="13317" max="13317" width="10.5703125" style="163" bestFit="1" customWidth="1"/>
    <col min="13318" max="13318" width="7.5703125" style="163" bestFit="1" customWidth="1"/>
    <col min="13319" max="13320" width="4.42578125" style="163"/>
    <col min="13321" max="13321" width="8" style="163" bestFit="1" customWidth="1"/>
    <col min="13322" max="13568" width="4.42578125" style="163"/>
    <col min="13569" max="13569" width="65.85546875" style="163" customWidth="1"/>
    <col min="13570" max="13571" width="20.7109375" style="163" customWidth="1"/>
    <col min="13572" max="13572" width="11.7109375" style="163" bestFit="1" customWidth="1"/>
    <col min="13573" max="13573" width="10.5703125" style="163" bestFit="1" customWidth="1"/>
    <col min="13574" max="13574" width="7.5703125" style="163" bestFit="1" customWidth="1"/>
    <col min="13575" max="13576" width="4.42578125" style="163"/>
    <col min="13577" max="13577" width="8" style="163" bestFit="1" customWidth="1"/>
    <col min="13578" max="13824" width="4.42578125" style="163"/>
    <col min="13825" max="13825" width="65.85546875" style="163" customWidth="1"/>
    <col min="13826" max="13827" width="20.7109375" style="163" customWidth="1"/>
    <col min="13828" max="13828" width="11.7109375" style="163" bestFit="1" customWidth="1"/>
    <col min="13829" max="13829" width="10.5703125" style="163" bestFit="1" customWidth="1"/>
    <col min="13830" max="13830" width="7.5703125" style="163" bestFit="1" customWidth="1"/>
    <col min="13831" max="13832" width="4.42578125" style="163"/>
    <col min="13833" max="13833" width="8" style="163" bestFit="1" customWidth="1"/>
    <col min="13834" max="14080" width="4.42578125" style="163"/>
    <col min="14081" max="14081" width="65.85546875" style="163" customWidth="1"/>
    <col min="14082" max="14083" width="20.7109375" style="163" customWidth="1"/>
    <col min="14084" max="14084" width="11.7109375" style="163" bestFit="1" customWidth="1"/>
    <col min="14085" max="14085" width="10.5703125" style="163" bestFit="1" customWidth="1"/>
    <col min="14086" max="14086" width="7.5703125" style="163" bestFit="1" customWidth="1"/>
    <col min="14087" max="14088" width="4.42578125" style="163"/>
    <col min="14089" max="14089" width="8" style="163" bestFit="1" customWidth="1"/>
    <col min="14090" max="14336" width="4.42578125" style="163"/>
    <col min="14337" max="14337" width="65.85546875" style="163" customWidth="1"/>
    <col min="14338" max="14339" width="20.7109375" style="163" customWidth="1"/>
    <col min="14340" max="14340" width="11.7109375" style="163" bestFit="1" customWidth="1"/>
    <col min="14341" max="14341" width="10.5703125" style="163" bestFit="1" customWidth="1"/>
    <col min="14342" max="14342" width="7.5703125" style="163" bestFit="1" customWidth="1"/>
    <col min="14343" max="14344" width="4.42578125" style="163"/>
    <col min="14345" max="14345" width="8" style="163" bestFit="1" customWidth="1"/>
    <col min="14346" max="14592" width="4.42578125" style="163"/>
    <col min="14593" max="14593" width="65.85546875" style="163" customWidth="1"/>
    <col min="14594" max="14595" width="20.7109375" style="163" customWidth="1"/>
    <col min="14596" max="14596" width="11.7109375" style="163" bestFit="1" customWidth="1"/>
    <col min="14597" max="14597" width="10.5703125" style="163" bestFit="1" customWidth="1"/>
    <col min="14598" max="14598" width="7.5703125" style="163" bestFit="1" customWidth="1"/>
    <col min="14599" max="14600" width="4.42578125" style="163"/>
    <col min="14601" max="14601" width="8" style="163" bestFit="1" customWidth="1"/>
    <col min="14602" max="14848" width="4.42578125" style="163"/>
    <col min="14849" max="14849" width="65.85546875" style="163" customWidth="1"/>
    <col min="14850" max="14851" width="20.7109375" style="163" customWidth="1"/>
    <col min="14852" max="14852" width="11.7109375" style="163" bestFit="1" customWidth="1"/>
    <col min="14853" max="14853" width="10.5703125" style="163" bestFit="1" customWidth="1"/>
    <col min="14854" max="14854" width="7.5703125" style="163" bestFit="1" customWidth="1"/>
    <col min="14855" max="14856" width="4.42578125" style="163"/>
    <col min="14857" max="14857" width="8" style="163" bestFit="1" customWidth="1"/>
    <col min="14858" max="15104" width="4.42578125" style="163"/>
    <col min="15105" max="15105" width="65.85546875" style="163" customWidth="1"/>
    <col min="15106" max="15107" width="20.7109375" style="163" customWidth="1"/>
    <col min="15108" max="15108" width="11.7109375" style="163" bestFit="1" customWidth="1"/>
    <col min="15109" max="15109" width="10.5703125" style="163" bestFit="1" customWidth="1"/>
    <col min="15110" max="15110" width="7.5703125" style="163" bestFit="1" customWidth="1"/>
    <col min="15111" max="15112" width="4.42578125" style="163"/>
    <col min="15113" max="15113" width="8" style="163" bestFit="1" customWidth="1"/>
    <col min="15114" max="15360" width="4.42578125" style="163"/>
    <col min="15361" max="15361" width="65.85546875" style="163" customWidth="1"/>
    <col min="15362" max="15363" width="20.7109375" style="163" customWidth="1"/>
    <col min="15364" max="15364" width="11.7109375" style="163" bestFit="1" customWidth="1"/>
    <col min="15365" max="15365" width="10.5703125" style="163" bestFit="1" customWidth="1"/>
    <col min="15366" max="15366" width="7.5703125" style="163" bestFit="1" customWidth="1"/>
    <col min="15367" max="15368" width="4.42578125" style="163"/>
    <col min="15369" max="15369" width="8" style="163" bestFit="1" customWidth="1"/>
    <col min="15370" max="15616" width="4.42578125" style="163"/>
    <col min="15617" max="15617" width="65.85546875" style="163" customWidth="1"/>
    <col min="15618" max="15619" width="20.7109375" style="163" customWidth="1"/>
    <col min="15620" max="15620" width="11.7109375" style="163" bestFit="1" customWidth="1"/>
    <col min="15621" max="15621" width="10.5703125" style="163" bestFit="1" customWidth="1"/>
    <col min="15622" max="15622" width="7.5703125" style="163" bestFit="1" customWidth="1"/>
    <col min="15623" max="15624" width="4.42578125" style="163"/>
    <col min="15625" max="15625" width="8" style="163" bestFit="1" customWidth="1"/>
    <col min="15626" max="15872" width="4.42578125" style="163"/>
    <col min="15873" max="15873" width="65.85546875" style="163" customWidth="1"/>
    <col min="15874" max="15875" width="20.7109375" style="163" customWidth="1"/>
    <col min="15876" max="15876" width="11.7109375" style="163" bestFit="1" customWidth="1"/>
    <col min="15877" max="15877" width="10.5703125" style="163" bestFit="1" customWidth="1"/>
    <col min="15878" max="15878" width="7.5703125" style="163" bestFit="1" customWidth="1"/>
    <col min="15879" max="15880" width="4.42578125" style="163"/>
    <col min="15881" max="15881" width="8" style="163" bestFit="1" customWidth="1"/>
    <col min="15882" max="16128" width="4.42578125" style="163"/>
    <col min="16129" max="16129" width="65.85546875" style="163" customWidth="1"/>
    <col min="16130" max="16131" width="20.7109375" style="163" customWidth="1"/>
    <col min="16132" max="16132" width="11.7109375" style="163" bestFit="1" customWidth="1"/>
    <col min="16133" max="16133" width="10.5703125" style="163" bestFit="1" customWidth="1"/>
    <col min="16134" max="16134" width="7.5703125" style="163" bestFit="1" customWidth="1"/>
    <col min="16135" max="16136" width="4.42578125" style="163"/>
    <col min="16137" max="16137" width="8" style="163" bestFit="1" customWidth="1"/>
    <col min="16138" max="16384" width="4.42578125" style="163"/>
  </cols>
  <sheetData>
    <row r="1" spans="1:4" ht="18.75" x14ac:dyDescent="0.25">
      <c r="A1" s="2">
        <f>'Note 9-13'!A1</f>
        <v>0</v>
      </c>
      <c r="B1" s="163"/>
      <c r="C1" s="163"/>
      <c r="D1" s="163"/>
    </row>
    <row r="2" spans="1:4" ht="15" x14ac:dyDescent="0.25">
      <c r="A2" s="164" t="str">
        <f>+'Note 9-13'!A2</f>
        <v>Notes to financial statements for the year ended March 31, 2025</v>
      </c>
    </row>
    <row r="3" spans="1:4" ht="15" x14ac:dyDescent="0.25">
      <c r="A3" s="164">
        <f>+'Note 9-13'!A3</f>
        <v>0</v>
      </c>
    </row>
    <row r="4" spans="1:4" x14ac:dyDescent="0.25">
      <c r="A4" s="166"/>
      <c r="C4" s="167" t="str">
        <f>'Note 2 - 7'!E4</f>
        <v>In Rupees</v>
      </c>
    </row>
    <row r="5" spans="1:4" ht="16.5" x14ac:dyDescent="0.3">
      <c r="A5" s="168" t="s">
        <v>705</v>
      </c>
      <c r="B5" s="169"/>
      <c r="C5" s="169"/>
    </row>
    <row r="6" spans="1:4" ht="16.5" x14ac:dyDescent="0.3">
      <c r="A6" s="170"/>
      <c r="B6" s="658" t="s">
        <v>1010</v>
      </c>
      <c r="C6" s="522" t="s">
        <v>759</v>
      </c>
      <c r="D6" s="171"/>
    </row>
    <row r="7" spans="1:4" ht="16.5" x14ac:dyDescent="0.3">
      <c r="A7" s="400" t="s">
        <v>185</v>
      </c>
      <c r="B7" s="165">
        <f>'Trail Balance'!D88</f>
        <v>364415590</v>
      </c>
      <c r="C7" s="189">
        <f>-'TB 23-24'!E101</f>
        <v>225987800</v>
      </c>
      <c r="D7" s="172"/>
    </row>
    <row r="8" spans="1:4" ht="16.5" x14ac:dyDescent="0.3">
      <c r="A8" s="174"/>
      <c r="B8" s="495">
        <f>SUM(B7)</f>
        <v>364415590</v>
      </c>
      <c r="C8" s="495">
        <f>SUM(C7)</f>
        <v>225987800</v>
      </c>
      <c r="D8" s="173"/>
    </row>
    <row r="9" spans="1:4" ht="16.5" x14ac:dyDescent="0.3">
      <c r="A9" s="175"/>
      <c r="B9" s="556"/>
      <c r="C9" s="556"/>
      <c r="D9" s="177"/>
    </row>
    <row r="10" spans="1:4" ht="16.5" x14ac:dyDescent="0.25">
      <c r="A10" s="178" t="s">
        <v>706</v>
      </c>
      <c r="B10" s="556"/>
      <c r="C10" s="556"/>
    </row>
    <row r="11" spans="1:4" ht="16.5" x14ac:dyDescent="0.25">
      <c r="A11" s="179"/>
      <c r="B11" s="658" t="str">
        <f>B6</f>
        <v>March 31, 2025</v>
      </c>
      <c r="C11" s="522" t="str">
        <f>C6</f>
        <v>March 31, 2024</v>
      </c>
    </row>
    <row r="12" spans="1:4" ht="16.5" x14ac:dyDescent="0.25">
      <c r="A12" s="181" t="s">
        <v>1042</v>
      </c>
      <c r="B12" s="165">
        <v>0</v>
      </c>
      <c r="C12" s="865"/>
    </row>
    <row r="13" spans="1:4" ht="16.5" x14ac:dyDescent="0.3">
      <c r="A13" s="180" t="s">
        <v>560</v>
      </c>
      <c r="B13" s="864">
        <f>'Trail Balance'!D87</f>
        <v>576084.78</v>
      </c>
      <c r="C13" s="189">
        <v>0</v>
      </c>
      <c r="D13" s="172"/>
    </row>
    <row r="14" spans="1:4" ht="15" x14ac:dyDescent="0.25">
      <c r="A14" s="184"/>
      <c r="B14" s="495">
        <f>SUM(B13:B13)</f>
        <v>576084.78</v>
      </c>
      <c r="C14" s="495">
        <f>SUM(C13:C13)</f>
        <v>0</v>
      </c>
      <c r="D14" s="185"/>
    </row>
    <row r="15" spans="1:4" ht="16.5" x14ac:dyDescent="0.25">
      <c r="A15" s="181"/>
      <c r="B15" s="189"/>
      <c r="C15" s="189"/>
      <c r="D15" s="182"/>
    </row>
    <row r="16" spans="1:4" ht="16.5" x14ac:dyDescent="0.25">
      <c r="A16" s="178" t="s">
        <v>707</v>
      </c>
      <c r="B16" s="189"/>
      <c r="C16" s="189"/>
      <c r="D16" s="182"/>
    </row>
    <row r="17" spans="1:6" ht="16.5" x14ac:dyDescent="0.3">
      <c r="A17" s="179"/>
      <c r="B17" s="658" t="str">
        <f>B11</f>
        <v>March 31, 2025</v>
      </c>
      <c r="C17" s="522" t="str">
        <f>C11</f>
        <v>March 31, 2024</v>
      </c>
      <c r="D17" s="172"/>
    </row>
    <row r="18" spans="1:6" ht="16.5" x14ac:dyDescent="0.25">
      <c r="A18" s="181" t="s">
        <v>130</v>
      </c>
      <c r="B18" s="189">
        <f>+Schedules!B11</f>
        <v>303595355.13999999</v>
      </c>
      <c r="C18" s="189">
        <f>+Schedules!C11</f>
        <v>155996247.81999999</v>
      </c>
      <c r="D18" s="182"/>
      <c r="F18" s="244"/>
    </row>
    <row r="19" spans="1:6" ht="16.5" x14ac:dyDescent="0.25">
      <c r="A19" s="181" t="s">
        <v>561</v>
      </c>
      <c r="B19" s="189">
        <f>+Schedules!B17</f>
        <v>22340227</v>
      </c>
      <c r="C19" s="189">
        <f>+Schedules!C17</f>
        <v>16282804</v>
      </c>
      <c r="D19"/>
      <c r="E19"/>
    </row>
    <row r="20" spans="1:6" ht="16.5" x14ac:dyDescent="0.25">
      <c r="A20" s="181" t="s">
        <v>131</v>
      </c>
      <c r="B20" s="189">
        <f>+Schedules!B24</f>
        <v>2258997.23</v>
      </c>
      <c r="C20" s="189">
        <f>+Schedules!C24</f>
        <v>1941819.24</v>
      </c>
      <c r="D20"/>
      <c r="E20"/>
    </row>
    <row r="21" spans="1:6" ht="15" x14ac:dyDescent="0.25">
      <c r="A21" s="184"/>
      <c r="B21" s="495">
        <f>SUM(B18:B20)</f>
        <v>328194579.37</v>
      </c>
      <c r="C21" s="495">
        <f>SUM(C18:C20)</f>
        <v>174220871.06</v>
      </c>
      <c r="D21"/>
      <c r="E21"/>
      <c r="F21" s="244"/>
    </row>
    <row r="22" spans="1:6" ht="16.5" x14ac:dyDescent="0.25">
      <c r="A22" s="181"/>
      <c r="B22" s="189"/>
      <c r="C22" s="189"/>
      <c r="D22"/>
      <c r="E22"/>
      <c r="F22"/>
    </row>
    <row r="23" spans="1:6" ht="16.5" x14ac:dyDescent="0.25">
      <c r="A23" s="178" t="s">
        <v>708</v>
      </c>
      <c r="B23" s="659"/>
      <c r="C23" s="556"/>
      <c r="D23" s="246"/>
      <c r="E23" s="246"/>
      <c r="F23"/>
    </row>
    <row r="24" spans="1:6" ht="16.5" x14ac:dyDescent="0.25">
      <c r="A24" s="179"/>
      <c r="B24" s="658" t="str">
        <f>B17</f>
        <v>March 31, 2025</v>
      </c>
      <c r="C24" s="522" t="str">
        <f>C17</f>
        <v>March 31, 2024</v>
      </c>
      <c r="D24" s="246"/>
      <c r="E24" s="246"/>
      <c r="F24"/>
    </row>
    <row r="25" spans="1:6" ht="16.5" x14ac:dyDescent="0.25">
      <c r="A25" s="181" t="s">
        <v>132</v>
      </c>
      <c r="B25" s="189">
        <f>Schedules!B28</f>
        <v>2498068.44</v>
      </c>
      <c r="C25" s="189">
        <f>Schedules!C28</f>
        <v>2975349</v>
      </c>
      <c r="D25" s="182" t="s">
        <v>1076</v>
      </c>
      <c r="E25"/>
      <c r="F25"/>
    </row>
    <row r="26" spans="1:6" ht="16.5" x14ac:dyDescent="0.25">
      <c r="A26" s="181" t="s">
        <v>568</v>
      </c>
      <c r="B26" s="189">
        <f>Schedules!B30</f>
        <v>4090054.71</v>
      </c>
      <c r="C26" s="189">
        <f>Schedules!C30</f>
        <v>1848933.14</v>
      </c>
      <c r="D26" s="182" t="e">
        <f>C26-#REF!</f>
        <v>#REF!</v>
      </c>
      <c r="E26"/>
      <c r="F26"/>
    </row>
    <row r="27" spans="1:6" ht="16.5" x14ac:dyDescent="0.25">
      <c r="A27" s="181" t="s">
        <v>189</v>
      </c>
      <c r="B27" s="189">
        <f>Schedules!B37</f>
        <v>4967445.45</v>
      </c>
      <c r="C27" s="189">
        <f>Schedules!C37</f>
        <v>4191882</v>
      </c>
      <c r="D27" s="182" t="e">
        <f>C27-#REF!</f>
        <v>#REF!</v>
      </c>
      <c r="E27"/>
      <c r="F27"/>
    </row>
    <row r="28" spans="1:6" ht="16.5" x14ac:dyDescent="0.25">
      <c r="A28" s="181" t="s">
        <v>133</v>
      </c>
      <c r="B28" s="189">
        <f>Schedules!B45</f>
        <v>2728870.8</v>
      </c>
      <c r="C28" s="189">
        <f>Schedules!C45</f>
        <v>1175983.8599999999</v>
      </c>
      <c r="D28" s="182" t="e">
        <f>C28-#REF!</f>
        <v>#REF!</v>
      </c>
      <c r="E28"/>
      <c r="F28"/>
    </row>
    <row r="29" spans="1:6" ht="16.5" x14ac:dyDescent="0.25">
      <c r="A29" s="181" t="s">
        <v>581</v>
      </c>
      <c r="B29" s="189"/>
      <c r="C29" s="189"/>
      <c r="D29" s="182" t="e">
        <f>C29-#REF!</f>
        <v>#REF!</v>
      </c>
      <c r="E29" s="246"/>
      <c r="F29" s="246"/>
    </row>
    <row r="30" spans="1:6" ht="16.5" x14ac:dyDescent="0.25">
      <c r="A30" s="420" t="s">
        <v>582</v>
      </c>
      <c r="B30" s="189"/>
      <c r="C30" s="189"/>
      <c r="D30" s="182" t="e">
        <f>C30-#REF!</f>
        <v>#REF!</v>
      </c>
      <c r="E30"/>
      <c r="F30"/>
    </row>
    <row r="31" spans="1:6" ht="16.5" x14ac:dyDescent="0.25">
      <c r="A31" s="420" t="s">
        <v>583</v>
      </c>
      <c r="B31" s="189">
        <f>Schedules!B57</f>
        <v>840683.53</v>
      </c>
      <c r="C31" s="189">
        <f>Schedules!C57</f>
        <v>507587.33</v>
      </c>
      <c r="D31" s="182" t="e">
        <f>C31-#REF!</f>
        <v>#REF!</v>
      </c>
      <c r="E31"/>
      <c r="F31"/>
    </row>
    <row r="32" spans="1:6" ht="16.5" x14ac:dyDescent="0.25">
      <c r="A32" s="181" t="s">
        <v>188</v>
      </c>
      <c r="B32" s="189">
        <f>Schedules!B62</f>
        <v>35302.730000000003</v>
      </c>
      <c r="C32" s="189">
        <f>Schedules!C62</f>
        <v>40732.76</v>
      </c>
      <c r="D32" s="182" t="e">
        <f>C32-#REF!</f>
        <v>#REF!</v>
      </c>
      <c r="E32"/>
      <c r="F32"/>
    </row>
    <row r="33" spans="1:6" ht="16.5" x14ac:dyDescent="0.25">
      <c r="A33" s="181" t="s">
        <v>585</v>
      </c>
      <c r="B33" s="189">
        <f>+Schedules!C64</f>
        <v>0</v>
      </c>
      <c r="C33" s="189">
        <f>+Schedules!D64</f>
        <v>0</v>
      </c>
      <c r="D33" s="182" t="e">
        <f>C33-#REF!</f>
        <v>#REF!</v>
      </c>
      <c r="E33"/>
      <c r="F33"/>
    </row>
    <row r="34" spans="1:6" ht="16.5" x14ac:dyDescent="0.25">
      <c r="A34" s="181" t="s">
        <v>187</v>
      </c>
      <c r="B34" s="189">
        <f>Schedules!B69</f>
        <v>17418.509999999998</v>
      </c>
      <c r="C34" s="189">
        <f>Schedules!C69</f>
        <v>16222.11</v>
      </c>
      <c r="D34" s="182" t="e">
        <f>C34-#REF!</f>
        <v>#REF!</v>
      </c>
      <c r="E34"/>
      <c r="F34"/>
    </row>
    <row r="35" spans="1:6" ht="16.5" x14ac:dyDescent="0.25">
      <c r="A35" s="181" t="s">
        <v>574</v>
      </c>
      <c r="B35" s="189">
        <f>Schedules!B71</f>
        <v>39716</v>
      </c>
      <c r="C35" s="189">
        <f>Schedules!C71</f>
        <v>8779</v>
      </c>
      <c r="D35" s="182" t="e">
        <f>C35-#REF!</f>
        <v>#REF!</v>
      </c>
      <c r="E35"/>
      <c r="F35"/>
    </row>
    <row r="36" spans="1:6" ht="16.5" x14ac:dyDescent="0.25">
      <c r="A36" s="181" t="s">
        <v>586</v>
      </c>
      <c r="B36" s="189">
        <f>Schedules!B73</f>
        <v>261946.61</v>
      </c>
      <c r="C36" s="189">
        <f>Schedules!C73</f>
        <v>84955.1</v>
      </c>
      <c r="D36" s="182" t="e">
        <f>C36-#REF!</f>
        <v>#REF!</v>
      </c>
      <c r="E36"/>
      <c r="F36"/>
    </row>
    <row r="37" spans="1:6" ht="16.5" x14ac:dyDescent="0.25">
      <c r="A37" s="181" t="s">
        <v>423</v>
      </c>
      <c r="B37" s="189">
        <f>Schedules!B96</f>
        <v>29839.5</v>
      </c>
      <c r="C37" s="189">
        <f>Schedules!C96</f>
        <v>81468.19</v>
      </c>
      <c r="D37" s="182" t="e">
        <f>C37-#REF!</f>
        <v>#REF!</v>
      </c>
      <c r="E37"/>
      <c r="F37"/>
    </row>
    <row r="38" spans="1:6" ht="16.5" x14ac:dyDescent="0.25">
      <c r="A38" s="181" t="s">
        <v>186</v>
      </c>
      <c r="B38" s="189">
        <f>Schedules!B79</f>
        <v>5600</v>
      </c>
      <c r="C38" s="189">
        <f>Schedules!C79</f>
        <v>6500</v>
      </c>
      <c r="D38" s="182" t="e">
        <f>C38-#REF!</f>
        <v>#REF!</v>
      </c>
      <c r="E38"/>
      <c r="F38"/>
    </row>
    <row r="39" spans="1:6" ht="16.5" x14ac:dyDescent="0.25">
      <c r="A39" s="181" t="s">
        <v>135</v>
      </c>
      <c r="B39" s="189">
        <f>Schedules!B81</f>
        <v>120000</v>
      </c>
      <c r="C39" s="189">
        <f>+Schedules!C81+Schedules!C43</f>
        <v>120000</v>
      </c>
      <c r="D39" s="182" t="e">
        <f>C39-#REF!</f>
        <v>#REF!</v>
      </c>
      <c r="E39" s="183"/>
      <c r="F39" s="183"/>
    </row>
    <row r="40" spans="1:6" ht="16.5" x14ac:dyDescent="0.25">
      <c r="A40" s="199" t="s">
        <v>136</v>
      </c>
      <c r="B40" s="189">
        <f>+Schedules!B92</f>
        <v>1422235</v>
      </c>
      <c r="C40" s="189">
        <f>+Schedules!C92</f>
        <v>2126357.5099999998</v>
      </c>
      <c r="D40" s="182" t="e">
        <f>C40-#REF!</f>
        <v>#REF!</v>
      </c>
      <c r="E40" s="183"/>
      <c r="F40" s="183"/>
    </row>
    <row r="41" spans="1:6" ht="16.5" x14ac:dyDescent="0.25">
      <c r="A41" s="179"/>
      <c r="B41" s="495">
        <f>SUM(B25:B40)</f>
        <v>17057181.280000001</v>
      </c>
      <c r="C41" s="495">
        <f>SUM(C25:C40)</f>
        <v>13184749.999999998</v>
      </c>
    </row>
    <row r="42" spans="1:6" s="181" customFormat="1" ht="16.5" x14ac:dyDescent="0.25">
      <c r="A42" s="187" t="s">
        <v>137</v>
      </c>
      <c r="B42" s="496"/>
      <c r="C42" s="496"/>
      <c r="D42" s="176"/>
      <c r="E42" s="176"/>
    </row>
    <row r="43" spans="1:6" s="181" customFormat="1" ht="16.5" x14ac:dyDescent="0.25">
      <c r="A43" s="187"/>
      <c r="B43" s="496"/>
      <c r="C43" s="496"/>
      <c r="D43" s="176"/>
      <c r="E43" s="176"/>
    </row>
    <row r="44" spans="1:6" ht="16.5" x14ac:dyDescent="0.25">
      <c r="A44" s="178" t="s">
        <v>709</v>
      </c>
      <c r="B44" s="496"/>
      <c r="C44" s="189"/>
      <c r="E44" s="183"/>
    </row>
    <row r="45" spans="1:6" ht="15" x14ac:dyDescent="0.25">
      <c r="A45" s="184"/>
      <c r="B45" s="658" t="str">
        <f>B24</f>
        <v>March 31, 2025</v>
      </c>
      <c r="C45" s="522" t="str">
        <f>C24</f>
        <v>March 31, 2024</v>
      </c>
    </row>
    <row r="46" spans="1:6" ht="16.5" x14ac:dyDescent="0.25">
      <c r="A46" s="181" t="s">
        <v>191</v>
      </c>
      <c r="B46" s="189">
        <f>Schedules!B94</f>
        <v>2428249.73</v>
      </c>
      <c r="C46" s="189">
        <f>'Dep Final 23-24'!S73</f>
        <v>514971.85</v>
      </c>
      <c r="E46" s="183"/>
    </row>
    <row r="47" spans="1:6" ht="16.5" x14ac:dyDescent="0.25">
      <c r="A47" s="179"/>
      <c r="B47" s="495">
        <f>SUM(B46)</f>
        <v>2428249.73</v>
      </c>
      <c r="C47" s="495">
        <f>SUM(C46)</f>
        <v>514971.85</v>
      </c>
    </row>
    <row r="48" spans="1:6" ht="16.5" x14ac:dyDescent="0.25">
      <c r="A48" s="181"/>
      <c r="B48" s="496"/>
      <c r="C48" s="189"/>
    </row>
    <row r="49" spans="1:4" ht="16.5" hidden="1" x14ac:dyDescent="0.25">
      <c r="A49" s="178" t="s">
        <v>138</v>
      </c>
      <c r="B49" s="496"/>
      <c r="C49" s="189"/>
    </row>
    <row r="50" spans="1:4" ht="15" hidden="1" x14ac:dyDescent="0.25">
      <c r="A50" s="184"/>
      <c r="B50" s="658">
        <v>42460</v>
      </c>
      <c r="C50" s="557">
        <v>42094</v>
      </c>
    </row>
    <row r="51" spans="1:4" ht="16.5" hidden="1" x14ac:dyDescent="0.25">
      <c r="A51" s="181" t="s">
        <v>139</v>
      </c>
      <c r="B51" s="189">
        <v>0</v>
      </c>
      <c r="C51" s="189">
        <v>0</v>
      </c>
    </row>
    <row r="52" spans="1:4" ht="16.5" hidden="1" x14ac:dyDescent="0.25">
      <c r="A52" s="181" t="s">
        <v>140</v>
      </c>
      <c r="B52" s="189">
        <v>0</v>
      </c>
      <c r="C52" s="189">
        <v>0</v>
      </c>
    </row>
    <row r="53" spans="1:4" s="191" customFormat="1" ht="16.5" hidden="1" x14ac:dyDescent="0.3">
      <c r="A53" s="181" t="s">
        <v>134</v>
      </c>
      <c r="B53" s="190">
        <v>0</v>
      </c>
      <c r="C53" s="190">
        <v>0</v>
      </c>
      <c r="D53" s="176"/>
    </row>
    <row r="54" spans="1:4" s="191" customFormat="1" ht="16.5" hidden="1" x14ac:dyDescent="0.25">
      <c r="A54" s="179"/>
      <c r="B54" s="495">
        <f>ROUND(SUM(B51:B53),0)</f>
        <v>0</v>
      </c>
      <c r="C54" s="495">
        <v>0</v>
      </c>
      <c r="D54" s="176"/>
    </row>
    <row r="55" spans="1:4" s="191" customFormat="1" ht="16.5" hidden="1" x14ac:dyDescent="0.25">
      <c r="A55" s="181"/>
      <c r="B55" s="496"/>
      <c r="C55" s="496"/>
      <c r="D55" s="176"/>
    </row>
    <row r="56" spans="1:4" ht="16.5" x14ac:dyDescent="0.25">
      <c r="A56" s="192"/>
      <c r="B56" s="660"/>
      <c r="C56" s="558"/>
    </row>
    <row r="57" spans="1:4" ht="15" x14ac:dyDescent="0.25">
      <c r="A57" s="193" t="s">
        <v>710</v>
      </c>
      <c r="B57" s="496"/>
      <c r="C57" s="496"/>
    </row>
    <row r="58" spans="1:4" ht="15" x14ac:dyDescent="0.25">
      <c r="A58" s="194"/>
      <c r="B58" s="658" t="str">
        <f>B45</f>
        <v>March 31, 2025</v>
      </c>
      <c r="C58" s="522" t="str">
        <f>C45</f>
        <v>March 31, 2024</v>
      </c>
    </row>
    <row r="59" spans="1:4" ht="16.5" x14ac:dyDescent="0.3">
      <c r="A59" s="195" t="s">
        <v>141</v>
      </c>
      <c r="B59" s="189">
        <f>+B39</f>
        <v>120000</v>
      </c>
      <c r="C59" s="189">
        <f>+C39</f>
        <v>120000</v>
      </c>
    </row>
    <row r="60" spans="1:4" ht="16.5" x14ac:dyDescent="0.3">
      <c r="A60" s="195" t="s">
        <v>628</v>
      </c>
      <c r="B60" s="627">
        <v>100000</v>
      </c>
      <c r="C60" s="627">
        <v>100000</v>
      </c>
    </row>
    <row r="61" spans="1:4" ht="16.5" x14ac:dyDescent="0.25">
      <c r="A61" s="196"/>
      <c r="B61" s="495">
        <f>SUM(B59:B60)</f>
        <v>220000</v>
      </c>
      <c r="C61" s="495">
        <f>SUM(C59:C60)</f>
        <v>220000</v>
      </c>
    </row>
    <row r="62" spans="1:4" s="197" customFormat="1" ht="12.75" x14ac:dyDescent="0.2">
      <c r="B62" s="661"/>
      <c r="C62" s="559"/>
    </row>
    <row r="63" spans="1:4" s="197" customFormat="1" ht="12.75" x14ac:dyDescent="0.2">
      <c r="B63" s="661"/>
      <c r="C63" s="559"/>
    </row>
    <row r="64" spans="1:4" s="197" customFormat="1" ht="12.75" x14ac:dyDescent="0.2">
      <c r="B64" s="661"/>
      <c r="C64" s="559"/>
    </row>
    <row r="65" spans="2:3" s="197" customFormat="1" ht="12.75" x14ac:dyDescent="0.2">
      <c r="B65" s="661"/>
      <c r="C65" s="559"/>
    </row>
    <row r="66" spans="2:3" s="197" customFormat="1" ht="12.75" x14ac:dyDescent="0.2">
      <c r="B66" s="661"/>
      <c r="C66" s="559"/>
    </row>
    <row r="67" spans="2:3" s="197" customFormat="1" ht="12.75" x14ac:dyDescent="0.2">
      <c r="B67" s="661"/>
      <c r="C67" s="559"/>
    </row>
    <row r="68" spans="2:3" s="197" customFormat="1" ht="12.75" x14ac:dyDescent="0.2">
      <c r="B68" s="661"/>
      <c r="C68" s="559"/>
    </row>
    <row r="69" spans="2:3" s="197" customFormat="1" ht="12.75" x14ac:dyDescent="0.2">
      <c r="B69" s="661"/>
      <c r="C69" s="559"/>
    </row>
    <row r="70" spans="2:3" s="197" customFormat="1" ht="12.75" x14ac:dyDescent="0.2">
      <c r="B70" s="661"/>
      <c r="C70" s="559"/>
    </row>
    <row r="71" spans="2:3" s="197" customFormat="1" ht="12.75" x14ac:dyDescent="0.2"/>
    <row r="72" spans="2:3" s="197" customFormat="1" ht="12.75" x14ac:dyDescent="0.2"/>
    <row r="73" spans="2:3" s="197" customFormat="1" ht="12.75" x14ac:dyDescent="0.2"/>
    <row r="74" spans="2:3" s="197" customFormat="1" ht="12.75" x14ac:dyDescent="0.2"/>
    <row r="75" spans="2:3" s="197" customFormat="1" ht="12.75" x14ac:dyDescent="0.2"/>
    <row r="76" spans="2:3" s="197" customFormat="1" ht="12.75" x14ac:dyDescent="0.2"/>
    <row r="77" spans="2:3" s="197" customFormat="1" ht="12.75" x14ac:dyDescent="0.2"/>
    <row r="78" spans="2:3" s="197" customFormat="1" ht="12.75" x14ac:dyDescent="0.2"/>
    <row r="79" spans="2:3" s="197" customFormat="1" ht="12.75" x14ac:dyDescent="0.2"/>
    <row r="80" spans="2:3" s="197" customFormat="1" ht="12.75" x14ac:dyDescent="0.2"/>
    <row r="81" s="197" customFormat="1" ht="12.75" x14ac:dyDescent="0.2"/>
    <row r="82" s="197" customFormat="1" ht="12.75" x14ac:dyDescent="0.2"/>
    <row r="83" s="197" customFormat="1" ht="12.75" x14ac:dyDescent="0.2"/>
    <row r="84" s="197" customFormat="1" ht="12.75" x14ac:dyDescent="0.2"/>
    <row r="85" s="197" customFormat="1" ht="12.75" x14ac:dyDescent="0.2"/>
    <row r="86" s="197" customFormat="1" ht="12.75" x14ac:dyDescent="0.2"/>
    <row r="87" s="197" customFormat="1" ht="12.75" x14ac:dyDescent="0.2"/>
    <row r="88" s="197" customFormat="1" ht="12.75" x14ac:dyDescent="0.2"/>
    <row r="89" s="197" customFormat="1" ht="12.75" x14ac:dyDescent="0.2"/>
    <row r="90" s="197" customFormat="1" ht="12.75" x14ac:dyDescent="0.2"/>
    <row r="91" s="197" customFormat="1" ht="12.75" x14ac:dyDescent="0.2"/>
    <row r="92" s="197" customFormat="1" ht="12.75" x14ac:dyDescent="0.2"/>
    <row r="93" s="197" customFormat="1" ht="12.75" x14ac:dyDescent="0.2"/>
    <row r="94" s="197" customFormat="1" ht="12.75" x14ac:dyDescent="0.2"/>
    <row r="95" s="197" customFormat="1" ht="12.75" x14ac:dyDescent="0.2"/>
    <row r="96" s="197" customFormat="1" ht="12.75" x14ac:dyDescent="0.2"/>
    <row r="97" s="197" customFormat="1" ht="12.75" x14ac:dyDescent="0.2"/>
    <row r="98" s="197" customFormat="1" ht="12.75" x14ac:dyDescent="0.2"/>
    <row r="99" s="197" customFormat="1" ht="12.75" x14ac:dyDescent="0.2"/>
    <row r="100" s="197" customFormat="1" ht="12.75" x14ac:dyDescent="0.2"/>
    <row r="101" s="197" customFormat="1" ht="12.75" x14ac:dyDescent="0.2"/>
    <row r="102" s="197" customFormat="1" ht="12.75" x14ac:dyDescent="0.2"/>
    <row r="103" s="197" customFormat="1" ht="12.75" x14ac:dyDescent="0.2"/>
    <row r="104" s="197" customFormat="1" ht="12.75" x14ac:dyDescent="0.2"/>
    <row r="105" s="197" customFormat="1" ht="12.75" x14ac:dyDescent="0.2"/>
    <row r="106" s="197" customFormat="1" ht="12.75" x14ac:dyDescent="0.2"/>
    <row r="107" s="197" customFormat="1" ht="12.75" x14ac:dyDescent="0.2"/>
    <row r="108" s="197" customFormat="1" ht="12.75" x14ac:dyDescent="0.2"/>
    <row r="109" s="197" customFormat="1" ht="12.75" x14ac:dyDescent="0.2"/>
    <row r="110" s="197" customFormat="1" ht="12.75" x14ac:dyDescent="0.2"/>
    <row r="111" s="197" customFormat="1" ht="12.75" x14ac:dyDescent="0.2"/>
    <row r="112" s="197" customFormat="1" ht="12.75" x14ac:dyDescent="0.2"/>
    <row r="113" s="197" customFormat="1" ht="12.75" x14ac:dyDescent="0.2"/>
    <row r="114" s="197" customFormat="1" ht="12.75" x14ac:dyDescent="0.2"/>
    <row r="115" s="197" customFormat="1" ht="12.75" x14ac:dyDescent="0.2"/>
    <row r="116" s="197" customFormat="1" ht="12.75" x14ac:dyDescent="0.2"/>
    <row r="117" s="197" customFormat="1" ht="12.75" x14ac:dyDescent="0.2"/>
    <row r="118" s="197" customFormat="1" ht="12.75" x14ac:dyDescent="0.2"/>
    <row r="119" s="197" customFormat="1" ht="12.75" x14ac:dyDescent="0.2"/>
    <row r="120" s="197" customFormat="1" ht="12.75" x14ac:dyDescent="0.2"/>
    <row r="121" s="197" customFormat="1" ht="12.75" x14ac:dyDescent="0.2"/>
    <row r="122" s="197" customFormat="1" ht="12.75" x14ac:dyDescent="0.2"/>
    <row r="123" s="197" customFormat="1" ht="12.75" x14ac:dyDescent="0.2"/>
    <row r="124" s="197" customFormat="1" ht="12.75" x14ac:dyDescent="0.2"/>
    <row r="125" s="197" customFormat="1" ht="12.75" x14ac:dyDescent="0.2"/>
    <row r="126" s="197" customFormat="1" ht="12.75" x14ac:dyDescent="0.2"/>
    <row r="127" s="197" customFormat="1" ht="12.75" x14ac:dyDescent="0.2"/>
    <row r="128" s="197" customFormat="1" ht="12.75" x14ac:dyDescent="0.2"/>
    <row r="129" s="197" customFormat="1" ht="12.75" x14ac:dyDescent="0.2"/>
    <row r="130" s="197" customFormat="1" ht="12.75" x14ac:dyDescent="0.2"/>
    <row r="131" s="197" customFormat="1" ht="12.75" x14ac:dyDescent="0.2"/>
    <row r="132" s="197" customFormat="1" ht="12.75" x14ac:dyDescent="0.2"/>
    <row r="133" s="197" customFormat="1" ht="12.75" x14ac:dyDescent="0.2"/>
    <row r="134" s="197" customFormat="1" ht="12.75" x14ac:dyDescent="0.2"/>
    <row r="135" s="197" customFormat="1" ht="12.75" x14ac:dyDescent="0.2"/>
    <row r="136" s="197" customFormat="1" ht="12.75" x14ac:dyDescent="0.2"/>
    <row r="137" s="197" customFormat="1" ht="12.75" x14ac:dyDescent="0.2"/>
    <row r="138" s="197" customFormat="1" ht="12.75" x14ac:dyDescent="0.2"/>
    <row r="139" s="197" customFormat="1" ht="12.75" x14ac:dyDescent="0.2"/>
    <row r="140" s="197" customFormat="1" ht="12.75" x14ac:dyDescent="0.2"/>
    <row r="141" s="197" customFormat="1" ht="12.75" x14ac:dyDescent="0.2"/>
    <row r="142" s="197" customFormat="1" ht="12.75" x14ac:dyDescent="0.2"/>
    <row r="143" s="197" customFormat="1" ht="12.75" x14ac:dyDescent="0.2"/>
    <row r="144" s="197" customFormat="1" ht="12.75" x14ac:dyDescent="0.2"/>
    <row r="145" s="197" customFormat="1" ht="12.75" x14ac:dyDescent="0.2"/>
    <row r="146" s="197" customFormat="1" ht="12.75" x14ac:dyDescent="0.2"/>
    <row r="147" s="197" customFormat="1" ht="12.75" x14ac:dyDescent="0.2"/>
    <row r="148" s="197" customFormat="1" ht="12.75" x14ac:dyDescent="0.2"/>
    <row r="149" s="197" customFormat="1" ht="12.75" x14ac:dyDescent="0.2"/>
    <row r="150" s="197" customFormat="1" ht="12.75" x14ac:dyDescent="0.2"/>
    <row r="151" s="197" customFormat="1" ht="12.75" x14ac:dyDescent="0.2"/>
    <row r="152" s="197" customFormat="1" ht="12.75" x14ac:dyDescent="0.2"/>
    <row r="153" s="197" customFormat="1" ht="12.75" x14ac:dyDescent="0.2"/>
    <row r="154" s="197" customFormat="1" ht="12.75" x14ac:dyDescent="0.2"/>
    <row r="155" s="197" customFormat="1" ht="12.75" x14ac:dyDescent="0.2"/>
    <row r="156" s="197" customFormat="1" ht="12.75" x14ac:dyDescent="0.2"/>
    <row r="157" s="197" customFormat="1" ht="12.75" x14ac:dyDescent="0.2"/>
    <row r="158" s="197" customFormat="1" ht="12.75" x14ac:dyDescent="0.2"/>
    <row r="159" s="197" customFormat="1" ht="12.75" x14ac:dyDescent="0.2"/>
    <row r="160" s="197" customFormat="1" ht="12.75" x14ac:dyDescent="0.2"/>
    <row r="161" s="197" customFormat="1" ht="12.75" x14ac:dyDescent="0.2"/>
    <row r="162" s="197" customFormat="1" ht="12.75" x14ac:dyDescent="0.2"/>
    <row r="163" s="197" customFormat="1" ht="12.75" x14ac:dyDescent="0.2"/>
    <row r="164" s="197" customFormat="1" ht="12.75" x14ac:dyDescent="0.2"/>
    <row r="165" s="197" customFormat="1" ht="12.75" x14ac:dyDescent="0.2"/>
    <row r="166" s="197" customFormat="1" ht="12.75" x14ac:dyDescent="0.2"/>
    <row r="167" s="197" customFormat="1" ht="12.75" x14ac:dyDescent="0.2"/>
    <row r="168" s="197" customFormat="1" ht="12.75" x14ac:dyDescent="0.2"/>
    <row r="169" s="197" customFormat="1" ht="12.75" x14ac:dyDescent="0.2"/>
    <row r="170" s="197" customFormat="1" ht="12.75" x14ac:dyDescent="0.2"/>
    <row r="171" s="197" customFormat="1" ht="12.75" x14ac:dyDescent="0.2"/>
    <row r="172" s="197" customFormat="1" ht="12.75" x14ac:dyDescent="0.2"/>
    <row r="173" s="197" customFormat="1" ht="12.75" x14ac:dyDescent="0.2"/>
    <row r="174" s="197" customFormat="1" ht="12.75" x14ac:dyDescent="0.2"/>
    <row r="175" s="197" customFormat="1" ht="12.75" x14ac:dyDescent="0.2"/>
    <row r="176" s="197" customFormat="1" ht="12.75" x14ac:dyDescent="0.2"/>
    <row r="177" s="197" customFormat="1" ht="12.75" x14ac:dyDescent="0.2"/>
    <row r="178" s="197" customFormat="1" ht="12.75" x14ac:dyDescent="0.2"/>
    <row r="179" s="197" customFormat="1" ht="12.75" x14ac:dyDescent="0.2"/>
    <row r="180" s="197" customFormat="1" ht="12.75" x14ac:dyDescent="0.2"/>
    <row r="181" s="197" customFormat="1" ht="12.75" x14ac:dyDescent="0.2"/>
    <row r="182" s="197" customFormat="1" ht="12.75" x14ac:dyDescent="0.2"/>
    <row r="183" s="197" customFormat="1" ht="12.75" x14ac:dyDescent="0.2"/>
    <row r="184" s="197" customFormat="1" ht="12.75" x14ac:dyDescent="0.2"/>
    <row r="185" s="197" customFormat="1" ht="12.75" x14ac:dyDescent="0.2"/>
    <row r="186" s="197" customFormat="1" ht="12.75" x14ac:dyDescent="0.2"/>
    <row r="187" s="197" customFormat="1" ht="12.75" x14ac:dyDescent="0.2"/>
    <row r="188" s="197" customFormat="1" ht="12.75" x14ac:dyDescent="0.2"/>
    <row r="189" s="197" customFormat="1" ht="12.75" x14ac:dyDescent="0.2"/>
    <row r="190" s="197" customFormat="1" ht="12.75" x14ac:dyDescent="0.2"/>
    <row r="191" s="197" customFormat="1" ht="12.75" x14ac:dyDescent="0.2"/>
    <row r="192" s="197" customFormat="1" ht="12.75" x14ac:dyDescent="0.2"/>
    <row r="193" s="197" customFormat="1" ht="12.75" x14ac:dyDescent="0.2"/>
    <row r="194" s="197" customFormat="1" ht="12.75" x14ac:dyDescent="0.2"/>
    <row r="195" s="197" customFormat="1" ht="12.75" x14ac:dyDescent="0.2"/>
    <row r="196" s="197" customFormat="1" ht="12.75" x14ac:dyDescent="0.2"/>
    <row r="197" s="197" customFormat="1" ht="12.75" x14ac:dyDescent="0.2"/>
    <row r="198" s="197" customFormat="1" ht="12.75" x14ac:dyDescent="0.2"/>
    <row r="199" s="197" customFormat="1" ht="12.75" x14ac:dyDescent="0.2"/>
    <row r="200" s="197" customFormat="1" ht="12.75" x14ac:dyDescent="0.2"/>
    <row r="201" s="197" customFormat="1" ht="12.75" x14ac:dyDescent="0.2"/>
    <row r="202" s="197" customFormat="1" ht="12.75" x14ac:dyDescent="0.2"/>
    <row r="203" s="197" customFormat="1" ht="12.75" x14ac:dyDescent="0.2"/>
    <row r="204" s="197" customFormat="1" ht="12.75" x14ac:dyDescent="0.2"/>
    <row r="205" s="197" customFormat="1" ht="12.75" x14ac:dyDescent="0.2"/>
    <row r="206" s="197" customFormat="1" ht="12.75" x14ac:dyDescent="0.2"/>
    <row r="207" s="197" customFormat="1" ht="12.75" x14ac:dyDescent="0.2"/>
    <row r="208" s="197" customFormat="1" ht="12.75" x14ac:dyDescent="0.2"/>
    <row r="209" s="197" customFormat="1" ht="12.75" x14ac:dyDescent="0.2"/>
    <row r="210" s="197" customFormat="1" ht="12.75" x14ac:dyDescent="0.2"/>
    <row r="211" s="197" customFormat="1" ht="12.75" x14ac:dyDescent="0.2"/>
    <row r="212" s="197" customFormat="1" ht="12.75" x14ac:dyDescent="0.2"/>
    <row r="213" s="197" customFormat="1" ht="12.75" x14ac:dyDescent="0.2"/>
    <row r="214" s="197" customFormat="1" ht="12.75" x14ac:dyDescent="0.2"/>
    <row r="215" s="197" customFormat="1" ht="12.75" x14ac:dyDescent="0.2"/>
    <row r="216" s="197" customFormat="1" ht="12.75" x14ac:dyDescent="0.2"/>
    <row r="217" s="197" customFormat="1" ht="12.75" x14ac:dyDescent="0.2"/>
    <row r="218" s="197" customFormat="1" ht="12.75" x14ac:dyDescent="0.2"/>
    <row r="219" s="197" customFormat="1" ht="12.75" x14ac:dyDescent="0.2"/>
    <row r="220" s="197" customFormat="1" ht="12.75" x14ac:dyDescent="0.2"/>
    <row r="221" s="197" customFormat="1" ht="12.75" x14ac:dyDescent="0.2"/>
    <row r="222" s="197" customFormat="1" ht="12.75" x14ac:dyDescent="0.2"/>
    <row r="223" s="197" customFormat="1" ht="12.75" x14ac:dyDescent="0.2"/>
    <row r="224" s="197" customFormat="1" ht="12.75" x14ac:dyDescent="0.2"/>
    <row r="225" s="197" customFormat="1" ht="12.75" x14ac:dyDescent="0.2"/>
    <row r="226" s="197" customFormat="1" ht="12.75" x14ac:dyDescent="0.2"/>
    <row r="227" s="197" customFormat="1" ht="12.75" x14ac:dyDescent="0.2"/>
    <row r="228" s="197" customFormat="1" ht="12.75" x14ac:dyDescent="0.2"/>
    <row r="229" s="197" customFormat="1" ht="12.75" x14ac:dyDescent="0.2"/>
    <row r="230" s="197" customFormat="1" ht="12.75" x14ac:dyDescent="0.2"/>
    <row r="231" s="197" customFormat="1" ht="12.75" x14ac:dyDescent="0.2"/>
    <row r="232" s="197" customFormat="1" ht="12.75" x14ac:dyDescent="0.2"/>
    <row r="233" s="197" customFormat="1" ht="12.75" x14ac:dyDescent="0.2"/>
    <row r="234" s="197" customFormat="1" ht="12.75" x14ac:dyDescent="0.2"/>
    <row r="235" s="197" customFormat="1" ht="12.75" x14ac:dyDescent="0.2"/>
    <row r="236" s="197" customFormat="1" ht="12.75" x14ac:dyDescent="0.2"/>
    <row r="237" s="197" customFormat="1" ht="12.75" x14ac:dyDescent="0.2"/>
    <row r="238" s="197" customFormat="1" ht="12.75" x14ac:dyDescent="0.2"/>
    <row r="239" s="197" customFormat="1" ht="12.75" x14ac:dyDescent="0.2"/>
    <row r="240" s="197" customFormat="1" ht="12.75" x14ac:dyDescent="0.2"/>
    <row r="241" s="197" customFormat="1" ht="12.75" x14ac:dyDescent="0.2"/>
    <row r="242" s="197" customFormat="1" ht="12.75" x14ac:dyDescent="0.2"/>
    <row r="243" s="197" customFormat="1" ht="12.75" x14ac:dyDescent="0.2"/>
    <row r="244" s="197" customFormat="1" ht="12.75" x14ac:dyDescent="0.2"/>
    <row r="245" s="197" customFormat="1" ht="12.75" x14ac:dyDescent="0.2"/>
    <row r="246" s="197" customFormat="1" ht="12.75" x14ac:dyDescent="0.2"/>
    <row r="247" s="197" customFormat="1" ht="12.75" x14ac:dyDescent="0.2"/>
    <row r="248" s="197" customFormat="1" ht="12.75" x14ac:dyDescent="0.2"/>
    <row r="249" s="197" customFormat="1" ht="12.75" x14ac:dyDescent="0.2"/>
    <row r="250" s="197" customFormat="1" ht="12.75" x14ac:dyDescent="0.2"/>
    <row r="251" s="197" customFormat="1" ht="12.75" x14ac:dyDescent="0.2"/>
    <row r="252" s="197" customFormat="1" ht="12.75" x14ac:dyDescent="0.2"/>
    <row r="253" s="197" customFormat="1" ht="12.75" x14ac:dyDescent="0.2"/>
    <row r="254" s="197" customFormat="1" ht="12.75" x14ac:dyDescent="0.2"/>
    <row r="255" s="197" customFormat="1" ht="12.75" x14ac:dyDescent="0.2"/>
    <row r="256" s="197" customFormat="1" ht="12.75" x14ac:dyDescent="0.2"/>
    <row r="257" s="197" customFormat="1" ht="12.75" x14ac:dyDescent="0.2"/>
    <row r="258" s="197" customFormat="1" ht="12.75" x14ac:dyDescent="0.2"/>
    <row r="259" s="197" customFormat="1" ht="12.75" x14ac:dyDescent="0.2"/>
    <row r="260" s="197" customFormat="1" ht="12.75" x14ac:dyDescent="0.2"/>
    <row r="261" s="197" customFormat="1" ht="12.75" x14ac:dyDescent="0.2"/>
    <row r="262" s="197" customFormat="1" ht="12.75" x14ac:dyDescent="0.2"/>
    <row r="263" s="197" customFormat="1" ht="12.75" x14ac:dyDescent="0.2"/>
    <row r="264" s="197" customFormat="1" ht="12.75" x14ac:dyDescent="0.2"/>
    <row r="265" s="197" customFormat="1" ht="12.75" x14ac:dyDescent="0.2"/>
    <row r="266" s="197" customFormat="1" ht="12.75" x14ac:dyDescent="0.2"/>
    <row r="267" s="197" customFormat="1" ht="12.75" x14ac:dyDescent="0.2"/>
    <row r="268" s="197" customFormat="1" ht="12.75" x14ac:dyDescent="0.2"/>
    <row r="269" s="197" customFormat="1" ht="12.75" x14ac:dyDescent="0.2"/>
    <row r="270" s="197" customFormat="1" ht="12.75" x14ac:dyDescent="0.2"/>
    <row r="271" s="197" customFormat="1" ht="12.75" x14ac:dyDescent="0.2"/>
    <row r="272" s="197" customFormat="1" ht="12.75" x14ac:dyDescent="0.2"/>
    <row r="273" s="197" customFormat="1" ht="12.75" x14ac:dyDescent="0.2"/>
    <row r="274" s="197" customFormat="1" ht="12.75" x14ac:dyDescent="0.2"/>
    <row r="275" s="197" customFormat="1" ht="12.75" x14ac:dyDescent="0.2"/>
    <row r="276" s="197" customFormat="1" ht="12.75" x14ac:dyDescent="0.2"/>
    <row r="277" s="197" customFormat="1" ht="12.75" x14ac:dyDescent="0.2"/>
    <row r="278" s="197" customFormat="1" ht="12.75" x14ac:dyDescent="0.2"/>
    <row r="279" s="197" customFormat="1" ht="12.75" x14ac:dyDescent="0.2"/>
    <row r="280" s="197" customFormat="1" ht="12.75" x14ac:dyDescent="0.2"/>
    <row r="281" s="197" customFormat="1" ht="12.75" x14ac:dyDescent="0.2"/>
    <row r="282" s="197" customFormat="1" ht="12.75" x14ac:dyDescent="0.2"/>
    <row r="283" s="197" customFormat="1" ht="12.75" x14ac:dyDescent="0.2"/>
    <row r="284" s="197" customFormat="1" ht="12.75" x14ac:dyDescent="0.2"/>
    <row r="285" s="197" customFormat="1" ht="12.75" x14ac:dyDescent="0.2"/>
    <row r="286" s="197" customFormat="1" ht="12.75" x14ac:dyDescent="0.2"/>
    <row r="287" s="197" customFormat="1" ht="12.75" x14ac:dyDescent="0.2"/>
    <row r="288" s="197" customFormat="1" ht="12.75" x14ac:dyDescent="0.2"/>
    <row r="289" s="197" customFormat="1" ht="12.75" x14ac:dyDescent="0.2"/>
    <row r="290" s="197" customFormat="1" ht="12.75" x14ac:dyDescent="0.2"/>
    <row r="291" s="197" customFormat="1" ht="12.75" x14ac:dyDescent="0.2"/>
    <row r="292" s="197" customFormat="1" ht="12.75" x14ac:dyDescent="0.2"/>
    <row r="293" s="197" customFormat="1" ht="12.75" x14ac:dyDescent="0.2"/>
    <row r="294" s="197" customFormat="1" ht="12.75" x14ac:dyDescent="0.2"/>
    <row r="295" s="197" customFormat="1" ht="12.75" x14ac:dyDescent="0.2"/>
    <row r="296" s="197" customFormat="1" ht="12.75" x14ac:dyDescent="0.2"/>
    <row r="297" s="197" customFormat="1" ht="12.75" x14ac:dyDescent="0.2"/>
    <row r="298" s="197" customFormat="1" ht="12.75" x14ac:dyDescent="0.2"/>
    <row r="299" s="197" customFormat="1" ht="12.75" x14ac:dyDescent="0.2"/>
    <row r="300" s="197" customFormat="1" ht="12.75" x14ac:dyDescent="0.2"/>
    <row r="301" s="197" customFormat="1" ht="12.75" x14ac:dyDescent="0.2"/>
    <row r="302" s="197" customFormat="1" ht="12.75" x14ac:dyDescent="0.2"/>
    <row r="303" s="197" customFormat="1" ht="12.75" x14ac:dyDescent="0.2"/>
    <row r="304" s="197" customFormat="1" ht="12.75" x14ac:dyDescent="0.2"/>
    <row r="305" s="197" customFormat="1" ht="12.75" x14ac:dyDescent="0.2"/>
    <row r="306" s="197" customFormat="1" ht="12.75" x14ac:dyDescent="0.2"/>
    <row r="307" s="197" customFormat="1" ht="12.75" x14ac:dyDescent="0.2"/>
    <row r="308" s="197" customFormat="1" ht="12.75" x14ac:dyDescent="0.2"/>
    <row r="309" s="197" customFormat="1" ht="12.75" x14ac:dyDescent="0.2"/>
    <row r="310" s="197" customFormat="1" ht="12.75" x14ac:dyDescent="0.2"/>
    <row r="311" s="197" customFormat="1" ht="12.75" x14ac:dyDescent="0.2"/>
    <row r="312" s="197" customFormat="1" ht="12.75" x14ac:dyDescent="0.2"/>
    <row r="313" s="197" customFormat="1" ht="12.75" x14ac:dyDescent="0.2"/>
    <row r="314" s="197" customFormat="1" ht="12.75" x14ac:dyDescent="0.2"/>
    <row r="315" s="197" customFormat="1" ht="12.75" x14ac:dyDescent="0.2"/>
    <row r="316" s="197" customFormat="1" ht="12.75" x14ac:dyDescent="0.2"/>
    <row r="317" s="197" customFormat="1" ht="12.75" x14ac:dyDescent="0.2"/>
    <row r="318" s="197" customFormat="1" ht="12.75" x14ac:dyDescent="0.2"/>
    <row r="319" s="197" customFormat="1" ht="12.75" x14ac:dyDescent="0.2"/>
    <row r="320" s="197" customFormat="1" ht="12.75" x14ac:dyDescent="0.2"/>
    <row r="321" s="197" customFormat="1" ht="12.75" x14ac:dyDescent="0.2"/>
    <row r="322" s="197" customFormat="1" ht="12.75" x14ac:dyDescent="0.2"/>
    <row r="323" s="197" customFormat="1" ht="12.75" x14ac:dyDescent="0.2"/>
    <row r="324" s="197" customFormat="1" ht="12.75" x14ac:dyDescent="0.2"/>
    <row r="325" s="197" customFormat="1" ht="12.75" x14ac:dyDescent="0.2"/>
    <row r="326" s="197" customFormat="1" ht="12.75" x14ac:dyDescent="0.2"/>
    <row r="327" s="197" customFormat="1" ht="12.75" x14ac:dyDescent="0.2"/>
    <row r="328" s="197" customFormat="1" ht="12.75" x14ac:dyDescent="0.2"/>
    <row r="329" s="197" customFormat="1" ht="12.75" x14ac:dyDescent="0.2"/>
    <row r="330" s="197" customFormat="1" ht="12.75" x14ac:dyDescent="0.2"/>
    <row r="331" s="197" customFormat="1" ht="12.75" x14ac:dyDescent="0.2"/>
    <row r="332" s="197" customFormat="1" ht="12.75" x14ac:dyDescent="0.2"/>
    <row r="333" s="197" customFormat="1" ht="12.75" x14ac:dyDescent="0.2"/>
    <row r="334" s="197" customFormat="1" ht="12.75" x14ac:dyDescent="0.2"/>
    <row r="335" s="197" customFormat="1" ht="12.75" x14ac:dyDescent="0.2"/>
    <row r="336" s="197" customFormat="1" ht="12.75" x14ac:dyDescent="0.2"/>
    <row r="337" s="197" customFormat="1" ht="12.75" x14ac:dyDescent="0.2"/>
    <row r="338" s="197" customFormat="1" ht="12.75" x14ac:dyDescent="0.2"/>
    <row r="339" s="197" customFormat="1" ht="12.75" x14ac:dyDescent="0.2"/>
    <row r="340" s="197" customFormat="1" ht="12.75" x14ac:dyDescent="0.2"/>
    <row r="341" s="197" customFormat="1" ht="12.75" x14ac:dyDescent="0.2"/>
    <row r="342" s="197" customFormat="1" ht="12.75" x14ac:dyDescent="0.2"/>
    <row r="343" s="197" customFormat="1" ht="12.75" x14ac:dyDescent="0.2"/>
    <row r="344" s="197" customFormat="1" ht="12.75" x14ac:dyDescent="0.2"/>
    <row r="345" s="197" customFormat="1" ht="12.75" x14ac:dyDescent="0.2"/>
    <row r="346" s="197" customFormat="1" ht="12.75" x14ac:dyDescent="0.2"/>
    <row r="347" s="197" customFormat="1" ht="12.75" x14ac:dyDescent="0.2"/>
    <row r="348" s="197" customFormat="1" ht="12.75" x14ac:dyDescent="0.2"/>
    <row r="349" s="197" customFormat="1" ht="12.75" x14ac:dyDescent="0.2"/>
    <row r="350" s="197" customFormat="1" ht="12.75" x14ac:dyDescent="0.2"/>
    <row r="351" s="197" customFormat="1" ht="12.75" x14ac:dyDescent="0.2"/>
    <row r="352" s="197" customFormat="1" ht="12.75" x14ac:dyDescent="0.2"/>
    <row r="353" s="197" customFormat="1" ht="12.75" x14ac:dyDescent="0.2"/>
    <row r="354" s="197" customFormat="1" ht="12.75" x14ac:dyDescent="0.2"/>
    <row r="355" s="197" customFormat="1" ht="12.75" x14ac:dyDescent="0.2"/>
    <row r="356" s="197" customFormat="1" ht="12.75" x14ac:dyDescent="0.2"/>
    <row r="357" s="197" customFormat="1" ht="12.75" x14ac:dyDescent="0.2"/>
    <row r="358" s="197" customFormat="1" ht="12.75" x14ac:dyDescent="0.2"/>
    <row r="359" s="197" customFormat="1" ht="12.75" x14ac:dyDescent="0.2"/>
    <row r="360" s="197" customFormat="1" ht="12.75" x14ac:dyDescent="0.2"/>
    <row r="361" s="197" customFormat="1" ht="12.75" x14ac:dyDescent="0.2"/>
    <row r="362" s="197" customFormat="1" ht="12.75" x14ac:dyDescent="0.2"/>
    <row r="363" s="197" customFormat="1" ht="12.75" x14ac:dyDescent="0.2"/>
    <row r="364" s="197" customFormat="1" ht="12.75" x14ac:dyDescent="0.2"/>
    <row r="365" s="197" customFormat="1" ht="12.75" x14ac:dyDescent="0.2"/>
    <row r="366" s="197" customFormat="1" ht="12.75" x14ac:dyDescent="0.2"/>
    <row r="367" s="197" customFormat="1" ht="12.75" x14ac:dyDescent="0.2"/>
    <row r="368" s="197" customFormat="1" ht="12.75" x14ac:dyDescent="0.2"/>
    <row r="369" s="197" customFormat="1" ht="12.75" x14ac:dyDescent="0.2"/>
    <row r="370" s="197" customFormat="1" ht="12.75" x14ac:dyDescent="0.2"/>
    <row r="371" s="197" customFormat="1" ht="12.75" x14ac:dyDescent="0.2"/>
    <row r="372" s="197" customFormat="1" ht="12.75" x14ac:dyDescent="0.2"/>
    <row r="373" s="197" customFormat="1" ht="12.75" x14ac:dyDescent="0.2"/>
    <row r="374" s="197" customFormat="1" ht="12.75" x14ac:dyDescent="0.2"/>
    <row r="375" s="197" customFormat="1" ht="12.75" x14ac:dyDescent="0.2"/>
    <row r="376" s="197" customFormat="1" ht="12.75" x14ac:dyDescent="0.2"/>
    <row r="377" s="197" customFormat="1" ht="12.75" x14ac:dyDescent="0.2"/>
    <row r="378" s="197" customFormat="1" ht="12.75" x14ac:dyDescent="0.2"/>
    <row r="379" s="197" customFormat="1" ht="12.75" x14ac:dyDescent="0.2"/>
    <row r="380" s="197" customFormat="1" ht="12.75" x14ac:dyDescent="0.2"/>
    <row r="381" s="197" customFormat="1" ht="12.75" x14ac:dyDescent="0.2"/>
    <row r="382" s="197" customFormat="1" ht="12.75" x14ac:dyDescent="0.2"/>
    <row r="383" s="197" customFormat="1" ht="12.75" x14ac:dyDescent="0.2"/>
    <row r="384" s="197" customFormat="1" ht="12.75" x14ac:dyDescent="0.2"/>
    <row r="385" s="197" customFormat="1" ht="12.75" x14ac:dyDescent="0.2"/>
    <row r="386" s="197" customFormat="1" ht="12.75" x14ac:dyDescent="0.2"/>
    <row r="387" s="197" customFormat="1" ht="12.75" x14ac:dyDescent="0.2"/>
    <row r="388" s="197" customFormat="1" ht="12.75" x14ac:dyDescent="0.2"/>
    <row r="389" s="197" customFormat="1" ht="12.75" x14ac:dyDescent="0.2"/>
    <row r="390" s="197" customFormat="1" ht="12.75" x14ac:dyDescent="0.2"/>
    <row r="391" s="197" customFormat="1" ht="12.75" x14ac:dyDescent="0.2"/>
    <row r="392" s="197" customFormat="1" ht="12.75" x14ac:dyDescent="0.2"/>
    <row r="393" s="197" customFormat="1" ht="12.75" x14ac:dyDescent="0.2"/>
    <row r="394" s="197" customFormat="1" ht="12.75" x14ac:dyDescent="0.2"/>
    <row r="395" s="197" customFormat="1" ht="12.75" x14ac:dyDescent="0.2"/>
    <row r="396" s="197" customFormat="1" ht="12.75" x14ac:dyDescent="0.2"/>
    <row r="397" s="197" customFormat="1" ht="12.75" x14ac:dyDescent="0.2"/>
    <row r="398" s="197" customFormat="1" ht="12.75" x14ac:dyDescent="0.2"/>
    <row r="399" s="197" customFormat="1" ht="12.75" x14ac:dyDescent="0.2"/>
    <row r="400" s="197" customFormat="1" ht="12.75" x14ac:dyDescent="0.2"/>
    <row r="401" s="197" customFormat="1" ht="12.75" x14ac:dyDescent="0.2"/>
    <row r="402" s="197" customFormat="1" ht="12.75" x14ac:dyDescent="0.2"/>
    <row r="403" s="197" customFormat="1" ht="12.75" x14ac:dyDescent="0.2"/>
    <row r="404" s="197" customFormat="1" ht="12.75" x14ac:dyDescent="0.2"/>
    <row r="405" s="197" customFormat="1" ht="12.75" x14ac:dyDescent="0.2"/>
    <row r="406" s="197" customFormat="1" ht="12.75" x14ac:dyDescent="0.2"/>
    <row r="407" s="197" customFormat="1" ht="12.75" x14ac:dyDescent="0.2"/>
    <row r="408" s="197" customFormat="1" ht="12.75" x14ac:dyDescent="0.2"/>
    <row r="409" s="197" customFormat="1" ht="12.75" x14ac:dyDescent="0.2"/>
    <row r="410" s="197" customFormat="1" ht="12.75" x14ac:dyDescent="0.2"/>
    <row r="411" s="197" customFormat="1" ht="12.75" x14ac:dyDescent="0.2"/>
    <row r="412" s="197" customFormat="1" ht="12.75" x14ac:dyDescent="0.2"/>
    <row r="413" s="197" customFormat="1" ht="12.75" x14ac:dyDescent="0.2"/>
    <row r="414" s="197" customFormat="1" ht="12.75" x14ac:dyDescent="0.2"/>
    <row r="415" s="197" customFormat="1" ht="12.75" x14ac:dyDescent="0.2"/>
    <row r="416" s="197" customFormat="1" ht="12.75" x14ac:dyDescent="0.2"/>
    <row r="417" s="197" customFormat="1" ht="12.75" x14ac:dyDescent="0.2"/>
    <row r="418" s="197" customFormat="1" ht="12.75" x14ac:dyDescent="0.2"/>
    <row r="419" s="197" customFormat="1" ht="12.75" x14ac:dyDescent="0.2"/>
    <row r="420" s="197" customFormat="1" ht="12.75" x14ac:dyDescent="0.2"/>
    <row r="421" s="197" customFormat="1" ht="12.75" x14ac:dyDescent="0.2"/>
    <row r="422" s="197" customFormat="1" ht="12.75" x14ac:dyDescent="0.2"/>
    <row r="423" s="197" customFormat="1" ht="12.75" x14ac:dyDescent="0.2"/>
    <row r="424" s="197" customFormat="1" ht="12.75" x14ac:dyDescent="0.2"/>
    <row r="425" s="197" customFormat="1" ht="12.75" x14ac:dyDescent="0.2"/>
    <row r="426" s="197" customFormat="1" ht="12.75" x14ac:dyDescent="0.2"/>
    <row r="427" s="197" customFormat="1" ht="12.75" x14ac:dyDescent="0.2"/>
    <row r="428" s="197" customFormat="1" ht="12.75" x14ac:dyDescent="0.2"/>
    <row r="429" s="197" customFormat="1" ht="12.75" x14ac:dyDescent="0.2"/>
    <row r="430" s="197" customFormat="1" ht="12.75" x14ac:dyDescent="0.2"/>
    <row r="431" s="197" customFormat="1" ht="12.75" x14ac:dyDescent="0.2"/>
    <row r="432" s="197" customFormat="1" ht="12.75" x14ac:dyDescent="0.2"/>
    <row r="433" s="197" customFormat="1" ht="12.75" x14ac:dyDescent="0.2"/>
    <row r="434" s="197" customFormat="1" ht="12.75" x14ac:dyDescent="0.2"/>
    <row r="435" s="197" customFormat="1" ht="12.75" x14ac:dyDescent="0.2"/>
    <row r="436" s="197" customFormat="1" ht="12.75" x14ac:dyDescent="0.2"/>
    <row r="437" s="197" customFormat="1" ht="12.75" x14ac:dyDescent="0.2"/>
    <row r="438" s="197" customFormat="1" ht="12.75" x14ac:dyDescent="0.2"/>
    <row r="439" s="197" customFormat="1" ht="12.75" x14ac:dyDescent="0.2"/>
    <row r="440" s="197" customFormat="1" ht="12.75" x14ac:dyDescent="0.2"/>
    <row r="441" s="197" customFormat="1" ht="12.75" x14ac:dyDescent="0.2"/>
    <row r="442" s="197" customFormat="1" ht="12.75" x14ac:dyDescent="0.2"/>
    <row r="443" s="197" customFormat="1" ht="12.75" x14ac:dyDescent="0.2"/>
    <row r="444" s="197" customFormat="1" ht="12.75" x14ac:dyDescent="0.2"/>
    <row r="445" s="197" customFormat="1" ht="12.75" x14ac:dyDescent="0.2"/>
    <row r="446" s="197" customFormat="1" ht="12.75" x14ac:dyDescent="0.2"/>
    <row r="447" s="197" customFormat="1" ht="12.75" x14ac:dyDescent="0.2"/>
    <row r="448" s="197" customFormat="1" ht="12.75" x14ac:dyDescent="0.2"/>
    <row r="449" s="197" customFormat="1" ht="12.75" x14ac:dyDescent="0.2"/>
    <row r="450" s="197" customFormat="1" ht="12.75" x14ac:dyDescent="0.2"/>
    <row r="451" s="197" customFormat="1" ht="12.75" x14ac:dyDescent="0.2"/>
    <row r="452" s="197" customFormat="1" ht="12.75" x14ac:dyDescent="0.2"/>
    <row r="453" s="197" customFormat="1" ht="12.75" x14ac:dyDescent="0.2"/>
    <row r="454" s="197" customFormat="1" ht="12.75" x14ac:dyDescent="0.2"/>
    <row r="455" s="197" customFormat="1" ht="12.75" x14ac:dyDescent="0.2"/>
    <row r="456" s="197" customFormat="1" ht="12.75" x14ac:dyDescent="0.2"/>
    <row r="457" s="197" customFormat="1" ht="12.75" x14ac:dyDescent="0.2"/>
    <row r="458" s="197" customFormat="1" ht="12.75" x14ac:dyDescent="0.2"/>
    <row r="459" s="197" customFormat="1" ht="12.75" x14ac:dyDescent="0.2"/>
    <row r="460" s="197" customFormat="1" ht="12.75" x14ac:dyDescent="0.2"/>
    <row r="461" s="197" customFormat="1" ht="12.75" x14ac:dyDescent="0.2"/>
    <row r="462" s="197" customFormat="1" ht="12.75" x14ac:dyDescent="0.2"/>
    <row r="463" s="197" customFormat="1" ht="12.75" x14ac:dyDescent="0.2"/>
    <row r="464" s="197" customFormat="1" ht="12.75" x14ac:dyDescent="0.2"/>
    <row r="465" s="197" customFormat="1" ht="12.75" x14ac:dyDescent="0.2"/>
    <row r="466" s="197" customFormat="1" ht="12.75" x14ac:dyDescent="0.2"/>
    <row r="467" s="197" customFormat="1" ht="12.75" x14ac:dyDescent="0.2"/>
    <row r="468" s="197" customFormat="1" ht="12.75" x14ac:dyDescent="0.2"/>
    <row r="469" s="197" customFormat="1" ht="12.75" x14ac:dyDescent="0.2"/>
    <row r="470" s="197" customFormat="1" ht="12.75" x14ac:dyDescent="0.2"/>
    <row r="471" s="197" customFormat="1" ht="12.75" x14ac:dyDescent="0.2"/>
    <row r="472" s="197" customFormat="1" ht="12.75" x14ac:dyDescent="0.2"/>
    <row r="473" s="197" customFormat="1" ht="12.75" x14ac:dyDescent="0.2"/>
    <row r="474" s="197" customFormat="1" ht="12.75" x14ac:dyDescent="0.2"/>
    <row r="475" s="197" customFormat="1" ht="12.75" x14ac:dyDescent="0.2"/>
    <row r="476" s="197" customFormat="1" ht="12.75" x14ac:dyDescent="0.2"/>
    <row r="477" s="197" customFormat="1" ht="12.75" x14ac:dyDescent="0.2"/>
    <row r="478" s="197" customFormat="1" ht="12.75" x14ac:dyDescent="0.2"/>
    <row r="479" s="197" customFormat="1" ht="12.75" x14ac:dyDescent="0.2"/>
    <row r="480" s="197" customFormat="1" ht="12.75" x14ac:dyDescent="0.2"/>
    <row r="481" s="197" customFormat="1" ht="12.75" x14ac:dyDescent="0.2"/>
    <row r="482" s="197" customFormat="1" ht="12.75" x14ac:dyDescent="0.2"/>
    <row r="483" s="197" customFormat="1" ht="12.75" x14ac:dyDescent="0.2"/>
    <row r="484" s="197" customFormat="1" ht="12.75" x14ac:dyDescent="0.2"/>
    <row r="485" s="197" customFormat="1" ht="12.75" x14ac:dyDescent="0.2"/>
    <row r="486" s="197" customFormat="1" ht="12.75" x14ac:dyDescent="0.2"/>
    <row r="487" s="197" customFormat="1" ht="12.75" x14ac:dyDescent="0.2"/>
    <row r="488" s="197" customFormat="1" ht="12.75" x14ac:dyDescent="0.2"/>
    <row r="489" s="197" customFormat="1" ht="12.75" x14ac:dyDescent="0.2"/>
    <row r="490" s="197" customFormat="1" ht="12.75" x14ac:dyDescent="0.2"/>
    <row r="491" s="197" customFormat="1" ht="12.75" x14ac:dyDescent="0.2"/>
    <row r="492" s="197" customFormat="1" ht="12.75" x14ac:dyDescent="0.2"/>
    <row r="493" s="197" customFormat="1" ht="12.75" x14ac:dyDescent="0.2"/>
    <row r="494" s="197" customFormat="1" ht="12.75" x14ac:dyDescent="0.2"/>
    <row r="495" s="197" customFormat="1" ht="12.75" x14ac:dyDescent="0.2"/>
    <row r="496" s="197" customFormat="1" ht="12.75" x14ac:dyDescent="0.2"/>
    <row r="497" s="197" customFormat="1" ht="12.75" x14ac:dyDescent="0.2"/>
    <row r="498" s="197" customFormat="1" ht="12.75" x14ac:dyDescent="0.2"/>
    <row r="499" s="197" customFormat="1" ht="12.75" x14ac:dyDescent="0.2"/>
    <row r="500" s="197" customFormat="1" ht="12.75" x14ac:dyDescent="0.2"/>
    <row r="501" s="197" customFormat="1" ht="12.75" x14ac:dyDescent="0.2"/>
    <row r="502" s="197" customFormat="1" ht="12.75" x14ac:dyDescent="0.2"/>
    <row r="503" s="197" customFormat="1" ht="12.75" x14ac:dyDescent="0.2"/>
    <row r="504" s="197" customFormat="1" ht="12.75" x14ac:dyDescent="0.2"/>
    <row r="505" s="197" customFormat="1" ht="12.75" x14ac:dyDescent="0.2"/>
    <row r="506" s="197" customFormat="1" ht="12.75" x14ac:dyDescent="0.2"/>
    <row r="507" s="197" customFormat="1" ht="12.75" x14ac:dyDescent="0.2"/>
    <row r="508" s="197" customFormat="1" ht="12.75" x14ac:dyDescent="0.2"/>
    <row r="509" s="197" customFormat="1" ht="12.75" x14ac:dyDescent="0.2"/>
    <row r="510" s="197" customFormat="1" ht="12.75" x14ac:dyDescent="0.2"/>
    <row r="511" s="197" customFormat="1" ht="12.75" x14ac:dyDescent="0.2"/>
    <row r="512" s="197" customFormat="1" ht="12.75" x14ac:dyDescent="0.2"/>
    <row r="513" s="197" customFormat="1" ht="12.75" x14ac:dyDescent="0.2"/>
    <row r="514" s="197" customFormat="1" ht="12.75" x14ac:dyDescent="0.2"/>
    <row r="515" s="197" customFormat="1" ht="12.75" x14ac:dyDescent="0.2"/>
    <row r="516" s="197" customFormat="1" ht="12.75" x14ac:dyDescent="0.2"/>
    <row r="517" s="197" customFormat="1" ht="12.75" x14ac:dyDescent="0.2"/>
    <row r="518" s="197" customFormat="1" ht="12.75" x14ac:dyDescent="0.2"/>
    <row r="519" s="197" customFormat="1" ht="12.75" x14ac:dyDescent="0.2"/>
    <row r="520" s="197" customFormat="1" ht="12.75" x14ac:dyDescent="0.2"/>
    <row r="521" s="197" customFormat="1" ht="12.75" x14ac:dyDescent="0.2"/>
    <row r="522" s="197" customFormat="1" ht="12.75" x14ac:dyDescent="0.2"/>
    <row r="523" s="197" customFormat="1" ht="12.75" x14ac:dyDescent="0.2"/>
    <row r="524" s="197" customFormat="1" ht="12.75" x14ac:dyDescent="0.2"/>
    <row r="525" s="197" customFormat="1" ht="12.75" x14ac:dyDescent="0.2"/>
    <row r="526" s="197" customFormat="1" ht="12.75" x14ac:dyDescent="0.2"/>
    <row r="527" s="197" customFormat="1" ht="12.75" x14ac:dyDescent="0.2"/>
    <row r="528" s="197" customFormat="1" ht="12.75" x14ac:dyDescent="0.2"/>
    <row r="529" s="197" customFormat="1" ht="12.75" x14ac:dyDescent="0.2"/>
    <row r="530" s="197" customFormat="1" ht="12.75" x14ac:dyDescent="0.2"/>
    <row r="531" s="197" customFormat="1" ht="12.75" x14ac:dyDescent="0.2"/>
    <row r="532" s="197" customFormat="1" ht="12.75" x14ac:dyDescent="0.2"/>
    <row r="533" s="197" customFormat="1" ht="12.75" x14ac:dyDescent="0.2"/>
    <row r="534" s="197" customFormat="1" ht="12.75" x14ac:dyDescent="0.2"/>
    <row r="535" s="197" customFormat="1" ht="12.75" x14ac:dyDescent="0.2"/>
    <row r="536" s="197" customFormat="1" ht="12.75" x14ac:dyDescent="0.2"/>
    <row r="537" s="197" customFormat="1" ht="12.75" x14ac:dyDescent="0.2"/>
    <row r="538" s="197" customFormat="1" ht="12.75" x14ac:dyDescent="0.2"/>
    <row r="539" s="197" customFormat="1" ht="12.75" x14ac:dyDescent="0.2"/>
    <row r="540" s="197" customFormat="1" ht="12.75" x14ac:dyDescent="0.2"/>
    <row r="541" s="197" customFormat="1" ht="12.75" x14ac:dyDescent="0.2"/>
    <row r="542" s="197" customFormat="1" ht="12.75" x14ac:dyDescent="0.2"/>
    <row r="543" s="197" customFormat="1" ht="12.75" x14ac:dyDescent="0.2"/>
    <row r="544" s="197" customFormat="1" ht="12.75" x14ac:dyDescent="0.2"/>
    <row r="545" s="197" customFormat="1" ht="12.75" x14ac:dyDescent="0.2"/>
    <row r="546" s="197" customFormat="1" ht="12.75" x14ac:dyDescent="0.2"/>
    <row r="547" s="197" customFormat="1" ht="12.75" x14ac:dyDescent="0.2"/>
    <row r="548" s="197" customFormat="1" ht="12.75" x14ac:dyDescent="0.2"/>
    <row r="549" s="197" customFormat="1" ht="12.75" x14ac:dyDescent="0.2"/>
    <row r="550" s="197" customFormat="1" ht="12.75" x14ac:dyDescent="0.2"/>
    <row r="551" s="197" customFormat="1" ht="12.75" x14ac:dyDescent="0.2"/>
    <row r="552" s="197" customFormat="1" ht="12.75" x14ac:dyDescent="0.2"/>
    <row r="553" s="197" customFormat="1" ht="12.75" x14ac:dyDescent="0.2"/>
    <row r="554" s="197" customFormat="1" ht="12.75" x14ac:dyDescent="0.2"/>
    <row r="555" s="197" customFormat="1" ht="12.75" x14ac:dyDescent="0.2"/>
    <row r="556" s="197" customFormat="1" ht="12.75" x14ac:dyDescent="0.2"/>
    <row r="557" s="197" customFormat="1" ht="12.75" x14ac:dyDescent="0.2"/>
    <row r="558" s="197" customFormat="1" ht="12.75" x14ac:dyDescent="0.2"/>
    <row r="559" s="197" customFormat="1" ht="12.75" x14ac:dyDescent="0.2"/>
    <row r="560" s="197" customFormat="1" ht="12.75" x14ac:dyDescent="0.2"/>
    <row r="561" s="197" customFormat="1" ht="12.75" x14ac:dyDescent="0.2"/>
    <row r="562" s="197" customFormat="1" ht="12.75" x14ac:dyDescent="0.2"/>
    <row r="563" s="197" customFormat="1" ht="12.75" x14ac:dyDescent="0.2"/>
    <row r="564" s="197" customFormat="1" ht="12.75" x14ac:dyDescent="0.2"/>
    <row r="565" s="197" customFormat="1" ht="12.75" x14ac:dyDescent="0.2"/>
    <row r="566" s="197" customFormat="1" ht="12.75" x14ac:dyDescent="0.2"/>
    <row r="567" s="197" customFormat="1" ht="12.75" x14ac:dyDescent="0.2"/>
    <row r="568" s="197" customFormat="1" ht="12.75" x14ac:dyDescent="0.2"/>
    <row r="569" s="197" customFormat="1" ht="12.75" x14ac:dyDescent="0.2"/>
    <row r="570" s="197" customFormat="1" ht="12.75" x14ac:dyDescent="0.2"/>
    <row r="571" s="197" customFormat="1" ht="12.75" x14ac:dyDescent="0.2"/>
    <row r="572" s="197" customFormat="1" ht="12.75" x14ac:dyDescent="0.2"/>
    <row r="573" s="197" customFormat="1" ht="12.75" x14ac:dyDescent="0.2"/>
    <row r="574" s="197" customFormat="1" ht="12.75" x14ac:dyDescent="0.2"/>
    <row r="575" s="197" customFormat="1" ht="12.75" x14ac:dyDescent="0.2"/>
    <row r="576" s="197" customFormat="1" ht="12.75" x14ac:dyDescent="0.2"/>
    <row r="577" s="197" customFormat="1" ht="12.75" x14ac:dyDescent="0.2"/>
    <row r="578" s="197" customFormat="1" ht="12.75" x14ac:dyDescent="0.2"/>
    <row r="579" s="197" customFormat="1" ht="12.75" x14ac:dyDescent="0.2"/>
    <row r="580" s="197" customFormat="1" ht="12.75" x14ac:dyDescent="0.2"/>
    <row r="581" s="197" customFormat="1" ht="12.75" x14ac:dyDescent="0.2"/>
    <row r="582" s="197" customFormat="1" ht="12.75" x14ac:dyDescent="0.2"/>
    <row r="583" s="197" customFormat="1" ht="12.75" x14ac:dyDescent="0.2"/>
    <row r="584" s="197" customFormat="1" ht="12.75" x14ac:dyDescent="0.2"/>
    <row r="585" s="197" customFormat="1" ht="12.75" x14ac:dyDescent="0.2"/>
    <row r="586" s="197" customFormat="1" ht="12.75" x14ac:dyDescent="0.2"/>
    <row r="587" s="197" customFormat="1" ht="12.75" x14ac:dyDescent="0.2"/>
    <row r="588" s="197" customFormat="1" ht="12.75" x14ac:dyDescent="0.2"/>
    <row r="589" s="197" customFormat="1" ht="12.75" x14ac:dyDescent="0.2"/>
    <row r="590" s="197" customFormat="1" ht="12.75" x14ac:dyDescent="0.2"/>
    <row r="591" s="197" customFormat="1" ht="12.75" x14ac:dyDescent="0.2"/>
    <row r="592" s="197" customFormat="1" ht="12.75" x14ac:dyDescent="0.2"/>
    <row r="593" s="197" customFormat="1" ht="12.75" x14ac:dyDescent="0.2"/>
    <row r="594" s="197" customFormat="1" ht="12.75" x14ac:dyDescent="0.2"/>
    <row r="595" s="197" customFormat="1" ht="12.75" x14ac:dyDescent="0.2"/>
    <row r="596" s="197" customFormat="1" ht="12.75" x14ac:dyDescent="0.2"/>
    <row r="597" s="197" customFormat="1" ht="12.75" x14ac:dyDescent="0.2"/>
    <row r="598" s="197" customFormat="1" ht="12.75" x14ac:dyDescent="0.2"/>
    <row r="599" s="197" customFormat="1" ht="12.75" x14ac:dyDescent="0.2"/>
    <row r="600" s="197" customFormat="1" ht="12.75" x14ac:dyDescent="0.2"/>
    <row r="601" s="197" customFormat="1" ht="12.75" x14ac:dyDescent="0.2"/>
    <row r="602" s="197" customFormat="1" ht="12.75" x14ac:dyDescent="0.2"/>
    <row r="603" s="197" customFormat="1" ht="12.75" x14ac:dyDescent="0.2"/>
    <row r="604" s="197" customFormat="1" ht="12.75" x14ac:dyDescent="0.2"/>
    <row r="605" s="197" customFormat="1" ht="12.75" x14ac:dyDescent="0.2"/>
    <row r="606" s="197" customFormat="1" ht="12.75" x14ac:dyDescent="0.2"/>
    <row r="607" s="197" customFormat="1" ht="12.75" x14ac:dyDescent="0.2"/>
    <row r="608" s="197" customFormat="1" ht="12.75" x14ac:dyDescent="0.2"/>
    <row r="609" s="197" customFormat="1" ht="12.75" x14ac:dyDescent="0.2"/>
    <row r="610" s="197" customFormat="1" ht="12.75" x14ac:dyDescent="0.2"/>
    <row r="611" s="197" customFormat="1" ht="12.75" x14ac:dyDescent="0.2"/>
    <row r="612" s="197" customFormat="1" ht="12.75" x14ac:dyDescent="0.2"/>
    <row r="613" s="197" customFormat="1" ht="12.75" x14ac:dyDescent="0.2"/>
    <row r="614" s="197" customFormat="1" ht="12.75" x14ac:dyDescent="0.2"/>
    <row r="615" s="197" customFormat="1" ht="12.75" x14ac:dyDescent="0.2"/>
    <row r="616" s="197" customFormat="1" ht="12.75" x14ac:dyDescent="0.2"/>
    <row r="617" s="197" customFormat="1" ht="12.75" x14ac:dyDescent="0.2"/>
    <row r="618" s="197" customFormat="1" ht="12.75" x14ac:dyDescent="0.2"/>
    <row r="619" s="197" customFormat="1" ht="12.75" x14ac:dyDescent="0.2"/>
    <row r="620" s="197" customFormat="1" ht="12.75" x14ac:dyDescent="0.2"/>
    <row r="621" s="197" customFormat="1" ht="12.75" x14ac:dyDescent="0.2"/>
    <row r="622" s="197" customFormat="1" ht="12.75" x14ac:dyDescent="0.2"/>
    <row r="623" s="197" customFormat="1" ht="12.75" x14ac:dyDescent="0.2"/>
    <row r="624" s="197" customFormat="1" ht="12.75" x14ac:dyDescent="0.2"/>
    <row r="625" s="197" customFormat="1" ht="12.75" x14ac:dyDescent="0.2"/>
    <row r="626" s="197" customFormat="1" ht="12.75" x14ac:dyDescent="0.2"/>
    <row r="627" s="197" customFormat="1" ht="12.75" x14ac:dyDescent="0.2"/>
    <row r="628" s="197" customFormat="1" ht="12.75" x14ac:dyDescent="0.2"/>
    <row r="629" s="197" customFormat="1" ht="12.75" x14ac:dyDescent="0.2"/>
    <row r="630" s="197" customFormat="1" ht="12.75" x14ac:dyDescent="0.2"/>
    <row r="631" s="197" customFormat="1" ht="12.75" x14ac:dyDescent="0.2"/>
    <row r="632" s="197" customFormat="1" ht="12.75" x14ac:dyDescent="0.2"/>
    <row r="633" s="197" customFormat="1" ht="12.75" x14ac:dyDescent="0.2"/>
    <row r="634" s="197" customFormat="1" ht="12.75" x14ac:dyDescent="0.2"/>
    <row r="635" s="197" customFormat="1" ht="12.75" x14ac:dyDescent="0.2"/>
    <row r="636" s="197" customFormat="1" ht="12.75" x14ac:dyDescent="0.2"/>
    <row r="637" s="197" customFormat="1" ht="12.75" x14ac:dyDescent="0.2"/>
    <row r="638" s="197" customFormat="1" ht="12.75" x14ac:dyDescent="0.2"/>
    <row r="639" s="197" customFormat="1" ht="12.75" x14ac:dyDescent="0.2"/>
    <row r="640" s="197" customFormat="1" ht="12.75" x14ac:dyDescent="0.2"/>
    <row r="641" s="197" customFormat="1" ht="12.75" x14ac:dyDescent="0.2"/>
    <row r="642" s="197" customFormat="1" ht="12.75" x14ac:dyDescent="0.2"/>
    <row r="643" s="197" customFormat="1" ht="12.75" x14ac:dyDescent="0.2"/>
    <row r="644" s="197" customFormat="1" ht="12.75" x14ac:dyDescent="0.2"/>
    <row r="645" s="197" customFormat="1" ht="12.75" x14ac:dyDescent="0.2"/>
    <row r="646" s="197" customFormat="1" ht="12.75" x14ac:dyDescent="0.2"/>
    <row r="647" s="197" customFormat="1" ht="12.75" x14ac:dyDescent="0.2"/>
    <row r="648" s="197" customFormat="1" ht="12.75" x14ac:dyDescent="0.2"/>
    <row r="649" s="197" customFormat="1" ht="12.75" x14ac:dyDescent="0.2"/>
    <row r="650" s="197" customFormat="1" ht="12.75" x14ac:dyDescent="0.2"/>
    <row r="651" s="197" customFormat="1" ht="12.75" x14ac:dyDescent="0.2"/>
    <row r="652" s="197" customFormat="1" ht="12.75" x14ac:dyDescent="0.2"/>
    <row r="653" s="197" customFormat="1" ht="12.75" x14ac:dyDescent="0.2"/>
    <row r="654" s="197" customFormat="1" ht="12.75" x14ac:dyDescent="0.2"/>
    <row r="655" s="197" customFormat="1" ht="12.75" x14ac:dyDescent="0.2"/>
    <row r="656" s="197" customFormat="1" ht="12.75" x14ac:dyDescent="0.2"/>
    <row r="657" s="197" customFormat="1" ht="12.75" x14ac:dyDescent="0.2"/>
    <row r="658" s="197" customFormat="1" ht="12.75" x14ac:dyDescent="0.2"/>
    <row r="659" s="197" customFormat="1" ht="12.75" x14ac:dyDescent="0.2"/>
    <row r="660" s="197" customFormat="1" ht="12.75" x14ac:dyDescent="0.2"/>
    <row r="661" s="197" customFormat="1" ht="12.75" x14ac:dyDescent="0.2"/>
    <row r="662" s="197" customFormat="1" ht="12.75" x14ac:dyDescent="0.2"/>
    <row r="663" s="197" customFormat="1" ht="12.75" x14ac:dyDescent="0.2"/>
    <row r="664" s="197" customFormat="1" ht="12.75" x14ac:dyDescent="0.2"/>
    <row r="665" s="197" customFormat="1" ht="12.75" x14ac:dyDescent="0.2"/>
    <row r="666" s="197" customFormat="1" ht="12.75" x14ac:dyDescent="0.2"/>
    <row r="667" s="197" customFormat="1" ht="12.75" x14ac:dyDescent="0.2"/>
    <row r="668" s="197" customFormat="1" ht="12.75" x14ac:dyDescent="0.2"/>
    <row r="669" s="197" customFormat="1" ht="12.75" x14ac:dyDescent="0.2"/>
    <row r="670" s="197" customFormat="1" ht="12.75" x14ac:dyDescent="0.2"/>
    <row r="671" s="197" customFormat="1" ht="12.75" x14ac:dyDescent="0.2"/>
    <row r="672" s="197" customFormat="1" ht="12.75" x14ac:dyDescent="0.2"/>
    <row r="673" s="197" customFormat="1" ht="12.75" x14ac:dyDescent="0.2"/>
    <row r="674" s="197" customFormat="1" ht="12.75" x14ac:dyDescent="0.2"/>
    <row r="675" s="197" customFormat="1" ht="12.75" x14ac:dyDescent="0.2"/>
    <row r="676" s="197" customFormat="1" ht="12.75" x14ac:dyDescent="0.2"/>
    <row r="677" s="197" customFormat="1" ht="12.75" x14ac:dyDescent="0.2"/>
    <row r="678" s="197" customFormat="1" ht="12.75" x14ac:dyDescent="0.2"/>
    <row r="679" s="197" customFormat="1" ht="12.75" x14ac:dyDescent="0.2"/>
    <row r="680" s="197" customFormat="1" ht="12.75" x14ac:dyDescent="0.2"/>
    <row r="681" s="197" customFormat="1" ht="12.75" x14ac:dyDescent="0.2"/>
    <row r="682" s="197" customFormat="1" ht="12.75" x14ac:dyDescent="0.2"/>
    <row r="683" s="197" customFormat="1" ht="12.75" x14ac:dyDescent="0.2"/>
    <row r="684" s="197" customFormat="1" ht="12.75" x14ac:dyDescent="0.2"/>
    <row r="685" s="197" customFormat="1" ht="12.75" x14ac:dyDescent="0.2"/>
    <row r="686" s="197" customFormat="1" ht="12.75" x14ac:dyDescent="0.2"/>
    <row r="687" s="197" customFormat="1" ht="12.75" x14ac:dyDescent="0.2"/>
    <row r="688" s="197" customFormat="1" ht="12.75" x14ac:dyDescent="0.2"/>
    <row r="689" s="197" customFormat="1" ht="12.75" x14ac:dyDescent="0.2"/>
    <row r="690" s="197" customFormat="1" ht="12.75" x14ac:dyDescent="0.2"/>
    <row r="691" s="197" customFormat="1" ht="12.75" x14ac:dyDescent="0.2"/>
    <row r="692" s="197" customFormat="1" ht="12.75" x14ac:dyDescent="0.2"/>
    <row r="693" s="197" customFormat="1" ht="12.75" x14ac:dyDescent="0.2"/>
    <row r="694" s="197" customFormat="1" ht="12.75" x14ac:dyDescent="0.2"/>
    <row r="695" s="197" customFormat="1" ht="12.75" x14ac:dyDescent="0.2"/>
    <row r="696" s="197" customFormat="1" ht="12.75" x14ac:dyDescent="0.2"/>
    <row r="697" s="197" customFormat="1" ht="12.75" x14ac:dyDescent="0.2"/>
    <row r="698" s="197" customFormat="1" ht="12.75" x14ac:dyDescent="0.2"/>
    <row r="699" s="197" customFormat="1" ht="12.75" x14ac:dyDescent="0.2"/>
    <row r="700" s="197" customFormat="1" ht="12.75" x14ac:dyDescent="0.2"/>
    <row r="701" s="197" customFormat="1" ht="12.75" x14ac:dyDescent="0.2"/>
    <row r="702" s="197" customFormat="1" ht="12.75" x14ac:dyDescent="0.2"/>
    <row r="703" s="197" customFormat="1" ht="12.75" x14ac:dyDescent="0.2"/>
    <row r="704" s="197" customFormat="1" ht="12.75" x14ac:dyDescent="0.2"/>
    <row r="705" s="197" customFormat="1" ht="12.75" x14ac:dyDescent="0.2"/>
    <row r="706" s="197" customFormat="1" ht="12.75" x14ac:dyDescent="0.2"/>
    <row r="707" s="197" customFormat="1" ht="12.75" x14ac:dyDescent="0.2"/>
    <row r="708" s="197" customFormat="1" ht="12.75" x14ac:dyDescent="0.2"/>
    <row r="709" s="197" customFormat="1" ht="12.75" x14ac:dyDescent="0.2"/>
    <row r="710" s="197" customFormat="1" ht="12.75" x14ac:dyDescent="0.2"/>
    <row r="711" s="197" customFormat="1" ht="12.75" x14ac:dyDescent="0.2"/>
    <row r="712" s="197" customFormat="1" ht="12.75" x14ac:dyDescent="0.2"/>
    <row r="713" s="197" customFormat="1" ht="12.75" x14ac:dyDescent="0.2"/>
    <row r="714" s="197" customFormat="1" ht="12.75" x14ac:dyDescent="0.2"/>
    <row r="715" s="197" customFormat="1" ht="12.75" x14ac:dyDescent="0.2"/>
    <row r="716" s="197" customFormat="1" ht="12.75" x14ac:dyDescent="0.2"/>
    <row r="717" s="197" customFormat="1" ht="12.75" x14ac:dyDescent="0.2"/>
    <row r="718" s="197" customFormat="1" ht="12.75" x14ac:dyDescent="0.2"/>
    <row r="719" s="197" customFormat="1" ht="12.75" x14ac:dyDescent="0.2"/>
    <row r="720" s="197" customFormat="1" ht="12.75" x14ac:dyDescent="0.2"/>
    <row r="721" s="197" customFormat="1" ht="12.75" x14ac:dyDescent="0.2"/>
    <row r="722" s="197" customFormat="1" ht="12.75" x14ac:dyDescent="0.2"/>
    <row r="723" s="197" customFormat="1" ht="12.75" x14ac:dyDescent="0.2"/>
    <row r="724" s="197" customFormat="1" ht="12.75" x14ac:dyDescent="0.2"/>
    <row r="725" s="197" customFormat="1" ht="12.75" x14ac:dyDescent="0.2"/>
    <row r="726" s="197" customFormat="1" ht="12.75" x14ac:dyDescent="0.2"/>
    <row r="727" s="197" customFormat="1" ht="12.75" x14ac:dyDescent="0.2"/>
    <row r="728" s="197" customFormat="1" ht="12.75" x14ac:dyDescent="0.2"/>
    <row r="729" s="197" customFormat="1" ht="12.75" x14ac:dyDescent="0.2"/>
    <row r="730" s="197" customFormat="1" ht="12.75" x14ac:dyDescent="0.2"/>
    <row r="731" s="197" customFormat="1" ht="12.75" x14ac:dyDescent="0.2"/>
    <row r="732" s="197" customFormat="1" ht="12.75" x14ac:dyDescent="0.2"/>
    <row r="733" s="197" customFormat="1" ht="12.75" x14ac:dyDescent="0.2"/>
    <row r="734" s="197" customFormat="1" ht="12.75" x14ac:dyDescent="0.2"/>
    <row r="735" s="197" customFormat="1" ht="12.75" x14ac:dyDescent="0.2"/>
    <row r="736" s="197" customFormat="1" ht="12.75" x14ac:dyDescent="0.2"/>
    <row r="737" s="197" customFormat="1" ht="12.75" x14ac:dyDescent="0.2"/>
    <row r="738" s="197" customFormat="1" ht="12.75" x14ac:dyDescent="0.2"/>
    <row r="739" s="197" customFormat="1" ht="12.75" x14ac:dyDescent="0.2"/>
    <row r="740" s="197" customFormat="1" ht="12.75" x14ac:dyDescent="0.2"/>
    <row r="741" s="197" customFormat="1" ht="12.75" x14ac:dyDescent="0.2"/>
    <row r="742" s="197" customFormat="1" ht="12.75" x14ac:dyDescent="0.2"/>
    <row r="743" s="197" customFormat="1" ht="12.75" x14ac:dyDescent="0.2"/>
    <row r="744" s="197" customFormat="1" ht="12.75" x14ac:dyDescent="0.2"/>
    <row r="745" s="197" customFormat="1" ht="12.75" x14ac:dyDescent="0.2"/>
    <row r="746" s="197" customFormat="1" ht="12.75" x14ac:dyDescent="0.2"/>
    <row r="747" s="197" customFormat="1" ht="12.75" x14ac:dyDescent="0.2"/>
    <row r="748" s="197" customFormat="1" ht="12.75" x14ac:dyDescent="0.2"/>
    <row r="749" s="197" customFormat="1" ht="12.75" x14ac:dyDescent="0.2"/>
    <row r="750" s="197" customFormat="1" ht="12.75" x14ac:dyDescent="0.2"/>
    <row r="751" s="197" customFormat="1" ht="12.75" x14ac:dyDescent="0.2"/>
    <row r="752" s="197" customFormat="1" ht="12.75" x14ac:dyDescent="0.2"/>
    <row r="753" s="197" customFormat="1" ht="12.75" x14ac:dyDescent="0.2"/>
    <row r="754" s="197" customFormat="1" ht="12.75" x14ac:dyDescent="0.2"/>
    <row r="755" s="197" customFormat="1" ht="12.75" x14ac:dyDescent="0.2"/>
    <row r="756" s="197" customFormat="1" ht="12.75" x14ac:dyDescent="0.2"/>
    <row r="757" s="197" customFormat="1" ht="12.75" x14ac:dyDescent="0.2"/>
    <row r="758" s="197" customFormat="1" ht="12.75" x14ac:dyDescent="0.2"/>
    <row r="759" s="197" customFormat="1" ht="12.75" x14ac:dyDescent="0.2"/>
    <row r="760" s="197" customFormat="1" ht="12.75" x14ac:dyDescent="0.2"/>
    <row r="761" s="197" customFormat="1" ht="12.75" x14ac:dyDescent="0.2"/>
    <row r="762" s="197" customFormat="1" ht="12.75" x14ac:dyDescent="0.2"/>
    <row r="763" s="197" customFormat="1" ht="12.75" x14ac:dyDescent="0.2"/>
    <row r="764" s="197" customFormat="1" ht="12.75" x14ac:dyDescent="0.2"/>
    <row r="765" s="197" customFormat="1" ht="12.75" x14ac:dyDescent="0.2"/>
    <row r="766" s="197" customFormat="1" ht="12.75" x14ac:dyDescent="0.2"/>
    <row r="767" s="197" customFormat="1" ht="12.75" x14ac:dyDescent="0.2"/>
    <row r="768" s="197" customFormat="1" ht="12.75" x14ac:dyDescent="0.2"/>
    <row r="769" s="197" customFormat="1" ht="12.75" x14ac:dyDescent="0.2"/>
    <row r="770" s="197" customFormat="1" ht="12.75" x14ac:dyDescent="0.2"/>
    <row r="771" s="197" customFormat="1" ht="12.75" x14ac:dyDescent="0.2"/>
    <row r="772" s="197" customFormat="1" ht="12.75" x14ac:dyDescent="0.2"/>
    <row r="773" s="197" customFormat="1" ht="12.75" x14ac:dyDescent="0.2"/>
    <row r="774" s="197" customFormat="1" ht="12.75" x14ac:dyDescent="0.2"/>
    <row r="775" s="197" customFormat="1" ht="12.75" x14ac:dyDescent="0.2"/>
    <row r="776" s="197" customFormat="1" ht="12.75" x14ac:dyDescent="0.2"/>
    <row r="777" s="197" customFormat="1" ht="12.75" x14ac:dyDescent="0.2"/>
    <row r="778" s="197" customFormat="1" ht="12.75" x14ac:dyDescent="0.2"/>
    <row r="779" s="197" customFormat="1" ht="12.75" x14ac:dyDescent="0.2"/>
    <row r="780" s="197" customFormat="1" ht="12.75" x14ac:dyDescent="0.2"/>
    <row r="781" s="197" customFormat="1" ht="12.75" x14ac:dyDescent="0.2"/>
    <row r="782" s="197" customFormat="1" ht="12.75" x14ac:dyDescent="0.2"/>
    <row r="783" s="197" customFormat="1" ht="12.75" x14ac:dyDescent="0.2"/>
    <row r="784" s="197" customFormat="1" ht="12.75" x14ac:dyDescent="0.2"/>
    <row r="785" s="197" customFormat="1" ht="12.75" x14ac:dyDescent="0.2"/>
    <row r="786" s="197" customFormat="1" ht="12.75" x14ac:dyDescent="0.2"/>
    <row r="787" s="197" customFormat="1" ht="12.75" x14ac:dyDescent="0.2"/>
    <row r="788" s="197" customFormat="1" ht="12.75" x14ac:dyDescent="0.2"/>
    <row r="789" s="197" customFormat="1" ht="12.75" x14ac:dyDescent="0.2"/>
    <row r="790" s="197" customFormat="1" ht="12.75" x14ac:dyDescent="0.2"/>
    <row r="791" s="197" customFormat="1" ht="12.75" x14ac:dyDescent="0.2"/>
    <row r="792" s="197" customFormat="1" ht="12.75" x14ac:dyDescent="0.2"/>
    <row r="793" s="197" customFormat="1" ht="12.75" x14ac:dyDescent="0.2"/>
    <row r="794" s="197" customFormat="1" ht="12.75" x14ac:dyDescent="0.2"/>
    <row r="795" s="197" customFormat="1" ht="12.75" x14ac:dyDescent="0.2"/>
    <row r="796" s="197" customFormat="1" ht="12.75" x14ac:dyDescent="0.2"/>
    <row r="797" s="197" customFormat="1" ht="12.75" x14ac:dyDescent="0.2"/>
    <row r="798" s="197" customFormat="1" ht="12.75" x14ac:dyDescent="0.2"/>
    <row r="799" s="197" customFormat="1" ht="12.75" x14ac:dyDescent="0.2"/>
    <row r="800" s="197" customFormat="1" ht="12.75" x14ac:dyDescent="0.2"/>
    <row r="801" s="197" customFormat="1" ht="12.75" x14ac:dyDescent="0.2"/>
    <row r="802" s="197" customFormat="1" ht="12.75" x14ac:dyDescent="0.2"/>
    <row r="803" s="197" customFormat="1" ht="12.75" x14ac:dyDescent="0.2"/>
    <row r="804" s="197" customFormat="1" ht="12.75" x14ac:dyDescent="0.2"/>
    <row r="805" s="197" customFormat="1" ht="12.75" x14ac:dyDescent="0.2"/>
    <row r="806" s="197" customFormat="1" ht="12.75" x14ac:dyDescent="0.2"/>
    <row r="807" s="197" customFormat="1" ht="12.75" x14ac:dyDescent="0.2"/>
    <row r="808" s="197" customFormat="1" ht="12.75" x14ac:dyDescent="0.2"/>
    <row r="809" s="197" customFormat="1" ht="12.75" x14ac:dyDescent="0.2"/>
    <row r="810" s="197" customFormat="1" ht="12.75" x14ac:dyDescent="0.2"/>
    <row r="811" s="197" customFormat="1" ht="12.75" x14ac:dyDescent="0.2"/>
    <row r="812" s="197" customFormat="1" ht="12.75" x14ac:dyDescent="0.2"/>
    <row r="813" s="197" customFormat="1" ht="12.75" x14ac:dyDescent="0.2"/>
    <row r="814" s="197" customFormat="1" ht="12.75" x14ac:dyDescent="0.2"/>
    <row r="815" s="197" customFormat="1" ht="12.75" x14ac:dyDescent="0.2"/>
    <row r="816" s="197" customFormat="1" ht="12.75" x14ac:dyDescent="0.2"/>
    <row r="817" s="197" customFormat="1" ht="12.75" x14ac:dyDescent="0.2"/>
    <row r="818" s="197" customFormat="1" ht="12.75" x14ac:dyDescent="0.2"/>
    <row r="819" s="197" customFormat="1" ht="12.75" x14ac:dyDescent="0.2"/>
    <row r="820" s="197" customFormat="1" ht="12.75" x14ac:dyDescent="0.2"/>
    <row r="821" s="197" customFormat="1" ht="12.75" x14ac:dyDescent="0.2"/>
    <row r="822" s="197" customFormat="1" ht="12.75" x14ac:dyDescent="0.2"/>
    <row r="823" s="197" customFormat="1" ht="12.75" x14ac:dyDescent="0.2"/>
    <row r="824" s="197" customFormat="1" ht="12.75" x14ac:dyDescent="0.2"/>
    <row r="825" s="197" customFormat="1" ht="12.75" x14ac:dyDescent="0.2"/>
    <row r="826" s="197" customFormat="1" ht="12.75" x14ac:dyDescent="0.2"/>
    <row r="827" s="197" customFormat="1" ht="12.75" x14ac:dyDescent="0.2"/>
    <row r="828" s="197" customFormat="1" ht="12.75" x14ac:dyDescent="0.2"/>
    <row r="829" s="197" customFormat="1" ht="12.75" x14ac:dyDescent="0.2"/>
    <row r="830" s="197" customFormat="1" ht="12.75" x14ac:dyDescent="0.2"/>
    <row r="831" s="197" customFormat="1" ht="12.75" x14ac:dyDescent="0.2"/>
    <row r="832" s="197" customFormat="1" ht="12.75" x14ac:dyDescent="0.2"/>
    <row r="833" s="197" customFormat="1" ht="12.75" x14ac:dyDescent="0.2"/>
    <row r="834" s="197" customFormat="1" ht="12.75" x14ac:dyDescent="0.2"/>
    <row r="835" s="197" customFormat="1" ht="12.75" x14ac:dyDescent="0.2"/>
    <row r="836" s="197" customFormat="1" ht="12.75" x14ac:dyDescent="0.2"/>
    <row r="837" s="197" customFormat="1" ht="12.75" x14ac:dyDescent="0.2"/>
    <row r="838" s="197" customFormat="1" ht="12.75" x14ac:dyDescent="0.2"/>
    <row r="839" s="197" customFormat="1" ht="12.75" x14ac:dyDescent="0.2"/>
    <row r="840" s="197" customFormat="1" ht="12.75" x14ac:dyDescent="0.2"/>
    <row r="841" s="197" customFormat="1" ht="12.75" x14ac:dyDescent="0.2"/>
    <row r="842" s="197" customFormat="1" ht="12.75" x14ac:dyDescent="0.2"/>
    <row r="843" s="197" customFormat="1" ht="12.75" x14ac:dyDescent="0.2"/>
    <row r="844" s="197" customFormat="1" ht="12.75" x14ac:dyDescent="0.2"/>
    <row r="845" s="197" customFormat="1" ht="12.75" x14ac:dyDescent="0.2"/>
    <row r="846" s="197" customFormat="1" ht="12.75" x14ac:dyDescent="0.2"/>
    <row r="847" s="197" customFormat="1" ht="12.75" x14ac:dyDescent="0.2"/>
    <row r="848" s="197" customFormat="1" ht="12.75" x14ac:dyDescent="0.2"/>
    <row r="849" s="197" customFormat="1" ht="12.75" x14ac:dyDescent="0.2"/>
    <row r="850" s="197" customFormat="1" ht="12.75" x14ac:dyDescent="0.2"/>
    <row r="851" s="197" customFormat="1" ht="12.75" x14ac:dyDescent="0.2"/>
    <row r="852" s="197" customFormat="1" ht="12.75" x14ac:dyDescent="0.2"/>
    <row r="853" s="197" customFormat="1" ht="12.75" x14ac:dyDescent="0.2"/>
    <row r="854" s="197" customFormat="1" ht="12.75" x14ac:dyDescent="0.2"/>
    <row r="855" s="197" customFormat="1" ht="12.75" x14ac:dyDescent="0.2"/>
    <row r="856" s="197" customFormat="1" ht="12.75" x14ac:dyDescent="0.2"/>
    <row r="857" s="197" customFormat="1" ht="12.75" x14ac:dyDescent="0.2"/>
    <row r="858" s="197" customFormat="1" ht="12.75" x14ac:dyDescent="0.2"/>
    <row r="859" s="197" customFormat="1" ht="12.75" x14ac:dyDescent="0.2"/>
    <row r="860" s="197" customFormat="1" ht="12.75" x14ac:dyDescent="0.2"/>
    <row r="861" s="197" customFormat="1" ht="12.75" x14ac:dyDescent="0.2"/>
    <row r="862" s="197" customFormat="1" ht="12.75" x14ac:dyDescent="0.2"/>
    <row r="863" s="197" customFormat="1" ht="12.75" x14ac:dyDescent="0.2"/>
    <row r="864" s="197" customFormat="1" ht="12.75" x14ac:dyDescent="0.2"/>
    <row r="865" s="197" customFormat="1" ht="12.75" x14ac:dyDescent="0.2"/>
    <row r="866" s="197" customFormat="1" ht="12.75" x14ac:dyDescent="0.2"/>
    <row r="867" s="197" customFormat="1" ht="12.75" x14ac:dyDescent="0.2"/>
    <row r="868" s="197" customFormat="1" ht="12.75" x14ac:dyDescent="0.2"/>
    <row r="869" s="197" customFormat="1" ht="12.75" x14ac:dyDescent="0.2"/>
    <row r="870" s="197" customFormat="1" ht="12.75" x14ac:dyDescent="0.2"/>
    <row r="871" s="197" customFormat="1" ht="12.75" x14ac:dyDescent="0.2"/>
    <row r="872" s="197" customFormat="1" ht="12.75" x14ac:dyDescent="0.2"/>
    <row r="873" s="197" customFormat="1" ht="12.75" x14ac:dyDescent="0.2"/>
    <row r="874" s="197" customFormat="1" ht="12.75" x14ac:dyDescent="0.2"/>
    <row r="875" s="197" customFormat="1" ht="12.75" x14ac:dyDescent="0.2"/>
    <row r="876" s="197" customFormat="1" ht="12.75" x14ac:dyDescent="0.2"/>
    <row r="877" s="197" customFormat="1" ht="12.75" x14ac:dyDescent="0.2"/>
    <row r="878" s="197" customFormat="1" ht="12.75" x14ac:dyDescent="0.2"/>
    <row r="879" s="197" customFormat="1" ht="12.75" x14ac:dyDescent="0.2"/>
    <row r="880" s="197" customFormat="1" ht="12.75" x14ac:dyDescent="0.2"/>
    <row r="881" s="197" customFormat="1" ht="12.75" x14ac:dyDescent="0.2"/>
    <row r="882" s="197" customFormat="1" ht="12.75" x14ac:dyDescent="0.2"/>
    <row r="883" s="197" customFormat="1" ht="12.75" x14ac:dyDescent="0.2"/>
    <row r="884" s="197" customFormat="1" ht="12.75" x14ac:dyDescent="0.2"/>
    <row r="885" s="197" customFormat="1" ht="12.75" x14ac:dyDescent="0.2"/>
    <row r="886" s="197" customFormat="1" ht="12.75" x14ac:dyDescent="0.2"/>
    <row r="887" s="197" customFormat="1" ht="12.75" x14ac:dyDescent="0.2"/>
    <row r="888" s="197" customFormat="1" ht="12.75" x14ac:dyDescent="0.2"/>
    <row r="889" s="197" customFormat="1" ht="12.75" x14ac:dyDescent="0.2"/>
    <row r="890" s="197" customFormat="1" ht="12.75" x14ac:dyDescent="0.2"/>
    <row r="891" s="197" customFormat="1" ht="12.75" x14ac:dyDescent="0.2"/>
    <row r="892" s="197" customFormat="1" ht="12.75" x14ac:dyDescent="0.2"/>
    <row r="893" s="197" customFormat="1" ht="12.75" x14ac:dyDescent="0.2"/>
    <row r="894" s="197" customFormat="1" ht="12.75" x14ac:dyDescent="0.2"/>
    <row r="895" s="197" customFormat="1" ht="12.75" x14ac:dyDescent="0.2"/>
    <row r="896" s="197" customFormat="1" ht="12.75" x14ac:dyDescent="0.2"/>
    <row r="897" s="197" customFormat="1" ht="12.75" x14ac:dyDescent="0.2"/>
    <row r="898" s="197" customFormat="1" ht="12.75" x14ac:dyDescent="0.2"/>
    <row r="899" s="197" customFormat="1" ht="12.75" x14ac:dyDescent="0.2"/>
    <row r="900" s="197" customFormat="1" ht="12.75" x14ac:dyDescent="0.2"/>
    <row r="901" s="197" customFormat="1" ht="12.75" x14ac:dyDescent="0.2"/>
    <row r="902" s="197" customFormat="1" ht="12.75" x14ac:dyDescent="0.2"/>
    <row r="903" s="197" customFormat="1" ht="12.75" x14ac:dyDescent="0.2"/>
    <row r="904" s="197" customFormat="1" ht="12.75" x14ac:dyDescent="0.2"/>
    <row r="905" s="197" customFormat="1" ht="12.75" x14ac:dyDescent="0.2"/>
    <row r="906" s="197" customFormat="1" ht="12.75" x14ac:dyDescent="0.2"/>
    <row r="907" s="197" customFormat="1" ht="12.75" x14ac:dyDescent="0.2"/>
    <row r="908" s="197" customFormat="1" ht="12.75" x14ac:dyDescent="0.2"/>
    <row r="909" s="197" customFormat="1" ht="12.75" x14ac:dyDescent="0.2"/>
    <row r="910" s="197" customFormat="1" ht="12.75" x14ac:dyDescent="0.2"/>
    <row r="911" s="197" customFormat="1" ht="12.75" x14ac:dyDescent="0.2"/>
    <row r="912" s="197" customFormat="1" ht="12.75" x14ac:dyDescent="0.2"/>
    <row r="913" s="197" customFormat="1" ht="12.75" x14ac:dyDescent="0.2"/>
    <row r="914" s="197" customFormat="1" ht="12.75" x14ac:dyDescent="0.2"/>
    <row r="915" s="197" customFormat="1" ht="12.75" x14ac:dyDescent="0.2"/>
    <row r="916" s="197" customFormat="1" ht="12.75" x14ac:dyDescent="0.2"/>
    <row r="917" s="197" customFormat="1" ht="12.75" x14ac:dyDescent="0.2"/>
    <row r="918" s="197" customFormat="1" ht="12.75" x14ac:dyDescent="0.2"/>
    <row r="919" s="197" customFormat="1" ht="12.75" x14ac:dyDescent="0.2"/>
    <row r="920" s="197" customFormat="1" ht="12.75" x14ac:dyDescent="0.2"/>
    <row r="921" s="197" customFormat="1" ht="12.75" x14ac:dyDescent="0.2"/>
    <row r="922" s="197" customFormat="1" ht="12.75" x14ac:dyDescent="0.2"/>
    <row r="923" s="197" customFormat="1" ht="12.75" x14ac:dyDescent="0.2"/>
    <row r="924" s="197" customFormat="1" ht="12.75" x14ac:dyDescent="0.2"/>
    <row r="925" s="197" customFormat="1" ht="12.75" x14ac:dyDescent="0.2"/>
    <row r="926" s="197" customFormat="1" ht="12.75" x14ac:dyDescent="0.2"/>
    <row r="927" s="197" customFormat="1" ht="12.75" x14ac:dyDescent="0.2"/>
    <row r="928" s="197" customFormat="1" ht="12.75" x14ac:dyDescent="0.2"/>
    <row r="929" s="197" customFormat="1" ht="12.75" x14ac:dyDescent="0.2"/>
    <row r="930" s="197" customFormat="1" ht="12.75" x14ac:dyDescent="0.2"/>
    <row r="931" s="197" customFormat="1" ht="12.75" x14ac:dyDescent="0.2"/>
    <row r="932" s="197" customFormat="1" ht="12.75" x14ac:dyDescent="0.2"/>
    <row r="933" s="197" customFormat="1" ht="12.75" x14ac:dyDescent="0.2"/>
    <row r="934" s="197" customFormat="1" ht="12.75" x14ac:dyDescent="0.2"/>
    <row r="935" s="197" customFormat="1" ht="12.75" x14ac:dyDescent="0.2"/>
    <row r="936" s="197" customFormat="1" ht="12.75" x14ac:dyDescent="0.2"/>
    <row r="937" s="197" customFormat="1" ht="12.75" x14ac:dyDescent="0.2"/>
    <row r="938" s="197" customFormat="1" ht="12.75" x14ac:dyDescent="0.2"/>
    <row r="939" s="197" customFormat="1" ht="12.75" x14ac:dyDescent="0.2"/>
    <row r="940" s="197" customFormat="1" ht="12.75" x14ac:dyDescent="0.2"/>
    <row r="941" s="197" customFormat="1" ht="12.75" x14ac:dyDescent="0.2"/>
    <row r="942" s="197" customFormat="1" ht="12.75" x14ac:dyDescent="0.2"/>
    <row r="943" s="197" customFormat="1" ht="12.75" x14ac:dyDescent="0.2"/>
    <row r="944" s="197" customFormat="1" ht="12.75" x14ac:dyDescent="0.2"/>
    <row r="945" s="197" customFormat="1" ht="12.75" x14ac:dyDescent="0.2"/>
    <row r="946" s="197" customFormat="1" ht="12.75" x14ac:dyDescent="0.2"/>
    <row r="947" s="197" customFormat="1" ht="12.75" x14ac:dyDescent="0.2"/>
    <row r="948" s="197" customFormat="1" ht="12.75" x14ac:dyDescent="0.2"/>
    <row r="949" s="197" customFormat="1" ht="12.75" x14ac:dyDescent="0.2"/>
    <row r="950" s="197" customFormat="1" ht="12.75" x14ac:dyDescent="0.2"/>
    <row r="951" s="197" customFormat="1" ht="12.75" x14ac:dyDescent="0.2"/>
    <row r="952" s="197" customFormat="1" ht="12.75" x14ac:dyDescent="0.2"/>
    <row r="953" s="197" customFormat="1" ht="12.75" x14ac:dyDescent="0.2"/>
    <row r="954" s="197" customFormat="1" ht="12.75" x14ac:dyDescent="0.2"/>
    <row r="955" s="197" customFormat="1" ht="12.75" x14ac:dyDescent="0.2"/>
    <row r="956" s="197" customFormat="1" ht="12.75" x14ac:dyDescent="0.2"/>
    <row r="957" s="197" customFormat="1" ht="12.75" x14ac:dyDescent="0.2"/>
    <row r="958" s="197" customFormat="1" ht="12.75" x14ac:dyDescent="0.2"/>
    <row r="959" s="197" customFormat="1" ht="12.75" x14ac:dyDescent="0.2"/>
    <row r="960" s="197" customFormat="1" ht="12.75" x14ac:dyDescent="0.2"/>
    <row r="961" s="197" customFormat="1" ht="12.75" x14ac:dyDescent="0.2"/>
    <row r="962" s="197" customFormat="1" ht="12.75" x14ac:dyDescent="0.2"/>
    <row r="963" s="197" customFormat="1" ht="12.75" x14ac:dyDescent="0.2"/>
    <row r="964" s="197" customFormat="1" ht="12.75" x14ac:dyDescent="0.2"/>
    <row r="965" s="197" customFormat="1" ht="12.75" x14ac:dyDescent="0.2"/>
    <row r="966" s="197" customFormat="1" ht="12.75" x14ac:dyDescent="0.2"/>
    <row r="967" s="197" customFormat="1" ht="12.75" x14ac:dyDescent="0.2"/>
    <row r="968" s="197" customFormat="1" ht="12.75" x14ac:dyDescent="0.2"/>
    <row r="969" s="197" customFormat="1" ht="12.75" x14ac:dyDescent="0.2"/>
    <row r="970" s="197" customFormat="1" ht="12.75" x14ac:dyDescent="0.2"/>
    <row r="971" s="197" customFormat="1" ht="12.75" x14ac:dyDescent="0.2"/>
    <row r="972" s="197" customFormat="1" ht="12.75" x14ac:dyDescent="0.2"/>
    <row r="973" s="197" customFormat="1" ht="12.75" x14ac:dyDescent="0.2"/>
    <row r="974" s="197" customFormat="1" ht="12.75" x14ac:dyDescent="0.2"/>
    <row r="975" s="197" customFormat="1" ht="12.75" x14ac:dyDescent="0.2"/>
    <row r="976" s="197" customFormat="1" ht="12.75" x14ac:dyDescent="0.2"/>
    <row r="977" s="197" customFormat="1" ht="12.75" x14ac:dyDescent="0.2"/>
    <row r="978" s="197" customFormat="1" ht="12.75" x14ac:dyDescent="0.2"/>
    <row r="979" s="197" customFormat="1" ht="12.75" x14ac:dyDescent="0.2"/>
    <row r="980" s="197" customFormat="1" ht="12.75" x14ac:dyDescent="0.2"/>
    <row r="981" s="197" customFormat="1" ht="12.75" x14ac:dyDescent="0.2"/>
    <row r="982" s="197" customFormat="1" ht="12.75" x14ac:dyDescent="0.2"/>
    <row r="983" s="197" customFormat="1" ht="12.75" x14ac:dyDescent="0.2"/>
    <row r="984" s="197" customFormat="1" ht="12.75" x14ac:dyDescent="0.2"/>
    <row r="985" s="197" customFormat="1" ht="12.75" x14ac:dyDescent="0.2"/>
    <row r="986" s="197" customFormat="1" ht="12.75" x14ac:dyDescent="0.2"/>
    <row r="987" s="197" customFormat="1" ht="12.75" x14ac:dyDescent="0.2"/>
    <row r="988" s="197" customFormat="1" ht="12.75" x14ac:dyDescent="0.2"/>
    <row r="989" s="197" customFormat="1" ht="12.75" x14ac:dyDescent="0.2"/>
    <row r="990" s="197" customFormat="1" ht="12.75" x14ac:dyDescent="0.2"/>
    <row r="991" s="197" customFormat="1" ht="12.75" x14ac:dyDescent="0.2"/>
    <row r="992" s="197" customFormat="1" ht="12.75" x14ac:dyDescent="0.2"/>
    <row r="993" s="197" customFormat="1" ht="12.75" x14ac:dyDescent="0.2"/>
    <row r="994" s="197" customFormat="1" ht="12.75" x14ac:dyDescent="0.2"/>
    <row r="995" s="197" customFormat="1" ht="12.75" x14ac:dyDescent="0.2"/>
    <row r="996" s="197" customFormat="1" ht="12.75" x14ac:dyDescent="0.2"/>
    <row r="997" s="197" customFormat="1" ht="12.75" x14ac:dyDescent="0.2"/>
    <row r="998" s="197" customFormat="1" ht="12.75" x14ac:dyDescent="0.2"/>
    <row r="999" s="197" customFormat="1" ht="12.75" x14ac:dyDescent="0.2"/>
    <row r="1000" s="197" customFormat="1" ht="12.75" x14ac:dyDescent="0.2"/>
    <row r="1001" s="197" customFormat="1" ht="12.75" x14ac:dyDescent="0.2"/>
    <row r="1002" s="197" customFormat="1" ht="12.75" x14ac:dyDescent="0.2"/>
    <row r="1003" s="197" customFormat="1" ht="12.75" x14ac:dyDescent="0.2"/>
    <row r="1004" s="197" customFormat="1" ht="12.75" x14ac:dyDescent="0.2"/>
    <row r="1005" s="197" customFormat="1" ht="12.75" x14ac:dyDescent="0.2"/>
    <row r="1006" s="197" customFormat="1" ht="12.75" x14ac:dyDescent="0.2"/>
    <row r="1007" s="197" customFormat="1" ht="12.75" x14ac:dyDescent="0.2"/>
    <row r="1008" s="197" customFormat="1" ht="12.75" x14ac:dyDescent="0.2"/>
    <row r="1009" s="197" customFormat="1" ht="12.75" x14ac:dyDescent="0.2"/>
    <row r="1010" s="197" customFormat="1" ht="12.75" x14ac:dyDescent="0.2"/>
    <row r="1011" s="197" customFormat="1" ht="12.75" x14ac:dyDescent="0.2"/>
    <row r="1012" s="197" customFormat="1" ht="12.75" x14ac:dyDescent="0.2"/>
    <row r="1013" s="197" customFormat="1" ht="12.75" x14ac:dyDescent="0.2"/>
    <row r="1014" s="197" customFormat="1" ht="12.75" x14ac:dyDescent="0.2"/>
    <row r="1015" s="197" customFormat="1" ht="12.75" x14ac:dyDescent="0.2"/>
    <row r="1016" s="197" customFormat="1" ht="12.75" x14ac:dyDescent="0.2"/>
    <row r="1017" s="197" customFormat="1" ht="12.75" x14ac:dyDescent="0.2"/>
    <row r="1018" s="197" customFormat="1" ht="12.75" x14ac:dyDescent="0.2"/>
    <row r="1019" s="197" customFormat="1" ht="12.75" x14ac:dyDescent="0.2"/>
    <row r="1020" s="197" customFormat="1" ht="12.75" x14ac:dyDescent="0.2"/>
    <row r="1021" s="197" customFormat="1" ht="12.75" x14ac:dyDescent="0.2"/>
    <row r="1022" s="197" customFormat="1" ht="12.75" x14ac:dyDescent="0.2"/>
    <row r="1023" s="197" customFormat="1" ht="12.75" x14ac:dyDescent="0.2"/>
    <row r="1024" s="197" customFormat="1" ht="12.75" x14ac:dyDescent="0.2"/>
    <row r="1025" s="197" customFormat="1" ht="12.75" x14ac:dyDescent="0.2"/>
    <row r="1026" s="197" customFormat="1" ht="12.75" x14ac:dyDescent="0.2"/>
    <row r="1027" s="197" customFormat="1" ht="12.75" x14ac:dyDescent="0.2"/>
    <row r="1028" s="197" customFormat="1" ht="12.75" x14ac:dyDescent="0.2"/>
    <row r="1029" s="197" customFormat="1" ht="12.75" x14ac:dyDescent="0.2"/>
    <row r="1030" s="197" customFormat="1" ht="12.75" x14ac:dyDescent="0.2"/>
    <row r="1031" s="197" customFormat="1" ht="12.75" x14ac:dyDescent="0.2"/>
    <row r="1032" s="197" customFormat="1" ht="12.75" x14ac:dyDescent="0.2"/>
    <row r="1033" s="197" customFormat="1" ht="12.75" x14ac:dyDescent="0.2"/>
    <row r="1034" s="197" customFormat="1" ht="12.75" x14ac:dyDescent="0.2"/>
    <row r="1035" s="197" customFormat="1" ht="12.75" x14ac:dyDescent="0.2"/>
    <row r="1036" s="197" customFormat="1" ht="12.75" x14ac:dyDescent="0.2"/>
    <row r="1037" s="197" customFormat="1" ht="12.75" x14ac:dyDescent="0.2"/>
    <row r="1038" s="197" customFormat="1" ht="12.75" x14ac:dyDescent="0.2"/>
    <row r="1039" s="197" customFormat="1" ht="12.75" x14ac:dyDescent="0.2"/>
    <row r="1040" s="197" customFormat="1" ht="12.75" x14ac:dyDescent="0.2"/>
    <row r="1041" s="197" customFormat="1" ht="12.75" x14ac:dyDescent="0.2"/>
    <row r="1042" s="197" customFormat="1" ht="12.75" x14ac:dyDescent="0.2"/>
    <row r="1043" s="197" customFormat="1" ht="12.75" x14ac:dyDescent="0.2"/>
    <row r="1044" s="197" customFormat="1" ht="12.75" x14ac:dyDescent="0.2"/>
    <row r="1045" s="197" customFormat="1" ht="12.75" x14ac:dyDescent="0.2"/>
    <row r="1046" s="197" customFormat="1" ht="12.75" x14ac:dyDescent="0.2"/>
    <row r="1047" s="197" customFormat="1" ht="12.75" x14ac:dyDescent="0.2"/>
    <row r="1048" s="197" customFormat="1" ht="12.75" x14ac:dyDescent="0.2"/>
    <row r="1049" s="197" customFormat="1" ht="12.75" x14ac:dyDescent="0.2"/>
    <row r="1050" s="197" customFormat="1" ht="12.75" x14ac:dyDescent="0.2"/>
    <row r="1051" s="197" customFormat="1" ht="12.75" x14ac:dyDescent="0.2"/>
    <row r="1052" s="197" customFormat="1" ht="12.75" x14ac:dyDescent="0.2"/>
    <row r="1053" s="197" customFormat="1" ht="12.75" x14ac:dyDescent="0.2"/>
    <row r="1054" s="197" customFormat="1" ht="12.75" x14ac:dyDescent="0.2"/>
    <row r="1055" s="197" customFormat="1" ht="12.75" x14ac:dyDescent="0.2"/>
    <row r="1056" s="197" customFormat="1" ht="12.75" x14ac:dyDescent="0.2"/>
    <row r="1057" s="197" customFormat="1" ht="12.75" x14ac:dyDescent="0.2"/>
    <row r="1058" s="197" customFormat="1" ht="12.75" x14ac:dyDescent="0.2"/>
    <row r="1059" s="197" customFormat="1" ht="12.75" x14ac:dyDescent="0.2"/>
    <row r="1060" s="197" customFormat="1" ht="12.75" x14ac:dyDescent="0.2"/>
    <row r="1061" s="197" customFormat="1" ht="12.75" x14ac:dyDescent="0.2"/>
    <row r="1062" s="197" customFormat="1" ht="12.75" x14ac:dyDescent="0.2"/>
    <row r="1063" s="197" customFormat="1" ht="12.75" x14ac:dyDescent="0.2"/>
    <row r="1064" s="197" customFormat="1" ht="12.75" x14ac:dyDescent="0.2"/>
    <row r="1065" s="197" customFormat="1" ht="12.75" x14ac:dyDescent="0.2"/>
    <row r="1066" s="197" customFormat="1" ht="12.75" x14ac:dyDescent="0.2"/>
    <row r="1067" s="197" customFormat="1" ht="12.75" x14ac:dyDescent="0.2"/>
    <row r="1068" s="197" customFormat="1" ht="12.75" x14ac:dyDescent="0.2"/>
    <row r="1069" s="197" customFormat="1" ht="12.75" x14ac:dyDescent="0.2"/>
    <row r="1070" s="197" customFormat="1" ht="12.75" x14ac:dyDescent="0.2"/>
    <row r="1071" s="197" customFormat="1" ht="12.75" x14ac:dyDescent="0.2"/>
    <row r="1072" s="197" customFormat="1" ht="12.75" x14ac:dyDescent="0.2"/>
    <row r="1073" s="197" customFormat="1" ht="12.75" x14ac:dyDescent="0.2"/>
    <row r="1074" s="197" customFormat="1" ht="12.75" x14ac:dyDescent="0.2"/>
    <row r="1075" s="197" customFormat="1" ht="12.75" x14ac:dyDescent="0.2"/>
    <row r="1076" s="197" customFormat="1" ht="12.75" x14ac:dyDescent="0.2"/>
    <row r="1077" s="197" customFormat="1" ht="12.75" x14ac:dyDescent="0.2"/>
    <row r="1078" s="197" customFormat="1" ht="12.75" x14ac:dyDescent="0.2"/>
    <row r="1079" s="197" customFormat="1" ht="12.75" x14ac:dyDescent="0.2"/>
    <row r="1080" s="197" customFormat="1" ht="12.75" x14ac:dyDescent="0.2"/>
    <row r="1081" s="197" customFormat="1" ht="12.75" x14ac:dyDescent="0.2"/>
    <row r="1082" s="197" customFormat="1" ht="12.75" x14ac:dyDescent="0.2"/>
    <row r="1083" s="197" customFormat="1" ht="12.75" x14ac:dyDescent="0.2"/>
    <row r="1084" s="197" customFormat="1" ht="12.75" x14ac:dyDescent="0.2"/>
    <row r="1085" s="197" customFormat="1" ht="12.75" x14ac:dyDescent="0.2"/>
    <row r="1086" s="197" customFormat="1" ht="12.75" x14ac:dyDescent="0.2"/>
    <row r="1087" s="197" customFormat="1" ht="12.75" x14ac:dyDescent="0.2"/>
    <row r="1088" s="197" customFormat="1" ht="12.75" x14ac:dyDescent="0.2"/>
    <row r="1089" s="197" customFormat="1" ht="12.75" x14ac:dyDescent="0.2"/>
    <row r="1090" s="197" customFormat="1" ht="12.75" x14ac:dyDescent="0.2"/>
    <row r="1091" s="197" customFormat="1" ht="12.75" x14ac:dyDescent="0.2"/>
    <row r="1092" s="197" customFormat="1" ht="12.75" x14ac:dyDescent="0.2"/>
    <row r="1093" s="197" customFormat="1" ht="12.75" x14ac:dyDescent="0.2"/>
    <row r="1094" s="197" customFormat="1" ht="12.75" x14ac:dyDescent="0.2"/>
    <row r="1095" s="197" customFormat="1" ht="12.75" x14ac:dyDescent="0.2"/>
    <row r="1096" s="197" customFormat="1" ht="12.75" x14ac:dyDescent="0.2"/>
    <row r="1097" s="197" customFormat="1" ht="12.75" x14ac:dyDescent="0.2"/>
    <row r="1098" s="197" customFormat="1" ht="12.75" x14ac:dyDescent="0.2"/>
    <row r="1099" s="197" customFormat="1" ht="12.75" x14ac:dyDescent="0.2"/>
    <row r="1100" s="197" customFormat="1" ht="12.75" x14ac:dyDescent="0.2"/>
    <row r="1101" s="197" customFormat="1" ht="12.75" x14ac:dyDescent="0.2"/>
    <row r="1102" s="197" customFormat="1" ht="12.75" x14ac:dyDescent="0.2"/>
    <row r="1103" s="197" customFormat="1" ht="12.75" x14ac:dyDescent="0.2"/>
    <row r="1104" s="197" customFormat="1" ht="12.75" x14ac:dyDescent="0.2"/>
    <row r="1105" s="197" customFormat="1" ht="12.75" x14ac:dyDescent="0.2"/>
    <row r="1106" s="197" customFormat="1" ht="12.75" x14ac:dyDescent="0.2"/>
    <row r="1107" s="197" customFormat="1" ht="12.75" x14ac:dyDescent="0.2"/>
    <row r="1108" s="197" customFormat="1" ht="12.75" x14ac:dyDescent="0.2"/>
    <row r="1109" s="197" customFormat="1" ht="12.75" x14ac:dyDescent="0.2"/>
    <row r="1110" s="197" customFormat="1" ht="12.75" x14ac:dyDescent="0.2"/>
    <row r="1111" s="197" customFormat="1" ht="12.75" x14ac:dyDescent="0.2"/>
    <row r="1112" s="197" customFormat="1" ht="12.75" x14ac:dyDescent="0.2"/>
    <row r="1113" s="197" customFormat="1" ht="12.75" x14ac:dyDescent="0.2"/>
    <row r="1114" s="197" customFormat="1" ht="12.75" x14ac:dyDescent="0.2"/>
    <row r="1115" s="197" customFormat="1" ht="12.75" x14ac:dyDescent="0.2"/>
    <row r="1116" s="197" customFormat="1" ht="12.75" x14ac:dyDescent="0.2"/>
    <row r="1117" s="197" customFormat="1" ht="12.75" x14ac:dyDescent="0.2"/>
    <row r="1118" s="197" customFormat="1" ht="12.75" x14ac:dyDescent="0.2"/>
    <row r="1119" s="197" customFormat="1" ht="12.75" x14ac:dyDescent="0.2"/>
    <row r="1120" s="197" customFormat="1" ht="12.75" x14ac:dyDescent="0.2"/>
    <row r="1121" s="197" customFormat="1" ht="12.75" x14ac:dyDescent="0.2"/>
    <row r="1122" s="197" customFormat="1" ht="12.75" x14ac:dyDescent="0.2"/>
    <row r="1123" s="197" customFormat="1" ht="12.75" x14ac:dyDescent="0.2"/>
    <row r="1124" s="197" customFormat="1" ht="12.75" x14ac:dyDescent="0.2"/>
    <row r="1125" s="197" customFormat="1" ht="12.75" x14ac:dyDescent="0.2"/>
    <row r="1126" s="197" customFormat="1" ht="12.75" x14ac:dyDescent="0.2"/>
    <row r="1127" s="197" customFormat="1" ht="12.75" x14ac:dyDescent="0.2"/>
    <row r="1128" s="197" customFormat="1" ht="12.75" x14ac:dyDescent="0.2"/>
    <row r="1129" s="197" customFormat="1" ht="12.75" x14ac:dyDescent="0.2"/>
    <row r="1130" s="197" customFormat="1" ht="12.75" x14ac:dyDescent="0.2"/>
    <row r="1131" s="197" customFormat="1" ht="12.75" x14ac:dyDescent="0.2"/>
    <row r="1132" s="197" customFormat="1" ht="12.75" x14ac:dyDescent="0.2"/>
    <row r="1133" s="197" customFormat="1" ht="12.75" x14ac:dyDescent="0.2"/>
    <row r="1134" s="197" customFormat="1" ht="12.75" x14ac:dyDescent="0.2"/>
    <row r="1135" s="197" customFormat="1" ht="12.75" x14ac:dyDescent="0.2"/>
    <row r="1136" s="197" customFormat="1" ht="12.75" x14ac:dyDescent="0.2"/>
    <row r="1137" s="197" customFormat="1" ht="12.75" x14ac:dyDescent="0.2"/>
    <row r="1138" s="197" customFormat="1" ht="12.75" x14ac:dyDescent="0.2"/>
    <row r="1139" s="197" customFormat="1" ht="12.75" x14ac:dyDescent="0.2"/>
    <row r="1140" s="197" customFormat="1" ht="12.75" x14ac:dyDescent="0.2"/>
    <row r="1141" s="197" customFormat="1" ht="12.75" x14ac:dyDescent="0.2"/>
    <row r="1142" s="197" customFormat="1" ht="12.75" x14ac:dyDescent="0.2"/>
    <row r="1143" s="197" customFormat="1" ht="12.75" x14ac:dyDescent="0.2"/>
    <row r="1144" s="197" customFormat="1" ht="12.75" x14ac:dyDescent="0.2"/>
    <row r="1145" s="197" customFormat="1" ht="12.75" x14ac:dyDescent="0.2"/>
    <row r="1146" s="197" customFormat="1" ht="12.75" x14ac:dyDescent="0.2"/>
    <row r="1147" s="197" customFormat="1" ht="12.75" x14ac:dyDescent="0.2"/>
    <row r="1148" s="197" customFormat="1" ht="12.75" x14ac:dyDescent="0.2"/>
    <row r="1149" s="197" customFormat="1" ht="12.75" x14ac:dyDescent="0.2"/>
    <row r="1150" s="197" customFormat="1" ht="12.75" x14ac:dyDescent="0.2"/>
    <row r="1151" s="197" customFormat="1" ht="12.75" x14ac:dyDescent="0.2"/>
    <row r="1152" s="197" customFormat="1" ht="12.75" x14ac:dyDescent="0.2"/>
    <row r="1153" s="197" customFormat="1" ht="12.75" x14ac:dyDescent="0.2"/>
    <row r="1154" s="197" customFormat="1" ht="12.75" x14ac:dyDescent="0.2"/>
    <row r="1155" s="197" customFormat="1" ht="12.75" x14ac:dyDescent="0.2"/>
    <row r="1156" s="197" customFormat="1" ht="12.75" x14ac:dyDescent="0.2"/>
    <row r="1157" s="197" customFormat="1" ht="12.75" x14ac:dyDescent="0.2"/>
    <row r="1158" s="197" customFormat="1" ht="12.75" x14ac:dyDescent="0.2"/>
    <row r="1159" s="197" customFormat="1" ht="12.75" x14ac:dyDescent="0.2"/>
    <row r="1160" s="197" customFormat="1" ht="12.75" x14ac:dyDescent="0.2"/>
    <row r="1161" s="197" customFormat="1" ht="12.75" x14ac:dyDescent="0.2"/>
    <row r="1162" s="197" customFormat="1" ht="12.75" x14ac:dyDescent="0.2"/>
    <row r="1163" s="197" customFormat="1" ht="12.75" x14ac:dyDescent="0.2"/>
    <row r="1164" s="197" customFormat="1" ht="12.75" x14ac:dyDescent="0.2"/>
    <row r="1165" s="197" customFormat="1" ht="12.75" x14ac:dyDescent="0.2"/>
    <row r="1166" s="197" customFormat="1" ht="12.75" x14ac:dyDescent="0.2"/>
    <row r="1167" s="197" customFormat="1" ht="12.75" x14ac:dyDescent="0.2"/>
    <row r="1168" s="197" customFormat="1" ht="12.75" x14ac:dyDescent="0.2"/>
    <row r="1169" s="197" customFormat="1" ht="12.75" x14ac:dyDescent="0.2"/>
    <row r="1170" s="197" customFormat="1" ht="12.75" x14ac:dyDescent="0.2"/>
    <row r="1171" s="197" customFormat="1" ht="12.75" x14ac:dyDescent="0.2"/>
    <row r="1172" s="197" customFormat="1" ht="12.75" x14ac:dyDescent="0.2"/>
    <row r="1173" s="197" customFormat="1" ht="12.75" x14ac:dyDescent="0.2"/>
    <row r="1174" s="197" customFormat="1" ht="12.75" x14ac:dyDescent="0.2"/>
    <row r="1175" s="197" customFormat="1" ht="12.75" x14ac:dyDescent="0.2"/>
    <row r="1176" s="197" customFormat="1" ht="12.75" x14ac:dyDescent="0.2"/>
    <row r="1177" s="197" customFormat="1" ht="12.75" x14ac:dyDescent="0.2"/>
    <row r="1178" s="197" customFormat="1" ht="12.75" x14ac:dyDescent="0.2"/>
    <row r="1179" s="197" customFormat="1" ht="12.75" x14ac:dyDescent="0.2"/>
    <row r="1180" s="197" customFormat="1" ht="12.75" x14ac:dyDescent="0.2"/>
    <row r="1181" s="197" customFormat="1" ht="12.75" x14ac:dyDescent="0.2"/>
    <row r="1182" s="197" customFormat="1" ht="12.75" x14ac:dyDescent="0.2"/>
    <row r="1183" s="197" customFormat="1" ht="12.75" x14ac:dyDescent="0.2"/>
    <row r="1184" s="197" customFormat="1" ht="12.75" x14ac:dyDescent="0.2"/>
    <row r="1185" s="197" customFormat="1" ht="12.75" x14ac:dyDescent="0.2"/>
    <row r="1186" s="197" customFormat="1" ht="12.75" x14ac:dyDescent="0.2"/>
    <row r="1187" s="197" customFormat="1" ht="12.75" x14ac:dyDescent="0.2"/>
    <row r="1188" s="197" customFormat="1" ht="12.75" x14ac:dyDescent="0.2"/>
    <row r="1189" s="197" customFormat="1" ht="12.75" x14ac:dyDescent="0.2"/>
    <row r="1190" s="197" customFormat="1" ht="12.75" x14ac:dyDescent="0.2"/>
    <row r="1191" s="197" customFormat="1" ht="12.75" x14ac:dyDescent="0.2"/>
    <row r="1192" s="197" customFormat="1" ht="12.75" x14ac:dyDescent="0.2"/>
    <row r="1193" s="197" customFormat="1" ht="12.75" x14ac:dyDescent="0.2"/>
    <row r="1194" s="197" customFormat="1" ht="12.75" x14ac:dyDescent="0.2"/>
    <row r="1195" s="197" customFormat="1" ht="12.75" x14ac:dyDescent="0.2"/>
    <row r="1196" s="197" customFormat="1" ht="12.75" x14ac:dyDescent="0.2"/>
    <row r="1197" s="197" customFormat="1" ht="12.75" x14ac:dyDescent="0.2"/>
    <row r="1198" s="197" customFormat="1" ht="12.75" x14ac:dyDescent="0.2"/>
    <row r="1199" s="197" customFormat="1" ht="12.75" x14ac:dyDescent="0.2"/>
    <row r="1200" s="197" customFormat="1" ht="12.75" x14ac:dyDescent="0.2"/>
    <row r="1201" s="197" customFormat="1" ht="12.75" x14ac:dyDescent="0.2"/>
    <row r="1202" s="197" customFormat="1" ht="12.75" x14ac:dyDescent="0.2"/>
    <row r="1203" s="197" customFormat="1" ht="12.75" x14ac:dyDescent="0.2"/>
    <row r="1204" s="197" customFormat="1" ht="12.75" x14ac:dyDescent="0.2"/>
    <row r="1205" s="197" customFormat="1" ht="12.75" x14ac:dyDescent="0.2"/>
    <row r="1206" s="197" customFormat="1" ht="12.75" x14ac:dyDescent="0.2"/>
    <row r="1207" s="197" customFormat="1" ht="12.75" x14ac:dyDescent="0.2"/>
    <row r="1208" s="197" customFormat="1" ht="12.75" x14ac:dyDescent="0.2"/>
    <row r="1209" s="197" customFormat="1" ht="12.75" x14ac:dyDescent="0.2"/>
    <row r="1210" s="197" customFormat="1" ht="12.75" x14ac:dyDescent="0.2"/>
    <row r="1211" s="197" customFormat="1" ht="12.75" x14ac:dyDescent="0.2"/>
    <row r="1212" s="197" customFormat="1" ht="12.75" x14ac:dyDescent="0.2"/>
    <row r="1213" s="197" customFormat="1" ht="12.75" x14ac:dyDescent="0.2"/>
    <row r="1214" s="197" customFormat="1" ht="12.75" x14ac:dyDescent="0.2"/>
    <row r="1215" s="197" customFormat="1" ht="12.75" x14ac:dyDescent="0.2"/>
    <row r="1216" s="197" customFormat="1" ht="12.75" x14ac:dyDescent="0.2"/>
    <row r="1217" s="197" customFormat="1" ht="12.75" x14ac:dyDescent="0.2"/>
    <row r="1218" s="197" customFormat="1" ht="12.75" x14ac:dyDescent="0.2"/>
    <row r="1219" s="197" customFormat="1" ht="12.75" x14ac:dyDescent="0.2"/>
    <row r="1220" s="197" customFormat="1" ht="12.75" x14ac:dyDescent="0.2"/>
    <row r="1221" s="197" customFormat="1" ht="12.75" x14ac:dyDescent="0.2"/>
    <row r="1222" s="197" customFormat="1" ht="12.75" x14ac:dyDescent="0.2"/>
    <row r="1223" s="197" customFormat="1" ht="12.75" x14ac:dyDescent="0.2"/>
    <row r="1224" s="197" customFormat="1" ht="12.75" x14ac:dyDescent="0.2"/>
    <row r="1225" s="197" customFormat="1" ht="12.75" x14ac:dyDescent="0.2"/>
    <row r="1226" s="197" customFormat="1" ht="12.75" x14ac:dyDescent="0.2"/>
    <row r="1227" s="197" customFormat="1" ht="12.75" x14ac:dyDescent="0.2"/>
    <row r="1228" s="197" customFormat="1" ht="12.75" x14ac:dyDescent="0.2"/>
    <row r="1229" s="197" customFormat="1" ht="12.75" x14ac:dyDescent="0.2"/>
    <row r="1230" s="197" customFormat="1" ht="12.75" x14ac:dyDescent="0.2"/>
    <row r="1231" s="197" customFormat="1" ht="12.75" x14ac:dyDescent="0.2"/>
    <row r="1232" s="197" customFormat="1" ht="12.75" x14ac:dyDescent="0.2"/>
    <row r="1233" s="197" customFormat="1" ht="12.75" x14ac:dyDescent="0.2"/>
    <row r="1234" s="197" customFormat="1" ht="12.75" x14ac:dyDescent="0.2"/>
    <row r="1235" s="197" customFormat="1" ht="12.75" x14ac:dyDescent="0.2"/>
    <row r="1236" s="197" customFormat="1" ht="12.75" x14ac:dyDescent="0.2"/>
    <row r="1237" s="197" customFormat="1" ht="12.75" x14ac:dyDescent="0.2"/>
    <row r="1238" s="197" customFormat="1" ht="12.75" x14ac:dyDescent="0.2"/>
    <row r="1239" s="197" customFormat="1" ht="12.75" x14ac:dyDescent="0.2"/>
    <row r="1240" s="197" customFormat="1" ht="12.75" x14ac:dyDescent="0.2"/>
    <row r="1241" s="197" customFormat="1" ht="12.75" x14ac:dyDescent="0.2"/>
    <row r="1242" s="197" customFormat="1" ht="12.75" x14ac:dyDescent="0.2"/>
    <row r="1243" s="197" customFormat="1" ht="12.75" x14ac:dyDescent="0.2"/>
    <row r="1244" s="197" customFormat="1" ht="12.75" x14ac:dyDescent="0.2"/>
    <row r="1245" s="197" customFormat="1" ht="12.75" x14ac:dyDescent="0.2"/>
    <row r="1246" s="197" customFormat="1" ht="12.75" x14ac:dyDescent="0.2"/>
    <row r="1247" s="197" customFormat="1" ht="12.75" x14ac:dyDescent="0.2"/>
    <row r="1248" s="197" customFormat="1" ht="12.75" x14ac:dyDescent="0.2"/>
    <row r="1249" s="197" customFormat="1" ht="12.75" x14ac:dyDescent="0.2"/>
    <row r="1250" s="197" customFormat="1" ht="12.75" x14ac:dyDescent="0.2"/>
    <row r="1251" s="197" customFormat="1" ht="12.75" x14ac:dyDescent="0.2"/>
    <row r="1252" s="197" customFormat="1" ht="12.75" x14ac:dyDescent="0.2"/>
    <row r="1253" s="197" customFormat="1" ht="12.75" x14ac:dyDescent="0.2"/>
    <row r="1254" s="197" customFormat="1" ht="12.75" x14ac:dyDescent="0.2"/>
    <row r="1255" s="197" customFormat="1" ht="12.75" x14ac:dyDescent="0.2"/>
    <row r="1256" s="197" customFormat="1" ht="12.75" x14ac:dyDescent="0.2"/>
    <row r="1257" s="197" customFormat="1" ht="12.75" x14ac:dyDescent="0.2"/>
    <row r="1258" s="197" customFormat="1" ht="12.75" x14ac:dyDescent="0.2"/>
    <row r="1259" s="197" customFormat="1" ht="12.75" x14ac:dyDescent="0.2"/>
    <row r="1260" s="197" customFormat="1" ht="12.75" x14ac:dyDescent="0.2"/>
    <row r="1261" s="197" customFormat="1" ht="12.75" x14ac:dyDescent="0.2"/>
    <row r="1262" s="197" customFormat="1" ht="12.75" x14ac:dyDescent="0.2"/>
    <row r="1263" s="197" customFormat="1" ht="12.75" x14ac:dyDescent="0.2"/>
    <row r="1264" s="197" customFormat="1" ht="12.75" x14ac:dyDescent="0.2"/>
    <row r="1265" s="197" customFormat="1" ht="12.75" x14ac:dyDescent="0.2"/>
    <row r="1266" s="197" customFormat="1" ht="12.75" x14ac:dyDescent="0.2"/>
    <row r="1267" s="197" customFormat="1" ht="12.75" x14ac:dyDescent="0.2"/>
    <row r="1268" s="197" customFormat="1" ht="12.75" x14ac:dyDescent="0.2"/>
    <row r="1269" s="197" customFormat="1" ht="12.75" x14ac:dyDescent="0.2"/>
    <row r="1270" s="197" customFormat="1" ht="12.75" x14ac:dyDescent="0.2"/>
    <row r="1271" s="197" customFormat="1" ht="12.75" x14ac:dyDescent="0.2"/>
    <row r="1272" s="197" customFormat="1" ht="12.75" x14ac:dyDescent="0.2"/>
    <row r="1273" s="197" customFormat="1" ht="12.75" x14ac:dyDescent="0.2"/>
    <row r="1274" s="197" customFormat="1" ht="12.75" x14ac:dyDescent="0.2"/>
    <row r="1275" s="197" customFormat="1" ht="12.75" x14ac:dyDescent="0.2"/>
    <row r="1276" s="197" customFormat="1" ht="12.75" x14ac:dyDescent="0.2"/>
    <row r="1277" s="197" customFormat="1" ht="12.75" x14ac:dyDescent="0.2"/>
    <row r="1278" s="197" customFormat="1" ht="12.75" x14ac:dyDescent="0.2"/>
    <row r="1279" s="197" customFormat="1" ht="12.75" x14ac:dyDescent="0.2"/>
    <row r="1280" s="197" customFormat="1" ht="12.75" x14ac:dyDescent="0.2"/>
    <row r="1281" s="197" customFormat="1" ht="12.75" x14ac:dyDescent="0.2"/>
    <row r="1282" s="197" customFormat="1" ht="12.75" x14ac:dyDescent="0.2"/>
    <row r="1283" s="197" customFormat="1" ht="12.75" x14ac:dyDescent="0.2"/>
    <row r="1284" s="197" customFormat="1" ht="12.75" x14ac:dyDescent="0.2"/>
    <row r="1285" s="197" customFormat="1" ht="12.75" x14ac:dyDescent="0.2"/>
    <row r="1286" s="197" customFormat="1" ht="12.75" x14ac:dyDescent="0.2"/>
    <row r="1287" s="197" customFormat="1" ht="12.75" x14ac:dyDescent="0.2"/>
    <row r="1288" s="197" customFormat="1" ht="12.75" x14ac:dyDescent="0.2"/>
    <row r="1289" s="197" customFormat="1" ht="12.75" x14ac:dyDescent="0.2"/>
    <row r="1290" s="197" customFormat="1" ht="12.75" x14ac:dyDescent="0.2"/>
    <row r="1291" s="197" customFormat="1" ht="12.75" x14ac:dyDescent="0.2"/>
    <row r="1292" s="197" customFormat="1" ht="12.75" x14ac:dyDescent="0.2"/>
    <row r="1293" s="197" customFormat="1" ht="12.75" x14ac:dyDescent="0.2"/>
    <row r="1294" s="197" customFormat="1" ht="12.75" x14ac:dyDescent="0.2"/>
    <row r="1295" s="197" customFormat="1" ht="12.75" x14ac:dyDescent="0.2"/>
    <row r="1296" s="197" customFormat="1" ht="12.75" x14ac:dyDescent="0.2"/>
    <row r="1297" s="197" customFormat="1" ht="12.75" x14ac:dyDescent="0.2"/>
    <row r="1298" s="197" customFormat="1" ht="12.75" x14ac:dyDescent="0.2"/>
    <row r="1299" s="197" customFormat="1" ht="12.75" x14ac:dyDescent="0.2"/>
    <row r="1300" s="197" customFormat="1" ht="12.75" x14ac:dyDescent="0.2"/>
    <row r="1301" s="197" customFormat="1" ht="12.75" x14ac:dyDescent="0.2"/>
    <row r="1302" s="197" customFormat="1" ht="12.75" x14ac:dyDescent="0.2"/>
    <row r="1303" s="197" customFormat="1" ht="12.75" x14ac:dyDescent="0.2"/>
    <row r="1304" s="197" customFormat="1" ht="12.75" x14ac:dyDescent="0.2"/>
    <row r="1305" s="197" customFormat="1" ht="12.75" x14ac:dyDescent="0.2"/>
    <row r="1306" s="197" customFormat="1" ht="12.75" x14ac:dyDescent="0.2"/>
    <row r="1307" s="197" customFormat="1" ht="12.75" x14ac:dyDescent="0.2"/>
    <row r="1308" s="197" customFormat="1" ht="12.75" x14ac:dyDescent="0.2"/>
    <row r="1309" s="197" customFormat="1" ht="12.75" x14ac:dyDescent="0.2"/>
    <row r="1310" s="197" customFormat="1" ht="12.75" x14ac:dyDescent="0.2"/>
    <row r="1311" s="197" customFormat="1" ht="12.75" x14ac:dyDescent="0.2"/>
    <row r="1312" s="197" customFormat="1" ht="12.75" x14ac:dyDescent="0.2"/>
    <row r="1313" s="197" customFormat="1" ht="12.75" x14ac:dyDescent="0.2"/>
    <row r="1314" s="197" customFormat="1" ht="12.75" x14ac:dyDescent="0.2"/>
    <row r="1315" s="197" customFormat="1" ht="12.75" x14ac:dyDescent="0.2"/>
    <row r="1316" s="197" customFormat="1" ht="12.75" x14ac:dyDescent="0.2"/>
    <row r="1317" s="197" customFormat="1" ht="12.75" x14ac:dyDescent="0.2"/>
    <row r="1318" s="197" customFormat="1" ht="12.75" x14ac:dyDescent="0.2"/>
    <row r="1319" s="197" customFormat="1" ht="12.75" x14ac:dyDescent="0.2"/>
    <row r="1320" s="197" customFormat="1" ht="12.75" x14ac:dyDescent="0.2"/>
    <row r="1321" s="197" customFormat="1" ht="12.75" x14ac:dyDescent="0.2"/>
    <row r="1322" s="197" customFormat="1" ht="12.75" x14ac:dyDescent="0.2"/>
    <row r="1323" s="197" customFormat="1" ht="12.75" x14ac:dyDescent="0.2"/>
    <row r="1324" s="197" customFormat="1" ht="12.75" x14ac:dyDescent="0.2"/>
    <row r="1325" s="197" customFormat="1" ht="12.75" x14ac:dyDescent="0.2"/>
    <row r="1326" s="197" customFormat="1" ht="12.75" x14ac:dyDescent="0.2"/>
    <row r="1327" s="197" customFormat="1" ht="12.75" x14ac:dyDescent="0.2"/>
    <row r="1328" s="197" customFormat="1" ht="12.75" x14ac:dyDescent="0.2"/>
    <row r="1329" s="197" customFormat="1" ht="12.75" x14ac:dyDescent="0.2"/>
    <row r="1330" s="197" customFormat="1" ht="12.75" x14ac:dyDescent="0.2"/>
    <row r="1331" s="197" customFormat="1" ht="12.75" x14ac:dyDescent="0.2"/>
    <row r="1332" s="197" customFormat="1" ht="12.75" x14ac:dyDescent="0.2"/>
    <row r="1333" s="197" customFormat="1" ht="12.75" x14ac:dyDescent="0.2"/>
    <row r="1334" s="197" customFormat="1" ht="12.75" x14ac:dyDescent="0.2"/>
    <row r="1335" s="197" customFormat="1" ht="12.75" x14ac:dyDescent="0.2"/>
    <row r="1336" s="197" customFormat="1" ht="12.75" x14ac:dyDescent="0.2"/>
    <row r="1337" s="197" customFormat="1" ht="12.75" x14ac:dyDescent="0.2"/>
    <row r="1338" s="197" customFormat="1" ht="12.75" x14ac:dyDescent="0.2"/>
    <row r="1339" s="197" customFormat="1" ht="12.75" x14ac:dyDescent="0.2"/>
    <row r="1340" s="197" customFormat="1" ht="12.75" x14ac:dyDescent="0.2"/>
    <row r="1341" s="197" customFormat="1" ht="12.75" x14ac:dyDescent="0.2"/>
    <row r="1342" s="197" customFormat="1" ht="12.75" x14ac:dyDescent="0.2"/>
    <row r="1343" s="197" customFormat="1" ht="12.75" x14ac:dyDescent="0.2"/>
    <row r="1344" s="197" customFormat="1" ht="12.75" x14ac:dyDescent="0.2"/>
    <row r="1345" s="197" customFormat="1" ht="12.75" x14ac:dyDescent="0.2"/>
    <row r="1346" s="197" customFormat="1" ht="12.75" x14ac:dyDescent="0.2"/>
    <row r="1347" s="197" customFormat="1" ht="12.75" x14ac:dyDescent="0.2"/>
    <row r="1348" s="197" customFormat="1" ht="12.75" x14ac:dyDescent="0.2"/>
    <row r="1349" s="197" customFormat="1" ht="12.75" x14ac:dyDescent="0.2"/>
    <row r="1350" s="197" customFormat="1" ht="12.75" x14ac:dyDescent="0.2"/>
    <row r="1351" s="197" customFormat="1" ht="12.75" x14ac:dyDescent="0.2"/>
    <row r="1352" s="197" customFormat="1" ht="12.75" x14ac:dyDescent="0.2"/>
    <row r="1353" s="197" customFormat="1" ht="12.75" x14ac:dyDescent="0.2"/>
    <row r="1354" s="197" customFormat="1" ht="12.75" x14ac:dyDescent="0.2"/>
    <row r="1355" s="197" customFormat="1" ht="12.75" x14ac:dyDescent="0.2"/>
    <row r="1356" s="197" customFormat="1" ht="12.75" x14ac:dyDescent="0.2"/>
    <row r="1357" s="197" customFormat="1" ht="12.75" x14ac:dyDescent="0.2"/>
    <row r="1358" s="197" customFormat="1" ht="12.75" x14ac:dyDescent="0.2"/>
    <row r="1359" s="197" customFormat="1" ht="12.75" x14ac:dyDescent="0.2"/>
    <row r="1360" s="197" customFormat="1" ht="12.75" x14ac:dyDescent="0.2"/>
    <row r="1361" s="197" customFormat="1" ht="12.75" x14ac:dyDescent="0.2"/>
    <row r="1362" s="197" customFormat="1" ht="12.75" x14ac:dyDescent="0.2"/>
    <row r="1363" s="197" customFormat="1" ht="12.75" x14ac:dyDescent="0.2"/>
    <row r="1364" s="197" customFormat="1" ht="12.75" x14ac:dyDescent="0.2"/>
    <row r="1365" s="197" customFormat="1" ht="12.75" x14ac:dyDescent="0.2"/>
    <row r="1366" s="197" customFormat="1" ht="12.75" x14ac:dyDescent="0.2"/>
    <row r="1367" s="197" customFormat="1" ht="12.75" x14ac:dyDescent="0.2"/>
    <row r="1368" s="197" customFormat="1" ht="12.75" x14ac:dyDescent="0.2"/>
    <row r="1369" s="197" customFormat="1" ht="12.75" x14ac:dyDescent="0.2"/>
    <row r="1370" s="197" customFormat="1" ht="12.75" x14ac:dyDescent="0.2"/>
    <row r="1371" s="197" customFormat="1" ht="12.75" x14ac:dyDescent="0.2"/>
    <row r="1372" s="197" customFormat="1" ht="12.75" x14ac:dyDescent="0.2"/>
    <row r="1373" s="197" customFormat="1" ht="12.75" x14ac:dyDescent="0.2"/>
    <row r="1374" s="197" customFormat="1" ht="12.75" x14ac:dyDescent="0.2"/>
    <row r="1375" s="197" customFormat="1" ht="12.75" x14ac:dyDescent="0.2"/>
    <row r="1376" s="197" customFormat="1" ht="12.75" x14ac:dyDescent="0.2"/>
    <row r="1377" s="197" customFormat="1" ht="12.75" x14ac:dyDescent="0.2"/>
    <row r="1378" s="197" customFormat="1" ht="12.75" x14ac:dyDescent="0.2"/>
    <row r="1379" s="197" customFormat="1" ht="12.75" x14ac:dyDescent="0.2"/>
    <row r="1380" s="197" customFormat="1" ht="12.75" x14ac:dyDescent="0.2"/>
    <row r="1381" s="197" customFormat="1" ht="12.75" x14ac:dyDescent="0.2"/>
    <row r="1382" s="197" customFormat="1" ht="12.75" x14ac:dyDescent="0.2"/>
    <row r="1383" s="197" customFormat="1" ht="12.75" x14ac:dyDescent="0.2"/>
    <row r="1384" s="197" customFormat="1" ht="12.75" x14ac:dyDescent="0.2"/>
    <row r="1385" s="197" customFormat="1" ht="12.75" x14ac:dyDescent="0.2"/>
    <row r="1386" s="197" customFormat="1" ht="12.75" x14ac:dyDescent="0.2"/>
    <row r="1387" s="197" customFormat="1" ht="12.75" x14ac:dyDescent="0.2"/>
    <row r="1388" s="197" customFormat="1" ht="12.75" x14ac:dyDescent="0.2"/>
    <row r="1389" s="197" customFormat="1" ht="12.75" x14ac:dyDescent="0.2"/>
    <row r="1390" s="197" customFormat="1" ht="12.75" x14ac:dyDescent="0.2"/>
    <row r="1391" s="197" customFormat="1" ht="12.75" x14ac:dyDescent="0.2"/>
    <row r="1392" s="197" customFormat="1" ht="12.75" x14ac:dyDescent="0.2"/>
    <row r="1393" s="197" customFormat="1" ht="12.75" x14ac:dyDescent="0.2"/>
    <row r="1394" s="197" customFormat="1" ht="12.75" x14ac:dyDescent="0.2"/>
    <row r="1395" s="197" customFormat="1" ht="12.75" x14ac:dyDescent="0.2"/>
    <row r="1396" s="197" customFormat="1" ht="12.75" x14ac:dyDescent="0.2"/>
    <row r="1397" s="197" customFormat="1" ht="12.75" x14ac:dyDescent="0.2"/>
    <row r="1398" s="197" customFormat="1" ht="12.75" x14ac:dyDescent="0.2"/>
    <row r="1399" s="197" customFormat="1" ht="12.75" x14ac:dyDescent="0.2"/>
    <row r="1400" s="197" customFormat="1" ht="12.75" x14ac:dyDescent="0.2"/>
    <row r="1401" s="197" customFormat="1" ht="12.75" x14ac:dyDescent="0.2"/>
    <row r="1402" s="197" customFormat="1" ht="12.75" x14ac:dyDescent="0.2"/>
    <row r="1403" s="197" customFormat="1" ht="12.75" x14ac:dyDescent="0.2"/>
    <row r="1404" s="197" customFormat="1" ht="12.75" x14ac:dyDescent="0.2"/>
    <row r="1405" s="197" customFormat="1" ht="12.75" x14ac:dyDescent="0.2"/>
    <row r="1406" s="197" customFormat="1" ht="12.75" x14ac:dyDescent="0.2"/>
    <row r="1407" s="197" customFormat="1" ht="12.75" x14ac:dyDescent="0.2"/>
    <row r="1408" s="197" customFormat="1" ht="12.75" x14ac:dyDescent="0.2"/>
    <row r="1409" s="197" customFormat="1" ht="12.75" x14ac:dyDescent="0.2"/>
    <row r="1410" s="197" customFormat="1" ht="12.75" x14ac:dyDescent="0.2"/>
    <row r="1411" s="197" customFormat="1" ht="12.75" x14ac:dyDescent="0.2"/>
    <row r="1412" s="197" customFormat="1" ht="12.75" x14ac:dyDescent="0.2"/>
    <row r="1413" s="197" customFormat="1" ht="12.75" x14ac:dyDescent="0.2"/>
    <row r="1414" s="197" customFormat="1" ht="12.75" x14ac:dyDescent="0.2"/>
    <row r="1415" s="197" customFormat="1" ht="12.75" x14ac:dyDescent="0.2"/>
    <row r="1416" s="197" customFormat="1" ht="12.75" x14ac:dyDescent="0.2"/>
    <row r="1417" s="197" customFormat="1" ht="12.75" x14ac:dyDescent="0.2"/>
    <row r="1418" s="197" customFormat="1" ht="12.75" x14ac:dyDescent="0.2"/>
    <row r="1419" s="197" customFormat="1" ht="12.75" x14ac:dyDescent="0.2"/>
    <row r="1420" s="197" customFormat="1" ht="12.75" x14ac:dyDescent="0.2"/>
    <row r="1421" s="197" customFormat="1" ht="12.75" x14ac:dyDescent="0.2"/>
    <row r="1422" s="197" customFormat="1" ht="12.75" x14ac:dyDescent="0.2"/>
    <row r="1423" s="197" customFormat="1" ht="12.75" x14ac:dyDescent="0.2"/>
    <row r="1424" s="197" customFormat="1" ht="12.75" x14ac:dyDescent="0.2"/>
    <row r="1425" s="197" customFormat="1" ht="12.75" x14ac:dyDescent="0.2"/>
    <row r="1426" s="197" customFormat="1" ht="12.75" x14ac:dyDescent="0.2"/>
    <row r="1427" s="197" customFormat="1" ht="12.75" x14ac:dyDescent="0.2"/>
    <row r="1428" s="197" customFormat="1" ht="12.75" x14ac:dyDescent="0.2"/>
    <row r="1429" s="197" customFormat="1" ht="12.75" x14ac:dyDescent="0.2"/>
    <row r="1430" s="197" customFormat="1" ht="12.75" x14ac:dyDescent="0.2"/>
    <row r="1431" s="197" customFormat="1" ht="12.75" x14ac:dyDescent="0.2"/>
    <row r="1432" s="197" customFormat="1" ht="12.75" x14ac:dyDescent="0.2"/>
    <row r="1433" s="197" customFormat="1" ht="12.75" x14ac:dyDescent="0.2"/>
    <row r="1434" s="197" customFormat="1" ht="12.75" x14ac:dyDescent="0.2"/>
    <row r="1435" s="197" customFormat="1" ht="12.75" x14ac:dyDescent="0.2"/>
    <row r="1436" s="197" customFormat="1" ht="12.75" x14ac:dyDescent="0.2"/>
    <row r="1437" s="197" customFormat="1" ht="12.75" x14ac:dyDescent="0.2"/>
    <row r="1438" s="197" customFormat="1" ht="12.75" x14ac:dyDescent="0.2"/>
    <row r="1439" s="197" customFormat="1" ht="12.75" x14ac:dyDescent="0.2"/>
    <row r="1440" s="197" customFormat="1" ht="12.75" x14ac:dyDescent="0.2"/>
    <row r="1441" s="197" customFormat="1" ht="12.75" x14ac:dyDescent="0.2"/>
    <row r="1442" s="197" customFormat="1" ht="12.75" x14ac:dyDescent="0.2"/>
    <row r="1443" s="197" customFormat="1" ht="12.75" x14ac:dyDescent="0.2"/>
    <row r="1444" s="197" customFormat="1" ht="12.75" x14ac:dyDescent="0.2"/>
    <row r="1445" s="197" customFormat="1" ht="12.75" x14ac:dyDescent="0.2"/>
    <row r="1446" s="197" customFormat="1" ht="12.75" x14ac:dyDescent="0.2"/>
    <row r="1447" s="197" customFormat="1" ht="12.75" x14ac:dyDescent="0.2"/>
    <row r="1448" s="197" customFormat="1" ht="12.75" x14ac:dyDescent="0.2"/>
    <row r="1449" s="197" customFormat="1" ht="12.75" x14ac:dyDescent="0.2"/>
    <row r="1450" s="197" customFormat="1" ht="12.75" x14ac:dyDescent="0.2"/>
    <row r="1451" s="197" customFormat="1" ht="12.75" x14ac:dyDescent="0.2"/>
    <row r="1452" s="197" customFormat="1" ht="12.75" x14ac:dyDescent="0.2"/>
    <row r="1453" s="197" customFormat="1" ht="12.75" x14ac:dyDescent="0.2"/>
    <row r="1454" s="197" customFormat="1" ht="12.75" x14ac:dyDescent="0.2"/>
    <row r="1455" s="197" customFormat="1" ht="12.75" x14ac:dyDescent="0.2"/>
    <row r="1456" s="197" customFormat="1" ht="12.75" x14ac:dyDescent="0.2"/>
    <row r="1457" s="197" customFormat="1" ht="12.75" x14ac:dyDescent="0.2"/>
    <row r="1458" s="197" customFormat="1" ht="12.75" x14ac:dyDescent="0.2"/>
    <row r="1459" s="197" customFormat="1" ht="12.75" x14ac:dyDescent="0.2"/>
    <row r="1460" s="197" customFormat="1" ht="12.75" x14ac:dyDescent="0.2"/>
    <row r="1461" s="197" customFormat="1" ht="12.75" x14ac:dyDescent="0.2"/>
    <row r="1462" s="197" customFormat="1" ht="12.75" x14ac:dyDescent="0.2"/>
    <row r="1463" s="197" customFormat="1" ht="12.75" x14ac:dyDescent="0.2"/>
    <row r="1464" s="197" customFormat="1" ht="12.75" x14ac:dyDescent="0.2"/>
    <row r="1465" s="197" customFormat="1" ht="12.75" x14ac:dyDescent="0.2"/>
    <row r="1466" s="197" customFormat="1" ht="12.75" x14ac:dyDescent="0.2"/>
    <row r="1467" s="197" customFormat="1" ht="12.75" x14ac:dyDescent="0.2"/>
    <row r="1468" s="197" customFormat="1" ht="12.75" x14ac:dyDescent="0.2"/>
    <row r="1469" s="197" customFormat="1" ht="12.75" x14ac:dyDescent="0.2"/>
    <row r="1470" s="197" customFormat="1" ht="12.75" x14ac:dyDescent="0.2"/>
    <row r="1471" s="197" customFormat="1" ht="12.75" x14ac:dyDescent="0.2"/>
    <row r="1472" s="197" customFormat="1" ht="12.75" x14ac:dyDescent="0.2"/>
    <row r="1473" s="197" customFormat="1" ht="12.75" x14ac:dyDescent="0.2"/>
    <row r="1474" s="197" customFormat="1" ht="12.75" x14ac:dyDescent="0.2"/>
    <row r="1475" s="197" customFormat="1" ht="12.75" x14ac:dyDescent="0.2"/>
    <row r="1476" s="197" customFormat="1" ht="12.75" x14ac:dyDescent="0.2"/>
    <row r="1477" s="197" customFormat="1" ht="12.75" x14ac:dyDescent="0.2"/>
    <row r="1478" s="197" customFormat="1" ht="12.75" x14ac:dyDescent="0.2"/>
    <row r="1479" s="197" customFormat="1" ht="12.75" x14ac:dyDescent="0.2"/>
    <row r="1480" s="197" customFormat="1" ht="12.75" x14ac:dyDescent="0.2"/>
    <row r="1481" s="197" customFormat="1" ht="12.75" x14ac:dyDescent="0.2"/>
    <row r="1482" s="197" customFormat="1" ht="12.75" x14ac:dyDescent="0.2"/>
    <row r="1483" s="197" customFormat="1" ht="12.75" x14ac:dyDescent="0.2"/>
    <row r="1484" s="197" customFormat="1" ht="12.75" x14ac:dyDescent="0.2"/>
    <row r="1485" s="197" customFormat="1" ht="12.75" x14ac:dyDescent="0.2"/>
    <row r="1486" s="197" customFormat="1" ht="12.75" x14ac:dyDescent="0.2"/>
    <row r="1487" s="197" customFormat="1" ht="12.75" x14ac:dyDescent="0.2"/>
    <row r="1488" s="197" customFormat="1" ht="12.75" x14ac:dyDescent="0.2"/>
    <row r="1489" s="197" customFormat="1" ht="12.75" x14ac:dyDescent="0.2"/>
    <row r="1490" s="197" customFormat="1" ht="12.75" x14ac:dyDescent="0.2"/>
    <row r="1491" s="197" customFormat="1" ht="12.75" x14ac:dyDescent="0.2"/>
    <row r="1492" s="197" customFormat="1" ht="12.75" x14ac:dyDescent="0.2"/>
    <row r="1493" s="197" customFormat="1" ht="12.75" x14ac:dyDescent="0.2"/>
    <row r="1494" s="197" customFormat="1" ht="12.75" x14ac:dyDescent="0.2"/>
    <row r="1495" s="197" customFormat="1" ht="12.75" x14ac:dyDescent="0.2"/>
    <row r="1496" s="197" customFormat="1" ht="12.75" x14ac:dyDescent="0.2"/>
    <row r="1497" s="197" customFormat="1" ht="12.75" x14ac:dyDescent="0.2"/>
    <row r="1498" s="197" customFormat="1" ht="12.75" x14ac:dyDescent="0.2"/>
    <row r="1499" s="197" customFormat="1" ht="12.75" x14ac:dyDescent="0.2"/>
    <row r="1500" s="197" customFormat="1" ht="12.75" x14ac:dyDescent="0.2"/>
    <row r="1501" s="197" customFormat="1" ht="12.75" x14ac:dyDescent="0.2"/>
    <row r="1502" s="197" customFormat="1" ht="12.75" x14ac:dyDescent="0.2"/>
    <row r="1503" s="197" customFormat="1" ht="12.75" x14ac:dyDescent="0.2"/>
    <row r="1504" s="197" customFormat="1" ht="12.75" x14ac:dyDescent="0.2"/>
    <row r="1505" s="197" customFormat="1" ht="12.75" x14ac:dyDescent="0.2"/>
    <row r="1506" s="197" customFormat="1" ht="12.75" x14ac:dyDescent="0.2"/>
    <row r="1507" s="197" customFormat="1" ht="12.75" x14ac:dyDescent="0.2"/>
    <row r="1508" s="197" customFormat="1" ht="12.75" x14ac:dyDescent="0.2"/>
    <row r="1509" s="197" customFormat="1" ht="12.75" x14ac:dyDescent="0.2"/>
    <row r="1510" s="197" customFormat="1" ht="12.75" x14ac:dyDescent="0.2"/>
    <row r="1511" s="197" customFormat="1" ht="12.75" x14ac:dyDescent="0.2"/>
    <row r="1512" s="197" customFormat="1" ht="12.75" x14ac:dyDescent="0.2"/>
    <row r="1513" s="197" customFormat="1" ht="12.75" x14ac:dyDescent="0.2"/>
    <row r="1514" s="197" customFormat="1" ht="12.75" x14ac:dyDescent="0.2"/>
    <row r="1515" s="197" customFormat="1" ht="12.75" x14ac:dyDescent="0.2"/>
    <row r="1516" s="197" customFormat="1" ht="12.75" x14ac:dyDescent="0.2"/>
    <row r="1517" s="197" customFormat="1" ht="12.75" x14ac:dyDescent="0.2"/>
    <row r="1518" s="197" customFormat="1" ht="12.75" x14ac:dyDescent="0.2"/>
    <row r="1519" s="197" customFormat="1" ht="12.75" x14ac:dyDescent="0.2"/>
    <row r="1520" s="197" customFormat="1" ht="12.75" x14ac:dyDescent="0.2"/>
    <row r="1521" s="197" customFormat="1" ht="12.75" x14ac:dyDescent="0.2"/>
    <row r="1522" s="197" customFormat="1" ht="12.75" x14ac:dyDescent="0.2"/>
    <row r="1523" s="197" customFormat="1" ht="12.75" x14ac:dyDescent="0.2"/>
    <row r="1524" s="197" customFormat="1" ht="12.75" x14ac:dyDescent="0.2"/>
    <row r="1525" s="197" customFormat="1" ht="12.75" x14ac:dyDescent="0.2"/>
    <row r="1526" s="197" customFormat="1" ht="12.75" x14ac:dyDescent="0.2"/>
    <row r="1527" s="197" customFormat="1" ht="12.75" x14ac:dyDescent="0.2"/>
    <row r="1528" s="197" customFormat="1" ht="12.75" x14ac:dyDescent="0.2"/>
    <row r="1529" s="197" customFormat="1" ht="12.75" x14ac:dyDescent="0.2"/>
    <row r="1530" s="197" customFormat="1" ht="12.75" x14ac:dyDescent="0.2"/>
    <row r="1531" s="197" customFormat="1" ht="12.75" x14ac:dyDescent="0.2"/>
    <row r="1532" s="197" customFormat="1" ht="12.75" x14ac:dyDescent="0.2"/>
    <row r="1533" s="197" customFormat="1" ht="12.75" x14ac:dyDescent="0.2"/>
    <row r="1534" s="197" customFormat="1" ht="12.75" x14ac:dyDescent="0.2"/>
    <row r="1535" s="197" customFormat="1" ht="12.75" x14ac:dyDescent="0.2"/>
    <row r="1536" s="197" customFormat="1" ht="12.75" x14ac:dyDescent="0.2"/>
    <row r="1537" s="197" customFormat="1" ht="12.75" x14ac:dyDescent="0.2"/>
    <row r="1538" s="197" customFormat="1" ht="12.75" x14ac:dyDescent="0.2"/>
    <row r="1539" s="197" customFormat="1" ht="12.75" x14ac:dyDescent="0.2"/>
    <row r="1540" s="197" customFormat="1" ht="12.75" x14ac:dyDescent="0.2"/>
    <row r="1541" s="197" customFormat="1" ht="12.75" x14ac:dyDescent="0.2"/>
    <row r="1542" s="197" customFormat="1" ht="12.75" x14ac:dyDescent="0.2"/>
    <row r="1543" s="197" customFormat="1" ht="12.75" x14ac:dyDescent="0.2"/>
    <row r="1544" s="197" customFormat="1" ht="12.75" x14ac:dyDescent="0.2"/>
    <row r="1545" s="197" customFormat="1" ht="12.75" x14ac:dyDescent="0.2"/>
    <row r="1546" s="197" customFormat="1" ht="12.75" x14ac:dyDescent="0.2"/>
    <row r="1547" s="197" customFormat="1" ht="12.75" x14ac:dyDescent="0.2"/>
    <row r="1548" s="197" customFormat="1" ht="12.75" x14ac:dyDescent="0.2"/>
    <row r="1549" s="197" customFormat="1" ht="12.75" x14ac:dyDescent="0.2"/>
    <row r="1550" s="197" customFormat="1" ht="12.75" x14ac:dyDescent="0.2"/>
    <row r="1551" s="197" customFormat="1" ht="12.75" x14ac:dyDescent="0.2"/>
    <row r="1552" s="197" customFormat="1" ht="12.75" x14ac:dyDescent="0.2"/>
    <row r="1553" s="197" customFormat="1" ht="12.75" x14ac:dyDescent="0.2"/>
    <row r="1554" s="197" customFormat="1" ht="12.75" x14ac:dyDescent="0.2"/>
    <row r="1555" s="197" customFormat="1" ht="12.75" x14ac:dyDescent="0.2"/>
    <row r="1556" s="197" customFormat="1" ht="12.75" x14ac:dyDescent="0.2"/>
    <row r="1557" s="197" customFormat="1" ht="12.75" x14ac:dyDescent="0.2"/>
    <row r="1558" s="197" customFormat="1" ht="12.75" x14ac:dyDescent="0.2"/>
    <row r="1559" s="197" customFormat="1" ht="12.75" x14ac:dyDescent="0.2"/>
    <row r="1560" s="197" customFormat="1" ht="12.75" x14ac:dyDescent="0.2"/>
    <row r="1561" s="197" customFormat="1" ht="12.75" x14ac:dyDescent="0.2"/>
    <row r="1562" s="197" customFormat="1" ht="12.75" x14ac:dyDescent="0.2"/>
    <row r="1563" s="197" customFormat="1" ht="12.75" x14ac:dyDescent="0.2"/>
    <row r="1564" s="197" customFormat="1" ht="12.75" x14ac:dyDescent="0.2"/>
    <row r="1565" s="197" customFormat="1" ht="12.75" x14ac:dyDescent="0.2"/>
    <row r="1566" s="197" customFormat="1" ht="12.75" x14ac:dyDescent="0.2"/>
    <row r="1567" s="197" customFormat="1" ht="12.75" x14ac:dyDescent="0.2"/>
    <row r="1568" s="197" customFormat="1" ht="12.75" x14ac:dyDescent="0.2"/>
    <row r="1569" s="197" customFormat="1" ht="12.75" x14ac:dyDescent="0.2"/>
    <row r="1570" s="197" customFormat="1" ht="12.75" x14ac:dyDescent="0.2"/>
    <row r="1571" s="197" customFormat="1" ht="12.75" x14ac:dyDescent="0.2"/>
    <row r="1572" s="197" customFormat="1" ht="12.75" x14ac:dyDescent="0.2"/>
    <row r="1573" s="197" customFormat="1" ht="12.75" x14ac:dyDescent="0.2"/>
    <row r="1574" s="197" customFormat="1" ht="12.75" x14ac:dyDescent="0.2"/>
    <row r="1575" s="197" customFormat="1" ht="12.75" x14ac:dyDescent="0.2"/>
    <row r="1576" s="197" customFormat="1" ht="12.75" x14ac:dyDescent="0.2"/>
    <row r="1577" s="197" customFormat="1" ht="12.75" x14ac:dyDescent="0.2"/>
    <row r="1578" s="197" customFormat="1" ht="12.75" x14ac:dyDescent="0.2"/>
    <row r="1579" s="197" customFormat="1" ht="12.75" x14ac:dyDescent="0.2"/>
    <row r="1580" s="197" customFormat="1" ht="12.75" x14ac:dyDescent="0.2"/>
    <row r="1581" s="197" customFormat="1" ht="12.75" x14ac:dyDescent="0.2"/>
    <row r="1582" s="197" customFormat="1" ht="12.75" x14ac:dyDescent="0.2"/>
    <row r="1583" s="197" customFormat="1" ht="12.75" x14ac:dyDescent="0.2"/>
    <row r="1584" s="197" customFormat="1" ht="12.75" x14ac:dyDescent="0.2"/>
    <row r="1585" s="197" customFormat="1" ht="12.75" x14ac:dyDescent="0.2"/>
    <row r="1586" s="197" customFormat="1" ht="12.75" x14ac:dyDescent="0.2"/>
    <row r="1587" s="197" customFormat="1" ht="12.75" x14ac:dyDescent="0.2"/>
    <row r="1588" s="197" customFormat="1" ht="12.75" x14ac:dyDescent="0.2"/>
    <row r="1589" s="197" customFormat="1" ht="12.75" x14ac:dyDescent="0.2"/>
    <row r="1590" s="197" customFormat="1" ht="12.75" x14ac:dyDescent="0.2"/>
    <row r="1591" s="197" customFormat="1" ht="12.75" x14ac:dyDescent="0.2"/>
    <row r="1592" s="197" customFormat="1" ht="12.75" x14ac:dyDescent="0.2"/>
    <row r="1593" s="197" customFormat="1" ht="12.75" x14ac:dyDescent="0.2"/>
    <row r="1594" s="197" customFormat="1" ht="12.75" x14ac:dyDescent="0.2"/>
    <row r="1595" s="197" customFormat="1" ht="12.75" x14ac:dyDescent="0.2"/>
    <row r="1596" s="197" customFormat="1" ht="12.75" x14ac:dyDescent="0.2"/>
    <row r="1597" s="197" customFormat="1" ht="12.75" x14ac:dyDescent="0.2"/>
    <row r="1598" s="197" customFormat="1" ht="12.75" x14ac:dyDescent="0.2"/>
    <row r="1599" s="197" customFormat="1" ht="12.75" x14ac:dyDescent="0.2"/>
    <row r="1600" s="197" customFormat="1" ht="12.75" x14ac:dyDescent="0.2"/>
    <row r="1601" s="197" customFormat="1" ht="12.75" x14ac:dyDescent="0.2"/>
    <row r="1602" s="197" customFormat="1" ht="12.75" x14ac:dyDescent="0.2"/>
    <row r="1603" s="197" customFormat="1" ht="12.75" x14ac:dyDescent="0.2"/>
    <row r="1604" s="197" customFormat="1" ht="12.75" x14ac:dyDescent="0.2"/>
    <row r="1605" s="197" customFormat="1" ht="12.75" x14ac:dyDescent="0.2"/>
    <row r="1606" s="197" customFormat="1" ht="12.75" x14ac:dyDescent="0.2"/>
    <row r="1607" s="197" customFormat="1" ht="12.75" x14ac:dyDescent="0.2"/>
    <row r="1608" s="197" customFormat="1" ht="12.75" x14ac:dyDescent="0.2"/>
    <row r="1609" s="197" customFormat="1" ht="12.75" x14ac:dyDescent="0.2"/>
    <row r="1610" s="197" customFormat="1" ht="12.75" x14ac:dyDescent="0.2"/>
    <row r="1611" s="197" customFormat="1" ht="12.75" x14ac:dyDescent="0.2"/>
    <row r="1612" s="197" customFormat="1" ht="12.75" x14ac:dyDescent="0.2"/>
    <row r="1613" s="197" customFormat="1" ht="12.75" x14ac:dyDescent="0.2"/>
    <row r="1614" s="197" customFormat="1" ht="12.75" x14ac:dyDescent="0.2"/>
    <row r="1615" s="197" customFormat="1" ht="12.75" x14ac:dyDescent="0.2"/>
    <row r="1616" s="197" customFormat="1" ht="12.75" x14ac:dyDescent="0.2"/>
    <row r="1617" s="197" customFormat="1" ht="12.75" x14ac:dyDescent="0.2"/>
    <row r="1618" s="197" customFormat="1" ht="12.75" x14ac:dyDescent="0.2"/>
    <row r="1619" s="197" customFormat="1" ht="12.75" x14ac:dyDescent="0.2"/>
    <row r="1620" s="197" customFormat="1" ht="12.75" x14ac:dyDescent="0.2"/>
    <row r="1621" s="197" customFormat="1" ht="12.75" x14ac:dyDescent="0.2"/>
    <row r="1622" s="197" customFormat="1" ht="12.75" x14ac:dyDescent="0.2"/>
    <row r="1623" s="197" customFormat="1" ht="12.75" x14ac:dyDescent="0.2"/>
    <row r="1624" s="197" customFormat="1" ht="12.75" x14ac:dyDescent="0.2"/>
    <row r="1625" s="197" customFormat="1" ht="12.75" x14ac:dyDescent="0.2"/>
    <row r="1626" s="197" customFormat="1" ht="12.75" x14ac:dyDescent="0.2"/>
    <row r="1627" s="197" customFormat="1" ht="12.75" x14ac:dyDescent="0.2"/>
    <row r="1628" s="197" customFormat="1" ht="12.75" x14ac:dyDescent="0.2"/>
    <row r="1629" s="197" customFormat="1" ht="12.75" x14ac:dyDescent="0.2"/>
    <row r="1630" s="197" customFormat="1" ht="12.75" x14ac:dyDescent="0.2"/>
    <row r="1631" s="197" customFormat="1" ht="12.75" x14ac:dyDescent="0.2"/>
    <row r="1632" s="197" customFormat="1" ht="12.75" x14ac:dyDescent="0.2"/>
    <row r="1633" s="197" customFormat="1" ht="12.75" x14ac:dyDescent="0.2"/>
    <row r="1634" s="197" customFormat="1" ht="12.75" x14ac:dyDescent="0.2"/>
    <row r="1635" s="197" customFormat="1" ht="12.75" x14ac:dyDescent="0.2"/>
    <row r="1636" s="197" customFormat="1" ht="12.75" x14ac:dyDescent="0.2"/>
    <row r="1637" s="197" customFormat="1" ht="12.75" x14ac:dyDescent="0.2"/>
    <row r="1638" s="197" customFormat="1" ht="12.75" x14ac:dyDescent="0.2"/>
    <row r="1639" s="197" customFormat="1" ht="12.75" x14ac:dyDescent="0.2"/>
    <row r="1640" s="197" customFormat="1" ht="12.75" x14ac:dyDescent="0.2"/>
    <row r="1641" s="197" customFormat="1" ht="12.75" x14ac:dyDescent="0.2"/>
    <row r="1642" s="197" customFormat="1" ht="12.75" x14ac:dyDescent="0.2"/>
    <row r="1643" s="197" customFormat="1" ht="12.75" x14ac:dyDescent="0.2"/>
    <row r="1644" s="197" customFormat="1" ht="12.75" x14ac:dyDescent="0.2"/>
    <row r="1645" s="197" customFormat="1" ht="12.75" x14ac:dyDescent="0.2"/>
    <row r="1646" s="197" customFormat="1" ht="12.75" x14ac:dyDescent="0.2"/>
    <row r="1647" s="197" customFormat="1" ht="12.75" x14ac:dyDescent="0.2"/>
    <row r="1648" s="197" customFormat="1" ht="12.75" x14ac:dyDescent="0.2"/>
    <row r="1649" s="197" customFormat="1" ht="12.75" x14ac:dyDescent="0.2"/>
    <row r="1650" s="197" customFormat="1" ht="12.75" x14ac:dyDescent="0.2"/>
    <row r="1651" s="197" customFormat="1" ht="12.75" x14ac:dyDescent="0.2"/>
    <row r="1652" s="197" customFormat="1" ht="12.75" x14ac:dyDescent="0.2"/>
    <row r="1653" s="197" customFormat="1" ht="12.75" x14ac:dyDescent="0.2"/>
    <row r="1654" s="197" customFormat="1" ht="12.75" x14ac:dyDescent="0.2"/>
    <row r="1655" s="197" customFormat="1" ht="12.75" x14ac:dyDescent="0.2"/>
    <row r="1656" s="197" customFormat="1" ht="12.75" x14ac:dyDescent="0.2"/>
    <row r="1657" s="197" customFormat="1" ht="12.75" x14ac:dyDescent="0.2"/>
    <row r="1658" s="197" customFormat="1" ht="12.75" x14ac:dyDescent="0.2"/>
    <row r="1659" s="197" customFormat="1" ht="12.75" x14ac:dyDescent="0.2"/>
    <row r="1660" s="197" customFormat="1" ht="12.75" x14ac:dyDescent="0.2"/>
    <row r="1661" s="197" customFormat="1" ht="12.75" x14ac:dyDescent="0.2"/>
    <row r="1662" s="197" customFormat="1" ht="12.75" x14ac:dyDescent="0.2"/>
    <row r="1663" s="197" customFormat="1" ht="12.75" x14ac:dyDescent="0.2"/>
    <row r="1664" s="197" customFormat="1" ht="12.75" x14ac:dyDescent="0.2"/>
    <row r="1665" s="197" customFormat="1" ht="12.75" x14ac:dyDescent="0.2"/>
    <row r="1666" s="197" customFormat="1" ht="12.75" x14ac:dyDescent="0.2"/>
    <row r="1667" s="197" customFormat="1" ht="12.75" x14ac:dyDescent="0.2"/>
    <row r="1668" s="197" customFormat="1" ht="12.75" x14ac:dyDescent="0.2"/>
    <row r="1669" s="197" customFormat="1" ht="12.75" x14ac:dyDescent="0.2"/>
    <row r="1670" s="197" customFormat="1" ht="12.75" x14ac:dyDescent="0.2"/>
    <row r="1671" s="197" customFormat="1" ht="12.75" x14ac:dyDescent="0.2"/>
    <row r="1672" s="197" customFormat="1" ht="12.75" x14ac:dyDescent="0.2"/>
    <row r="1673" s="197" customFormat="1" ht="12.75" x14ac:dyDescent="0.2"/>
    <row r="1674" s="197" customFormat="1" ht="12.75" x14ac:dyDescent="0.2"/>
    <row r="1675" s="197" customFormat="1" ht="12.75" x14ac:dyDescent="0.2"/>
    <row r="1676" s="197" customFormat="1" ht="12.75" x14ac:dyDescent="0.2"/>
    <row r="1677" s="197" customFormat="1" ht="12.75" x14ac:dyDescent="0.2"/>
    <row r="1678" s="197" customFormat="1" ht="12.75" x14ac:dyDescent="0.2"/>
    <row r="1679" s="197" customFormat="1" ht="12.75" x14ac:dyDescent="0.2"/>
    <row r="1680" s="197" customFormat="1" ht="12.75" x14ac:dyDescent="0.2"/>
    <row r="1681" s="197" customFormat="1" ht="12.75" x14ac:dyDescent="0.2"/>
    <row r="1682" s="197" customFormat="1" ht="12.75" x14ac:dyDescent="0.2"/>
    <row r="1683" s="197" customFormat="1" ht="12.75" x14ac:dyDescent="0.2"/>
    <row r="1684" s="197" customFormat="1" ht="12.75" x14ac:dyDescent="0.2"/>
    <row r="1685" s="197" customFormat="1" ht="12.75" x14ac:dyDescent="0.2"/>
    <row r="1686" s="197" customFormat="1" ht="12.75" x14ac:dyDescent="0.2"/>
    <row r="1687" s="197" customFormat="1" ht="12.75" x14ac:dyDescent="0.2"/>
    <row r="1688" s="197" customFormat="1" ht="12.75" x14ac:dyDescent="0.2"/>
    <row r="1689" s="197" customFormat="1" ht="12.75" x14ac:dyDescent="0.2"/>
    <row r="1690" s="197" customFormat="1" ht="12.75" x14ac:dyDescent="0.2"/>
    <row r="1691" s="197" customFormat="1" ht="12.75" x14ac:dyDescent="0.2"/>
    <row r="1692" s="197" customFormat="1" ht="12.75" x14ac:dyDescent="0.2"/>
    <row r="1693" s="197" customFormat="1" ht="12.75" x14ac:dyDescent="0.2"/>
    <row r="1694" s="197" customFormat="1" ht="12.75" x14ac:dyDescent="0.2"/>
    <row r="1695" s="197" customFormat="1" ht="12.75" x14ac:dyDescent="0.2"/>
    <row r="1696" s="197" customFormat="1" ht="12.75" x14ac:dyDescent="0.2"/>
    <row r="1697" s="197" customFormat="1" ht="12.75" x14ac:dyDescent="0.2"/>
    <row r="1698" s="197" customFormat="1" ht="12.75" x14ac:dyDescent="0.2"/>
    <row r="1699" s="197" customFormat="1" ht="12.75" x14ac:dyDescent="0.2"/>
    <row r="1700" s="197" customFormat="1" ht="12.75" x14ac:dyDescent="0.2"/>
    <row r="1701" s="197" customFormat="1" ht="12.75" x14ac:dyDescent="0.2"/>
    <row r="1702" s="197" customFormat="1" ht="12.75" x14ac:dyDescent="0.2"/>
    <row r="1703" s="197" customFormat="1" ht="12.75" x14ac:dyDescent="0.2"/>
    <row r="1704" s="197" customFormat="1" ht="12.75" x14ac:dyDescent="0.2"/>
    <row r="1705" s="197" customFormat="1" ht="12.75" x14ac:dyDescent="0.2"/>
    <row r="1706" s="197" customFormat="1" ht="12.75" x14ac:dyDescent="0.2"/>
    <row r="1707" s="197" customFormat="1" ht="12.75" x14ac:dyDescent="0.2"/>
    <row r="1708" s="197" customFormat="1" ht="12.75" x14ac:dyDescent="0.2"/>
    <row r="1709" s="197" customFormat="1" ht="12.75" x14ac:dyDescent="0.2"/>
    <row r="1710" s="197" customFormat="1" ht="12.75" x14ac:dyDescent="0.2"/>
    <row r="1711" s="197" customFormat="1" ht="12.75" x14ac:dyDescent="0.2"/>
    <row r="1712" s="197" customFormat="1" ht="12.75" x14ac:dyDescent="0.2"/>
    <row r="1713" s="197" customFormat="1" ht="12.75" x14ac:dyDescent="0.2"/>
    <row r="1714" s="197" customFormat="1" ht="12.75" x14ac:dyDescent="0.2"/>
    <row r="1715" s="197" customFormat="1" ht="12.75" x14ac:dyDescent="0.2"/>
    <row r="1716" s="197" customFormat="1" ht="12.75" x14ac:dyDescent="0.2"/>
    <row r="1717" s="197" customFormat="1" ht="12.75" x14ac:dyDescent="0.2"/>
    <row r="1718" s="197" customFormat="1" ht="12.75" x14ac:dyDescent="0.2"/>
    <row r="1719" s="197" customFormat="1" ht="12.75" x14ac:dyDescent="0.2"/>
    <row r="1720" s="197" customFormat="1" ht="12.75" x14ac:dyDescent="0.2"/>
    <row r="1721" s="197" customFormat="1" ht="12.75" x14ac:dyDescent="0.2"/>
    <row r="1722" s="197" customFormat="1" ht="12.75" x14ac:dyDescent="0.2"/>
    <row r="1723" s="197" customFormat="1" ht="12.75" x14ac:dyDescent="0.2"/>
    <row r="1724" s="197" customFormat="1" ht="12.75" x14ac:dyDescent="0.2"/>
    <row r="1725" s="197" customFormat="1" ht="12.75" x14ac:dyDescent="0.2"/>
    <row r="1726" s="197" customFormat="1" ht="12.75" x14ac:dyDescent="0.2"/>
    <row r="1727" s="197" customFormat="1" ht="12.75" x14ac:dyDescent="0.2"/>
    <row r="1728" s="197" customFormat="1" ht="12.75" x14ac:dyDescent="0.2"/>
    <row r="1729" s="197" customFormat="1" ht="12.75" x14ac:dyDescent="0.2"/>
    <row r="1730" s="197" customFormat="1" ht="12.75" x14ac:dyDescent="0.2"/>
    <row r="1731" s="197" customFormat="1" ht="12.75" x14ac:dyDescent="0.2"/>
    <row r="1732" s="197" customFormat="1" ht="12.75" x14ac:dyDescent="0.2"/>
    <row r="1733" s="197" customFormat="1" ht="12.75" x14ac:dyDescent="0.2"/>
    <row r="1734" s="197" customFormat="1" ht="12.75" x14ac:dyDescent="0.2"/>
    <row r="1735" s="197" customFormat="1" ht="12.75" x14ac:dyDescent="0.2"/>
    <row r="1736" s="197" customFormat="1" ht="12.75" x14ac:dyDescent="0.2"/>
    <row r="1737" s="197" customFormat="1" ht="12.75" x14ac:dyDescent="0.2"/>
    <row r="1738" s="197" customFormat="1" ht="12.75" x14ac:dyDescent="0.2"/>
    <row r="1739" s="197" customFormat="1" ht="12.75" x14ac:dyDescent="0.2"/>
    <row r="1740" s="197" customFormat="1" ht="12.75" x14ac:dyDescent="0.2"/>
    <row r="1741" s="197" customFormat="1" ht="12.75" x14ac:dyDescent="0.2"/>
    <row r="1742" s="197" customFormat="1" ht="12.75" x14ac:dyDescent="0.2"/>
    <row r="1743" s="197" customFormat="1" ht="12.75" x14ac:dyDescent="0.2"/>
    <row r="1744" s="197" customFormat="1" ht="12.75" x14ac:dyDescent="0.2"/>
    <row r="1745" s="197" customFormat="1" ht="12.75" x14ac:dyDescent="0.2"/>
    <row r="1746" s="197" customFormat="1" ht="12.75" x14ac:dyDescent="0.2"/>
    <row r="1747" s="197" customFormat="1" ht="12.75" x14ac:dyDescent="0.2"/>
    <row r="1748" s="197" customFormat="1" ht="12.75" x14ac:dyDescent="0.2"/>
    <row r="1749" s="197" customFormat="1" ht="12.75" x14ac:dyDescent="0.2"/>
    <row r="1750" s="197" customFormat="1" ht="12.75" x14ac:dyDescent="0.2"/>
    <row r="1751" s="197" customFormat="1" ht="12.75" x14ac:dyDescent="0.2"/>
    <row r="1752" s="197" customFormat="1" ht="12.75" x14ac:dyDescent="0.2"/>
    <row r="1753" s="197" customFormat="1" ht="12.75" x14ac:dyDescent="0.2"/>
    <row r="1754" s="197" customFormat="1" ht="12.75" x14ac:dyDescent="0.2"/>
    <row r="1755" s="197" customFormat="1" ht="12.75" x14ac:dyDescent="0.2"/>
    <row r="1756" s="197" customFormat="1" ht="12.75" x14ac:dyDescent="0.2"/>
    <row r="1757" s="197" customFormat="1" ht="12.75" x14ac:dyDescent="0.2"/>
    <row r="1758" s="197" customFormat="1" ht="12.75" x14ac:dyDescent="0.2"/>
    <row r="1759" s="197" customFormat="1" ht="12.75" x14ac:dyDescent="0.2"/>
    <row r="1760" s="197" customFormat="1" ht="12.75" x14ac:dyDescent="0.2"/>
    <row r="1761" s="197" customFormat="1" ht="12.75" x14ac:dyDescent="0.2"/>
    <row r="1762" s="197" customFormat="1" ht="12.75" x14ac:dyDescent="0.2"/>
    <row r="1763" s="197" customFormat="1" ht="12.75" x14ac:dyDescent="0.2"/>
    <row r="1764" s="197" customFormat="1" ht="12.75" x14ac:dyDescent="0.2"/>
    <row r="1765" s="197" customFormat="1" ht="12.75" x14ac:dyDescent="0.2"/>
    <row r="1766" s="197" customFormat="1" ht="12.75" x14ac:dyDescent="0.2"/>
    <row r="1767" s="197" customFormat="1" ht="12.75" x14ac:dyDescent="0.2"/>
    <row r="1768" s="197" customFormat="1" ht="12.75" x14ac:dyDescent="0.2"/>
    <row r="1769" s="197" customFormat="1" ht="12.75" x14ac:dyDescent="0.2"/>
    <row r="1770" s="197" customFormat="1" ht="12.75" x14ac:dyDescent="0.2"/>
    <row r="1771" s="197" customFormat="1" ht="12.75" x14ac:dyDescent="0.2"/>
    <row r="1772" s="197" customFormat="1" ht="12.75" x14ac:dyDescent="0.2"/>
    <row r="1773" s="197" customFormat="1" ht="12.75" x14ac:dyDescent="0.2"/>
    <row r="1774" s="197" customFormat="1" ht="12.75" x14ac:dyDescent="0.2"/>
    <row r="1775" s="197" customFormat="1" ht="12.75" x14ac:dyDescent="0.2"/>
    <row r="1776" s="197" customFormat="1" ht="12.75" x14ac:dyDescent="0.2"/>
    <row r="1777" s="197" customFormat="1" ht="12.75" x14ac:dyDescent="0.2"/>
    <row r="1778" s="197" customFormat="1" ht="12.75" x14ac:dyDescent="0.2"/>
    <row r="1779" s="197" customFormat="1" ht="12.75" x14ac:dyDescent="0.2"/>
    <row r="1780" s="197" customFormat="1" ht="12.75" x14ac:dyDescent="0.2"/>
    <row r="1781" s="197" customFormat="1" ht="12.75" x14ac:dyDescent="0.2"/>
    <row r="1782" s="197" customFormat="1" ht="12.75" x14ac:dyDescent="0.2"/>
    <row r="1783" s="197" customFormat="1" ht="12.75" x14ac:dyDescent="0.2"/>
    <row r="1784" s="197" customFormat="1" ht="12.75" x14ac:dyDescent="0.2"/>
    <row r="1785" s="197" customFormat="1" ht="12.75" x14ac:dyDescent="0.2"/>
    <row r="1786" s="197" customFormat="1" ht="12.75" x14ac:dyDescent="0.2"/>
    <row r="1787" s="197" customFormat="1" ht="12.75" x14ac:dyDescent="0.2"/>
    <row r="1788" s="197" customFormat="1" ht="12.75" x14ac:dyDescent="0.2"/>
    <row r="1789" s="197" customFormat="1" ht="12.75" x14ac:dyDescent="0.2"/>
    <row r="1790" s="197" customFormat="1" ht="12.75" x14ac:dyDescent="0.2"/>
    <row r="1791" s="197" customFormat="1" ht="12.75" x14ac:dyDescent="0.2"/>
    <row r="1792" s="197" customFormat="1" ht="12.75" x14ac:dyDescent="0.2"/>
    <row r="1793" s="197" customFormat="1" ht="12.75" x14ac:dyDescent="0.2"/>
    <row r="1794" s="197" customFormat="1" ht="12.75" x14ac:dyDescent="0.2"/>
    <row r="1795" s="197" customFormat="1" ht="12.75" x14ac:dyDescent="0.2"/>
    <row r="1796" s="197" customFormat="1" ht="12.75" x14ac:dyDescent="0.2"/>
    <row r="1797" s="197" customFormat="1" ht="12.75" x14ac:dyDescent="0.2"/>
    <row r="1798" s="197" customFormat="1" ht="12.75" x14ac:dyDescent="0.2"/>
    <row r="1799" s="197" customFormat="1" ht="12.75" x14ac:dyDescent="0.2"/>
    <row r="1800" s="197" customFormat="1" ht="12.75" x14ac:dyDescent="0.2"/>
    <row r="1801" s="197" customFormat="1" ht="12.75" x14ac:dyDescent="0.2"/>
    <row r="1802" s="197" customFormat="1" ht="12.75" x14ac:dyDescent="0.2"/>
    <row r="1803" s="197" customFormat="1" ht="12.75" x14ac:dyDescent="0.2"/>
    <row r="1804" s="197" customFormat="1" ht="12.75" x14ac:dyDescent="0.2"/>
    <row r="1805" s="197" customFormat="1" ht="12.75" x14ac:dyDescent="0.2"/>
    <row r="1806" s="197" customFormat="1" ht="12.75" x14ac:dyDescent="0.2"/>
    <row r="1807" s="197" customFormat="1" ht="12.75" x14ac:dyDescent="0.2"/>
    <row r="1808" s="197" customFormat="1" ht="12.75" x14ac:dyDescent="0.2"/>
    <row r="1809" s="197" customFormat="1" ht="12.75" x14ac:dyDescent="0.2"/>
    <row r="1810" s="197" customFormat="1" ht="12.75" x14ac:dyDescent="0.2"/>
    <row r="1811" s="197" customFormat="1" ht="12.75" x14ac:dyDescent="0.2"/>
    <row r="1812" s="197" customFormat="1" ht="12.75" x14ac:dyDescent="0.2"/>
    <row r="1813" s="197" customFormat="1" ht="12.75" x14ac:dyDescent="0.2"/>
    <row r="1814" s="197" customFormat="1" ht="12.75" x14ac:dyDescent="0.2"/>
    <row r="1815" s="197" customFormat="1" ht="12.75" x14ac:dyDescent="0.2"/>
    <row r="1816" s="197" customFormat="1" ht="12.75" x14ac:dyDescent="0.2"/>
    <row r="1817" s="197" customFormat="1" ht="12.75" x14ac:dyDescent="0.2"/>
    <row r="1818" s="197" customFormat="1" ht="12.75" x14ac:dyDescent="0.2"/>
    <row r="1819" s="197" customFormat="1" ht="12.75" x14ac:dyDescent="0.2"/>
    <row r="1820" s="197" customFormat="1" ht="12.75" x14ac:dyDescent="0.2"/>
    <row r="1821" s="197" customFormat="1" ht="12.75" x14ac:dyDescent="0.2"/>
    <row r="1822" s="197" customFormat="1" ht="12.75" x14ac:dyDescent="0.2"/>
    <row r="1823" s="197" customFormat="1" ht="12.75" x14ac:dyDescent="0.2"/>
    <row r="1824" s="197" customFormat="1" ht="12.75" x14ac:dyDescent="0.2"/>
    <row r="1825" s="197" customFormat="1" ht="12.75" x14ac:dyDescent="0.2"/>
    <row r="1826" s="197" customFormat="1" ht="12.75" x14ac:dyDescent="0.2"/>
    <row r="1827" s="197" customFormat="1" ht="12.75" x14ac:dyDescent="0.2"/>
    <row r="1828" s="197" customFormat="1" ht="12.75" x14ac:dyDescent="0.2"/>
    <row r="1829" s="197" customFormat="1" ht="12.75" x14ac:dyDescent="0.2"/>
    <row r="1830" s="197" customFormat="1" ht="12.75" x14ac:dyDescent="0.2"/>
    <row r="1831" s="197" customFormat="1" ht="12.75" x14ac:dyDescent="0.2"/>
    <row r="1832" s="197" customFormat="1" ht="12.75" x14ac:dyDescent="0.2"/>
    <row r="1833" s="197" customFormat="1" ht="12.75" x14ac:dyDescent="0.2"/>
    <row r="1834" s="197" customFormat="1" ht="12.75" x14ac:dyDescent="0.2"/>
    <row r="1835" s="197" customFormat="1" ht="12.75" x14ac:dyDescent="0.2"/>
    <row r="1836" s="197" customFormat="1" ht="12.75" x14ac:dyDescent="0.2"/>
    <row r="1837" s="197" customFormat="1" ht="12.75" x14ac:dyDescent="0.2"/>
    <row r="1838" s="197" customFormat="1" ht="12.75" x14ac:dyDescent="0.2"/>
    <row r="1839" s="197" customFormat="1" ht="12.75" x14ac:dyDescent="0.2"/>
    <row r="1840" s="197" customFormat="1" ht="12.75" x14ac:dyDescent="0.2"/>
    <row r="1841" s="197" customFormat="1" ht="12.75" x14ac:dyDescent="0.2"/>
    <row r="1842" s="197" customFormat="1" ht="12.75" x14ac:dyDescent="0.2"/>
    <row r="1843" s="197" customFormat="1" ht="12.75" x14ac:dyDescent="0.2"/>
    <row r="1844" s="197" customFormat="1" ht="12.75" x14ac:dyDescent="0.2"/>
    <row r="1845" s="197" customFormat="1" ht="12.75" x14ac:dyDescent="0.2"/>
    <row r="1846" s="197" customFormat="1" ht="12.75" x14ac:dyDescent="0.2"/>
    <row r="1847" s="197" customFormat="1" ht="12.75" x14ac:dyDescent="0.2"/>
    <row r="1848" s="197" customFormat="1" ht="12.75" x14ac:dyDescent="0.2"/>
    <row r="1849" s="197" customFormat="1" ht="12.75" x14ac:dyDescent="0.2"/>
    <row r="1850" s="197" customFormat="1" ht="12.75" x14ac:dyDescent="0.2"/>
    <row r="1851" s="197" customFormat="1" ht="12.75" x14ac:dyDescent="0.2"/>
    <row r="1852" s="197" customFormat="1" ht="12.75" x14ac:dyDescent="0.2"/>
    <row r="1853" s="197" customFormat="1" ht="12.75" x14ac:dyDescent="0.2"/>
    <row r="1854" s="197" customFormat="1" ht="12.75" x14ac:dyDescent="0.2"/>
    <row r="1855" s="197" customFormat="1" ht="12.75" x14ac:dyDescent="0.2"/>
    <row r="1856" s="197" customFormat="1" ht="12.75" x14ac:dyDescent="0.2"/>
    <row r="1857" s="197" customFormat="1" ht="12.75" x14ac:dyDescent="0.2"/>
    <row r="1858" s="197" customFormat="1" ht="12.75" x14ac:dyDescent="0.2"/>
    <row r="1859" s="197" customFormat="1" ht="12.75" x14ac:dyDescent="0.2"/>
    <row r="1860" s="197" customFormat="1" ht="12.75" x14ac:dyDescent="0.2"/>
    <row r="1861" s="197" customFormat="1" ht="12.75" x14ac:dyDescent="0.2"/>
    <row r="1862" s="197" customFormat="1" ht="12.75" x14ac:dyDescent="0.2"/>
    <row r="1863" s="197" customFormat="1" ht="12.75" x14ac:dyDescent="0.2"/>
    <row r="1864" s="197" customFormat="1" ht="12.75" x14ac:dyDescent="0.2"/>
    <row r="1865" s="197" customFormat="1" ht="12.75" x14ac:dyDescent="0.2"/>
    <row r="1866" s="197" customFormat="1" ht="12.75" x14ac:dyDescent="0.2"/>
    <row r="1867" s="197" customFormat="1" ht="12.75" x14ac:dyDescent="0.2"/>
    <row r="1868" s="197" customFormat="1" ht="12.75" x14ac:dyDescent="0.2"/>
    <row r="1869" s="197" customFormat="1" ht="12.75" x14ac:dyDescent="0.2"/>
    <row r="1870" s="197" customFormat="1" ht="12.75" x14ac:dyDescent="0.2"/>
    <row r="1871" s="197" customFormat="1" ht="12.75" x14ac:dyDescent="0.2"/>
    <row r="1872" s="197" customFormat="1" ht="12.75" x14ac:dyDescent="0.2"/>
    <row r="1873" s="197" customFormat="1" ht="12.75" x14ac:dyDescent="0.2"/>
    <row r="1874" s="197" customFormat="1" ht="12.75" x14ac:dyDescent="0.2"/>
    <row r="1875" s="197" customFormat="1" ht="12.75" x14ac:dyDescent="0.2"/>
    <row r="1876" s="197" customFormat="1" ht="12.75" x14ac:dyDescent="0.2"/>
    <row r="1877" s="197" customFormat="1" ht="12.75" x14ac:dyDescent="0.2"/>
    <row r="1878" s="197" customFormat="1" ht="12.75" x14ac:dyDescent="0.2"/>
    <row r="1879" s="197" customFormat="1" ht="12.75" x14ac:dyDescent="0.2"/>
    <row r="1880" s="197" customFormat="1" ht="12.75" x14ac:dyDescent="0.2"/>
    <row r="1881" s="197" customFormat="1" ht="12.75" x14ac:dyDescent="0.2"/>
    <row r="1882" s="197" customFormat="1" ht="12.75" x14ac:dyDescent="0.2"/>
    <row r="1883" s="197" customFormat="1" ht="12.75" x14ac:dyDescent="0.2"/>
    <row r="1884" s="197" customFormat="1" ht="12.75" x14ac:dyDescent="0.2"/>
    <row r="1885" s="197" customFormat="1" ht="12.75" x14ac:dyDescent="0.2"/>
    <row r="1886" s="197" customFormat="1" ht="12.75" x14ac:dyDescent="0.2"/>
    <row r="1887" s="197" customFormat="1" ht="12.75" x14ac:dyDescent="0.2"/>
    <row r="1888" s="197" customFormat="1" ht="12.75" x14ac:dyDescent="0.2"/>
    <row r="1889" s="197" customFormat="1" ht="12.75" x14ac:dyDescent="0.2"/>
    <row r="1890" s="197" customFormat="1" ht="12.75" x14ac:dyDescent="0.2"/>
    <row r="1891" s="197" customFormat="1" ht="12.75" x14ac:dyDescent="0.2"/>
    <row r="1892" s="197" customFormat="1" ht="12.75" x14ac:dyDescent="0.2"/>
    <row r="1893" s="197" customFormat="1" ht="12.75" x14ac:dyDescent="0.2"/>
    <row r="1894" s="197" customFormat="1" ht="12.75" x14ac:dyDescent="0.2"/>
    <row r="1895" s="197" customFormat="1" ht="12.75" x14ac:dyDescent="0.2"/>
    <row r="1896" s="197" customFormat="1" ht="12.75" x14ac:dyDescent="0.2"/>
    <row r="1897" s="197" customFormat="1" ht="12.75" x14ac:dyDescent="0.2"/>
    <row r="1898" s="197" customFormat="1" ht="12.75" x14ac:dyDescent="0.2"/>
    <row r="1899" s="197" customFormat="1" ht="12.75" x14ac:dyDescent="0.2"/>
    <row r="1900" s="197" customFormat="1" ht="12.75" x14ac:dyDescent="0.2"/>
    <row r="1901" s="197" customFormat="1" ht="12.75" x14ac:dyDescent="0.2"/>
    <row r="1902" s="197" customFormat="1" ht="12.75" x14ac:dyDescent="0.2"/>
    <row r="1903" s="197" customFormat="1" ht="12.75" x14ac:dyDescent="0.2"/>
    <row r="1904" s="197" customFormat="1" ht="12.75" x14ac:dyDescent="0.2"/>
    <row r="1905" s="197" customFormat="1" ht="12.75" x14ac:dyDescent="0.2"/>
    <row r="1906" s="197" customFormat="1" ht="12.75" x14ac:dyDescent="0.2"/>
    <row r="1907" s="197" customFormat="1" ht="12.75" x14ac:dyDescent="0.2"/>
    <row r="1908" s="197" customFormat="1" ht="12.75" x14ac:dyDescent="0.2"/>
    <row r="1909" s="197" customFormat="1" ht="12.75" x14ac:dyDescent="0.2"/>
    <row r="1910" s="197" customFormat="1" ht="12.75" x14ac:dyDescent="0.2"/>
    <row r="1911" s="197" customFormat="1" ht="12.75" x14ac:dyDescent="0.2"/>
    <row r="1912" s="197" customFormat="1" ht="12.75" x14ac:dyDescent="0.2"/>
    <row r="1913" s="197" customFormat="1" ht="12.75" x14ac:dyDescent="0.2"/>
    <row r="1914" s="197" customFormat="1" ht="12.75" x14ac:dyDescent="0.2"/>
    <row r="1915" s="197" customFormat="1" ht="12.75" x14ac:dyDescent="0.2"/>
    <row r="1916" s="197" customFormat="1" ht="12.75" x14ac:dyDescent="0.2"/>
    <row r="1917" s="197" customFormat="1" ht="12.75" x14ac:dyDescent="0.2"/>
    <row r="1918" s="197" customFormat="1" ht="12.75" x14ac:dyDescent="0.2"/>
    <row r="1919" s="197" customFormat="1" ht="12.75" x14ac:dyDescent="0.2"/>
    <row r="1920" s="197" customFormat="1" ht="12.75" x14ac:dyDescent="0.2"/>
    <row r="1921" s="197" customFormat="1" ht="12.75" x14ac:dyDescent="0.2"/>
    <row r="1922" s="197" customFormat="1" ht="12.75" x14ac:dyDescent="0.2"/>
    <row r="1923" s="197" customFormat="1" ht="12.75" x14ac:dyDescent="0.2"/>
    <row r="1924" s="197" customFormat="1" ht="12.75" x14ac:dyDescent="0.2"/>
    <row r="1925" s="197" customFormat="1" ht="12.75" x14ac:dyDescent="0.2"/>
    <row r="1926" s="197" customFormat="1" ht="12.75" x14ac:dyDescent="0.2"/>
    <row r="1927" s="197" customFormat="1" ht="12.75" x14ac:dyDescent="0.2"/>
    <row r="1928" s="197" customFormat="1" ht="12.75" x14ac:dyDescent="0.2"/>
    <row r="1929" s="197" customFormat="1" ht="12.75" x14ac:dyDescent="0.2"/>
    <row r="1930" s="197" customFormat="1" ht="12.75" x14ac:dyDescent="0.2"/>
    <row r="1931" s="197" customFormat="1" ht="12.75" x14ac:dyDescent="0.2"/>
    <row r="1932" s="197" customFormat="1" ht="12.75" x14ac:dyDescent="0.2"/>
    <row r="1933" s="197" customFormat="1" ht="12.75" x14ac:dyDescent="0.2"/>
    <row r="1934" s="197" customFormat="1" ht="12.75" x14ac:dyDescent="0.2"/>
    <row r="1935" s="197" customFormat="1" ht="12.75" x14ac:dyDescent="0.2"/>
    <row r="1936" s="197" customFormat="1" ht="12.75" x14ac:dyDescent="0.2"/>
    <row r="1937" s="197" customFormat="1" ht="12.75" x14ac:dyDescent="0.2"/>
    <row r="1938" s="197" customFormat="1" ht="12.75" x14ac:dyDescent="0.2"/>
    <row r="1939" s="197" customFormat="1" ht="12.75" x14ac:dyDescent="0.2"/>
    <row r="1940" s="197" customFormat="1" ht="12.75" x14ac:dyDescent="0.2"/>
    <row r="1941" s="197" customFormat="1" ht="12.75" x14ac:dyDescent="0.2"/>
    <row r="1942" s="197" customFormat="1" ht="12.75" x14ac:dyDescent="0.2"/>
    <row r="1943" s="197" customFormat="1" ht="12.75" x14ac:dyDescent="0.2"/>
    <row r="1944" s="197" customFormat="1" ht="12.75" x14ac:dyDescent="0.2"/>
    <row r="1945" s="197" customFormat="1" ht="12.75" x14ac:dyDescent="0.2"/>
    <row r="1946" s="197" customFormat="1" ht="12.75" x14ac:dyDescent="0.2"/>
    <row r="1947" s="197" customFormat="1" ht="12.75" x14ac:dyDescent="0.2"/>
    <row r="1948" s="197" customFormat="1" ht="12.75" x14ac:dyDescent="0.2"/>
    <row r="1949" s="197" customFormat="1" ht="12.75" x14ac:dyDescent="0.2"/>
    <row r="1950" s="197" customFormat="1" ht="12.75" x14ac:dyDescent="0.2"/>
    <row r="1951" s="197" customFormat="1" ht="12.75" x14ac:dyDescent="0.2"/>
    <row r="1952" s="197" customFormat="1" ht="12.75" x14ac:dyDescent="0.2"/>
    <row r="1953" s="197" customFormat="1" ht="12.75" x14ac:dyDescent="0.2"/>
    <row r="1954" s="197" customFormat="1" ht="12.75" x14ac:dyDescent="0.2"/>
    <row r="1955" s="197" customFormat="1" ht="12.75" x14ac:dyDescent="0.2"/>
    <row r="1956" s="197" customFormat="1" ht="12.75" x14ac:dyDescent="0.2"/>
    <row r="1957" s="197" customFormat="1" ht="12.75" x14ac:dyDescent="0.2"/>
    <row r="1958" s="197" customFormat="1" ht="12.75" x14ac:dyDescent="0.2"/>
    <row r="1959" s="197" customFormat="1" ht="12.75" x14ac:dyDescent="0.2"/>
    <row r="1960" s="197" customFormat="1" ht="12.75" x14ac:dyDescent="0.2"/>
    <row r="1961" s="197" customFormat="1" ht="12.75" x14ac:dyDescent="0.2"/>
    <row r="1962" s="197" customFormat="1" ht="12.75" x14ac:dyDescent="0.2"/>
    <row r="1963" s="197" customFormat="1" ht="12.75" x14ac:dyDescent="0.2"/>
    <row r="1964" s="197" customFormat="1" ht="12.75" x14ac:dyDescent="0.2"/>
    <row r="1965" s="197" customFormat="1" ht="12.75" x14ac:dyDescent="0.2"/>
    <row r="1966" s="197" customFormat="1" ht="12.75" x14ac:dyDescent="0.2"/>
    <row r="1967" s="197" customFormat="1" ht="12.75" x14ac:dyDescent="0.2"/>
    <row r="1968" s="197" customFormat="1" ht="12.75" x14ac:dyDescent="0.2"/>
    <row r="1969" s="197" customFormat="1" ht="12.75" x14ac:dyDescent="0.2"/>
    <row r="1970" s="197" customFormat="1" ht="12.75" x14ac:dyDescent="0.2"/>
    <row r="1971" s="197" customFormat="1" ht="12.75" x14ac:dyDescent="0.2"/>
    <row r="1972" s="197" customFormat="1" ht="12.75" x14ac:dyDescent="0.2"/>
    <row r="1973" s="197" customFormat="1" ht="12.75" x14ac:dyDescent="0.2"/>
    <row r="1974" s="197" customFormat="1" ht="12.75" x14ac:dyDescent="0.2"/>
    <row r="1975" s="197" customFormat="1" ht="12.75" x14ac:dyDescent="0.2"/>
    <row r="1976" s="197" customFormat="1" ht="12.75" x14ac:dyDescent="0.2"/>
    <row r="1977" s="197" customFormat="1" ht="12.75" x14ac:dyDescent="0.2"/>
    <row r="1978" s="197" customFormat="1" ht="12.75" x14ac:dyDescent="0.2"/>
    <row r="1979" s="197" customFormat="1" ht="12.75" x14ac:dyDescent="0.2"/>
    <row r="1980" s="197" customFormat="1" ht="12.75" x14ac:dyDescent="0.2"/>
    <row r="1981" s="197" customFormat="1" ht="12.75" x14ac:dyDescent="0.2"/>
    <row r="1982" s="197" customFormat="1" ht="12.75" x14ac:dyDescent="0.2"/>
    <row r="1983" s="197" customFormat="1" ht="12.75" x14ac:dyDescent="0.2"/>
    <row r="1984" s="197" customFormat="1" ht="12.75" x14ac:dyDescent="0.2"/>
    <row r="1985" s="197" customFormat="1" ht="12.75" x14ac:dyDescent="0.2"/>
    <row r="1986" s="197" customFormat="1" ht="12.75" x14ac:dyDescent="0.2"/>
    <row r="1987" s="197" customFormat="1" ht="12.75" x14ac:dyDescent="0.2"/>
    <row r="1988" s="197" customFormat="1" ht="12.75" x14ac:dyDescent="0.2"/>
    <row r="1989" s="197" customFormat="1" ht="12.75" x14ac:dyDescent="0.2"/>
    <row r="1990" s="197" customFormat="1" ht="12.75" x14ac:dyDescent="0.2"/>
    <row r="1991" s="197" customFormat="1" ht="12.75" x14ac:dyDescent="0.2"/>
    <row r="1992" s="197" customFormat="1" ht="12.75" x14ac:dyDescent="0.2"/>
    <row r="1993" s="197" customFormat="1" ht="12.75" x14ac:dyDescent="0.2"/>
    <row r="1994" s="197" customFormat="1" ht="12.75" x14ac:dyDescent="0.2"/>
    <row r="1995" s="197" customFormat="1" ht="12.75" x14ac:dyDescent="0.2"/>
    <row r="1996" s="197" customFormat="1" ht="12.75" x14ac:dyDescent="0.2"/>
    <row r="1997" s="197" customFormat="1" ht="12.75" x14ac:dyDescent="0.2"/>
    <row r="1998" s="197" customFormat="1" ht="12.75" x14ac:dyDescent="0.2"/>
    <row r="1999" s="197" customFormat="1" ht="12.75" x14ac:dyDescent="0.2"/>
    <row r="2000" s="197" customFormat="1" ht="12.75" x14ac:dyDescent="0.2"/>
    <row r="2001" s="197" customFormat="1" ht="12.75" x14ac:dyDescent="0.2"/>
    <row r="2002" s="197" customFormat="1" ht="12.75" x14ac:dyDescent="0.2"/>
    <row r="2003" s="197" customFormat="1" ht="12.75" x14ac:dyDescent="0.2"/>
    <row r="2004" s="197" customFormat="1" ht="12.75" x14ac:dyDescent="0.2"/>
    <row r="2005" s="197" customFormat="1" ht="12.75" x14ac:dyDescent="0.2"/>
    <row r="2006" s="197" customFormat="1" ht="12.75" x14ac:dyDescent="0.2"/>
    <row r="2007" s="197" customFormat="1" ht="12.75" x14ac:dyDescent="0.2"/>
    <row r="2008" s="197" customFormat="1" ht="12.75" x14ac:dyDescent="0.2"/>
    <row r="2009" s="197" customFormat="1" ht="12.75" x14ac:dyDescent="0.2"/>
    <row r="2010" s="197" customFormat="1" ht="12.75" x14ac:dyDescent="0.2"/>
    <row r="2011" s="197" customFormat="1" ht="12.75" x14ac:dyDescent="0.2"/>
    <row r="2012" s="197" customFormat="1" ht="12.75" x14ac:dyDescent="0.2"/>
    <row r="2013" s="197" customFormat="1" ht="12.75" x14ac:dyDescent="0.2"/>
    <row r="2014" s="197" customFormat="1" ht="12.75" x14ac:dyDescent="0.2"/>
    <row r="2015" s="197" customFormat="1" ht="12.75" x14ac:dyDescent="0.2"/>
    <row r="2016" s="197" customFormat="1" ht="12.75" x14ac:dyDescent="0.2"/>
    <row r="2017" s="197" customFormat="1" ht="12.75" x14ac:dyDescent="0.2"/>
    <row r="2018" s="197" customFormat="1" ht="12.75" x14ac:dyDescent="0.2"/>
    <row r="2019" s="197" customFormat="1" ht="12.75" x14ac:dyDescent="0.2"/>
    <row r="2020" s="197" customFormat="1" ht="12.75" x14ac:dyDescent="0.2"/>
    <row r="2021" s="197" customFormat="1" ht="12.75" x14ac:dyDescent="0.2"/>
    <row r="2022" s="197" customFormat="1" ht="12.75" x14ac:dyDescent="0.2"/>
    <row r="2023" s="197" customFormat="1" ht="12.75" x14ac:dyDescent="0.2"/>
    <row r="2024" s="197" customFormat="1" ht="12.75" x14ac:dyDescent="0.2"/>
    <row r="2025" s="197" customFormat="1" ht="12.75" x14ac:dyDescent="0.2"/>
    <row r="2026" s="197" customFormat="1" ht="12.75" x14ac:dyDescent="0.2"/>
    <row r="2027" s="197" customFormat="1" ht="12.75" x14ac:dyDescent="0.2"/>
    <row r="2028" s="197" customFormat="1" ht="12.75" x14ac:dyDescent="0.2"/>
    <row r="2029" s="197" customFormat="1" ht="12.75" x14ac:dyDescent="0.2"/>
    <row r="2030" s="197" customFormat="1" ht="12.75" x14ac:dyDescent="0.2"/>
    <row r="2031" s="197" customFormat="1" ht="12.75" x14ac:dyDescent="0.2"/>
    <row r="2032" s="197" customFormat="1" ht="12.75" x14ac:dyDescent="0.2"/>
    <row r="2033" s="197" customFormat="1" ht="12.75" x14ac:dyDescent="0.2"/>
    <row r="2034" s="197" customFormat="1" ht="12.75" x14ac:dyDescent="0.2"/>
    <row r="2035" s="197" customFormat="1" ht="12.75" x14ac:dyDescent="0.2"/>
    <row r="2036" s="197" customFormat="1" ht="12.75" x14ac:dyDescent="0.2"/>
    <row r="2037" s="197" customFormat="1" ht="12.75" x14ac:dyDescent="0.2"/>
    <row r="2038" s="197" customFormat="1" ht="12.75" x14ac:dyDescent="0.2"/>
    <row r="2039" s="197" customFormat="1" ht="12.75" x14ac:dyDescent="0.2"/>
    <row r="2040" s="197" customFormat="1" ht="12.75" x14ac:dyDescent="0.2"/>
    <row r="2041" s="197" customFormat="1" ht="12.75" x14ac:dyDescent="0.2"/>
    <row r="2042" s="197" customFormat="1" ht="12.75" x14ac:dyDescent="0.2"/>
    <row r="2043" s="197" customFormat="1" ht="12.75" x14ac:dyDescent="0.2"/>
    <row r="2044" s="197" customFormat="1" ht="12.75" x14ac:dyDescent="0.2"/>
    <row r="2045" s="197" customFormat="1" ht="12.75" x14ac:dyDescent="0.2"/>
    <row r="2046" s="197" customFormat="1" ht="12.75" x14ac:dyDescent="0.2"/>
    <row r="2047" s="197" customFormat="1" ht="12.75" x14ac:dyDescent="0.2"/>
    <row r="2048" s="197" customFormat="1" ht="12.75" x14ac:dyDescent="0.2"/>
    <row r="2049" s="197" customFormat="1" ht="12.75" x14ac:dyDescent="0.2"/>
    <row r="2050" s="197" customFormat="1" ht="12.75" x14ac:dyDescent="0.2"/>
    <row r="2051" s="197" customFormat="1" ht="12.75" x14ac:dyDescent="0.2"/>
    <row r="2052" s="197" customFormat="1" ht="12.75" x14ac:dyDescent="0.2"/>
    <row r="2053" s="197" customFormat="1" ht="12.75" x14ac:dyDescent="0.2"/>
    <row r="2054" s="197" customFormat="1" ht="12.75" x14ac:dyDescent="0.2"/>
    <row r="2055" s="197" customFormat="1" ht="12.75" x14ac:dyDescent="0.2"/>
    <row r="2056" s="197" customFormat="1" ht="12.75" x14ac:dyDescent="0.2"/>
    <row r="2057" s="197" customFormat="1" ht="12.75" x14ac:dyDescent="0.2"/>
    <row r="2058" s="197" customFormat="1" ht="12.75" x14ac:dyDescent="0.2"/>
    <row r="2059" s="197" customFormat="1" ht="12.75" x14ac:dyDescent="0.2"/>
    <row r="2060" s="197" customFormat="1" ht="12.75" x14ac:dyDescent="0.2"/>
    <row r="2061" s="197" customFormat="1" ht="12.75" x14ac:dyDescent="0.2"/>
    <row r="2062" s="197" customFormat="1" ht="12.75" x14ac:dyDescent="0.2"/>
    <row r="2063" s="197" customFormat="1" ht="12.75" x14ac:dyDescent="0.2"/>
    <row r="2064" s="197" customFormat="1" ht="12.75" x14ac:dyDescent="0.2"/>
    <row r="2065" s="197" customFormat="1" ht="12.75" x14ac:dyDescent="0.2"/>
    <row r="2066" s="197" customFormat="1" ht="12.75" x14ac:dyDescent="0.2"/>
    <row r="2067" s="197" customFormat="1" ht="12.75" x14ac:dyDescent="0.2"/>
    <row r="2068" s="197" customFormat="1" ht="12.75" x14ac:dyDescent="0.2"/>
    <row r="2069" s="197" customFormat="1" ht="12.75" x14ac:dyDescent="0.2"/>
    <row r="2070" s="197" customFormat="1" ht="12.75" x14ac:dyDescent="0.2"/>
    <row r="2071" s="197" customFormat="1" ht="12.75" x14ac:dyDescent="0.2"/>
    <row r="2072" s="197" customFormat="1" ht="12.75" x14ac:dyDescent="0.2"/>
    <row r="2073" s="197" customFormat="1" ht="12.75" x14ac:dyDescent="0.2"/>
    <row r="2074" s="197" customFormat="1" ht="12.75" x14ac:dyDescent="0.2"/>
    <row r="2075" s="197" customFormat="1" ht="12.75" x14ac:dyDescent="0.2"/>
    <row r="2076" s="197" customFormat="1" ht="12.75" x14ac:dyDescent="0.2"/>
    <row r="2077" s="197" customFormat="1" ht="12.75" x14ac:dyDescent="0.2"/>
    <row r="2078" s="197" customFormat="1" ht="12.75" x14ac:dyDescent="0.2"/>
    <row r="2079" s="197" customFormat="1" ht="12.75" x14ac:dyDescent="0.2"/>
    <row r="2080" s="197" customFormat="1" ht="12.75" x14ac:dyDescent="0.2"/>
    <row r="2081" s="197" customFormat="1" ht="12.75" x14ac:dyDescent="0.2"/>
    <row r="2082" s="197" customFormat="1" ht="12.75" x14ac:dyDescent="0.2"/>
    <row r="2083" s="197" customFormat="1" ht="12.75" x14ac:dyDescent="0.2"/>
    <row r="2084" s="197" customFormat="1" ht="12.75" x14ac:dyDescent="0.2"/>
    <row r="2085" s="197" customFormat="1" ht="12.75" x14ac:dyDescent="0.2"/>
    <row r="2086" s="197" customFormat="1" ht="12.75" x14ac:dyDescent="0.2"/>
    <row r="2087" s="197" customFormat="1" ht="12.75" x14ac:dyDescent="0.2"/>
    <row r="2088" s="197" customFormat="1" ht="12.75" x14ac:dyDescent="0.2"/>
    <row r="2089" s="197" customFormat="1" ht="12.75" x14ac:dyDescent="0.2"/>
    <row r="2090" s="197" customFormat="1" ht="12.75" x14ac:dyDescent="0.2"/>
    <row r="2091" s="197" customFormat="1" ht="12.75" x14ac:dyDescent="0.2"/>
    <row r="2092" s="197" customFormat="1" ht="12.75" x14ac:dyDescent="0.2"/>
    <row r="2093" s="197" customFormat="1" ht="12.75" x14ac:dyDescent="0.2"/>
    <row r="2094" s="197" customFormat="1" ht="12.75" x14ac:dyDescent="0.2"/>
    <row r="2095" s="197" customFormat="1" ht="12.75" x14ac:dyDescent="0.2"/>
    <row r="2096" s="197" customFormat="1" ht="12.75" x14ac:dyDescent="0.2"/>
    <row r="2097" s="197" customFormat="1" ht="12.75" x14ac:dyDescent="0.2"/>
    <row r="2098" s="197" customFormat="1" ht="12.75" x14ac:dyDescent="0.2"/>
    <row r="2099" s="197" customFormat="1" ht="12.75" x14ac:dyDescent="0.2"/>
    <row r="2100" s="197" customFormat="1" ht="12.75" x14ac:dyDescent="0.2"/>
    <row r="2101" s="197" customFormat="1" ht="12.75" x14ac:dyDescent="0.2"/>
    <row r="2102" s="197" customFormat="1" ht="12.75" x14ac:dyDescent="0.2"/>
    <row r="2103" s="197" customFormat="1" ht="12.75" x14ac:dyDescent="0.2"/>
    <row r="2104" s="197" customFormat="1" ht="12.75" x14ac:dyDescent="0.2"/>
    <row r="2105" s="197" customFormat="1" ht="12.75" x14ac:dyDescent="0.2"/>
    <row r="2106" s="197" customFormat="1" ht="12.75" x14ac:dyDescent="0.2"/>
    <row r="2107" s="197" customFormat="1" ht="12.75" x14ac:dyDescent="0.2"/>
    <row r="2108" s="197" customFormat="1" ht="12.75" x14ac:dyDescent="0.2"/>
    <row r="2109" s="197" customFormat="1" ht="12.75" x14ac:dyDescent="0.2"/>
    <row r="2110" s="197" customFormat="1" ht="12.75" x14ac:dyDescent="0.2"/>
    <row r="2111" s="197" customFormat="1" ht="12.75" x14ac:dyDescent="0.2"/>
    <row r="2112" s="197" customFormat="1" ht="12.75" x14ac:dyDescent="0.2"/>
    <row r="2113" s="197" customFormat="1" ht="12.75" x14ac:dyDescent="0.2"/>
    <row r="2114" s="197" customFormat="1" ht="12.75" x14ac:dyDescent="0.2"/>
    <row r="2115" s="197" customFormat="1" ht="12.75" x14ac:dyDescent="0.2"/>
    <row r="2116" s="197" customFormat="1" ht="12.75" x14ac:dyDescent="0.2"/>
    <row r="2117" s="197" customFormat="1" ht="12.75" x14ac:dyDescent="0.2"/>
    <row r="2118" s="197" customFormat="1" ht="12.75" x14ac:dyDescent="0.2"/>
    <row r="2119" s="197" customFormat="1" ht="12.75" x14ac:dyDescent="0.2"/>
    <row r="2120" s="197" customFormat="1" ht="12.75" x14ac:dyDescent="0.2"/>
    <row r="2121" s="197" customFormat="1" ht="12.75" x14ac:dyDescent="0.2"/>
    <row r="2122" s="197" customFormat="1" ht="12.75" x14ac:dyDescent="0.2"/>
    <row r="2123" s="197" customFormat="1" ht="12.75" x14ac:dyDescent="0.2"/>
    <row r="2124" s="197" customFormat="1" ht="12.75" x14ac:dyDescent="0.2"/>
    <row r="2125" s="197" customFormat="1" ht="12.75" x14ac:dyDescent="0.2"/>
    <row r="2126" s="197" customFormat="1" ht="12.75" x14ac:dyDescent="0.2"/>
    <row r="2127" s="197" customFormat="1" ht="12.75" x14ac:dyDescent="0.2"/>
    <row r="2128" s="197" customFormat="1" ht="12.75" x14ac:dyDescent="0.2"/>
    <row r="2129" s="197" customFormat="1" ht="12.75" x14ac:dyDescent="0.2"/>
    <row r="2130" s="197" customFormat="1" ht="12.75" x14ac:dyDescent="0.2"/>
    <row r="2131" s="197" customFormat="1" ht="12.75" x14ac:dyDescent="0.2"/>
    <row r="2132" s="197" customFormat="1" ht="12.75" x14ac:dyDescent="0.2"/>
    <row r="2133" s="197" customFormat="1" ht="12.75" x14ac:dyDescent="0.2"/>
    <row r="2134" s="197" customFormat="1" ht="12.75" x14ac:dyDescent="0.2"/>
    <row r="2135" s="197" customFormat="1" ht="12.75" x14ac:dyDescent="0.2"/>
    <row r="2136" s="197" customFormat="1" ht="12.75" x14ac:dyDescent="0.2"/>
    <row r="2137" s="197" customFormat="1" ht="12.75" x14ac:dyDescent="0.2"/>
    <row r="2138" s="197" customFormat="1" ht="12.75" x14ac:dyDescent="0.2"/>
    <row r="2139" s="197" customFormat="1" ht="12.75" x14ac:dyDescent="0.2"/>
    <row r="2140" s="197" customFormat="1" ht="12.75" x14ac:dyDescent="0.2"/>
    <row r="2141" s="197" customFormat="1" ht="12.75" x14ac:dyDescent="0.2"/>
    <row r="2142" s="197" customFormat="1" ht="12.75" x14ac:dyDescent="0.2"/>
    <row r="2143" s="197" customFormat="1" ht="12.75" x14ac:dyDescent="0.2"/>
    <row r="2144" s="197" customFormat="1" ht="12.75" x14ac:dyDescent="0.2"/>
    <row r="2145" s="197" customFormat="1" ht="12.75" x14ac:dyDescent="0.2"/>
    <row r="2146" s="197" customFormat="1" ht="12.75" x14ac:dyDescent="0.2"/>
    <row r="2147" s="197" customFormat="1" ht="12.75" x14ac:dyDescent="0.2"/>
    <row r="2148" s="197" customFormat="1" ht="12.75" x14ac:dyDescent="0.2"/>
    <row r="2149" s="197" customFormat="1" ht="12.75" x14ac:dyDescent="0.2"/>
    <row r="2150" s="197" customFormat="1" ht="12.75" x14ac:dyDescent="0.2"/>
    <row r="2151" s="197" customFormat="1" ht="12.75" x14ac:dyDescent="0.2"/>
    <row r="2152" s="197" customFormat="1" ht="12.75" x14ac:dyDescent="0.2"/>
    <row r="2153" s="197" customFormat="1" ht="12.75" x14ac:dyDescent="0.2"/>
    <row r="2154" s="197" customFormat="1" ht="12.75" x14ac:dyDescent="0.2"/>
    <row r="2155" s="197" customFormat="1" ht="12.75" x14ac:dyDescent="0.2"/>
    <row r="2156" s="197" customFormat="1" ht="12.75" x14ac:dyDescent="0.2"/>
    <row r="2157" s="197" customFormat="1" ht="12.75" x14ac:dyDescent="0.2"/>
    <row r="2158" s="197" customFormat="1" ht="12.75" x14ac:dyDescent="0.2"/>
    <row r="2159" s="197" customFormat="1" ht="12.75" x14ac:dyDescent="0.2"/>
    <row r="2160" s="197" customFormat="1" ht="12.75" x14ac:dyDescent="0.2"/>
    <row r="2161" s="197" customFormat="1" ht="12.75" x14ac:dyDescent="0.2"/>
    <row r="2162" s="197" customFormat="1" ht="12.75" x14ac:dyDescent="0.2"/>
    <row r="2163" s="197" customFormat="1" ht="12.75" x14ac:dyDescent="0.2"/>
    <row r="2164" s="197" customFormat="1" ht="12.75" x14ac:dyDescent="0.2"/>
    <row r="2165" s="197" customFormat="1" ht="12.75" x14ac:dyDescent="0.2"/>
    <row r="2166" s="197" customFormat="1" ht="12.75" x14ac:dyDescent="0.2"/>
    <row r="2167" s="197" customFormat="1" ht="12.75" x14ac:dyDescent="0.2"/>
    <row r="2168" s="197" customFormat="1" ht="12.75" x14ac:dyDescent="0.2"/>
    <row r="2169" s="197" customFormat="1" ht="12.75" x14ac:dyDescent="0.2"/>
    <row r="2170" s="197" customFormat="1" ht="12.75" x14ac:dyDescent="0.2"/>
    <row r="2171" s="197" customFormat="1" ht="12.75" x14ac:dyDescent="0.2"/>
    <row r="2172" s="197" customFormat="1" ht="12.75" x14ac:dyDescent="0.2"/>
    <row r="2173" s="197" customFormat="1" ht="12.75" x14ac:dyDescent="0.2"/>
    <row r="2174" s="197" customFormat="1" ht="12.75" x14ac:dyDescent="0.2"/>
    <row r="2175" s="197" customFormat="1" ht="12.75" x14ac:dyDescent="0.2"/>
    <row r="2176" s="197" customFormat="1" ht="12.75" x14ac:dyDescent="0.2"/>
    <row r="2177" s="197" customFormat="1" ht="12.75" x14ac:dyDescent="0.2"/>
    <row r="2178" s="197" customFormat="1" ht="12.75" x14ac:dyDescent="0.2"/>
    <row r="2179" s="197" customFormat="1" ht="12.75" x14ac:dyDescent="0.2"/>
    <row r="2180" s="197" customFormat="1" ht="12.75" x14ac:dyDescent="0.2"/>
    <row r="2181" s="197" customFormat="1" ht="12.75" x14ac:dyDescent="0.2"/>
    <row r="2182" s="197" customFormat="1" ht="12.75" x14ac:dyDescent="0.2"/>
    <row r="2183" s="197" customFormat="1" ht="12.75" x14ac:dyDescent="0.2"/>
    <row r="2184" s="197" customFormat="1" ht="12.75" x14ac:dyDescent="0.2"/>
    <row r="2185" s="197" customFormat="1" ht="12.75" x14ac:dyDescent="0.2"/>
    <row r="2186" s="197" customFormat="1" ht="12.75" x14ac:dyDescent="0.2"/>
    <row r="2187" s="197" customFormat="1" ht="12.75" x14ac:dyDescent="0.2"/>
    <row r="2188" s="197" customFormat="1" ht="12.75" x14ac:dyDescent="0.2"/>
    <row r="2189" s="197" customFormat="1" ht="12.75" x14ac:dyDescent="0.2"/>
    <row r="2190" s="197" customFormat="1" ht="12.75" x14ac:dyDescent="0.2"/>
    <row r="2191" s="197" customFormat="1" ht="12.75" x14ac:dyDescent="0.2"/>
    <row r="2192" s="197" customFormat="1" ht="12.75" x14ac:dyDescent="0.2"/>
    <row r="2193" s="197" customFormat="1" ht="12.75" x14ac:dyDescent="0.2"/>
    <row r="2194" s="197" customFormat="1" ht="12.75" x14ac:dyDescent="0.2"/>
    <row r="2195" s="197" customFormat="1" ht="12.75" x14ac:dyDescent="0.2"/>
    <row r="2196" s="197" customFormat="1" ht="12.75" x14ac:dyDescent="0.2"/>
    <row r="2197" s="197" customFormat="1" ht="12.75" x14ac:dyDescent="0.2"/>
    <row r="2198" s="197" customFormat="1" ht="12.75" x14ac:dyDescent="0.2"/>
    <row r="2199" s="197" customFormat="1" ht="12.75" x14ac:dyDescent="0.2"/>
    <row r="2200" s="197" customFormat="1" ht="12.75" x14ac:dyDescent="0.2"/>
    <row r="2201" s="197" customFormat="1" ht="12.75" x14ac:dyDescent="0.2"/>
    <row r="2202" s="197" customFormat="1" ht="12.75" x14ac:dyDescent="0.2"/>
    <row r="2203" s="197" customFormat="1" ht="12.75" x14ac:dyDescent="0.2"/>
    <row r="2204" s="197" customFormat="1" ht="12.75" x14ac:dyDescent="0.2"/>
    <row r="2205" s="197" customFormat="1" ht="12.75" x14ac:dyDescent="0.2"/>
    <row r="2206" s="197" customFormat="1" ht="12.75" x14ac:dyDescent="0.2"/>
    <row r="2207" s="197" customFormat="1" ht="12.75" x14ac:dyDescent="0.2"/>
    <row r="2208" s="197" customFormat="1" ht="12.75" x14ac:dyDescent="0.2"/>
    <row r="2209" s="197" customFormat="1" ht="12.75" x14ac:dyDescent="0.2"/>
    <row r="2210" s="197" customFormat="1" ht="12.75" x14ac:dyDescent="0.2"/>
    <row r="2211" s="197" customFormat="1" ht="12.75" x14ac:dyDescent="0.2"/>
    <row r="2212" s="197" customFormat="1" ht="12.75" x14ac:dyDescent="0.2"/>
    <row r="2213" s="197" customFormat="1" ht="12.75" x14ac:dyDescent="0.2"/>
    <row r="2214" s="197" customFormat="1" ht="12.75" x14ac:dyDescent="0.2"/>
    <row r="2215" s="197" customFormat="1" ht="12.75" x14ac:dyDescent="0.2"/>
    <row r="2216" s="197" customFormat="1" ht="12.75" x14ac:dyDescent="0.2"/>
    <row r="2217" s="197" customFormat="1" ht="12.75" x14ac:dyDescent="0.2"/>
    <row r="2218" s="197" customFormat="1" ht="12.75" x14ac:dyDescent="0.2"/>
    <row r="2219" s="197" customFormat="1" ht="12.75" x14ac:dyDescent="0.2"/>
    <row r="2220" s="197" customFormat="1" ht="12.75" x14ac:dyDescent="0.2"/>
    <row r="2221" s="197" customFormat="1" ht="12.75" x14ac:dyDescent="0.2"/>
    <row r="2222" s="197" customFormat="1" ht="12.75" x14ac:dyDescent="0.2"/>
    <row r="2223" s="197" customFormat="1" ht="12.75" x14ac:dyDescent="0.2"/>
    <row r="2224" s="197" customFormat="1" ht="12.75" x14ac:dyDescent="0.2"/>
    <row r="2225" s="197" customFormat="1" ht="12.75" x14ac:dyDescent="0.2"/>
    <row r="2226" s="197" customFormat="1" ht="12.75" x14ac:dyDescent="0.2"/>
    <row r="2227" s="197" customFormat="1" ht="12.75" x14ac:dyDescent="0.2"/>
    <row r="2228" s="197" customFormat="1" ht="12.75" x14ac:dyDescent="0.2"/>
    <row r="2229" s="197" customFormat="1" ht="12.75" x14ac:dyDescent="0.2"/>
    <row r="2230" s="197" customFormat="1" ht="12.75" x14ac:dyDescent="0.2"/>
    <row r="2231" s="197" customFormat="1" ht="12.75" x14ac:dyDescent="0.2"/>
    <row r="2232" s="197" customFormat="1" ht="12.75" x14ac:dyDescent="0.2"/>
    <row r="2233" s="197" customFormat="1" ht="12.75" x14ac:dyDescent="0.2"/>
    <row r="2234" s="197" customFormat="1" ht="12.75" x14ac:dyDescent="0.2"/>
    <row r="2235" s="197" customFormat="1" ht="12.75" x14ac:dyDescent="0.2"/>
    <row r="2236" s="197" customFormat="1" ht="12.75" x14ac:dyDescent="0.2"/>
    <row r="2237" s="197" customFormat="1" ht="12.75" x14ac:dyDescent="0.2"/>
    <row r="2238" s="197" customFormat="1" ht="12.75" x14ac:dyDescent="0.2"/>
    <row r="2239" s="197" customFormat="1" ht="12.75" x14ac:dyDescent="0.2"/>
    <row r="2240" s="197" customFormat="1" ht="12.75" x14ac:dyDescent="0.2"/>
    <row r="2241" s="197" customFormat="1" ht="12.75" x14ac:dyDescent="0.2"/>
    <row r="2242" s="197" customFormat="1" ht="12.75" x14ac:dyDescent="0.2"/>
    <row r="2243" s="197" customFormat="1" ht="12.75" x14ac:dyDescent="0.2"/>
    <row r="2244" s="197" customFormat="1" ht="12.75" x14ac:dyDescent="0.2"/>
    <row r="2245" s="197" customFormat="1" ht="12.75" x14ac:dyDescent="0.2"/>
    <row r="2246" s="197" customFormat="1" ht="12.75" x14ac:dyDescent="0.2"/>
    <row r="2247" s="197" customFormat="1" ht="12.75" x14ac:dyDescent="0.2"/>
    <row r="2248" s="197" customFormat="1" ht="12.75" x14ac:dyDescent="0.2"/>
    <row r="2249" s="197" customFormat="1" ht="12.75" x14ac:dyDescent="0.2"/>
    <row r="2250" s="197" customFormat="1" ht="12.75" x14ac:dyDescent="0.2"/>
    <row r="2251" s="197" customFormat="1" ht="12.75" x14ac:dyDescent="0.2"/>
    <row r="2252" s="197" customFormat="1" ht="12.75" x14ac:dyDescent="0.2"/>
    <row r="2253" s="197" customFormat="1" ht="12.75" x14ac:dyDescent="0.2"/>
    <row r="2254" s="197" customFormat="1" ht="12.75" x14ac:dyDescent="0.2"/>
    <row r="2255" s="197" customFormat="1" ht="12.75" x14ac:dyDescent="0.2"/>
    <row r="2256" s="197" customFormat="1" ht="12.75" x14ac:dyDescent="0.2"/>
    <row r="2257" s="197" customFormat="1" ht="12.75" x14ac:dyDescent="0.2"/>
    <row r="2258" s="197" customFormat="1" ht="12.75" x14ac:dyDescent="0.2"/>
    <row r="2259" s="197" customFormat="1" ht="12.75" x14ac:dyDescent="0.2"/>
    <row r="2260" s="197" customFormat="1" ht="12.75" x14ac:dyDescent="0.2"/>
    <row r="2261" s="197" customFormat="1" ht="12.75" x14ac:dyDescent="0.2"/>
    <row r="2262" s="197" customFormat="1" ht="12.75" x14ac:dyDescent="0.2"/>
    <row r="2263" s="197" customFormat="1" ht="12.75" x14ac:dyDescent="0.2"/>
    <row r="2264" s="197" customFormat="1" ht="12.75" x14ac:dyDescent="0.2"/>
    <row r="2265" s="197" customFormat="1" ht="12.75" x14ac:dyDescent="0.2"/>
    <row r="2266" s="197" customFormat="1" ht="12.75" x14ac:dyDescent="0.2"/>
    <row r="2267" s="197" customFormat="1" ht="12.75" x14ac:dyDescent="0.2"/>
    <row r="2268" s="197" customFormat="1" ht="12.75" x14ac:dyDescent="0.2"/>
    <row r="2269" s="197" customFormat="1" ht="12.75" x14ac:dyDescent="0.2"/>
    <row r="2270" s="197" customFormat="1" ht="12.75" x14ac:dyDescent="0.2"/>
    <row r="2271" s="197" customFormat="1" ht="12.75" x14ac:dyDescent="0.2"/>
    <row r="2272" s="197" customFormat="1" ht="12.75" x14ac:dyDescent="0.2"/>
    <row r="2273" s="197" customFormat="1" ht="12.75" x14ac:dyDescent="0.2"/>
    <row r="2274" s="197" customFormat="1" ht="12.75" x14ac:dyDescent="0.2"/>
    <row r="2275" s="197" customFormat="1" ht="12.75" x14ac:dyDescent="0.2"/>
    <row r="2276" s="197" customFormat="1" ht="12.75" x14ac:dyDescent="0.2"/>
    <row r="2277" s="197" customFormat="1" ht="12.75" x14ac:dyDescent="0.2"/>
    <row r="2278" s="197" customFormat="1" ht="12.75" x14ac:dyDescent="0.2"/>
    <row r="2279" s="197" customFormat="1" ht="12.75" x14ac:dyDescent="0.2"/>
    <row r="2280" s="197" customFormat="1" ht="12.75" x14ac:dyDescent="0.2"/>
    <row r="2281" s="197" customFormat="1" ht="12.75" x14ac:dyDescent="0.2"/>
    <row r="2282" s="197" customFormat="1" ht="12.75" x14ac:dyDescent="0.2"/>
    <row r="2283" s="197" customFormat="1" ht="12.75" x14ac:dyDescent="0.2"/>
    <row r="2284" s="197" customFormat="1" ht="12.75" x14ac:dyDescent="0.2"/>
    <row r="2285" s="197" customFormat="1" ht="12.75" x14ac:dyDescent="0.2"/>
    <row r="2286" s="197" customFormat="1" ht="12.75" x14ac:dyDescent="0.2"/>
    <row r="2287" s="197" customFormat="1" ht="12.75" x14ac:dyDescent="0.2"/>
    <row r="2288" s="197" customFormat="1" ht="12.75" x14ac:dyDescent="0.2"/>
    <row r="2289" s="197" customFormat="1" ht="12.75" x14ac:dyDescent="0.2"/>
    <row r="2290" s="197" customFormat="1" ht="12.75" x14ac:dyDescent="0.2"/>
    <row r="2291" s="197" customFormat="1" ht="12.75" x14ac:dyDescent="0.2"/>
    <row r="2292" s="197" customFormat="1" ht="12.75" x14ac:dyDescent="0.2"/>
    <row r="2293" s="197" customFormat="1" ht="12.75" x14ac:dyDescent="0.2"/>
    <row r="2294" s="197" customFormat="1" ht="12.75" x14ac:dyDescent="0.2"/>
    <row r="2295" s="197" customFormat="1" ht="12.75" x14ac:dyDescent="0.2"/>
    <row r="2296" s="197" customFormat="1" ht="12.75" x14ac:dyDescent="0.2"/>
    <row r="2297" s="197" customFormat="1" ht="12.75" x14ac:dyDescent="0.2"/>
    <row r="2298" s="197" customFormat="1" ht="12.75" x14ac:dyDescent="0.2"/>
    <row r="2299" s="197" customFormat="1" ht="12.75" x14ac:dyDescent="0.2"/>
    <row r="2300" s="197" customFormat="1" ht="12.75" x14ac:dyDescent="0.2"/>
    <row r="2301" s="197" customFormat="1" ht="12.75" x14ac:dyDescent="0.2"/>
    <row r="2302" s="197" customFormat="1" ht="12.75" x14ac:dyDescent="0.2"/>
    <row r="2303" s="197" customFormat="1" ht="12.75" x14ac:dyDescent="0.2"/>
    <row r="2304" s="197" customFormat="1" ht="12.75" x14ac:dyDescent="0.2"/>
    <row r="2305" s="197" customFormat="1" ht="12.75" x14ac:dyDescent="0.2"/>
    <row r="2306" s="197" customFormat="1" ht="12.75" x14ac:dyDescent="0.2"/>
    <row r="2307" s="197" customFormat="1" ht="12.75" x14ac:dyDescent="0.2"/>
    <row r="2308" s="197" customFormat="1" ht="12.75" x14ac:dyDescent="0.2"/>
    <row r="2309" s="197" customFormat="1" ht="12.75" x14ac:dyDescent="0.2"/>
    <row r="2310" s="197" customFormat="1" ht="12.75" x14ac:dyDescent="0.2"/>
    <row r="2311" s="197" customFormat="1" ht="12.75" x14ac:dyDescent="0.2"/>
    <row r="2312" s="197" customFormat="1" ht="12.75" x14ac:dyDescent="0.2"/>
    <row r="2313" s="197" customFormat="1" ht="12.75" x14ac:dyDescent="0.2"/>
    <row r="2314" s="197" customFormat="1" ht="12.75" x14ac:dyDescent="0.2"/>
    <row r="2315" s="197" customFormat="1" ht="12.75" x14ac:dyDescent="0.2"/>
    <row r="2316" s="197" customFormat="1" ht="12.75" x14ac:dyDescent="0.2"/>
    <row r="2317" s="197" customFormat="1" ht="12.75" x14ac:dyDescent="0.2"/>
    <row r="2318" s="197" customFormat="1" ht="12.75" x14ac:dyDescent="0.2"/>
    <row r="2319" s="197" customFormat="1" ht="12.75" x14ac:dyDescent="0.2"/>
    <row r="2320" s="197" customFormat="1" ht="12.75" x14ac:dyDescent="0.2"/>
    <row r="2321" s="197" customFormat="1" ht="12.75" x14ac:dyDescent="0.2"/>
    <row r="2322" s="197" customFormat="1" ht="12.75" x14ac:dyDescent="0.2"/>
    <row r="2323" s="197" customFormat="1" ht="12.75" x14ac:dyDescent="0.2"/>
    <row r="2324" s="197" customFormat="1" ht="12.75" x14ac:dyDescent="0.2"/>
    <row r="2325" s="197" customFormat="1" ht="12.75" x14ac:dyDescent="0.2"/>
    <row r="2326" s="197" customFormat="1" ht="12.75" x14ac:dyDescent="0.2"/>
    <row r="2327" s="197" customFormat="1" ht="12.75" x14ac:dyDescent="0.2"/>
    <row r="2328" s="197" customFormat="1" ht="12.75" x14ac:dyDescent="0.2"/>
    <row r="2329" s="197" customFormat="1" ht="12.75" x14ac:dyDescent="0.2"/>
    <row r="2330" s="197" customFormat="1" ht="12.75" x14ac:dyDescent="0.2"/>
    <row r="2331" s="197" customFormat="1" ht="12.75" x14ac:dyDescent="0.2"/>
    <row r="2332" s="197" customFormat="1" ht="12.75" x14ac:dyDescent="0.2"/>
    <row r="2333" s="197" customFormat="1" ht="12.75" x14ac:dyDescent="0.2"/>
    <row r="2334" s="197" customFormat="1" ht="12.75" x14ac:dyDescent="0.2"/>
    <row r="2335" s="197" customFormat="1" ht="12.75" x14ac:dyDescent="0.2"/>
    <row r="2336" s="197" customFormat="1" ht="12.75" x14ac:dyDescent="0.2"/>
    <row r="2337" s="197" customFormat="1" ht="12.75" x14ac:dyDescent="0.2"/>
    <row r="2338" s="197" customFormat="1" ht="12.75" x14ac:dyDescent="0.2"/>
    <row r="2339" s="197" customFormat="1" ht="12.75" x14ac:dyDescent="0.2"/>
    <row r="2340" s="197" customFormat="1" ht="12.75" x14ac:dyDescent="0.2"/>
    <row r="2341" s="197" customFormat="1" ht="12.75" x14ac:dyDescent="0.2"/>
    <row r="2342" s="197" customFormat="1" ht="12.75" x14ac:dyDescent="0.2"/>
    <row r="2343" s="197" customFormat="1" ht="12.75" x14ac:dyDescent="0.2"/>
    <row r="2344" s="197" customFormat="1" ht="12.75" x14ac:dyDescent="0.2"/>
    <row r="2345" s="197" customFormat="1" ht="12.75" x14ac:dyDescent="0.2"/>
    <row r="2346" s="197" customFormat="1" ht="12.75" x14ac:dyDescent="0.2"/>
    <row r="2347" s="197" customFormat="1" ht="12.75" x14ac:dyDescent="0.2"/>
    <row r="2348" s="197" customFormat="1" ht="12.75" x14ac:dyDescent="0.2"/>
    <row r="2349" s="197" customFormat="1" ht="12.75" x14ac:dyDescent="0.2"/>
    <row r="2350" s="197" customFormat="1" ht="12.75" x14ac:dyDescent="0.2"/>
    <row r="2351" s="197" customFormat="1" ht="12.75" x14ac:dyDescent="0.2"/>
    <row r="2352" s="197" customFormat="1" ht="12.75" x14ac:dyDescent="0.2"/>
    <row r="2353" s="197" customFormat="1" ht="12.75" x14ac:dyDescent="0.2"/>
    <row r="2354" s="197" customFormat="1" ht="12.75" x14ac:dyDescent="0.2"/>
    <row r="2355" s="197" customFormat="1" ht="12.75" x14ac:dyDescent="0.2"/>
    <row r="2356" s="197" customFormat="1" ht="12.75" x14ac:dyDescent="0.2"/>
    <row r="2357" s="197" customFormat="1" ht="12.75" x14ac:dyDescent="0.2"/>
    <row r="2358" s="197" customFormat="1" ht="12.75" x14ac:dyDescent="0.2"/>
    <row r="2359" s="197" customFormat="1" ht="12.75" x14ac:dyDescent="0.2"/>
    <row r="2360" s="197" customFormat="1" ht="12.75" x14ac:dyDescent="0.2"/>
    <row r="2361" s="197" customFormat="1" ht="12.75" x14ac:dyDescent="0.2"/>
    <row r="2362" s="197" customFormat="1" ht="12.75" x14ac:dyDescent="0.2"/>
    <row r="2363" s="197" customFormat="1" ht="12.75" x14ac:dyDescent="0.2"/>
    <row r="2364" s="197" customFormat="1" ht="12.75" x14ac:dyDescent="0.2"/>
    <row r="2365" s="197" customFormat="1" ht="12.75" x14ac:dyDescent="0.2"/>
    <row r="2366" s="197" customFormat="1" ht="12.75" x14ac:dyDescent="0.2"/>
    <row r="2367" s="197" customFormat="1" ht="12.75" x14ac:dyDescent="0.2"/>
    <row r="2368" s="197" customFormat="1" ht="12.75" x14ac:dyDescent="0.2"/>
    <row r="2369" s="197" customFormat="1" ht="12.75" x14ac:dyDescent="0.2"/>
    <row r="2370" s="197" customFormat="1" ht="12.75" x14ac:dyDescent="0.2"/>
    <row r="2371" s="197" customFormat="1" ht="12.75" x14ac:dyDescent="0.2"/>
    <row r="2372" s="197" customFormat="1" ht="12.75" x14ac:dyDescent="0.2"/>
    <row r="2373" s="197" customFormat="1" ht="12.75" x14ac:dyDescent="0.2"/>
    <row r="2374" s="197" customFormat="1" ht="12.75" x14ac:dyDescent="0.2"/>
    <row r="2375" s="197" customFormat="1" ht="12.75" x14ac:dyDescent="0.2"/>
    <row r="2376" s="197" customFormat="1" ht="12.75" x14ac:dyDescent="0.2"/>
    <row r="2377" s="197" customFormat="1" ht="12.75" x14ac:dyDescent="0.2"/>
    <row r="2378" s="197" customFormat="1" ht="12.75" x14ac:dyDescent="0.2"/>
    <row r="2379" s="197" customFormat="1" ht="12.75" x14ac:dyDescent="0.2"/>
    <row r="2380" s="197" customFormat="1" ht="12.75" x14ac:dyDescent="0.2"/>
    <row r="2381" s="197" customFormat="1" ht="12.75" x14ac:dyDescent="0.2"/>
    <row r="2382" s="197" customFormat="1" ht="12.75" x14ac:dyDescent="0.2"/>
    <row r="2383" s="197" customFormat="1" ht="12.75" x14ac:dyDescent="0.2"/>
    <row r="2384" s="197" customFormat="1" ht="12.75" x14ac:dyDescent="0.2"/>
    <row r="2385" s="197" customFormat="1" ht="12.75" x14ac:dyDescent="0.2"/>
    <row r="2386" s="197" customFormat="1" ht="12.75" x14ac:dyDescent="0.2"/>
    <row r="2387" s="197" customFormat="1" ht="12.75" x14ac:dyDescent="0.2"/>
    <row r="2388" s="197" customFormat="1" ht="12.75" x14ac:dyDescent="0.2"/>
    <row r="2389" s="197" customFormat="1" ht="12.75" x14ac:dyDescent="0.2"/>
    <row r="2390" s="197" customFormat="1" ht="12.75" x14ac:dyDescent="0.2"/>
    <row r="2391" s="197" customFormat="1" ht="12.75" x14ac:dyDescent="0.2"/>
    <row r="2392" s="197" customFormat="1" ht="12.75" x14ac:dyDescent="0.2"/>
    <row r="2393" s="197" customFormat="1" ht="12.75" x14ac:dyDescent="0.2"/>
    <row r="2394" s="197" customFormat="1" ht="12.75" x14ac:dyDescent="0.2"/>
    <row r="2395" s="197" customFormat="1" ht="12.75" x14ac:dyDescent="0.2"/>
    <row r="2396" s="197" customFormat="1" ht="12.75" x14ac:dyDescent="0.2"/>
    <row r="2397" s="197" customFormat="1" ht="12.75" x14ac:dyDescent="0.2"/>
    <row r="2398" s="197" customFormat="1" ht="12.75" x14ac:dyDescent="0.2"/>
    <row r="2399" s="197" customFormat="1" ht="12.75" x14ac:dyDescent="0.2"/>
    <row r="2400" s="197" customFormat="1" ht="12.75" x14ac:dyDescent="0.2"/>
    <row r="2401" s="197" customFormat="1" ht="12.75" x14ac:dyDescent="0.2"/>
    <row r="2402" s="197" customFormat="1" ht="12.75" x14ac:dyDescent="0.2"/>
    <row r="2403" s="197" customFormat="1" ht="12.75" x14ac:dyDescent="0.2"/>
    <row r="2404" s="197" customFormat="1" ht="12.75" x14ac:dyDescent="0.2"/>
    <row r="2405" s="197" customFormat="1" ht="12.75" x14ac:dyDescent="0.2"/>
    <row r="2406" s="197" customFormat="1" ht="12.75" x14ac:dyDescent="0.2"/>
    <row r="2407" s="197" customFormat="1" ht="12.75" x14ac:dyDescent="0.2"/>
    <row r="2408" s="197" customFormat="1" ht="12.75" x14ac:dyDescent="0.2"/>
    <row r="2409" s="197" customFormat="1" ht="12.75" x14ac:dyDescent="0.2"/>
    <row r="2410" s="197" customFormat="1" ht="12.75" x14ac:dyDescent="0.2"/>
    <row r="2411" s="197" customFormat="1" ht="12.75" x14ac:dyDescent="0.2"/>
    <row r="2412" s="197" customFormat="1" ht="12.75" x14ac:dyDescent="0.2"/>
    <row r="2413" s="197" customFormat="1" ht="12.75" x14ac:dyDescent="0.2"/>
    <row r="2414" s="197" customFormat="1" ht="12.75" x14ac:dyDescent="0.2"/>
    <row r="2415" s="197" customFormat="1" ht="12.75" x14ac:dyDescent="0.2"/>
    <row r="2416" s="197" customFormat="1" ht="12.75" x14ac:dyDescent="0.2"/>
    <row r="2417" s="197" customFormat="1" ht="12.75" x14ac:dyDescent="0.2"/>
    <row r="2418" s="197" customFormat="1" ht="12.75" x14ac:dyDescent="0.2"/>
    <row r="2419" s="197" customFormat="1" ht="12.75" x14ac:dyDescent="0.2"/>
    <row r="2420" s="197" customFormat="1" ht="12.75" x14ac:dyDescent="0.2"/>
    <row r="2421" s="197" customFormat="1" ht="12.75" x14ac:dyDescent="0.2"/>
    <row r="2422" s="197" customFormat="1" ht="12.75" x14ac:dyDescent="0.2"/>
    <row r="2423" s="197" customFormat="1" ht="12.75" x14ac:dyDescent="0.2"/>
    <row r="2424" s="197" customFormat="1" ht="12.75" x14ac:dyDescent="0.2"/>
    <row r="2425" s="197" customFormat="1" ht="12.75" x14ac:dyDescent="0.2"/>
    <row r="2426" s="197" customFormat="1" ht="12.75" x14ac:dyDescent="0.2"/>
    <row r="2427" s="197" customFormat="1" ht="12.75" x14ac:dyDescent="0.2"/>
    <row r="2428" s="197" customFormat="1" ht="12.75" x14ac:dyDescent="0.2"/>
    <row r="2429" s="197" customFormat="1" ht="12.75" x14ac:dyDescent="0.2"/>
    <row r="2430" s="197" customFormat="1" ht="12.75" x14ac:dyDescent="0.2"/>
    <row r="2431" s="197" customFormat="1" ht="12.75" x14ac:dyDescent="0.2"/>
    <row r="2432" s="197" customFormat="1" ht="12.75" x14ac:dyDescent="0.2"/>
    <row r="2433" s="197" customFormat="1" ht="12.75" x14ac:dyDescent="0.2"/>
    <row r="2434" s="197" customFormat="1" ht="12.75" x14ac:dyDescent="0.2"/>
    <row r="2435" s="197" customFormat="1" ht="12.75" x14ac:dyDescent="0.2"/>
    <row r="2436" s="197" customFormat="1" ht="12.75" x14ac:dyDescent="0.2"/>
    <row r="2437" s="197" customFormat="1" ht="12.75" x14ac:dyDescent="0.2"/>
    <row r="2438" s="197" customFormat="1" ht="12.75" x14ac:dyDescent="0.2"/>
    <row r="2439" s="197" customFormat="1" ht="12.75" x14ac:dyDescent="0.2"/>
    <row r="2440" s="197" customFormat="1" ht="12.75" x14ac:dyDescent="0.2"/>
    <row r="2441" s="197" customFormat="1" ht="12.75" x14ac:dyDescent="0.2"/>
    <row r="2442" s="197" customFormat="1" ht="12.75" x14ac:dyDescent="0.2"/>
    <row r="2443" s="197" customFormat="1" ht="12.75" x14ac:dyDescent="0.2"/>
    <row r="2444" s="197" customFormat="1" ht="12.75" x14ac:dyDescent="0.2"/>
    <row r="2445" s="197" customFormat="1" ht="12.75" x14ac:dyDescent="0.2"/>
    <row r="2446" s="197" customFormat="1" ht="12.75" x14ac:dyDescent="0.2"/>
    <row r="2447" s="197" customFormat="1" ht="12.75" x14ac:dyDescent="0.2"/>
    <row r="2448" s="197" customFormat="1" ht="12.75" x14ac:dyDescent="0.2"/>
    <row r="2449" s="197" customFormat="1" ht="12.75" x14ac:dyDescent="0.2"/>
    <row r="2450" s="197" customFormat="1" ht="12.75" x14ac:dyDescent="0.2"/>
    <row r="2451" s="197" customFormat="1" ht="12.75" x14ac:dyDescent="0.2"/>
    <row r="2452" s="197" customFormat="1" ht="12.75" x14ac:dyDescent="0.2"/>
    <row r="2453" s="197" customFormat="1" ht="12.75" x14ac:dyDescent="0.2"/>
    <row r="2454" s="197" customFormat="1" ht="12.75" x14ac:dyDescent="0.2"/>
    <row r="2455" s="197" customFormat="1" ht="12.75" x14ac:dyDescent="0.2"/>
    <row r="2456" s="197" customFormat="1" ht="12.75" x14ac:dyDescent="0.2"/>
    <row r="2457" s="197" customFormat="1" ht="12.75" x14ac:dyDescent="0.2"/>
    <row r="2458" s="197" customFormat="1" ht="12.75" x14ac:dyDescent="0.2"/>
    <row r="2459" s="197" customFormat="1" ht="12.75" x14ac:dyDescent="0.2"/>
    <row r="2460" s="197" customFormat="1" ht="12.75" x14ac:dyDescent="0.2"/>
    <row r="2461" s="197" customFormat="1" ht="12.75" x14ac:dyDescent="0.2"/>
    <row r="2462" s="197" customFormat="1" ht="12.75" x14ac:dyDescent="0.2"/>
    <row r="2463" s="197" customFormat="1" ht="12.75" x14ac:dyDescent="0.2"/>
    <row r="2464" s="197" customFormat="1" ht="12.75" x14ac:dyDescent="0.2"/>
    <row r="2465" s="197" customFormat="1" ht="12.75" x14ac:dyDescent="0.2"/>
    <row r="2466" s="197" customFormat="1" ht="12.75" x14ac:dyDescent="0.2"/>
    <row r="2467" s="197" customFormat="1" ht="12.75" x14ac:dyDescent="0.2"/>
    <row r="2468" s="197" customFormat="1" ht="12.75" x14ac:dyDescent="0.2"/>
    <row r="2469" s="197" customFormat="1" ht="12.75" x14ac:dyDescent="0.2"/>
    <row r="2470" s="197" customFormat="1" ht="12.75" x14ac:dyDescent="0.2"/>
    <row r="2471" s="197" customFormat="1" ht="12.75" x14ac:dyDescent="0.2"/>
    <row r="2472" s="197" customFormat="1" ht="12.75" x14ac:dyDescent="0.2"/>
    <row r="2473" s="197" customFormat="1" ht="12.75" x14ac:dyDescent="0.2"/>
    <row r="2474" s="197" customFormat="1" ht="12.75" x14ac:dyDescent="0.2"/>
    <row r="2475" s="197" customFormat="1" ht="12.75" x14ac:dyDescent="0.2"/>
    <row r="2476" s="197" customFormat="1" ht="12.75" x14ac:dyDescent="0.2"/>
    <row r="2477" s="197" customFormat="1" ht="12.75" x14ac:dyDescent="0.2"/>
    <row r="2478" s="197" customFormat="1" ht="12.75" x14ac:dyDescent="0.2"/>
    <row r="2479" s="197" customFormat="1" ht="12.75" x14ac:dyDescent="0.2"/>
    <row r="2480" s="197" customFormat="1" ht="12.75" x14ac:dyDescent="0.2"/>
    <row r="2481" s="197" customFormat="1" ht="12.75" x14ac:dyDescent="0.2"/>
    <row r="2482" s="197" customFormat="1" ht="12.75" x14ac:dyDescent="0.2"/>
    <row r="2483" s="197" customFormat="1" ht="12.75" x14ac:dyDescent="0.2"/>
    <row r="2484" s="197" customFormat="1" ht="12.75" x14ac:dyDescent="0.2"/>
    <row r="2485" s="197" customFormat="1" ht="12.75" x14ac:dyDescent="0.2"/>
    <row r="2486" s="197" customFormat="1" ht="12.75" x14ac:dyDescent="0.2"/>
    <row r="2487" s="197" customFormat="1" ht="12.75" x14ac:dyDescent="0.2"/>
    <row r="2488" s="197" customFormat="1" ht="12.75" x14ac:dyDescent="0.2"/>
    <row r="2489" s="197" customFormat="1" ht="12.75" x14ac:dyDescent="0.2"/>
    <row r="2490" s="197" customFormat="1" ht="12.75" x14ac:dyDescent="0.2"/>
    <row r="2491" s="197" customFormat="1" ht="12.75" x14ac:dyDescent="0.2"/>
    <row r="2492" s="197" customFormat="1" ht="12.75" x14ac:dyDescent="0.2"/>
    <row r="2493" s="197" customFormat="1" ht="12.75" x14ac:dyDescent="0.2"/>
    <row r="2494" s="197" customFormat="1" ht="12.75" x14ac:dyDescent="0.2"/>
    <row r="2495" s="197" customFormat="1" ht="12.75" x14ac:dyDescent="0.2"/>
    <row r="2496" s="197" customFormat="1" ht="12.75" x14ac:dyDescent="0.2"/>
    <row r="2497" s="197" customFormat="1" ht="12.75" x14ac:dyDescent="0.2"/>
    <row r="2498" s="197" customFormat="1" ht="12.75" x14ac:dyDescent="0.2"/>
    <row r="2499" s="197" customFormat="1" ht="12.75" x14ac:dyDescent="0.2"/>
    <row r="2500" s="197" customFormat="1" ht="12.75" x14ac:dyDescent="0.2"/>
    <row r="2501" s="197" customFormat="1" ht="12.75" x14ac:dyDescent="0.2"/>
    <row r="2502" s="197" customFormat="1" ht="12.75" x14ac:dyDescent="0.2"/>
    <row r="2503" s="197" customFormat="1" ht="12.75" x14ac:dyDescent="0.2"/>
    <row r="2504" s="197" customFormat="1" ht="12.75" x14ac:dyDescent="0.2"/>
    <row r="2505" s="197" customFormat="1" ht="12.75" x14ac:dyDescent="0.2"/>
    <row r="2506" s="197" customFormat="1" ht="12.75" x14ac:dyDescent="0.2"/>
    <row r="2507" s="197" customFormat="1" ht="12.75" x14ac:dyDescent="0.2"/>
    <row r="2508" s="197" customFormat="1" ht="12.75" x14ac:dyDescent="0.2"/>
    <row r="2509" s="197" customFormat="1" ht="12.75" x14ac:dyDescent="0.2"/>
    <row r="2510" s="197" customFormat="1" ht="12.75" x14ac:dyDescent="0.2"/>
    <row r="2511" s="197" customFormat="1" ht="12.75" x14ac:dyDescent="0.2"/>
    <row r="2512" s="197" customFormat="1" ht="12.75" x14ac:dyDescent="0.2"/>
    <row r="2513" s="197" customFormat="1" ht="12.75" x14ac:dyDescent="0.2"/>
    <row r="2514" s="197" customFormat="1" ht="12.75" x14ac:dyDescent="0.2"/>
    <row r="2515" s="197" customFormat="1" ht="12.75" x14ac:dyDescent="0.2"/>
    <row r="2516" s="197" customFormat="1" ht="12.75" x14ac:dyDescent="0.2"/>
    <row r="2517" s="197" customFormat="1" ht="12.75" x14ac:dyDescent="0.2"/>
    <row r="2518" s="197" customFormat="1" ht="12.75" x14ac:dyDescent="0.2"/>
    <row r="2519" s="197" customFormat="1" ht="12.75" x14ac:dyDescent="0.2"/>
    <row r="2520" s="197" customFormat="1" ht="12.75" x14ac:dyDescent="0.2"/>
    <row r="2521" s="197" customFormat="1" ht="12.75" x14ac:dyDescent="0.2"/>
    <row r="2522" s="197" customFormat="1" ht="12.75" x14ac:dyDescent="0.2"/>
    <row r="2523" s="197" customFormat="1" ht="12.75" x14ac:dyDescent="0.2"/>
    <row r="2524" s="197" customFormat="1" ht="12.75" x14ac:dyDescent="0.2"/>
    <row r="2525" s="197" customFormat="1" ht="12.75" x14ac:dyDescent="0.2"/>
    <row r="2526" s="197" customFormat="1" ht="12.75" x14ac:dyDescent="0.2"/>
    <row r="2527" s="197" customFormat="1" ht="12.75" x14ac:dyDescent="0.2"/>
    <row r="2528" s="197" customFormat="1" ht="12.75" x14ac:dyDescent="0.2"/>
    <row r="2529" s="197" customFormat="1" ht="12.75" x14ac:dyDescent="0.2"/>
    <row r="2530" s="197" customFormat="1" ht="12.75" x14ac:dyDescent="0.2"/>
    <row r="2531" s="197" customFormat="1" ht="12.75" x14ac:dyDescent="0.2"/>
    <row r="2532" s="197" customFormat="1" ht="12.75" x14ac:dyDescent="0.2"/>
    <row r="2533" s="197" customFormat="1" ht="12.75" x14ac:dyDescent="0.2"/>
    <row r="2534" s="197" customFormat="1" ht="12.75" x14ac:dyDescent="0.2"/>
    <row r="2535" s="197" customFormat="1" ht="12.75" x14ac:dyDescent="0.2"/>
    <row r="2536" s="197" customFormat="1" ht="12.75" x14ac:dyDescent="0.2"/>
    <row r="2537" s="197" customFormat="1" ht="12.75" x14ac:dyDescent="0.2"/>
    <row r="2538" s="197" customFormat="1" ht="12.75" x14ac:dyDescent="0.2"/>
    <row r="2539" s="197" customFormat="1" ht="12.75" x14ac:dyDescent="0.2"/>
    <row r="2540" s="197" customFormat="1" ht="12.75" x14ac:dyDescent="0.2"/>
    <row r="2541" s="197" customFormat="1" ht="12.75" x14ac:dyDescent="0.2"/>
    <row r="2542" s="197" customFormat="1" ht="12.75" x14ac:dyDescent="0.2"/>
    <row r="2543" s="197" customFormat="1" ht="12.75" x14ac:dyDescent="0.2"/>
    <row r="2544" s="197" customFormat="1" ht="12.75" x14ac:dyDescent="0.2"/>
    <row r="2545" s="197" customFormat="1" ht="12.75" x14ac:dyDescent="0.2"/>
    <row r="2546" s="197" customFormat="1" ht="12.75" x14ac:dyDescent="0.2"/>
    <row r="2547" s="197" customFormat="1" ht="12.75" x14ac:dyDescent="0.2"/>
    <row r="2548" s="197" customFormat="1" ht="12.75" x14ac:dyDescent="0.2"/>
    <row r="2549" s="197" customFormat="1" ht="12.75" x14ac:dyDescent="0.2"/>
    <row r="2550" s="197" customFormat="1" ht="12.75" x14ac:dyDescent="0.2"/>
    <row r="2551" s="197" customFormat="1" ht="12.75" x14ac:dyDescent="0.2"/>
    <row r="2552" s="197" customFormat="1" ht="12.75" x14ac:dyDescent="0.2"/>
    <row r="2553" s="197" customFormat="1" ht="12.75" x14ac:dyDescent="0.2"/>
    <row r="2554" s="197" customFormat="1" ht="12.75" x14ac:dyDescent="0.2"/>
    <row r="2555" s="197" customFormat="1" ht="12.75" x14ac:dyDescent="0.2"/>
    <row r="2556" s="197" customFormat="1" ht="12.75" x14ac:dyDescent="0.2"/>
    <row r="2557" s="197" customFormat="1" ht="12.75" x14ac:dyDescent="0.2"/>
    <row r="2558" s="197" customFormat="1" ht="12.75" x14ac:dyDescent="0.2"/>
    <row r="2559" s="197" customFormat="1" ht="12.75" x14ac:dyDescent="0.2"/>
    <row r="2560" s="197" customFormat="1" ht="12.75" x14ac:dyDescent="0.2"/>
    <row r="2561" s="197" customFormat="1" ht="12.75" x14ac:dyDescent="0.2"/>
    <row r="2562" s="197" customFormat="1" ht="12.75" x14ac:dyDescent="0.2"/>
    <row r="2563" s="197" customFormat="1" ht="12.75" x14ac:dyDescent="0.2"/>
    <row r="2564" s="197" customFormat="1" ht="12.75" x14ac:dyDescent="0.2"/>
    <row r="2565" s="197" customFormat="1" ht="12.75" x14ac:dyDescent="0.2"/>
    <row r="2566" s="197" customFormat="1" ht="12.75" x14ac:dyDescent="0.2"/>
    <row r="2567" s="197" customFormat="1" ht="12.75" x14ac:dyDescent="0.2"/>
    <row r="2568" s="197" customFormat="1" ht="12.75" x14ac:dyDescent="0.2"/>
    <row r="2569" s="197" customFormat="1" ht="12.75" x14ac:dyDescent="0.2"/>
    <row r="2570" s="197" customFormat="1" ht="12.75" x14ac:dyDescent="0.2"/>
    <row r="2571" s="197" customFormat="1" ht="12.75" x14ac:dyDescent="0.2"/>
    <row r="2572" s="197" customFormat="1" ht="12.75" x14ac:dyDescent="0.2"/>
    <row r="2573" s="197" customFormat="1" ht="12.75" x14ac:dyDescent="0.2"/>
    <row r="2574" s="197" customFormat="1" ht="12.75" x14ac:dyDescent="0.2"/>
    <row r="2575" s="197" customFormat="1" ht="12.75" x14ac:dyDescent="0.2"/>
    <row r="2576" s="197" customFormat="1" ht="12.75" x14ac:dyDescent="0.2"/>
    <row r="2577" s="197" customFormat="1" ht="12.75" x14ac:dyDescent="0.2"/>
    <row r="2578" s="197" customFormat="1" ht="12.75" x14ac:dyDescent="0.2"/>
    <row r="2579" s="197" customFormat="1" ht="12.75" x14ac:dyDescent="0.2"/>
    <row r="2580" s="197" customFormat="1" ht="12.75" x14ac:dyDescent="0.2"/>
    <row r="2581" s="197" customFormat="1" ht="12.75" x14ac:dyDescent="0.2"/>
    <row r="2582" s="197" customFormat="1" ht="12.75" x14ac:dyDescent="0.2"/>
    <row r="2583" s="197" customFormat="1" ht="12.75" x14ac:dyDescent="0.2"/>
    <row r="2584" s="197" customFormat="1" ht="12.75" x14ac:dyDescent="0.2"/>
    <row r="2585" s="197" customFormat="1" ht="12.75" x14ac:dyDescent="0.2"/>
    <row r="2586" s="197" customFormat="1" ht="12.75" x14ac:dyDescent="0.2"/>
    <row r="2587" s="197" customFormat="1" ht="12.75" x14ac:dyDescent="0.2"/>
    <row r="2588" s="197" customFormat="1" ht="12.75" x14ac:dyDescent="0.2"/>
    <row r="2589" s="197" customFormat="1" ht="12.75" x14ac:dyDescent="0.2"/>
    <row r="2590" s="197" customFormat="1" ht="12.75" x14ac:dyDescent="0.2"/>
    <row r="2591" s="197" customFormat="1" ht="12.75" x14ac:dyDescent="0.2"/>
    <row r="2592" s="197" customFormat="1" ht="12.75" x14ac:dyDescent="0.2"/>
    <row r="2593" s="197" customFormat="1" ht="12.75" x14ac:dyDescent="0.2"/>
    <row r="2594" s="197" customFormat="1" ht="12.75" x14ac:dyDescent="0.2"/>
    <row r="2595" s="197" customFormat="1" ht="12.75" x14ac:dyDescent="0.2"/>
    <row r="2596" s="197" customFormat="1" ht="12.75" x14ac:dyDescent="0.2"/>
    <row r="2597" s="197" customFormat="1" ht="12.75" x14ac:dyDescent="0.2"/>
    <row r="2598" s="197" customFormat="1" ht="12.75" x14ac:dyDescent="0.2"/>
    <row r="2599" s="197" customFormat="1" ht="12.75" x14ac:dyDescent="0.2"/>
    <row r="2600" s="197" customFormat="1" ht="12.75" x14ac:dyDescent="0.2"/>
    <row r="2601" s="197" customFormat="1" ht="12.75" x14ac:dyDescent="0.2"/>
    <row r="2602" s="197" customFormat="1" ht="12.75" x14ac:dyDescent="0.2"/>
    <row r="2603" s="197" customFormat="1" ht="12.75" x14ac:dyDescent="0.2"/>
    <row r="2604" s="197" customFormat="1" ht="12.75" x14ac:dyDescent="0.2"/>
    <row r="2605" s="197" customFormat="1" ht="12.75" x14ac:dyDescent="0.2"/>
    <row r="2606" s="197" customFormat="1" ht="12.75" x14ac:dyDescent="0.2"/>
    <row r="2607" s="197" customFormat="1" ht="12.75" x14ac:dyDescent="0.2"/>
    <row r="2608" s="197" customFormat="1" ht="12.75" x14ac:dyDescent="0.2"/>
    <row r="2609" s="197" customFormat="1" ht="12.75" x14ac:dyDescent="0.2"/>
    <row r="2610" s="197" customFormat="1" ht="12.75" x14ac:dyDescent="0.2"/>
    <row r="2611" s="197" customFormat="1" ht="12.75" x14ac:dyDescent="0.2"/>
    <row r="2612" s="197" customFormat="1" ht="12.75" x14ac:dyDescent="0.2"/>
    <row r="2613" s="197" customFormat="1" ht="12.75" x14ac:dyDescent="0.2"/>
    <row r="2614" s="197" customFormat="1" ht="12.75" x14ac:dyDescent="0.2"/>
    <row r="2615" s="197" customFormat="1" ht="12.75" x14ac:dyDescent="0.2"/>
    <row r="2616" s="197" customFormat="1" ht="12.75" x14ac:dyDescent="0.2"/>
    <row r="2617" s="197" customFormat="1" ht="12.75" x14ac:dyDescent="0.2"/>
    <row r="2618" s="197" customFormat="1" ht="12.75" x14ac:dyDescent="0.2"/>
    <row r="2619" s="197" customFormat="1" ht="12.75" x14ac:dyDescent="0.2"/>
    <row r="2620" s="197" customFormat="1" ht="12.75" x14ac:dyDescent="0.2"/>
    <row r="2621" s="197" customFormat="1" ht="12.75" x14ac:dyDescent="0.2"/>
    <row r="2622" s="197" customFormat="1" ht="12.75" x14ac:dyDescent="0.2"/>
    <row r="2623" s="197" customFormat="1" ht="12.75" x14ac:dyDescent="0.2"/>
    <row r="2624" s="197" customFormat="1" ht="12.75" x14ac:dyDescent="0.2"/>
    <row r="2625" s="197" customFormat="1" ht="12.75" x14ac:dyDescent="0.2"/>
    <row r="2626" s="197" customFormat="1" ht="12.75" x14ac:dyDescent="0.2"/>
    <row r="2627" s="197" customFormat="1" ht="12.75" x14ac:dyDescent="0.2"/>
    <row r="2628" s="197" customFormat="1" ht="12.75" x14ac:dyDescent="0.2"/>
    <row r="2629" s="197" customFormat="1" ht="12.75" x14ac:dyDescent="0.2"/>
    <row r="2630" s="197" customFormat="1" ht="12.75" x14ac:dyDescent="0.2"/>
    <row r="2631" s="197" customFormat="1" ht="12.75" x14ac:dyDescent="0.2"/>
    <row r="2632" s="197" customFormat="1" ht="12.75" x14ac:dyDescent="0.2"/>
    <row r="2633" s="197" customFormat="1" ht="12.75" x14ac:dyDescent="0.2"/>
    <row r="2634" s="197" customFormat="1" ht="12.75" x14ac:dyDescent="0.2"/>
    <row r="2635" s="197" customFormat="1" ht="12.75" x14ac:dyDescent="0.2"/>
    <row r="2636" s="197" customFormat="1" ht="12.75" x14ac:dyDescent="0.2"/>
    <row r="2637" s="197" customFormat="1" ht="12.75" x14ac:dyDescent="0.2"/>
    <row r="2638" s="197" customFormat="1" ht="12.75" x14ac:dyDescent="0.2"/>
    <row r="2639" s="197" customFormat="1" ht="12.75" x14ac:dyDescent="0.2"/>
    <row r="2640" s="197" customFormat="1" ht="12.75" x14ac:dyDescent="0.2"/>
    <row r="2641" s="197" customFormat="1" ht="12.75" x14ac:dyDescent="0.2"/>
    <row r="2642" s="197" customFormat="1" ht="12.75" x14ac:dyDescent="0.2"/>
    <row r="2643" s="197" customFormat="1" ht="12.75" x14ac:dyDescent="0.2"/>
    <row r="2644" s="197" customFormat="1" ht="12.75" x14ac:dyDescent="0.2"/>
    <row r="2645" s="197" customFormat="1" ht="12.75" x14ac:dyDescent="0.2"/>
    <row r="2646" s="197" customFormat="1" ht="12.75" x14ac:dyDescent="0.2"/>
    <row r="2647" s="197" customFormat="1" ht="12.75" x14ac:dyDescent="0.2"/>
    <row r="2648" s="197" customFormat="1" ht="12.75" x14ac:dyDescent="0.2"/>
    <row r="2649" s="197" customFormat="1" ht="12.75" x14ac:dyDescent="0.2"/>
    <row r="2650" s="197" customFormat="1" ht="12.75" x14ac:dyDescent="0.2"/>
    <row r="2651" s="197" customFormat="1" ht="12.75" x14ac:dyDescent="0.2"/>
    <row r="2652" s="197" customFormat="1" ht="12.75" x14ac:dyDescent="0.2"/>
    <row r="2653" s="197" customFormat="1" ht="12.75" x14ac:dyDescent="0.2"/>
    <row r="2654" s="197" customFormat="1" ht="12.75" x14ac:dyDescent="0.2"/>
    <row r="2655" s="197" customFormat="1" ht="12.75" x14ac:dyDescent="0.2"/>
    <row r="2656" s="197" customFormat="1" ht="12.75" x14ac:dyDescent="0.2"/>
    <row r="2657" s="197" customFormat="1" ht="12.75" x14ac:dyDescent="0.2"/>
    <row r="2658" s="197" customFormat="1" ht="12.75" x14ac:dyDescent="0.2"/>
    <row r="2659" s="197" customFormat="1" ht="12.75" x14ac:dyDescent="0.2"/>
    <row r="2660" s="197" customFormat="1" ht="12.75" x14ac:dyDescent="0.2"/>
    <row r="2661" s="197" customFormat="1" ht="12.75" x14ac:dyDescent="0.2"/>
    <row r="2662" s="197" customFormat="1" ht="12.75" x14ac:dyDescent="0.2"/>
    <row r="2663" s="197" customFormat="1" ht="12.75" x14ac:dyDescent="0.2"/>
    <row r="2664" s="197" customFormat="1" ht="12.75" x14ac:dyDescent="0.2"/>
    <row r="2665" s="197" customFormat="1" ht="12.75" x14ac:dyDescent="0.2"/>
    <row r="2666" s="197" customFormat="1" ht="12.75" x14ac:dyDescent="0.2"/>
    <row r="2667" s="197" customFormat="1" ht="12.75" x14ac:dyDescent="0.2"/>
    <row r="2668" s="197" customFormat="1" ht="12.75" x14ac:dyDescent="0.2"/>
    <row r="2669" s="197" customFormat="1" ht="12.75" x14ac:dyDescent="0.2"/>
    <row r="2670" s="197" customFormat="1" ht="12.75" x14ac:dyDescent="0.2"/>
    <row r="2671" s="197" customFormat="1" ht="12.75" x14ac:dyDescent="0.2"/>
    <row r="2672" s="197" customFormat="1" ht="12.75" x14ac:dyDescent="0.2"/>
    <row r="2673" s="197" customFormat="1" ht="12.75" x14ac:dyDescent="0.2"/>
    <row r="2674" s="197" customFormat="1" ht="12.75" x14ac:dyDescent="0.2"/>
    <row r="2675" s="197" customFormat="1" ht="12.75" x14ac:dyDescent="0.2"/>
    <row r="2676" s="197" customFormat="1" ht="12.75" x14ac:dyDescent="0.2"/>
    <row r="2677" s="197" customFormat="1" ht="12.75" x14ac:dyDescent="0.2"/>
    <row r="2678" s="197" customFormat="1" ht="12.75" x14ac:dyDescent="0.2"/>
    <row r="2679" s="197" customFormat="1" ht="12.75" x14ac:dyDescent="0.2"/>
    <row r="2680" s="197" customFormat="1" ht="12.75" x14ac:dyDescent="0.2"/>
    <row r="2681" s="197" customFormat="1" ht="12.75" x14ac:dyDescent="0.2"/>
    <row r="2682" s="197" customFormat="1" ht="12.75" x14ac:dyDescent="0.2"/>
    <row r="2683" s="197" customFormat="1" ht="12.75" x14ac:dyDescent="0.2"/>
    <row r="2684" s="197" customFormat="1" ht="12.75" x14ac:dyDescent="0.2"/>
    <row r="2685" s="197" customFormat="1" ht="12.75" x14ac:dyDescent="0.2"/>
    <row r="2686" s="197" customFormat="1" ht="12.75" x14ac:dyDescent="0.2"/>
    <row r="2687" s="197" customFormat="1" ht="12.75" x14ac:dyDescent="0.2"/>
    <row r="2688" s="197" customFormat="1" ht="12.75" x14ac:dyDescent="0.2"/>
    <row r="2689" s="197" customFormat="1" ht="12.75" x14ac:dyDescent="0.2"/>
    <row r="2690" s="197" customFormat="1" ht="12.75" x14ac:dyDescent="0.2"/>
    <row r="2691" s="197" customFormat="1" ht="12.75" x14ac:dyDescent="0.2"/>
    <row r="2692" s="197" customFormat="1" ht="12.75" x14ac:dyDescent="0.2"/>
    <row r="2693" s="197" customFormat="1" ht="12.75" x14ac:dyDescent="0.2"/>
    <row r="2694" s="197" customFormat="1" ht="12.75" x14ac:dyDescent="0.2"/>
    <row r="2695" s="197" customFormat="1" ht="12.75" x14ac:dyDescent="0.2"/>
    <row r="2696" s="197" customFormat="1" ht="12.75" x14ac:dyDescent="0.2"/>
    <row r="2697" s="197" customFormat="1" ht="12.75" x14ac:dyDescent="0.2"/>
    <row r="2698" s="197" customFormat="1" ht="12.75" x14ac:dyDescent="0.2"/>
    <row r="2699" s="197" customFormat="1" ht="12.75" x14ac:dyDescent="0.2"/>
    <row r="2700" s="197" customFormat="1" ht="12.75" x14ac:dyDescent="0.2"/>
    <row r="2701" s="197" customFormat="1" ht="12.75" x14ac:dyDescent="0.2"/>
    <row r="2702" s="197" customFormat="1" ht="12.75" x14ac:dyDescent="0.2"/>
    <row r="2703" s="197" customFormat="1" ht="12.75" x14ac:dyDescent="0.2"/>
    <row r="2704" s="197" customFormat="1" ht="12.75" x14ac:dyDescent="0.2"/>
    <row r="2705" s="197" customFormat="1" ht="12.75" x14ac:dyDescent="0.2"/>
    <row r="2706" s="197" customFormat="1" ht="12.75" x14ac:dyDescent="0.2"/>
    <row r="2707" s="197" customFormat="1" ht="12.75" x14ac:dyDescent="0.2"/>
    <row r="2708" s="197" customFormat="1" ht="12.75" x14ac:dyDescent="0.2"/>
    <row r="2709" s="197" customFormat="1" ht="12.75" x14ac:dyDescent="0.2"/>
    <row r="2710" s="197" customFormat="1" ht="12.75" x14ac:dyDescent="0.2"/>
    <row r="2711" s="197" customFormat="1" ht="12.75" x14ac:dyDescent="0.2"/>
    <row r="2712" s="197" customFormat="1" ht="12.75" x14ac:dyDescent="0.2"/>
    <row r="2713" s="197" customFormat="1" ht="12.75" x14ac:dyDescent="0.2"/>
    <row r="2714" s="197" customFormat="1" ht="12.75" x14ac:dyDescent="0.2"/>
    <row r="2715" s="197" customFormat="1" ht="12.75" x14ac:dyDescent="0.2"/>
    <row r="2716" s="197" customFormat="1" ht="12.75" x14ac:dyDescent="0.2"/>
    <row r="2717" s="197" customFormat="1" ht="12.75" x14ac:dyDescent="0.2"/>
    <row r="2718" s="197" customFormat="1" ht="12.75" x14ac:dyDescent="0.2"/>
    <row r="2719" s="197" customFormat="1" ht="12.75" x14ac:dyDescent="0.2"/>
    <row r="2720" s="197" customFormat="1" ht="12.75" x14ac:dyDescent="0.2"/>
    <row r="2721" s="197" customFormat="1" ht="12.75" x14ac:dyDescent="0.2"/>
    <row r="2722" s="197" customFormat="1" ht="12.75" x14ac:dyDescent="0.2"/>
    <row r="2723" s="197" customFormat="1" ht="12.75" x14ac:dyDescent="0.2"/>
    <row r="2724" s="197" customFormat="1" ht="12.75" x14ac:dyDescent="0.2"/>
    <row r="2725" s="197" customFormat="1" ht="12.75" x14ac:dyDescent="0.2"/>
    <row r="2726" s="197" customFormat="1" ht="12.75" x14ac:dyDescent="0.2"/>
    <row r="2727" s="197" customFormat="1" ht="12.75" x14ac:dyDescent="0.2"/>
    <row r="2728" s="197" customFormat="1" ht="12.75" x14ac:dyDescent="0.2"/>
    <row r="2729" s="197" customFormat="1" ht="12.75" x14ac:dyDescent="0.2"/>
    <row r="2730" s="197" customFormat="1" ht="12.75" x14ac:dyDescent="0.2"/>
    <row r="2731" s="197" customFormat="1" ht="12.75" x14ac:dyDescent="0.2"/>
    <row r="2732" s="197" customFormat="1" ht="12.75" x14ac:dyDescent="0.2"/>
    <row r="2733" s="197" customFormat="1" ht="12.75" x14ac:dyDescent="0.2"/>
    <row r="2734" s="197" customFormat="1" ht="12.75" x14ac:dyDescent="0.2"/>
    <row r="2735" s="197" customFormat="1" ht="12.75" x14ac:dyDescent="0.2"/>
    <row r="2736" s="197" customFormat="1" ht="12.75" x14ac:dyDescent="0.2"/>
    <row r="2737" s="197" customFormat="1" ht="12.75" x14ac:dyDescent="0.2"/>
    <row r="2738" s="197" customFormat="1" ht="12.75" x14ac:dyDescent="0.2"/>
    <row r="2739" s="197" customFormat="1" ht="12.75" x14ac:dyDescent="0.2"/>
    <row r="2740" s="197" customFormat="1" ht="12.75" x14ac:dyDescent="0.2"/>
    <row r="2741" s="197" customFormat="1" ht="12.75" x14ac:dyDescent="0.2"/>
    <row r="2742" s="197" customFormat="1" ht="12.75" x14ac:dyDescent="0.2"/>
    <row r="2743" s="197" customFormat="1" ht="12.75" x14ac:dyDescent="0.2"/>
    <row r="2744" s="197" customFormat="1" ht="12.75" x14ac:dyDescent="0.2"/>
    <row r="2745" s="197" customFormat="1" ht="12.75" x14ac:dyDescent="0.2"/>
    <row r="2746" s="197" customFormat="1" ht="12.75" x14ac:dyDescent="0.2"/>
    <row r="2747" s="197" customFormat="1" ht="12.75" x14ac:dyDescent="0.2"/>
    <row r="2748" s="197" customFormat="1" ht="12.75" x14ac:dyDescent="0.2"/>
    <row r="2749" s="197" customFormat="1" ht="12.75" x14ac:dyDescent="0.2"/>
    <row r="2750" s="197" customFormat="1" ht="12.75" x14ac:dyDescent="0.2"/>
    <row r="2751" s="197" customFormat="1" ht="12.75" x14ac:dyDescent="0.2"/>
    <row r="2752" s="197" customFormat="1" ht="12.75" x14ac:dyDescent="0.2"/>
    <row r="2753" s="197" customFormat="1" ht="12.75" x14ac:dyDescent="0.2"/>
    <row r="2754" s="197" customFormat="1" ht="12.75" x14ac:dyDescent="0.2"/>
    <row r="2755" s="197" customFormat="1" ht="12.75" x14ac:dyDescent="0.2"/>
    <row r="2756" s="197" customFormat="1" ht="12.75" x14ac:dyDescent="0.2"/>
    <row r="2757" s="197" customFormat="1" ht="12.75" x14ac:dyDescent="0.2"/>
    <row r="2758" s="197" customFormat="1" ht="12.75" x14ac:dyDescent="0.2"/>
    <row r="2759" s="197" customFormat="1" ht="12.75" x14ac:dyDescent="0.2"/>
    <row r="2760" s="197" customFormat="1" ht="12.75" x14ac:dyDescent="0.2"/>
    <row r="2761" s="197" customFormat="1" ht="12.75" x14ac:dyDescent="0.2"/>
    <row r="2762" s="197" customFormat="1" ht="12.75" x14ac:dyDescent="0.2"/>
    <row r="2763" s="197" customFormat="1" ht="12.75" x14ac:dyDescent="0.2"/>
    <row r="2764" s="197" customFormat="1" ht="12.75" x14ac:dyDescent="0.2"/>
    <row r="2765" s="197" customFormat="1" ht="12.75" x14ac:dyDescent="0.2"/>
    <row r="2766" s="197" customFormat="1" ht="12.75" x14ac:dyDescent="0.2"/>
    <row r="2767" s="197" customFormat="1" ht="12.75" x14ac:dyDescent="0.2"/>
    <row r="2768" s="197" customFormat="1" ht="12.75" x14ac:dyDescent="0.2"/>
    <row r="2769" s="197" customFormat="1" ht="12.75" x14ac:dyDescent="0.2"/>
    <row r="2770" s="197" customFormat="1" ht="12.75" x14ac:dyDescent="0.2"/>
    <row r="2771" s="197" customFormat="1" ht="12.75" x14ac:dyDescent="0.2"/>
    <row r="2772" s="197" customFormat="1" ht="12.75" x14ac:dyDescent="0.2"/>
    <row r="2773" s="197" customFormat="1" ht="12.75" x14ac:dyDescent="0.2"/>
    <row r="2774" s="197" customFormat="1" ht="12.75" x14ac:dyDescent="0.2"/>
    <row r="2775" s="197" customFormat="1" ht="12.75" x14ac:dyDescent="0.2"/>
    <row r="2776" s="197" customFormat="1" ht="12.75" x14ac:dyDescent="0.2"/>
    <row r="2777" s="197" customFormat="1" ht="12.75" x14ac:dyDescent="0.2"/>
    <row r="2778" s="197" customFormat="1" ht="12.75" x14ac:dyDescent="0.2"/>
    <row r="2779" s="197" customFormat="1" ht="12.75" x14ac:dyDescent="0.2"/>
    <row r="2780" s="197" customFormat="1" ht="12.75" x14ac:dyDescent="0.2"/>
    <row r="2781" s="197" customFormat="1" ht="12.75" x14ac:dyDescent="0.2"/>
    <row r="2782" s="197" customFormat="1" ht="12.75" x14ac:dyDescent="0.2"/>
    <row r="2783" s="197" customFormat="1" ht="12.75" x14ac:dyDescent="0.2"/>
    <row r="2784" s="197" customFormat="1" ht="12.75" x14ac:dyDescent="0.2"/>
    <row r="2785" s="197" customFormat="1" ht="12.75" x14ac:dyDescent="0.2"/>
    <row r="2786" s="197" customFormat="1" ht="12.75" x14ac:dyDescent="0.2"/>
    <row r="2787" s="197" customFormat="1" ht="12.75" x14ac:dyDescent="0.2"/>
    <row r="2788" s="197" customFormat="1" ht="12.75" x14ac:dyDescent="0.2"/>
    <row r="2789" s="197" customFormat="1" ht="12.75" x14ac:dyDescent="0.2"/>
    <row r="2790" s="197" customFormat="1" ht="12.75" x14ac:dyDescent="0.2"/>
    <row r="2791" s="197" customFormat="1" ht="12.75" x14ac:dyDescent="0.2"/>
    <row r="2792" s="197" customFormat="1" ht="12.75" x14ac:dyDescent="0.2"/>
    <row r="2793" s="197" customFormat="1" ht="12.75" x14ac:dyDescent="0.2"/>
    <row r="2794" s="197" customFormat="1" ht="12.75" x14ac:dyDescent="0.2"/>
    <row r="2795" s="197" customFormat="1" ht="12.75" x14ac:dyDescent="0.2"/>
    <row r="2796" s="197" customFormat="1" ht="12.75" x14ac:dyDescent="0.2"/>
    <row r="2797" s="197" customFormat="1" ht="12.75" x14ac:dyDescent="0.2"/>
    <row r="2798" s="197" customFormat="1" ht="12.75" x14ac:dyDescent="0.2"/>
    <row r="2799" s="197" customFormat="1" ht="12.75" x14ac:dyDescent="0.2"/>
    <row r="2800" s="197" customFormat="1" ht="12.75" x14ac:dyDescent="0.2"/>
    <row r="2801" s="197" customFormat="1" ht="12.75" x14ac:dyDescent="0.2"/>
    <row r="2802" s="197" customFormat="1" ht="12.75" x14ac:dyDescent="0.2"/>
    <row r="2803" s="197" customFormat="1" ht="12.75" x14ac:dyDescent="0.2"/>
    <row r="2804" s="197" customFormat="1" ht="12.75" x14ac:dyDescent="0.2"/>
    <row r="2805" s="197" customFormat="1" ht="12.75" x14ac:dyDescent="0.2"/>
    <row r="2806" s="197" customFormat="1" ht="12.75" x14ac:dyDescent="0.2"/>
    <row r="2807" s="197" customFormat="1" ht="12.75" x14ac:dyDescent="0.2"/>
    <row r="2808" s="197" customFormat="1" ht="12.75" x14ac:dyDescent="0.2"/>
    <row r="2809" s="197" customFormat="1" ht="12.75" x14ac:dyDescent="0.2"/>
    <row r="2810" s="197" customFormat="1" ht="12.75" x14ac:dyDescent="0.2"/>
    <row r="2811" s="197" customFormat="1" ht="12.75" x14ac:dyDescent="0.2"/>
    <row r="2812" s="197" customFormat="1" ht="12.75" x14ac:dyDescent="0.2"/>
    <row r="2813" s="197" customFormat="1" ht="12.75" x14ac:dyDescent="0.2"/>
    <row r="2814" s="197" customFormat="1" ht="12.75" x14ac:dyDescent="0.2"/>
    <row r="2815" s="197" customFormat="1" ht="12.75" x14ac:dyDescent="0.2"/>
    <row r="2816" s="197" customFormat="1" ht="12.75" x14ac:dyDescent="0.2"/>
    <row r="2817" s="197" customFormat="1" ht="12.75" x14ac:dyDescent="0.2"/>
    <row r="2818" s="197" customFormat="1" ht="12.75" x14ac:dyDescent="0.2"/>
    <row r="2819" s="197" customFormat="1" ht="12.75" x14ac:dyDescent="0.2"/>
    <row r="2820" s="197" customFormat="1" ht="12.75" x14ac:dyDescent="0.2"/>
    <row r="2821" s="197" customFormat="1" ht="12.75" x14ac:dyDescent="0.2"/>
    <row r="2822" s="197" customFormat="1" ht="12.75" x14ac:dyDescent="0.2"/>
    <row r="2823" s="197" customFormat="1" ht="12.75" x14ac:dyDescent="0.2"/>
    <row r="2824" s="197" customFormat="1" ht="12.75" x14ac:dyDescent="0.2"/>
    <row r="2825" s="197" customFormat="1" ht="12.75" x14ac:dyDescent="0.2"/>
    <row r="2826" s="197" customFormat="1" ht="12.75" x14ac:dyDescent="0.2"/>
    <row r="2827" s="197" customFormat="1" ht="12.75" x14ac:dyDescent="0.2"/>
    <row r="2828" s="197" customFormat="1" ht="12.75" x14ac:dyDescent="0.2"/>
    <row r="2829" s="197" customFormat="1" ht="12.75" x14ac:dyDescent="0.2"/>
    <row r="2830" s="197" customFormat="1" ht="12.75" x14ac:dyDescent="0.2"/>
    <row r="2831" s="197" customFormat="1" ht="12.75" x14ac:dyDescent="0.2"/>
    <row r="2832" s="197" customFormat="1" ht="12.75" x14ac:dyDescent="0.2"/>
    <row r="2833" s="197" customFormat="1" ht="12.75" x14ac:dyDescent="0.2"/>
    <row r="2834" s="197" customFormat="1" ht="12.75" x14ac:dyDescent="0.2"/>
    <row r="2835" s="197" customFormat="1" ht="12.75" x14ac:dyDescent="0.2"/>
    <row r="2836" s="197" customFormat="1" ht="12.75" x14ac:dyDescent="0.2"/>
    <row r="2837" s="197" customFormat="1" ht="12.75" x14ac:dyDescent="0.2"/>
    <row r="2838" s="197" customFormat="1" ht="12.75" x14ac:dyDescent="0.2"/>
    <row r="2839" s="197" customFormat="1" ht="12.75" x14ac:dyDescent="0.2"/>
    <row r="2840" s="197" customFormat="1" ht="12.75" x14ac:dyDescent="0.2"/>
    <row r="2841" s="197" customFormat="1" ht="12.75" x14ac:dyDescent="0.2"/>
    <row r="2842" s="197" customFormat="1" ht="12.75" x14ac:dyDescent="0.2"/>
    <row r="2843" s="197" customFormat="1" ht="12.75" x14ac:dyDescent="0.2"/>
    <row r="2844" s="197" customFormat="1" ht="12.75" x14ac:dyDescent="0.2"/>
    <row r="2845" s="197" customFormat="1" ht="12.75" x14ac:dyDescent="0.2"/>
    <row r="2846" s="197" customFormat="1" ht="12.75" x14ac:dyDescent="0.2"/>
    <row r="2847" s="197" customFormat="1" ht="12.75" x14ac:dyDescent="0.2"/>
    <row r="2848" s="197" customFormat="1" ht="12.75" x14ac:dyDescent="0.2"/>
    <row r="2849" s="197" customFormat="1" ht="12.75" x14ac:dyDescent="0.2"/>
    <row r="2850" s="197" customFormat="1" ht="12.75" x14ac:dyDescent="0.2"/>
    <row r="2851" s="197" customFormat="1" ht="12.75" x14ac:dyDescent="0.2"/>
    <row r="2852" s="197" customFormat="1" ht="12.75" x14ac:dyDescent="0.2"/>
    <row r="2853" s="197" customFormat="1" ht="12.75" x14ac:dyDescent="0.2"/>
    <row r="2854" s="197" customFormat="1" ht="12.75" x14ac:dyDescent="0.2"/>
    <row r="2855" s="197" customFormat="1" ht="12.75" x14ac:dyDescent="0.2"/>
    <row r="2856" s="197" customFormat="1" ht="12.75" x14ac:dyDescent="0.2"/>
    <row r="2857" s="197" customFormat="1" ht="12.75" x14ac:dyDescent="0.2"/>
    <row r="2858" s="197" customFormat="1" ht="12.75" x14ac:dyDescent="0.2"/>
    <row r="2859" s="197" customFormat="1" ht="12.75" x14ac:dyDescent="0.2"/>
    <row r="2860" s="197" customFormat="1" ht="12.75" x14ac:dyDescent="0.2"/>
    <row r="2861" s="197" customFormat="1" ht="12.75" x14ac:dyDescent="0.2"/>
    <row r="2862" s="197" customFormat="1" ht="12.75" x14ac:dyDescent="0.2"/>
    <row r="2863" s="197" customFormat="1" ht="12.75" x14ac:dyDescent="0.2"/>
    <row r="2864" s="197" customFormat="1" ht="12.75" x14ac:dyDescent="0.2"/>
    <row r="2865" s="197" customFormat="1" ht="12.75" x14ac:dyDescent="0.2"/>
    <row r="2866" s="197" customFormat="1" ht="12.75" x14ac:dyDescent="0.2"/>
    <row r="2867" s="197" customFormat="1" ht="12.75" x14ac:dyDescent="0.2"/>
    <row r="2868" s="197" customFormat="1" ht="12.75" x14ac:dyDescent="0.2"/>
    <row r="2869" s="197" customFormat="1" ht="12.75" x14ac:dyDescent="0.2"/>
    <row r="2870" s="197" customFormat="1" ht="12.75" x14ac:dyDescent="0.2"/>
    <row r="2871" s="197" customFormat="1" ht="12.75" x14ac:dyDescent="0.2"/>
    <row r="2872" s="197" customFormat="1" ht="12.75" x14ac:dyDescent="0.2"/>
    <row r="2873" s="197" customFormat="1" ht="12.75" x14ac:dyDescent="0.2"/>
    <row r="2874" s="197" customFormat="1" ht="12.75" x14ac:dyDescent="0.2"/>
    <row r="2875" s="197" customFormat="1" ht="12.75" x14ac:dyDescent="0.2"/>
    <row r="2876" s="197" customFormat="1" ht="12.75" x14ac:dyDescent="0.2"/>
    <row r="2877" s="197" customFormat="1" ht="12.75" x14ac:dyDescent="0.2"/>
    <row r="2878" s="197" customFormat="1" ht="12.75" x14ac:dyDescent="0.2"/>
    <row r="2879" s="197" customFormat="1" ht="12.75" x14ac:dyDescent="0.2"/>
    <row r="2880" s="197" customFormat="1" ht="12.75" x14ac:dyDescent="0.2"/>
    <row r="2881" s="197" customFormat="1" ht="12.75" x14ac:dyDescent="0.2"/>
    <row r="2882" s="197" customFormat="1" ht="12.75" x14ac:dyDescent="0.2"/>
    <row r="2883" s="197" customFormat="1" ht="12.75" x14ac:dyDescent="0.2"/>
    <row r="2884" s="197" customFormat="1" ht="12.75" x14ac:dyDescent="0.2"/>
    <row r="2885" s="197" customFormat="1" ht="12.75" x14ac:dyDescent="0.2"/>
    <row r="2886" s="197" customFormat="1" ht="12.75" x14ac:dyDescent="0.2"/>
    <row r="2887" s="197" customFormat="1" ht="12.75" x14ac:dyDescent="0.2"/>
    <row r="2888" s="197" customFormat="1" ht="12.75" x14ac:dyDescent="0.2"/>
    <row r="2889" s="197" customFormat="1" ht="12.75" x14ac:dyDescent="0.2"/>
    <row r="2890" s="197" customFormat="1" ht="12.75" x14ac:dyDescent="0.2"/>
    <row r="2891" s="197" customFormat="1" ht="12.75" x14ac:dyDescent="0.2"/>
    <row r="2892" s="197" customFormat="1" ht="12.75" x14ac:dyDescent="0.2"/>
    <row r="2893" s="197" customFormat="1" ht="12.75" x14ac:dyDescent="0.2"/>
    <row r="2894" s="197" customFormat="1" ht="12.75" x14ac:dyDescent="0.2"/>
    <row r="2895" s="197" customFormat="1" ht="12.75" x14ac:dyDescent="0.2"/>
    <row r="2896" s="197" customFormat="1" ht="12.75" x14ac:dyDescent="0.2"/>
    <row r="2897" s="197" customFormat="1" ht="12.75" x14ac:dyDescent="0.2"/>
    <row r="2898" s="197" customFormat="1" ht="12.75" x14ac:dyDescent="0.2"/>
    <row r="2899" s="197" customFormat="1" ht="12.75" x14ac:dyDescent="0.2"/>
    <row r="2900" s="197" customFormat="1" ht="12.75" x14ac:dyDescent="0.2"/>
    <row r="2901" s="197" customFormat="1" ht="12.75" x14ac:dyDescent="0.2"/>
    <row r="2902" s="197" customFormat="1" ht="12.75" x14ac:dyDescent="0.2"/>
    <row r="2903" s="197" customFormat="1" ht="12.75" x14ac:dyDescent="0.2"/>
    <row r="2904" s="197" customFormat="1" ht="12.75" x14ac:dyDescent="0.2"/>
    <row r="2905" s="197" customFormat="1" ht="12.75" x14ac:dyDescent="0.2"/>
    <row r="2906" s="197" customFormat="1" ht="12.75" x14ac:dyDescent="0.2"/>
    <row r="2907" s="197" customFormat="1" ht="12.75" x14ac:dyDescent="0.2"/>
    <row r="2908" s="197" customFormat="1" ht="12.75" x14ac:dyDescent="0.2"/>
    <row r="2909" s="197" customFormat="1" ht="12.75" x14ac:dyDescent="0.2"/>
    <row r="2910" s="197" customFormat="1" ht="12.75" x14ac:dyDescent="0.2"/>
    <row r="2911" s="197" customFormat="1" ht="12.75" x14ac:dyDescent="0.2"/>
    <row r="2912" s="197" customFormat="1" ht="12.75" x14ac:dyDescent="0.2"/>
    <row r="2913" s="197" customFormat="1" ht="12.75" x14ac:dyDescent="0.2"/>
    <row r="2914" s="197" customFormat="1" ht="12.75" x14ac:dyDescent="0.2"/>
    <row r="2915" s="197" customFormat="1" ht="12.75" x14ac:dyDescent="0.2"/>
    <row r="2916" s="197" customFormat="1" ht="12.75" x14ac:dyDescent="0.2"/>
    <row r="2917" s="197" customFormat="1" ht="12.75" x14ac:dyDescent="0.2"/>
    <row r="2918" s="197" customFormat="1" ht="12.75" x14ac:dyDescent="0.2"/>
    <row r="2919" s="197" customFormat="1" ht="12.75" x14ac:dyDescent="0.2"/>
    <row r="2920" s="197" customFormat="1" ht="12.75" x14ac:dyDescent="0.2"/>
    <row r="2921" s="197" customFormat="1" ht="12.75" x14ac:dyDescent="0.2"/>
    <row r="2922" s="197" customFormat="1" ht="12.75" x14ac:dyDescent="0.2"/>
    <row r="2923" s="197" customFormat="1" ht="12.75" x14ac:dyDescent="0.2"/>
    <row r="2924" s="197" customFormat="1" ht="12.75" x14ac:dyDescent="0.2"/>
    <row r="2925" s="197" customFormat="1" ht="12.75" x14ac:dyDescent="0.2"/>
    <row r="2926" s="197" customFormat="1" ht="12.75" x14ac:dyDescent="0.2"/>
    <row r="2927" s="197" customFormat="1" ht="12.75" x14ac:dyDescent="0.2"/>
    <row r="2928" s="197" customFormat="1" ht="12.75" x14ac:dyDescent="0.2"/>
    <row r="2929" s="197" customFormat="1" ht="12.75" x14ac:dyDescent="0.2"/>
    <row r="2930" s="197" customFormat="1" ht="12.75" x14ac:dyDescent="0.2"/>
    <row r="2931" s="197" customFormat="1" ht="12.75" x14ac:dyDescent="0.2"/>
    <row r="2932" s="197" customFormat="1" ht="12.75" x14ac:dyDescent="0.2"/>
    <row r="2933" s="197" customFormat="1" ht="12.75" x14ac:dyDescent="0.2"/>
    <row r="2934" s="197" customFormat="1" ht="12.75" x14ac:dyDescent="0.2"/>
    <row r="2935" s="197" customFormat="1" ht="12.75" x14ac:dyDescent="0.2"/>
    <row r="2936" s="197" customFormat="1" ht="12.75" x14ac:dyDescent="0.2"/>
    <row r="2937" s="197" customFormat="1" ht="12.75" x14ac:dyDescent="0.2"/>
    <row r="2938" s="197" customFormat="1" ht="12.75" x14ac:dyDescent="0.2"/>
    <row r="2939" s="197" customFormat="1" ht="12.75" x14ac:dyDescent="0.2"/>
    <row r="2940" s="197" customFormat="1" ht="12.75" x14ac:dyDescent="0.2"/>
    <row r="2941" s="197" customFormat="1" ht="12.75" x14ac:dyDescent="0.2"/>
    <row r="2942" s="197" customFormat="1" ht="12.75" x14ac:dyDescent="0.2"/>
    <row r="2943" s="197" customFormat="1" ht="12.75" x14ac:dyDescent="0.2"/>
    <row r="2944" s="197" customFormat="1" ht="12.75" x14ac:dyDescent="0.2"/>
    <row r="2945" s="197" customFormat="1" ht="12.75" x14ac:dyDescent="0.2"/>
    <row r="2946" s="197" customFormat="1" ht="12.75" x14ac:dyDescent="0.2"/>
    <row r="2947" s="197" customFormat="1" ht="12.75" x14ac:dyDescent="0.2"/>
    <row r="2948" s="197" customFormat="1" ht="12.75" x14ac:dyDescent="0.2"/>
    <row r="2949" s="197" customFormat="1" ht="12.75" x14ac:dyDescent="0.2"/>
    <row r="2950" s="197" customFormat="1" ht="12.75" x14ac:dyDescent="0.2"/>
    <row r="2951" s="197" customFormat="1" ht="12.75" x14ac:dyDescent="0.2"/>
    <row r="2952" s="197" customFormat="1" ht="12.75" x14ac:dyDescent="0.2"/>
    <row r="2953" s="197" customFormat="1" ht="12.75" x14ac:dyDescent="0.2"/>
    <row r="2954" s="197" customFormat="1" ht="12.75" x14ac:dyDescent="0.2"/>
    <row r="2955" s="197" customFormat="1" ht="12.75" x14ac:dyDescent="0.2"/>
    <row r="2956" s="197" customFormat="1" ht="12.75" x14ac:dyDescent="0.2"/>
    <row r="2957" s="197" customFormat="1" ht="12.75" x14ac:dyDescent="0.2"/>
    <row r="2958" s="197" customFormat="1" ht="12.75" x14ac:dyDescent="0.2"/>
    <row r="2959" s="197" customFormat="1" ht="12.75" x14ac:dyDescent="0.2"/>
    <row r="2960" s="197" customFormat="1" ht="12.75" x14ac:dyDescent="0.2"/>
    <row r="2961" s="197" customFormat="1" ht="12.75" x14ac:dyDescent="0.2"/>
    <row r="2962" s="197" customFormat="1" ht="12.75" x14ac:dyDescent="0.2"/>
    <row r="2963" s="197" customFormat="1" ht="12.75" x14ac:dyDescent="0.2"/>
    <row r="2964" s="197" customFormat="1" ht="12.75" x14ac:dyDescent="0.2"/>
    <row r="2965" s="197" customFormat="1" ht="12.75" x14ac:dyDescent="0.2"/>
    <row r="2966" s="197" customFormat="1" ht="12.75" x14ac:dyDescent="0.2"/>
    <row r="2967" s="197" customFormat="1" ht="12.75" x14ac:dyDescent="0.2"/>
    <row r="2968" s="197" customFormat="1" ht="12.75" x14ac:dyDescent="0.2"/>
    <row r="2969" s="197" customFormat="1" ht="12.75" x14ac:dyDescent="0.2"/>
    <row r="2970" s="197" customFormat="1" ht="12.75" x14ac:dyDescent="0.2"/>
    <row r="2971" s="197" customFormat="1" ht="12.75" x14ac:dyDescent="0.2"/>
    <row r="2972" s="197" customFormat="1" ht="12.75" x14ac:dyDescent="0.2"/>
    <row r="2973" s="197" customFormat="1" ht="12.75" x14ac:dyDescent="0.2"/>
    <row r="2974" s="197" customFormat="1" ht="12.75" x14ac:dyDescent="0.2"/>
    <row r="2975" s="197" customFormat="1" ht="12.75" x14ac:dyDescent="0.2"/>
    <row r="2976" s="197" customFormat="1" ht="12.75" x14ac:dyDescent="0.2"/>
    <row r="2977" s="197" customFormat="1" ht="12.75" x14ac:dyDescent="0.2"/>
    <row r="2978" s="197" customFormat="1" ht="12.75" x14ac:dyDescent="0.2"/>
    <row r="2979" s="197" customFormat="1" ht="12.75" x14ac:dyDescent="0.2"/>
    <row r="2980" s="197" customFormat="1" ht="12.75" x14ac:dyDescent="0.2"/>
    <row r="2981" s="197" customFormat="1" ht="12.75" x14ac:dyDescent="0.2"/>
    <row r="2982" s="197" customFormat="1" ht="12.75" x14ac:dyDescent="0.2"/>
    <row r="2983" s="197" customFormat="1" ht="12.75" x14ac:dyDescent="0.2"/>
    <row r="2984" s="197" customFormat="1" ht="12.75" x14ac:dyDescent="0.2"/>
    <row r="2985" s="197" customFormat="1" ht="12.75" x14ac:dyDescent="0.2"/>
    <row r="2986" s="197" customFormat="1" ht="12.75" x14ac:dyDescent="0.2"/>
    <row r="2987" s="197" customFormat="1" ht="12.75" x14ac:dyDescent="0.2"/>
    <row r="2988" s="197" customFormat="1" ht="12.75" x14ac:dyDescent="0.2"/>
    <row r="2989" s="197" customFormat="1" ht="12.75" x14ac:dyDescent="0.2"/>
    <row r="2990" s="197" customFormat="1" ht="12.75" x14ac:dyDescent="0.2"/>
    <row r="2991" s="197" customFormat="1" ht="12.75" x14ac:dyDescent="0.2"/>
    <row r="2992" s="197" customFormat="1" ht="12.75" x14ac:dyDescent="0.2"/>
    <row r="2993" s="197" customFormat="1" ht="12.75" x14ac:dyDescent="0.2"/>
    <row r="2994" s="197" customFormat="1" ht="12.75" x14ac:dyDescent="0.2"/>
    <row r="2995" s="197" customFormat="1" ht="12.75" x14ac:dyDescent="0.2"/>
    <row r="2996" s="197" customFormat="1" ht="12.75" x14ac:dyDescent="0.2"/>
    <row r="2997" s="197" customFormat="1" ht="12.75" x14ac:dyDescent="0.2"/>
    <row r="2998" s="197" customFormat="1" ht="12.75" x14ac:dyDescent="0.2"/>
    <row r="2999" s="197" customFormat="1" ht="12.75" x14ac:dyDescent="0.2"/>
    <row r="3000" s="197" customFormat="1" ht="12.75" x14ac:dyDescent="0.2"/>
    <row r="3001" s="197" customFormat="1" ht="12.75" x14ac:dyDescent="0.2"/>
    <row r="3002" s="197" customFormat="1" ht="12.75" x14ac:dyDescent="0.2"/>
    <row r="3003" s="197" customFormat="1" ht="12.75" x14ac:dyDescent="0.2"/>
    <row r="3004" s="197" customFormat="1" ht="12.75" x14ac:dyDescent="0.2"/>
    <row r="3005" s="197" customFormat="1" ht="12.75" x14ac:dyDescent="0.2"/>
    <row r="3006" s="197" customFormat="1" ht="12.75" x14ac:dyDescent="0.2"/>
    <row r="3007" s="197" customFormat="1" ht="12.75" x14ac:dyDescent="0.2"/>
    <row r="3008" s="197" customFormat="1" ht="12.75" x14ac:dyDescent="0.2"/>
    <row r="3009" s="197" customFormat="1" ht="12.75" x14ac:dyDescent="0.2"/>
    <row r="3010" s="197" customFormat="1" ht="12.75" x14ac:dyDescent="0.2"/>
    <row r="3011" s="197" customFormat="1" ht="12.75" x14ac:dyDescent="0.2"/>
    <row r="3012" s="197" customFormat="1" ht="12.75" x14ac:dyDescent="0.2"/>
    <row r="3013" s="197" customFormat="1" ht="12.75" x14ac:dyDescent="0.2"/>
    <row r="3014" s="197" customFormat="1" ht="12.75" x14ac:dyDescent="0.2"/>
    <row r="3015" s="197" customFormat="1" ht="12.75" x14ac:dyDescent="0.2"/>
    <row r="3016" s="197" customFormat="1" ht="12.75" x14ac:dyDescent="0.2"/>
    <row r="3017" s="197" customFormat="1" ht="12.75" x14ac:dyDescent="0.2"/>
    <row r="3018" s="197" customFormat="1" ht="12.75" x14ac:dyDescent="0.2"/>
    <row r="3019" s="197" customFormat="1" ht="12.75" x14ac:dyDescent="0.2"/>
    <row r="3020" s="197" customFormat="1" ht="12.75" x14ac:dyDescent="0.2"/>
    <row r="3021" s="197" customFormat="1" ht="12.75" x14ac:dyDescent="0.2"/>
    <row r="3022" s="197" customFormat="1" ht="12.75" x14ac:dyDescent="0.2"/>
    <row r="3023" s="197" customFormat="1" ht="12.75" x14ac:dyDescent="0.2"/>
    <row r="3024" s="197" customFormat="1" ht="12.75" x14ac:dyDescent="0.2"/>
    <row r="3025" s="197" customFormat="1" ht="12.75" x14ac:dyDescent="0.2"/>
    <row r="3026" s="197" customFormat="1" ht="12.75" x14ac:dyDescent="0.2"/>
    <row r="3027" s="197" customFormat="1" ht="12.75" x14ac:dyDescent="0.2"/>
    <row r="3028" s="197" customFormat="1" ht="12.75" x14ac:dyDescent="0.2"/>
    <row r="3029" s="197" customFormat="1" ht="12.75" x14ac:dyDescent="0.2"/>
    <row r="3030" s="197" customFormat="1" ht="12.75" x14ac:dyDescent="0.2"/>
    <row r="3031" s="197" customFormat="1" ht="12.75" x14ac:dyDescent="0.2"/>
    <row r="3032" s="197" customFormat="1" ht="12.75" x14ac:dyDescent="0.2"/>
    <row r="3033" s="197" customFormat="1" ht="12.75" x14ac:dyDescent="0.2"/>
    <row r="3034" s="197" customFormat="1" ht="12.75" x14ac:dyDescent="0.2"/>
    <row r="3035" s="197" customFormat="1" ht="12.75" x14ac:dyDescent="0.2"/>
    <row r="3036" s="197" customFormat="1" ht="12.75" x14ac:dyDescent="0.2"/>
    <row r="3037" s="197" customFormat="1" ht="12.75" x14ac:dyDescent="0.2"/>
    <row r="3038" s="197" customFormat="1" ht="12.75" x14ac:dyDescent="0.2"/>
    <row r="3039" s="197" customFormat="1" ht="12.75" x14ac:dyDescent="0.2"/>
    <row r="3040" s="197" customFormat="1" ht="12.75" x14ac:dyDescent="0.2"/>
    <row r="3041" s="197" customFormat="1" ht="12.75" x14ac:dyDescent="0.2"/>
    <row r="3042" s="197" customFormat="1" ht="12.75" x14ac:dyDescent="0.2"/>
    <row r="3043" s="197" customFormat="1" ht="12.75" x14ac:dyDescent="0.2"/>
    <row r="3044" s="197" customFormat="1" ht="12.75" x14ac:dyDescent="0.2"/>
    <row r="3045" s="197" customFormat="1" ht="12.75" x14ac:dyDescent="0.2"/>
    <row r="3046" s="197" customFormat="1" ht="12.75" x14ac:dyDescent="0.2"/>
    <row r="3047" s="197" customFormat="1" ht="12.75" x14ac:dyDescent="0.2"/>
    <row r="3048" s="197" customFormat="1" ht="12.75" x14ac:dyDescent="0.2"/>
    <row r="3049" s="197" customFormat="1" ht="12.75" x14ac:dyDescent="0.2"/>
    <row r="3050" s="197" customFormat="1" ht="12.75" x14ac:dyDescent="0.2"/>
    <row r="3051" s="197" customFormat="1" ht="12.75" x14ac:dyDescent="0.2"/>
    <row r="3052" s="197" customFormat="1" ht="12.75" x14ac:dyDescent="0.2"/>
    <row r="3053" s="197" customFormat="1" ht="12.75" x14ac:dyDescent="0.2"/>
    <row r="3054" s="197" customFormat="1" ht="12.75" x14ac:dyDescent="0.2"/>
    <row r="3055" s="197" customFormat="1" ht="12.75" x14ac:dyDescent="0.2"/>
    <row r="3056" s="197" customFormat="1" ht="12.75" x14ac:dyDescent="0.2"/>
    <row r="3057" s="197" customFormat="1" ht="12.75" x14ac:dyDescent="0.2"/>
    <row r="3058" s="197" customFormat="1" ht="12.75" x14ac:dyDescent="0.2"/>
    <row r="3059" s="197" customFormat="1" ht="12.75" x14ac:dyDescent="0.2"/>
    <row r="3060" s="197" customFormat="1" ht="12.75" x14ac:dyDescent="0.2"/>
    <row r="3061" s="197" customFormat="1" ht="12.75" x14ac:dyDescent="0.2"/>
    <row r="3062" s="197" customFormat="1" ht="12.75" x14ac:dyDescent="0.2"/>
    <row r="3063" s="197" customFormat="1" ht="12.75" x14ac:dyDescent="0.2"/>
    <row r="3064" s="197" customFormat="1" ht="12.75" x14ac:dyDescent="0.2"/>
    <row r="3065" s="197" customFormat="1" ht="12.75" x14ac:dyDescent="0.2"/>
    <row r="3066" s="197" customFormat="1" ht="12.75" x14ac:dyDescent="0.2"/>
    <row r="3067" s="197" customFormat="1" ht="12.75" x14ac:dyDescent="0.2"/>
    <row r="3068" s="197" customFormat="1" ht="12.75" x14ac:dyDescent="0.2"/>
    <row r="3069" s="197" customFormat="1" ht="12.75" x14ac:dyDescent="0.2"/>
    <row r="3070" s="197" customFormat="1" ht="12.75" x14ac:dyDescent="0.2"/>
    <row r="3071" s="197" customFormat="1" ht="12.75" x14ac:dyDescent="0.2"/>
    <row r="3072" s="197" customFormat="1" ht="12.75" x14ac:dyDescent="0.2"/>
    <row r="3073" s="197" customFormat="1" ht="12.75" x14ac:dyDescent="0.2"/>
    <row r="3074" s="197" customFormat="1" ht="12.75" x14ac:dyDescent="0.2"/>
    <row r="3075" s="197" customFormat="1" ht="12.75" x14ac:dyDescent="0.2"/>
    <row r="3076" s="197" customFormat="1" ht="12.75" x14ac:dyDescent="0.2"/>
    <row r="3077" s="197" customFormat="1" ht="12.75" x14ac:dyDescent="0.2"/>
    <row r="3078" s="197" customFormat="1" ht="12.75" x14ac:dyDescent="0.2"/>
    <row r="3079" s="197" customFormat="1" ht="12.75" x14ac:dyDescent="0.2"/>
    <row r="3080" s="197" customFormat="1" ht="12.75" x14ac:dyDescent="0.2"/>
    <row r="3081" s="197" customFormat="1" ht="12.75" x14ac:dyDescent="0.2"/>
    <row r="3082" s="197" customFormat="1" ht="12.75" x14ac:dyDescent="0.2"/>
    <row r="3083" s="197" customFormat="1" ht="12.75" x14ac:dyDescent="0.2"/>
    <row r="3084" s="197" customFormat="1" ht="12.75" x14ac:dyDescent="0.2"/>
    <row r="3085" s="197" customFormat="1" ht="12.75" x14ac:dyDescent="0.2"/>
    <row r="3086" s="197" customFormat="1" ht="12.75" x14ac:dyDescent="0.2"/>
    <row r="3087" s="197" customFormat="1" ht="12.75" x14ac:dyDescent="0.2"/>
    <row r="3088" s="197" customFormat="1" ht="12.75" x14ac:dyDescent="0.2"/>
    <row r="3089" s="197" customFormat="1" ht="12.75" x14ac:dyDescent="0.2"/>
    <row r="3090" s="197" customFormat="1" ht="12.75" x14ac:dyDescent="0.2"/>
    <row r="3091" s="197" customFormat="1" ht="12.75" x14ac:dyDescent="0.2"/>
    <row r="3092" s="197" customFormat="1" ht="12.75" x14ac:dyDescent="0.2"/>
    <row r="3093" s="197" customFormat="1" ht="12.75" x14ac:dyDescent="0.2"/>
    <row r="3094" s="197" customFormat="1" ht="12.75" x14ac:dyDescent="0.2"/>
    <row r="3095" s="197" customFormat="1" ht="12.75" x14ac:dyDescent="0.2"/>
    <row r="3096" s="197" customFormat="1" ht="12.75" x14ac:dyDescent="0.2"/>
    <row r="3097" s="197" customFormat="1" ht="12.75" x14ac:dyDescent="0.2"/>
    <row r="3098" s="197" customFormat="1" ht="12.75" x14ac:dyDescent="0.2"/>
    <row r="3099" s="197" customFormat="1" ht="12.75" x14ac:dyDescent="0.2"/>
    <row r="3100" s="197" customFormat="1" ht="12.75" x14ac:dyDescent="0.2"/>
    <row r="3101" s="197" customFormat="1" ht="12.75" x14ac:dyDescent="0.2"/>
    <row r="3102" s="197" customFormat="1" ht="12.75" x14ac:dyDescent="0.2"/>
    <row r="3103" s="197" customFormat="1" ht="12.75" x14ac:dyDescent="0.2"/>
    <row r="3104" s="197" customFormat="1" ht="12.75" x14ac:dyDescent="0.2"/>
    <row r="3105" s="197" customFormat="1" ht="12.75" x14ac:dyDescent="0.2"/>
    <row r="3106" s="197" customFormat="1" ht="12.75" x14ac:dyDescent="0.2"/>
    <row r="3107" s="197" customFormat="1" ht="12.75" x14ac:dyDescent="0.2"/>
    <row r="3108" s="197" customFormat="1" ht="12.75" x14ac:dyDescent="0.2"/>
    <row r="3109" s="197" customFormat="1" ht="12.75" x14ac:dyDescent="0.2"/>
    <row r="3110" s="197" customFormat="1" ht="12.75" x14ac:dyDescent="0.2"/>
    <row r="3111" s="197" customFormat="1" ht="12.75" x14ac:dyDescent="0.2"/>
    <row r="3112" s="197" customFormat="1" ht="12.75" x14ac:dyDescent="0.2"/>
    <row r="3113" s="197" customFormat="1" ht="12.75" x14ac:dyDescent="0.2"/>
    <row r="3114" s="197" customFormat="1" ht="12.75" x14ac:dyDescent="0.2"/>
    <row r="3115" s="197" customFormat="1" ht="12.75" x14ac:dyDescent="0.2"/>
    <row r="3116" s="197" customFormat="1" ht="12.75" x14ac:dyDescent="0.2"/>
    <row r="3117" s="197" customFormat="1" ht="12.75" x14ac:dyDescent="0.2"/>
    <row r="3118" s="197" customFormat="1" ht="12.75" x14ac:dyDescent="0.2"/>
    <row r="3119" s="197" customFormat="1" ht="12.75" x14ac:dyDescent="0.2"/>
    <row r="3120" s="197" customFormat="1" ht="12.75" x14ac:dyDescent="0.2"/>
    <row r="3121" s="197" customFormat="1" ht="12.75" x14ac:dyDescent="0.2"/>
    <row r="3122" s="197" customFormat="1" ht="12.75" x14ac:dyDescent="0.2"/>
    <row r="3123" s="197" customFormat="1" ht="12.75" x14ac:dyDescent="0.2"/>
    <row r="3124" s="197" customFormat="1" ht="12.75" x14ac:dyDescent="0.2"/>
    <row r="3125" s="197" customFormat="1" ht="12.75" x14ac:dyDescent="0.2"/>
    <row r="3126" s="197" customFormat="1" ht="12.75" x14ac:dyDescent="0.2"/>
    <row r="3127" s="197" customFormat="1" ht="12.75" x14ac:dyDescent="0.2"/>
    <row r="3128" s="197" customFormat="1" ht="12.75" x14ac:dyDescent="0.2"/>
    <row r="3129" s="197" customFormat="1" ht="12.75" x14ac:dyDescent="0.2"/>
    <row r="3130" s="197" customFormat="1" ht="12.75" x14ac:dyDescent="0.2"/>
    <row r="3131" s="197" customFormat="1" ht="12.75" x14ac:dyDescent="0.2"/>
    <row r="3132" s="197" customFormat="1" ht="12.75" x14ac:dyDescent="0.2"/>
    <row r="3133" s="197" customFormat="1" ht="12.75" x14ac:dyDescent="0.2"/>
    <row r="3134" s="197" customFormat="1" ht="12.75" x14ac:dyDescent="0.2"/>
    <row r="3135" s="197" customFormat="1" ht="12.75" x14ac:dyDescent="0.2"/>
    <row r="3136" s="197" customFormat="1" ht="12.75" x14ac:dyDescent="0.2"/>
    <row r="3137" s="197" customFormat="1" ht="12.75" x14ac:dyDescent="0.2"/>
    <row r="3138" s="197" customFormat="1" ht="12.75" x14ac:dyDescent="0.2"/>
    <row r="3139" s="197" customFormat="1" ht="12.75" x14ac:dyDescent="0.2"/>
    <row r="3140" s="197" customFormat="1" ht="12.75" x14ac:dyDescent="0.2"/>
    <row r="3141" s="197" customFormat="1" ht="12.75" x14ac:dyDescent="0.2"/>
    <row r="3142" s="197" customFormat="1" ht="12.75" x14ac:dyDescent="0.2"/>
    <row r="3143" s="197" customFormat="1" ht="12.75" x14ac:dyDescent="0.2"/>
    <row r="3144" s="197" customFormat="1" ht="12.75" x14ac:dyDescent="0.2"/>
    <row r="3145" s="197" customFormat="1" ht="12.75" x14ac:dyDescent="0.2"/>
    <row r="3146" s="197" customFormat="1" ht="12.75" x14ac:dyDescent="0.2"/>
    <row r="3147" s="197" customFormat="1" ht="12.75" x14ac:dyDescent="0.2"/>
    <row r="3148" s="197" customFormat="1" ht="12.75" x14ac:dyDescent="0.2"/>
    <row r="3149" s="197" customFormat="1" ht="12.75" x14ac:dyDescent="0.2"/>
    <row r="3150" s="197" customFormat="1" ht="12.75" x14ac:dyDescent="0.2"/>
    <row r="3151" s="197" customFormat="1" ht="12.75" x14ac:dyDescent="0.2"/>
    <row r="3152" s="197" customFormat="1" ht="12.75" x14ac:dyDescent="0.2"/>
    <row r="3153" s="197" customFormat="1" ht="12.75" x14ac:dyDescent="0.2"/>
    <row r="3154" s="197" customFormat="1" ht="12.75" x14ac:dyDescent="0.2"/>
    <row r="3155" s="197" customFormat="1" ht="12.75" x14ac:dyDescent="0.2"/>
    <row r="3156" s="197" customFormat="1" ht="12.75" x14ac:dyDescent="0.2"/>
    <row r="3157" s="197" customFormat="1" ht="12.75" x14ac:dyDescent="0.2"/>
    <row r="3158" s="197" customFormat="1" ht="12.75" x14ac:dyDescent="0.2"/>
    <row r="3159" s="197" customFormat="1" ht="12.75" x14ac:dyDescent="0.2"/>
    <row r="3160" s="197" customFormat="1" ht="12.75" x14ac:dyDescent="0.2"/>
    <row r="3161" s="197" customFormat="1" ht="12.75" x14ac:dyDescent="0.2"/>
    <row r="3162" s="197" customFormat="1" ht="12.75" x14ac:dyDescent="0.2"/>
    <row r="3163" s="197" customFormat="1" ht="12.75" x14ac:dyDescent="0.2"/>
    <row r="3164" s="197" customFormat="1" ht="12.75" x14ac:dyDescent="0.2"/>
    <row r="3165" s="197" customFormat="1" ht="12.75" x14ac:dyDescent="0.2"/>
    <row r="3166" s="197" customFormat="1" ht="12.75" x14ac:dyDescent="0.2"/>
    <row r="3167" s="197" customFormat="1" ht="12.75" x14ac:dyDescent="0.2"/>
    <row r="3168" s="197" customFormat="1" ht="12.75" x14ac:dyDescent="0.2"/>
    <row r="3169" s="197" customFormat="1" ht="12.75" x14ac:dyDescent="0.2"/>
    <row r="3170" s="197" customFormat="1" ht="12.75" x14ac:dyDescent="0.2"/>
    <row r="3171" s="197" customFormat="1" ht="12.75" x14ac:dyDescent="0.2"/>
    <row r="3172" s="197" customFormat="1" ht="12.75" x14ac:dyDescent="0.2"/>
    <row r="3173" s="197" customFormat="1" ht="12.75" x14ac:dyDescent="0.2"/>
    <row r="3174" s="197" customFormat="1" ht="12.75" x14ac:dyDescent="0.2"/>
    <row r="3175" s="197" customFormat="1" ht="12.75" x14ac:dyDescent="0.2"/>
    <row r="3176" s="197" customFormat="1" ht="12.75" x14ac:dyDescent="0.2"/>
    <row r="3177" s="197" customFormat="1" ht="12.75" x14ac:dyDescent="0.2"/>
    <row r="3178" s="197" customFormat="1" ht="12.75" x14ac:dyDescent="0.2"/>
    <row r="3179" s="197" customFormat="1" ht="12.75" x14ac:dyDescent="0.2"/>
    <row r="3180" s="197" customFormat="1" ht="12.75" x14ac:dyDescent="0.2"/>
    <row r="3181" s="197" customFormat="1" ht="12.75" x14ac:dyDescent="0.2"/>
    <row r="3182" s="197" customFormat="1" ht="12.75" x14ac:dyDescent="0.2"/>
    <row r="3183" s="197" customFormat="1" ht="12.75" x14ac:dyDescent="0.2"/>
    <row r="3184" s="197" customFormat="1" ht="12.75" x14ac:dyDescent="0.2"/>
    <row r="3185" s="197" customFormat="1" ht="12.75" x14ac:dyDescent="0.2"/>
    <row r="3186" s="197" customFormat="1" ht="12.75" x14ac:dyDescent="0.2"/>
    <row r="3187" s="197" customFormat="1" ht="12.75" x14ac:dyDescent="0.2"/>
    <row r="3188" s="197" customFormat="1" ht="12.75" x14ac:dyDescent="0.2"/>
    <row r="3189" s="197" customFormat="1" ht="12.75" x14ac:dyDescent="0.2"/>
    <row r="3190" s="197" customFormat="1" ht="12.75" x14ac:dyDescent="0.2"/>
    <row r="3191" s="197" customFormat="1" ht="12.75" x14ac:dyDescent="0.2"/>
    <row r="3192" s="197" customFormat="1" ht="12.75" x14ac:dyDescent="0.2"/>
    <row r="3193" s="197" customFormat="1" ht="12.75" x14ac:dyDescent="0.2"/>
    <row r="3194" s="197" customFormat="1" ht="12.75" x14ac:dyDescent="0.2"/>
    <row r="3195" s="197" customFormat="1" ht="12.75" x14ac:dyDescent="0.2"/>
    <row r="3196" s="197" customFormat="1" ht="12.75" x14ac:dyDescent="0.2"/>
    <row r="3197" s="197" customFormat="1" ht="12.75" x14ac:dyDescent="0.2"/>
    <row r="3198" s="197" customFormat="1" ht="12.75" x14ac:dyDescent="0.2"/>
    <row r="3199" s="197" customFormat="1" ht="12.75" x14ac:dyDescent="0.2"/>
    <row r="3200" s="197" customFormat="1" ht="12.75" x14ac:dyDescent="0.2"/>
    <row r="3201" s="197" customFormat="1" ht="12.75" x14ac:dyDescent="0.2"/>
    <row r="3202" s="197" customFormat="1" ht="12.75" x14ac:dyDescent="0.2"/>
    <row r="3203" s="197" customFormat="1" ht="12.75" x14ac:dyDescent="0.2"/>
    <row r="3204" s="197" customFormat="1" ht="12.75" x14ac:dyDescent="0.2"/>
    <row r="3205" s="197" customFormat="1" ht="12.75" x14ac:dyDescent="0.2"/>
    <row r="3206" s="197" customFormat="1" ht="12.75" x14ac:dyDescent="0.2"/>
    <row r="3207" s="197" customFormat="1" ht="12.75" x14ac:dyDescent="0.2"/>
    <row r="3208" s="197" customFormat="1" ht="12.75" x14ac:dyDescent="0.2"/>
    <row r="3209" s="197" customFormat="1" ht="12.75" x14ac:dyDescent="0.2"/>
    <row r="3210" s="197" customFormat="1" ht="12.75" x14ac:dyDescent="0.2"/>
    <row r="3211" s="197" customFormat="1" ht="12.75" x14ac:dyDescent="0.2"/>
    <row r="3212" s="197" customFormat="1" ht="12.75" x14ac:dyDescent="0.2"/>
    <row r="3213" s="197" customFormat="1" ht="12.75" x14ac:dyDescent="0.2"/>
    <row r="3214" s="197" customFormat="1" ht="12.75" x14ac:dyDescent="0.2"/>
    <row r="3215" s="197" customFormat="1" ht="12.75" x14ac:dyDescent="0.2"/>
    <row r="3216" s="197" customFormat="1" ht="12.75" x14ac:dyDescent="0.2"/>
    <row r="3217" s="197" customFormat="1" ht="12.75" x14ac:dyDescent="0.2"/>
    <row r="3218" s="197" customFormat="1" ht="12.75" x14ac:dyDescent="0.2"/>
    <row r="3219" s="197" customFormat="1" ht="12.75" x14ac:dyDescent="0.2"/>
    <row r="3220" s="197" customFormat="1" ht="12.75" x14ac:dyDescent="0.2"/>
    <row r="3221" s="197" customFormat="1" ht="12.75" x14ac:dyDescent="0.2"/>
    <row r="3222" s="197" customFormat="1" ht="12.75" x14ac:dyDescent="0.2"/>
    <row r="3223" s="197" customFormat="1" ht="12.75" x14ac:dyDescent="0.2"/>
    <row r="3224" s="197" customFormat="1" ht="12.75" x14ac:dyDescent="0.2"/>
    <row r="3225" s="197" customFormat="1" ht="12.75" x14ac:dyDescent="0.2"/>
    <row r="3226" s="197" customFormat="1" ht="12.75" x14ac:dyDescent="0.2"/>
    <row r="3227" s="197" customFormat="1" ht="12.75" x14ac:dyDescent="0.2"/>
    <row r="3228" s="197" customFormat="1" ht="12.75" x14ac:dyDescent="0.2"/>
    <row r="3229" s="197" customFormat="1" ht="12.75" x14ac:dyDescent="0.2"/>
    <row r="3230" s="197" customFormat="1" ht="12.75" x14ac:dyDescent="0.2"/>
    <row r="3231" s="197" customFormat="1" ht="12.75" x14ac:dyDescent="0.2"/>
    <row r="3232" s="197" customFormat="1" ht="12.75" x14ac:dyDescent="0.2"/>
    <row r="3233" s="197" customFormat="1" ht="12.75" x14ac:dyDescent="0.2"/>
    <row r="3234" s="197" customFormat="1" ht="12.75" x14ac:dyDescent="0.2"/>
    <row r="3235" s="197" customFormat="1" ht="12.75" x14ac:dyDescent="0.2"/>
    <row r="3236" s="197" customFormat="1" ht="12.75" x14ac:dyDescent="0.2"/>
    <row r="3237" s="197" customFormat="1" ht="12.75" x14ac:dyDescent="0.2"/>
    <row r="3238" s="197" customFormat="1" ht="12.75" x14ac:dyDescent="0.2"/>
    <row r="3239" s="197" customFormat="1" ht="12.75" x14ac:dyDescent="0.2"/>
    <row r="3240" s="197" customFormat="1" ht="12.75" x14ac:dyDescent="0.2"/>
    <row r="3241" s="197" customFormat="1" ht="12.75" x14ac:dyDescent="0.2"/>
    <row r="3242" s="197" customFormat="1" ht="12.75" x14ac:dyDescent="0.2"/>
    <row r="3243" s="197" customFormat="1" ht="12.75" x14ac:dyDescent="0.2"/>
    <row r="3244" s="197" customFormat="1" ht="12.75" x14ac:dyDescent="0.2"/>
    <row r="3245" s="197" customFormat="1" ht="12.75" x14ac:dyDescent="0.2"/>
    <row r="3246" s="197" customFormat="1" ht="12.75" x14ac:dyDescent="0.2"/>
    <row r="3247" s="197" customFormat="1" ht="12.75" x14ac:dyDescent="0.2"/>
    <row r="3248" s="197" customFormat="1" ht="12.75" x14ac:dyDescent="0.2"/>
    <row r="3249" s="197" customFormat="1" ht="12.75" x14ac:dyDescent="0.2"/>
    <row r="3250" s="197" customFormat="1" ht="12.75" x14ac:dyDescent="0.2"/>
    <row r="3251" s="197" customFormat="1" ht="12.75" x14ac:dyDescent="0.2"/>
    <row r="3252" s="197" customFormat="1" ht="12.75" x14ac:dyDescent="0.2"/>
    <row r="3253" s="197" customFormat="1" ht="12.75" x14ac:dyDescent="0.2"/>
    <row r="3254" s="197" customFormat="1" ht="12.75" x14ac:dyDescent="0.2"/>
    <row r="3255" s="197" customFormat="1" ht="12.75" x14ac:dyDescent="0.2"/>
    <row r="3256" s="197" customFormat="1" ht="12.75" x14ac:dyDescent="0.2"/>
    <row r="3257" s="197" customFormat="1" ht="12.75" x14ac:dyDescent="0.2"/>
    <row r="3258" s="197" customFormat="1" ht="12.75" x14ac:dyDescent="0.2"/>
    <row r="3259" s="197" customFormat="1" ht="12.75" x14ac:dyDescent="0.2"/>
    <row r="3260" s="197" customFormat="1" ht="12.75" x14ac:dyDescent="0.2"/>
    <row r="3261" s="197" customFormat="1" ht="12.75" x14ac:dyDescent="0.2"/>
    <row r="3262" s="197" customFormat="1" ht="12.75" x14ac:dyDescent="0.2"/>
    <row r="3263" s="197" customFormat="1" ht="12.75" x14ac:dyDescent="0.2"/>
    <row r="3264" s="197" customFormat="1" ht="12.75" x14ac:dyDescent="0.2"/>
    <row r="3265" s="197" customFormat="1" ht="12.75" x14ac:dyDescent="0.2"/>
    <row r="3266" s="197" customFormat="1" ht="12.75" x14ac:dyDescent="0.2"/>
    <row r="3267" s="197" customFormat="1" ht="12.75" x14ac:dyDescent="0.2"/>
    <row r="3268" s="197" customFormat="1" ht="12.75" x14ac:dyDescent="0.2"/>
    <row r="3269" s="197" customFormat="1" ht="12.75" x14ac:dyDescent="0.2"/>
    <row r="3270" s="197" customFormat="1" ht="12.75" x14ac:dyDescent="0.2"/>
    <row r="3271" s="197" customFormat="1" ht="12.75" x14ac:dyDescent="0.2"/>
    <row r="3272" s="197" customFormat="1" ht="12.75" x14ac:dyDescent="0.2"/>
    <row r="3273" s="197" customFormat="1" ht="12.75" x14ac:dyDescent="0.2"/>
    <row r="3274" s="197" customFormat="1" ht="12.75" x14ac:dyDescent="0.2"/>
    <row r="3275" s="197" customFormat="1" ht="12.75" x14ac:dyDescent="0.2"/>
    <row r="3276" s="197" customFormat="1" ht="12.75" x14ac:dyDescent="0.2"/>
    <row r="3277" s="197" customFormat="1" ht="12.75" x14ac:dyDescent="0.2"/>
    <row r="3278" s="197" customFormat="1" ht="12.75" x14ac:dyDescent="0.2"/>
    <row r="3279" s="197" customFormat="1" ht="12.75" x14ac:dyDescent="0.2"/>
    <row r="3280" s="197" customFormat="1" ht="12.75" x14ac:dyDescent="0.2"/>
    <row r="3281" s="197" customFormat="1" ht="12.75" x14ac:dyDescent="0.2"/>
    <row r="3282" s="197" customFormat="1" ht="12.75" x14ac:dyDescent="0.2"/>
    <row r="3283" s="197" customFormat="1" ht="12.75" x14ac:dyDescent="0.2"/>
    <row r="3284" s="197" customFormat="1" ht="12.75" x14ac:dyDescent="0.2"/>
    <row r="3285" s="197" customFormat="1" ht="12.75" x14ac:dyDescent="0.2"/>
    <row r="3286" s="197" customFormat="1" ht="12.75" x14ac:dyDescent="0.2"/>
    <row r="3287" s="197" customFormat="1" ht="12.75" x14ac:dyDescent="0.2"/>
    <row r="3288" s="197" customFormat="1" ht="12.75" x14ac:dyDescent="0.2"/>
    <row r="3289" s="197" customFormat="1" ht="12.75" x14ac:dyDescent="0.2"/>
    <row r="3290" s="197" customFormat="1" ht="12.75" x14ac:dyDescent="0.2"/>
    <row r="3291" s="197" customFormat="1" ht="12.75" x14ac:dyDescent="0.2"/>
    <row r="3292" s="197" customFormat="1" ht="12.75" x14ac:dyDescent="0.2"/>
    <row r="3293" s="197" customFormat="1" ht="12.75" x14ac:dyDescent="0.2"/>
    <row r="3294" s="197" customFormat="1" ht="12.75" x14ac:dyDescent="0.2"/>
    <row r="3295" s="197" customFormat="1" ht="12.75" x14ac:dyDescent="0.2"/>
    <row r="3296" s="197" customFormat="1" ht="12.75" x14ac:dyDescent="0.2"/>
    <row r="3297" s="197" customFormat="1" ht="12.75" x14ac:dyDescent="0.2"/>
    <row r="3298" s="197" customFormat="1" ht="12.75" x14ac:dyDescent="0.2"/>
    <row r="3299" s="197" customFormat="1" ht="12.75" x14ac:dyDescent="0.2"/>
    <row r="3300" s="197" customFormat="1" ht="12.75" x14ac:dyDescent="0.2"/>
    <row r="3301" s="197" customFormat="1" ht="12.75" x14ac:dyDescent="0.2"/>
    <row r="3302" s="197" customFormat="1" ht="12.75" x14ac:dyDescent="0.2"/>
    <row r="3303" s="197" customFormat="1" ht="12.75" x14ac:dyDescent="0.2"/>
    <row r="3304" s="197" customFormat="1" ht="12.75" x14ac:dyDescent="0.2"/>
    <row r="3305" s="197" customFormat="1" ht="12.75" x14ac:dyDescent="0.2"/>
    <row r="3306" s="197" customFormat="1" ht="12.75" x14ac:dyDescent="0.2"/>
    <row r="3307" s="197" customFormat="1" ht="12.75" x14ac:dyDescent="0.2"/>
    <row r="3308" s="197" customFormat="1" ht="12.75" x14ac:dyDescent="0.2"/>
    <row r="3309" s="197" customFormat="1" ht="12.75" x14ac:dyDescent="0.2"/>
    <row r="3310" s="197" customFormat="1" ht="12.75" x14ac:dyDescent="0.2"/>
    <row r="3311" s="197" customFormat="1" ht="12.75" x14ac:dyDescent="0.2"/>
    <row r="3312" s="197" customFormat="1" ht="12.75" x14ac:dyDescent="0.2"/>
    <row r="3313" s="197" customFormat="1" ht="12.75" x14ac:dyDescent="0.2"/>
    <row r="3314" s="197" customFormat="1" ht="12.75" x14ac:dyDescent="0.2"/>
    <row r="3315" s="197" customFormat="1" ht="12.75" x14ac:dyDescent="0.2"/>
    <row r="3316" s="197" customFormat="1" ht="12.75" x14ac:dyDescent="0.2"/>
    <row r="3317" s="197" customFormat="1" ht="12.75" x14ac:dyDescent="0.2"/>
    <row r="3318" s="197" customFormat="1" ht="12.75" x14ac:dyDescent="0.2"/>
    <row r="3319" s="197" customFormat="1" ht="12.75" x14ac:dyDescent="0.2"/>
    <row r="3320" s="197" customFormat="1" ht="12.75" x14ac:dyDescent="0.2"/>
    <row r="3321" s="197" customFormat="1" ht="12.75" x14ac:dyDescent="0.2"/>
    <row r="3322" s="197" customFormat="1" ht="12.75" x14ac:dyDescent="0.2"/>
    <row r="3323" s="197" customFormat="1" ht="12.75" x14ac:dyDescent="0.2"/>
    <row r="3324" s="197" customFormat="1" ht="12.75" x14ac:dyDescent="0.2"/>
    <row r="3325" s="197" customFormat="1" ht="12.75" x14ac:dyDescent="0.2"/>
    <row r="3326" s="197" customFormat="1" ht="12.75" x14ac:dyDescent="0.2"/>
    <row r="3327" s="197" customFormat="1" ht="12.75" x14ac:dyDescent="0.2"/>
    <row r="3328" s="197" customFormat="1" ht="12.75" x14ac:dyDescent="0.2"/>
    <row r="3329" s="197" customFormat="1" ht="12.75" x14ac:dyDescent="0.2"/>
    <row r="3330" s="197" customFormat="1" ht="12.75" x14ac:dyDescent="0.2"/>
    <row r="3331" s="197" customFormat="1" ht="12.75" x14ac:dyDescent="0.2"/>
    <row r="3332" s="197" customFormat="1" ht="12.75" x14ac:dyDescent="0.2"/>
    <row r="3333" s="197" customFormat="1" ht="12.75" x14ac:dyDescent="0.2"/>
    <row r="3334" s="197" customFormat="1" ht="12.75" x14ac:dyDescent="0.2"/>
    <row r="3335" s="197" customFormat="1" ht="12.75" x14ac:dyDescent="0.2"/>
    <row r="3336" s="197" customFormat="1" ht="12.75" x14ac:dyDescent="0.2"/>
    <row r="3337" s="197" customFormat="1" ht="12.75" x14ac:dyDescent="0.2"/>
    <row r="3338" s="197" customFormat="1" ht="12.75" x14ac:dyDescent="0.2"/>
    <row r="3339" s="197" customFormat="1" ht="12.75" x14ac:dyDescent="0.2"/>
    <row r="3340" s="197" customFormat="1" ht="12.75" x14ac:dyDescent="0.2"/>
    <row r="3341" s="197" customFormat="1" ht="12.75" x14ac:dyDescent="0.2"/>
    <row r="3342" s="197" customFormat="1" ht="12.75" x14ac:dyDescent="0.2"/>
    <row r="3343" s="197" customFormat="1" ht="12.75" x14ac:dyDescent="0.2"/>
    <row r="3344" s="197" customFormat="1" ht="12.75" x14ac:dyDescent="0.2"/>
    <row r="3345" s="197" customFormat="1" ht="12.75" x14ac:dyDescent="0.2"/>
    <row r="3346" s="197" customFormat="1" ht="12.75" x14ac:dyDescent="0.2"/>
    <row r="3347" s="197" customFormat="1" ht="12.75" x14ac:dyDescent="0.2"/>
    <row r="3348" s="197" customFormat="1" ht="12.75" x14ac:dyDescent="0.2"/>
    <row r="3349" s="197" customFormat="1" ht="12.75" x14ac:dyDescent="0.2"/>
    <row r="3350" s="197" customFormat="1" ht="12.75" x14ac:dyDescent="0.2"/>
    <row r="3351" s="197" customFormat="1" ht="12.75" x14ac:dyDescent="0.2"/>
    <row r="3352" s="197" customFormat="1" ht="12.75" x14ac:dyDescent="0.2"/>
    <row r="3353" s="197" customFormat="1" ht="12.75" x14ac:dyDescent="0.2"/>
    <row r="3354" s="197" customFormat="1" ht="12.75" x14ac:dyDescent="0.2"/>
    <row r="3355" s="197" customFormat="1" ht="12.75" x14ac:dyDescent="0.2"/>
    <row r="3356" s="197" customFormat="1" ht="12.75" x14ac:dyDescent="0.2"/>
    <row r="3357" s="197" customFormat="1" ht="12.75" x14ac:dyDescent="0.2"/>
    <row r="3358" s="197" customFormat="1" ht="12.75" x14ac:dyDescent="0.2"/>
    <row r="3359" s="197" customFormat="1" ht="12.75" x14ac:dyDescent="0.2"/>
    <row r="3360" s="197" customFormat="1" ht="12.75" x14ac:dyDescent="0.2"/>
    <row r="3361" s="197" customFormat="1" ht="12.75" x14ac:dyDescent="0.2"/>
    <row r="3362" s="197" customFormat="1" ht="12.75" x14ac:dyDescent="0.2"/>
    <row r="3363" s="197" customFormat="1" ht="12.75" x14ac:dyDescent="0.2"/>
    <row r="3364" s="197" customFormat="1" ht="12.75" x14ac:dyDescent="0.2"/>
    <row r="3365" s="197" customFormat="1" ht="12.75" x14ac:dyDescent="0.2"/>
    <row r="3366" s="197" customFormat="1" ht="12.75" x14ac:dyDescent="0.2"/>
    <row r="3367" s="197" customFormat="1" ht="12.75" x14ac:dyDescent="0.2"/>
    <row r="3368" s="197" customFormat="1" ht="12.75" x14ac:dyDescent="0.2"/>
    <row r="3369" s="197" customFormat="1" ht="12.75" x14ac:dyDescent="0.2"/>
    <row r="3370" s="197" customFormat="1" ht="12.75" x14ac:dyDescent="0.2"/>
    <row r="3371" s="197" customFormat="1" ht="12.75" x14ac:dyDescent="0.2"/>
    <row r="3372" s="197" customFormat="1" ht="12.75" x14ac:dyDescent="0.2"/>
    <row r="3373" s="197" customFormat="1" ht="12.75" x14ac:dyDescent="0.2"/>
    <row r="3374" s="197" customFormat="1" ht="12.75" x14ac:dyDescent="0.2"/>
    <row r="3375" s="197" customFormat="1" ht="12.75" x14ac:dyDescent="0.2"/>
    <row r="3376" s="197" customFormat="1" ht="12.75" x14ac:dyDescent="0.2"/>
    <row r="3377" s="197" customFormat="1" ht="12.75" x14ac:dyDescent="0.2"/>
    <row r="3378" s="197" customFormat="1" ht="12.75" x14ac:dyDescent="0.2"/>
    <row r="3379" s="197" customFormat="1" ht="12.75" x14ac:dyDescent="0.2"/>
    <row r="3380" s="197" customFormat="1" ht="12.75" x14ac:dyDescent="0.2"/>
    <row r="3381" s="197" customFormat="1" ht="12.75" x14ac:dyDescent="0.2"/>
    <row r="3382" s="197" customFormat="1" ht="12.75" x14ac:dyDescent="0.2"/>
    <row r="3383" s="197" customFormat="1" ht="12.75" x14ac:dyDescent="0.2"/>
    <row r="3384" s="197" customFormat="1" ht="12.75" x14ac:dyDescent="0.2"/>
    <row r="3385" s="197" customFormat="1" ht="12.75" x14ac:dyDescent="0.2"/>
    <row r="3386" s="197" customFormat="1" ht="12.75" x14ac:dyDescent="0.2"/>
    <row r="3387" s="197" customFormat="1" ht="12.75" x14ac:dyDescent="0.2"/>
    <row r="3388" s="197" customFormat="1" ht="12.75" x14ac:dyDescent="0.2"/>
    <row r="3389" s="197" customFormat="1" ht="12.75" x14ac:dyDescent="0.2"/>
    <row r="3390" s="197" customFormat="1" ht="12.75" x14ac:dyDescent="0.2"/>
    <row r="3391" s="197" customFormat="1" ht="12.75" x14ac:dyDescent="0.2"/>
    <row r="3392" s="197" customFormat="1" ht="12.75" x14ac:dyDescent="0.2"/>
    <row r="3393" s="197" customFormat="1" ht="12.75" x14ac:dyDescent="0.2"/>
    <row r="3394" s="197" customFormat="1" ht="12.75" x14ac:dyDescent="0.2"/>
    <row r="3395" s="197" customFormat="1" ht="12.75" x14ac:dyDescent="0.2"/>
    <row r="3396" s="197" customFormat="1" ht="12.75" x14ac:dyDescent="0.2"/>
    <row r="3397" s="197" customFormat="1" ht="12.75" x14ac:dyDescent="0.2"/>
    <row r="3398" s="197" customFormat="1" ht="12.75" x14ac:dyDescent="0.2"/>
    <row r="3399" s="197" customFormat="1" ht="12.75" x14ac:dyDescent="0.2"/>
    <row r="3400" s="197" customFormat="1" ht="12.75" x14ac:dyDescent="0.2"/>
    <row r="3401" s="197" customFormat="1" ht="12.75" x14ac:dyDescent="0.2"/>
    <row r="3402" s="197" customFormat="1" ht="12.75" x14ac:dyDescent="0.2"/>
    <row r="3403" s="197" customFormat="1" ht="12.75" x14ac:dyDescent="0.2"/>
    <row r="3404" s="197" customFormat="1" ht="12.75" x14ac:dyDescent="0.2"/>
    <row r="3405" s="197" customFormat="1" ht="12.75" x14ac:dyDescent="0.2"/>
    <row r="3406" s="197" customFormat="1" ht="12.75" x14ac:dyDescent="0.2"/>
    <row r="3407" s="197" customFormat="1" ht="12.75" x14ac:dyDescent="0.2"/>
    <row r="3408" s="197" customFormat="1" ht="12.75" x14ac:dyDescent="0.2"/>
    <row r="3409" s="197" customFormat="1" ht="12.75" x14ac:dyDescent="0.2"/>
    <row r="3410" s="197" customFormat="1" ht="12.75" x14ac:dyDescent="0.2"/>
    <row r="3411" s="197" customFormat="1" ht="12.75" x14ac:dyDescent="0.2"/>
    <row r="3412" s="197" customFormat="1" ht="12.75" x14ac:dyDescent="0.2"/>
    <row r="3413" s="197" customFormat="1" ht="12.75" x14ac:dyDescent="0.2"/>
    <row r="3414" s="197" customFormat="1" ht="12.75" x14ac:dyDescent="0.2"/>
    <row r="3415" s="197" customFormat="1" ht="12.75" x14ac:dyDescent="0.2"/>
    <row r="3416" s="197" customFormat="1" ht="12.75" x14ac:dyDescent="0.2"/>
    <row r="3417" s="197" customFormat="1" ht="12.75" x14ac:dyDescent="0.2"/>
    <row r="3418" s="197" customFormat="1" ht="12.75" x14ac:dyDescent="0.2"/>
    <row r="3419" s="197" customFormat="1" ht="12.75" x14ac:dyDescent="0.2"/>
    <row r="3420" s="197" customFormat="1" ht="12.75" x14ac:dyDescent="0.2"/>
    <row r="3421" s="197" customFormat="1" ht="12.75" x14ac:dyDescent="0.2"/>
    <row r="3422" s="197" customFormat="1" ht="12.75" x14ac:dyDescent="0.2"/>
    <row r="3423" s="197" customFormat="1" ht="12.75" x14ac:dyDescent="0.2"/>
    <row r="3424" s="197" customFormat="1" ht="12.75" x14ac:dyDescent="0.2"/>
    <row r="3425" s="197" customFormat="1" ht="12.75" x14ac:dyDescent="0.2"/>
    <row r="3426" s="197" customFormat="1" ht="12.75" x14ac:dyDescent="0.2"/>
    <row r="3427" s="197" customFormat="1" ht="12.75" x14ac:dyDescent="0.2"/>
    <row r="3428" s="197" customFormat="1" ht="12.75" x14ac:dyDescent="0.2"/>
    <row r="3429" s="197" customFormat="1" ht="12.75" x14ac:dyDescent="0.2"/>
    <row r="3430" s="197" customFormat="1" ht="12.75" x14ac:dyDescent="0.2"/>
    <row r="3431" s="197" customFormat="1" ht="12.75" x14ac:dyDescent="0.2"/>
    <row r="3432" s="197" customFormat="1" ht="12.75" x14ac:dyDescent="0.2"/>
    <row r="3433" s="197" customFormat="1" ht="12.75" x14ac:dyDescent="0.2"/>
    <row r="3434" s="197" customFormat="1" ht="12.75" x14ac:dyDescent="0.2"/>
    <row r="3435" s="197" customFormat="1" ht="12.75" x14ac:dyDescent="0.2"/>
    <row r="3436" s="197" customFormat="1" ht="12.75" x14ac:dyDescent="0.2"/>
    <row r="3437" s="197" customFormat="1" ht="12.75" x14ac:dyDescent="0.2"/>
    <row r="3438" s="197" customFormat="1" ht="12.75" x14ac:dyDescent="0.2"/>
    <row r="3439" s="197" customFormat="1" ht="12.75" x14ac:dyDescent="0.2"/>
    <row r="3440" s="197" customFormat="1" ht="12.75" x14ac:dyDescent="0.2"/>
    <row r="3441" s="197" customFormat="1" ht="12.75" x14ac:dyDescent="0.2"/>
    <row r="3442" s="197" customFormat="1" ht="12.75" x14ac:dyDescent="0.2"/>
    <row r="3443" s="197" customFormat="1" ht="12.75" x14ac:dyDescent="0.2"/>
    <row r="3444" s="197" customFormat="1" ht="12.75" x14ac:dyDescent="0.2"/>
    <row r="3445" s="197" customFormat="1" ht="12.75" x14ac:dyDescent="0.2"/>
    <row r="3446" s="197" customFormat="1" ht="12.75" x14ac:dyDescent="0.2"/>
    <row r="3447" s="197" customFormat="1" ht="12.75" x14ac:dyDescent="0.2"/>
    <row r="3448" s="197" customFormat="1" ht="12.75" x14ac:dyDescent="0.2"/>
    <row r="3449" s="197" customFormat="1" ht="12.75" x14ac:dyDescent="0.2"/>
    <row r="3450" s="197" customFormat="1" ht="12.75" x14ac:dyDescent="0.2"/>
    <row r="3451" s="197" customFormat="1" ht="12.75" x14ac:dyDescent="0.2"/>
    <row r="3452" s="197" customFormat="1" ht="12.75" x14ac:dyDescent="0.2"/>
    <row r="3453" s="197" customFormat="1" ht="12.75" x14ac:dyDescent="0.2"/>
    <row r="3454" s="197" customFormat="1" ht="12.75" x14ac:dyDescent="0.2"/>
    <row r="3455" s="197" customFormat="1" ht="12.75" x14ac:dyDescent="0.2"/>
    <row r="3456" s="197" customFormat="1" ht="12.75" x14ac:dyDescent="0.2"/>
    <row r="3457" s="197" customFormat="1" ht="12.75" x14ac:dyDescent="0.2"/>
    <row r="3458" s="197" customFormat="1" ht="12.75" x14ac:dyDescent="0.2"/>
    <row r="3459" s="197" customFormat="1" ht="12.75" x14ac:dyDescent="0.2"/>
    <row r="3460" s="197" customFormat="1" ht="12.75" x14ac:dyDescent="0.2"/>
    <row r="3461" s="197" customFormat="1" ht="12.75" x14ac:dyDescent="0.2"/>
    <row r="3462" s="197" customFormat="1" ht="12.75" x14ac:dyDescent="0.2"/>
    <row r="3463" s="197" customFormat="1" ht="12.75" x14ac:dyDescent="0.2"/>
    <row r="3464" s="197" customFormat="1" ht="12.75" x14ac:dyDescent="0.2"/>
    <row r="3465" s="197" customFormat="1" ht="12.75" x14ac:dyDescent="0.2"/>
    <row r="3466" s="197" customFormat="1" ht="12.75" x14ac:dyDescent="0.2"/>
    <row r="3467" s="197" customFormat="1" ht="12.75" x14ac:dyDescent="0.2"/>
    <row r="3468" s="197" customFormat="1" ht="12.75" x14ac:dyDescent="0.2"/>
    <row r="3469" s="197" customFormat="1" ht="12.75" x14ac:dyDescent="0.2"/>
    <row r="3470" s="197" customFormat="1" ht="12.75" x14ac:dyDescent="0.2"/>
    <row r="3471" s="197" customFormat="1" ht="12.75" x14ac:dyDescent="0.2"/>
    <row r="3472" s="197" customFormat="1" ht="12.75" x14ac:dyDescent="0.2"/>
    <row r="3473" s="197" customFormat="1" ht="12.75" x14ac:dyDescent="0.2"/>
    <row r="3474" s="197" customFormat="1" ht="12.75" x14ac:dyDescent="0.2"/>
    <row r="3475" s="197" customFormat="1" ht="12.75" x14ac:dyDescent="0.2"/>
    <row r="3476" s="197" customFormat="1" ht="12.75" x14ac:dyDescent="0.2"/>
    <row r="3477" s="197" customFormat="1" ht="12.75" x14ac:dyDescent="0.2"/>
    <row r="3478" s="197" customFormat="1" ht="12.75" x14ac:dyDescent="0.2"/>
    <row r="3479" s="197" customFormat="1" ht="12.75" x14ac:dyDescent="0.2"/>
    <row r="3480" s="197" customFormat="1" ht="12.75" x14ac:dyDescent="0.2"/>
    <row r="3481" s="197" customFormat="1" ht="12.75" x14ac:dyDescent="0.2"/>
    <row r="3482" s="197" customFormat="1" ht="12.75" x14ac:dyDescent="0.2"/>
    <row r="3483" s="197" customFormat="1" ht="12.75" x14ac:dyDescent="0.2"/>
    <row r="3484" s="197" customFormat="1" ht="12.75" x14ac:dyDescent="0.2"/>
    <row r="3485" s="197" customFormat="1" ht="12.75" x14ac:dyDescent="0.2"/>
    <row r="3486" s="197" customFormat="1" ht="12.75" x14ac:dyDescent="0.2"/>
    <row r="3487" s="197" customFormat="1" ht="12.75" x14ac:dyDescent="0.2"/>
    <row r="3488" s="197" customFormat="1" ht="12.75" x14ac:dyDescent="0.2"/>
    <row r="3489" s="197" customFormat="1" ht="12.75" x14ac:dyDescent="0.2"/>
    <row r="3490" s="197" customFormat="1" ht="12.75" x14ac:dyDescent="0.2"/>
    <row r="3491" s="197" customFormat="1" ht="12.75" x14ac:dyDescent="0.2"/>
    <row r="3492" s="197" customFormat="1" ht="12.75" x14ac:dyDescent="0.2"/>
    <row r="3493" s="197" customFormat="1" ht="12.75" x14ac:dyDescent="0.2"/>
    <row r="3494" s="197" customFormat="1" ht="12.75" x14ac:dyDescent="0.2"/>
    <row r="3495" s="197" customFormat="1" ht="12.75" x14ac:dyDescent="0.2"/>
    <row r="3496" s="197" customFormat="1" ht="12.75" x14ac:dyDescent="0.2"/>
    <row r="3497" s="197" customFormat="1" ht="12.75" x14ac:dyDescent="0.2"/>
    <row r="3498" s="197" customFormat="1" ht="12.75" x14ac:dyDescent="0.2"/>
    <row r="3499" s="197" customFormat="1" ht="12.75" x14ac:dyDescent="0.2"/>
    <row r="3500" s="197" customFormat="1" ht="12.75" x14ac:dyDescent="0.2"/>
    <row r="3501" s="197" customFormat="1" ht="12.75" x14ac:dyDescent="0.2"/>
    <row r="3502" s="197" customFormat="1" ht="12.75" x14ac:dyDescent="0.2"/>
    <row r="3503" s="197" customFormat="1" ht="12.75" x14ac:dyDescent="0.2"/>
    <row r="3504" s="197" customFormat="1" ht="12.75" x14ac:dyDescent="0.2"/>
    <row r="3505" s="197" customFormat="1" ht="12.75" x14ac:dyDescent="0.2"/>
    <row r="3506" s="197" customFormat="1" ht="12.75" x14ac:dyDescent="0.2"/>
    <row r="3507" s="197" customFormat="1" ht="12.75" x14ac:dyDescent="0.2"/>
    <row r="3508" s="197" customFormat="1" ht="12.75" x14ac:dyDescent="0.2"/>
    <row r="3509" s="197" customFormat="1" ht="12.75" x14ac:dyDescent="0.2"/>
    <row r="3510" s="197" customFormat="1" ht="12.75" x14ac:dyDescent="0.2"/>
    <row r="3511" s="197" customFormat="1" ht="12.75" x14ac:dyDescent="0.2"/>
    <row r="3512" s="197" customFormat="1" ht="12.75" x14ac:dyDescent="0.2"/>
    <row r="3513" s="197" customFormat="1" ht="12.75" x14ac:dyDescent="0.2"/>
    <row r="3514" s="197" customFormat="1" ht="12.75" x14ac:dyDescent="0.2"/>
    <row r="3515" s="197" customFormat="1" ht="12.75" x14ac:dyDescent="0.2"/>
    <row r="3516" s="197" customFormat="1" ht="12.75" x14ac:dyDescent="0.2"/>
    <row r="3517" s="197" customFormat="1" ht="12.75" x14ac:dyDescent="0.2"/>
    <row r="3518" s="197" customFormat="1" ht="12.75" x14ac:dyDescent="0.2"/>
    <row r="3519" s="197" customFormat="1" ht="12.75" x14ac:dyDescent="0.2"/>
    <row r="3520" s="197" customFormat="1" ht="12.75" x14ac:dyDescent="0.2"/>
    <row r="3521" s="197" customFormat="1" ht="12.75" x14ac:dyDescent="0.2"/>
    <row r="3522" s="197" customFormat="1" ht="12.75" x14ac:dyDescent="0.2"/>
    <row r="3523" s="197" customFormat="1" ht="12.75" x14ac:dyDescent="0.2"/>
    <row r="3524" s="197" customFormat="1" ht="12.75" x14ac:dyDescent="0.2"/>
    <row r="3525" s="197" customFormat="1" ht="12.75" x14ac:dyDescent="0.2"/>
    <row r="3526" s="197" customFormat="1" ht="12.75" x14ac:dyDescent="0.2"/>
    <row r="3527" s="197" customFormat="1" ht="12.75" x14ac:dyDescent="0.2"/>
    <row r="3528" s="197" customFormat="1" ht="12.75" x14ac:dyDescent="0.2"/>
    <row r="3529" s="197" customFormat="1" ht="12.75" x14ac:dyDescent="0.2"/>
    <row r="3530" s="197" customFormat="1" ht="12.75" x14ac:dyDescent="0.2"/>
    <row r="3531" s="197" customFormat="1" ht="12.75" x14ac:dyDescent="0.2"/>
    <row r="3532" s="197" customFormat="1" ht="12.75" x14ac:dyDescent="0.2"/>
    <row r="3533" s="197" customFormat="1" ht="12.75" x14ac:dyDescent="0.2"/>
    <row r="3534" s="197" customFormat="1" ht="12.75" x14ac:dyDescent="0.2"/>
    <row r="3535" s="197" customFormat="1" ht="12.75" x14ac:dyDescent="0.2"/>
    <row r="3536" s="197" customFormat="1" ht="12.75" x14ac:dyDescent="0.2"/>
    <row r="3537" s="197" customFormat="1" ht="12.75" x14ac:dyDescent="0.2"/>
    <row r="3538" s="197" customFormat="1" ht="12.75" x14ac:dyDescent="0.2"/>
    <row r="3539" s="197" customFormat="1" ht="12.75" x14ac:dyDescent="0.2"/>
    <row r="3540" s="197" customFormat="1" ht="12.75" x14ac:dyDescent="0.2"/>
    <row r="3541" s="197" customFormat="1" ht="12.75" x14ac:dyDescent="0.2"/>
    <row r="3542" s="197" customFormat="1" ht="12.75" x14ac:dyDescent="0.2"/>
    <row r="3543" s="197" customFormat="1" ht="12.75" x14ac:dyDescent="0.2"/>
    <row r="3544" s="197" customFormat="1" ht="12.75" x14ac:dyDescent="0.2"/>
    <row r="3545" s="197" customFormat="1" ht="12.75" x14ac:dyDescent="0.2"/>
    <row r="3546" s="197" customFormat="1" ht="12.75" x14ac:dyDescent="0.2"/>
    <row r="3547" s="197" customFormat="1" ht="12.75" x14ac:dyDescent="0.2"/>
    <row r="3548" s="197" customFormat="1" ht="12.75" x14ac:dyDescent="0.2"/>
    <row r="3549" s="197" customFormat="1" ht="12.75" x14ac:dyDescent="0.2"/>
    <row r="3550" s="197" customFormat="1" ht="12.75" x14ac:dyDescent="0.2"/>
    <row r="3551" s="197" customFormat="1" ht="12.75" x14ac:dyDescent="0.2"/>
    <row r="3552" s="197" customFormat="1" ht="12.75" x14ac:dyDescent="0.2"/>
    <row r="3553" s="197" customFormat="1" ht="12.75" x14ac:dyDescent="0.2"/>
    <row r="3554" s="197" customFormat="1" ht="12.75" x14ac:dyDescent="0.2"/>
    <row r="3555" s="197" customFormat="1" ht="12.75" x14ac:dyDescent="0.2"/>
    <row r="3556" s="197" customFormat="1" ht="12.75" x14ac:dyDescent="0.2"/>
    <row r="3557" s="197" customFormat="1" ht="12.75" x14ac:dyDescent="0.2"/>
    <row r="3558" s="197" customFormat="1" ht="12.75" x14ac:dyDescent="0.2"/>
    <row r="3559" s="197" customFormat="1" ht="12.75" x14ac:dyDescent="0.2"/>
    <row r="3560" s="197" customFormat="1" ht="12.75" x14ac:dyDescent="0.2"/>
    <row r="3561" s="197" customFormat="1" ht="12.75" x14ac:dyDescent="0.2"/>
    <row r="3562" s="197" customFormat="1" ht="12.75" x14ac:dyDescent="0.2"/>
    <row r="3563" s="197" customFormat="1" ht="12.75" x14ac:dyDescent="0.2"/>
    <row r="3564" s="197" customFormat="1" ht="12.75" x14ac:dyDescent="0.2"/>
    <row r="3565" s="197" customFormat="1" ht="12.75" x14ac:dyDescent="0.2"/>
    <row r="3566" s="197" customFormat="1" ht="12.75" x14ac:dyDescent="0.2"/>
    <row r="3567" s="197" customFormat="1" ht="12.75" x14ac:dyDescent="0.2"/>
    <row r="3568" s="197" customFormat="1" ht="12.75" x14ac:dyDescent="0.2"/>
    <row r="3569" s="197" customFormat="1" ht="12.75" x14ac:dyDescent="0.2"/>
    <row r="3570" s="197" customFormat="1" ht="12.75" x14ac:dyDescent="0.2"/>
    <row r="3571" s="197" customFormat="1" ht="12.75" x14ac:dyDescent="0.2"/>
    <row r="3572" s="197" customFormat="1" ht="12.75" x14ac:dyDescent="0.2"/>
    <row r="3573" s="197" customFormat="1" ht="12.75" x14ac:dyDescent="0.2"/>
    <row r="3574" s="197" customFormat="1" ht="12.75" x14ac:dyDescent="0.2"/>
    <row r="3575" s="197" customFormat="1" ht="12.75" x14ac:dyDescent="0.2"/>
    <row r="3576" s="197" customFormat="1" ht="12.75" x14ac:dyDescent="0.2"/>
    <row r="3577" s="197" customFormat="1" ht="12.75" x14ac:dyDescent="0.2"/>
    <row r="3578" s="197" customFormat="1" ht="12.75" x14ac:dyDescent="0.2"/>
    <row r="3579" s="197" customFormat="1" ht="12.75" x14ac:dyDescent="0.2"/>
    <row r="3580" s="197" customFormat="1" ht="12.75" x14ac:dyDescent="0.2"/>
    <row r="3581" s="197" customFormat="1" ht="12.75" x14ac:dyDescent="0.2"/>
    <row r="3582" s="197" customFormat="1" ht="12.75" x14ac:dyDescent="0.2"/>
    <row r="3583" s="197" customFormat="1" ht="12.75" x14ac:dyDescent="0.2"/>
    <row r="3584" s="197" customFormat="1" ht="12.75" x14ac:dyDescent="0.2"/>
    <row r="3585" s="197" customFormat="1" ht="12.75" x14ac:dyDescent="0.2"/>
    <row r="3586" s="197" customFormat="1" ht="12.75" x14ac:dyDescent="0.2"/>
    <row r="3587" s="197" customFormat="1" ht="12.75" x14ac:dyDescent="0.2"/>
    <row r="3588" s="197" customFormat="1" ht="12.75" x14ac:dyDescent="0.2"/>
    <row r="3589" s="197" customFormat="1" ht="12.75" x14ac:dyDescent="0.2"/>
    <row r="3590" s="197" customFormat="1" ht="12.75" x14ac:dyDescent="0.2"/>
    <row r="3591" s="197" customFormat="1" ht="12.75" x14ac:dyDescent="0.2"/>
    <row r="3592" s="197" customFormat="1" ht="12.75" x14ac:dyDescent="0.2"/>
    <row r="3593" s="197" customFormat="1" ht="12.75" x14ac:dyDescent="0.2"/>
    <row r="3594" s="197" customFormat="1" ht="12.75" x14ac:dyDescent="0.2"/>
    <row r="3595" s="197" customFormat="1" ht="12.75" x14ac:dyDescent="0.2"/>
    <row r="3596" s="197" customFormat="1" ht="12.75" x14ac:dyDescent="0.2"/>
    <row r="3597" s="197" customFormat="1" ht="12.75" x14ac:dyDescent="0.2"/>
    <row r="3598" s="197" customFormat="1" ht="12.75" x14ac:dyDescent="0.2"/>
    <row r="3599" s="197" customFormat="1" ht="12.75" x14ac:dyDescent="0.2"/>
    <row r="3600" s="197" customFormat="1" ht="12.75" x14ac:dyDescent="0.2"/>
    <row r="3601" s="197" customFormat="1" ht="12.75" x14ac:dyDescent="0.2"/>
    <row r="3602" s="197" customFormat="1" ht="12.75" x14ac:dyDescent="0.2"/>
    <row r="3603" s="197" customFormat="1" ht="12.75" x14ac:dyDescent="0.2"/>
    <row r="3604" s="197" customFormat="1" ht="12.75" x14ac:dyDescent="0.2"/>
    <row r="3605" s="197" customFormat="1" ht="12.75" x14ac:dyDescent="0.2"/>
    <row r="3606" s="197" customFormat="1" ht="12.75" x14ac:dyDescent="0.2"/>
    <row r="3607" s="197" customFormat="1" ht="12.75" x14ac:dyDescent="0.2"/>
    <row r="3608" s="197" customFormat="1" ht="12.75" x14ac:dyDescent="0.2"/>
    <row r="3609" s="197" customFormat="1" ht="12.75" x14ac:dyDescent="0.2"/>
    <row r="3610" s="197" customFormat="1" ht="12.75" x14ac:dyDescent="0.2"/>
    <row r="3611" s="197" customFormat="1" ht="12.75" x14ac:dyDescent="0.2"/>
    <row r="3612" s="197" customFormat="1" ht="12.75" x14ac:dyDescent="0.2"/>
    <row r="3613" s="197" customFormat="1" ht="12.75" x14ac:dyDescent="0.2"/>
    <row r="3614" s="197" customFormat="1" ht="12.75" x14ac:dyDescent="0.2"/>
    <row r="3615" s="197" customFormat="1" ht="12.75" x14ac:dyDescent="0.2"/>
    <row r="3616" s="197" customFormat="1" ht="12.75" x14ac:dyDescent="0.2"/>
    <row r="3617" s="197" customFormat="1" ht="12.75" x14ac:dyDescent="0.2"/>
    <row r="3618" s="197" customFormat="1" ht="12.75" x14ac:dyDescent="0.2"/>
    <row r="3619" s="197" customFormat="1" ht="12.75" x14ac:dyDescent="0.2"/>
    <row r="3620" s="197" customFormat="1" ht="12.75" x14ac:dyDescent="0.2"/>
    <row r="3621" s="197" customFormat="1" ht="12.75" x14ac:dyDescent="0.2"/>
    <row r="3622" s="197" customFormat="1" ht="12.75" x14ac:dyDescent="0.2"/>
    <row r="3623" s="197" customFormat="1" ht="12.75" x14ac:dyDescent="0.2"/>
    <row r="3624" s="197" customFormat="1" ht="12.75" x14ac:dyDescent="0.2"/>
    <row r="3625" s="197" customFormat="1" ht="12.75" x14ac:dyDescent="0.2"/>
    <row r="3626" s="197" customFormat="1" ht="12.75" x14ac:dyDescent="0.2"/>
    <row r="3627" s="197" customFormat="1" ht="12.75" x14ac:dyDescent="0.2"/>
    <row r="3628" s="197" customFormat="1" ht="12.75" x14ac:dyDescent="0.2"/>
    <row r="3629" s="197" customFormat="1" ht="12.75" x14ac:dyDescent="0.2"/>
    <row r="3630" s="197" customFormat="1" ht="12.75" x14ac:dyDescent="0.2"/>
    <row r="3631" s="197" customFormat="1" ht="12.75" x14ac:dyDescent="0.2"/>
    <row r="3632" s="197" customFormat="1" ht="12.75" x14ac:dyDescent="0.2"/>
    <row r="3633" s="197" customFormat="1" ht="12.75" x14ac:dyDescent="0.2"/>
    <row r="3634" s="197" customFormat="1" ht="12.75" x14ac:dyDescent="0.2"/>
    <row r="3635" s="197" customFormat="1" ht="12.75" x14ac:dyDescent="0.2"/>
    <row r="3636" s="197" customFormat="1" ht="12.75" x14ac:dyDescent="0.2"/>
    <row r="3637" s="197" customFormat="1" ht="12.75" x14ac:dyDescent="0.2"/>
    <row r="3638" s="197" customFormat="1" ht="12.75" x14ac:dyDescent="0.2"/>
    <row r="3639" s="197" customFormat="1" ht="12.75" x14ac:dyDescent="0.2"/>
    <row r="3640" s="197" customFormat="1" ht="12.75" x14ac:dyDescent="0.2"/>
    <row r="3641" s="197" customFormat="1" ht="12.75" x14ac:dyDescent="0.2"/>
    <row r="3642" s="197" customFormat="1" ht="12.75" x14ac:dyDescent="0.2"/>
    <row r="3643" s="197" customFormat="1" ht="12.75" x14ac:dyDescent="0.2"/>
    <row r="3644" s="197" customFormat="1" ht="12.75" x14ac:dyDescent="0.2"/>
    <row r="3645" s="197" customFormat="1" ht="12.75" x14ac:dyDescent="0.2"/>
    <row r="3646" s="197" customFormat="1" ht="12.75" x14ac:dyDescent="0.2"/>
    <row r="3647" s="197" customFormat="1" ht="12.75" x14ac:dyDescent="0.2"/>
    <row r="3648" s="197" customFormat="1" ht="12.75" x14ac:dyDescent="0.2"/>
    <row r="3649" s="197" customFormat="1" ht="12.75" x14ac:dyDescent="0.2"/>
    <row r="3650" s="197" customFormat="1" ht="12.75" x14ac:dyDescent="0.2"/>
    <row r="3651" s="197" customFormat="1" ht="12.75" x14ac:dyDescent="0.2"/>
    <row r="3652" s="197" customFormat="1" ht="12.75" x14ac:dyDescent="0.2"/>
    <row r="3653" s="197" customFormat="1" ht="12.75" x14ac:dyDescent="0.2"/>
    <row r="3654" s="197" customFormat="1" ht="12.75" x14ac:dyDescent="0.2"/>
    <row r="3655" s="197" customFormat="1" ht="12.75" x14ac:dyDescent="0.2"/>
    <row r="3656" s="197" customFormat="1" ht="12.75" x14ac:dyDescent="0.2"/>
    <row r="3657" s="197" customFormat="1" ht="12.75" x14ac:dyDescent="0.2"/>
    <row r="3658" s="197" customFormat="1" ht="12.75" x14ac:dyDescent="0.2"/>
    <row r="3659" s="197" customFormat="1" ht="12.75" x14ac:dyDescent="0.2"/>
    <row r="3660" s="197" customFormat="1" ht="12.75" x14ac:dyDescent="0.2"/>
    <row r="3661" s="197" customFormat="1" ht="12.75" x14ac:dyDescent="0.2"/>
    <row r="3662" s="197" customFormat="1" ht="12.75" x14ac:dyDescent="0.2"/>
    <row r="3663" s="197" customFormat="1" ht="12.75" x14ac:dyDescent="0.2"/>
    <row r="3664" s="197" customFormat="1" ht="12.75" x14ac:dyDescent="0.2"/>
    <row r="3665" s="197" customFormat="1" ht="12.75" x14ac:dyDescent="0.2"/>
    <row r="3666" s="197" customFormat="1" ht="12.75" x14ac:dyDescent="0.2"/>
    <row r="3667" s="197" customFormat="1" ht="12.75" x14ac:dyDescent="0.2"/>
    <row r="3668" s="197" customFormat="1" ht="12.75" x14ac:dyDescent="0.2"/>
    <row r="3669" s="197" customFormat="1" ht="12.75" x14ac:dyDescent="0.2"/>
    <row r="3670" s="197" customFormat="1" ht="12.75" x14ac:dyDescent="0.2"/>
    <row r="3671" s="197" customFormat="1" ht="12.75" x14ac:dyDescent="0.2"/>
    <row r="3672" s="197" customFormat="1" ht="12.75" x14ac:dyDescent="0.2"/>
    <row r="3673" s="197" customFormat="1" ht="12.75" x14ac:dyDescent="0.2"/>
    <row r="3674" s="197" customFormat="1" ht="12.75" x14ac:dyDescent="0.2"/>
    <row r="3675" s="197" customFormat="1" ht="12.75" x14ac:dyDescent="0.2"/>
    <row r="3676" s="197" customFormat="1" ht="12.75" x14ac:dyDescent="0.2"/>
    <row r="3677" s="197" customFormat="1" ht="12.75" x14ac:dyDescent="0.2"/>
    <row r="3678" s="197" customFormat="1" ht="12.75" x14ac:dyDescent="0.2"/>
    <row r="3679" s="197" customFormat="1" ht="12.75" x14ac:dyDescent="0.2"/>
    <row r="3680" s="197" customFormat="1" ht="12.75" x14ac:dyDescent="0.2"/>
    <row r="3681" s="197" customFormat="1" ht="12.75" x14ac:dyDescent="0.2"/>
    <row r="3682" s="197" customFormat="1" ht="12.75" x14ac:dyDescent="0.2"/>
    <row r="3683" s="197" customFormat="1" ht="12.75" x14ac:dyDescent="0.2"/>
    <row r="3684" s="197" customFormat="1" ht="12.75" x14ac:dyDescent="0.2"/>
    <row r="3685" s="197" customFormat="1" ht="12.75" x14ac:dyDescent="0.2"/>
    <row r="3686" s="197" customFormat="1" ht="12.75" x14ac:dyDescent="0.2"/>
    <row r="3687" s="197" customFormat="1" ht="12.75" x14ac:dyDescent="0.2"/>
    <row r="3688" s="197" customFormat="1" ht="12.75" x14ac:dyDescent="0.2"/>
    <row r="3689" s="197" customFormat="1" ht="12.75" x14ac:dyDescent="0.2"/>
    <row r="3690" s="197" customFormat="1" ht="12.75" x14ac:dyDescent="0.2"/>
    <row r="3691" s="197" customFormat="1" ht="12.75" x14ac:dyDescent="0.2"/>
    <row r="3692" s="197" customFormat="1" ht="12.75" x14ac:dyDescent="0.2"/>
    <row r="3693" s="197" customFormat="1" ht="12.75" x14ac:dyDescent="0.2"/>
    <row r="3694" s="197" customFormat="1" ht="12.75" x14ac:dyDescent="0.2"/>
    <row r="3695" s="197" customFormat="1" ht="12.75" x14ac:dyDescent="0.2"/>
    <row r="3696" s="197" customFormat="1" ht="12.75" x14ac:dyDescent="0.2"/>
    <row r="3697" s="197" customFormat="1" ht="12.75" x14ac:dyDescent="0.2"/>
    <row r="3698" s="197" customFormat="1" ht="12.75" x14ac:dyDescent="0.2"/>
    <row r="3699" s="197" customFormat="1" ht="12.75" x14ac:dyDescent="0.2"/>
    <row r="3700" s="197" customFormat="1" ht="12.75" x14ac:dyDescent="0.2"/>
    <row r="3701" s="197" customFormat="1" ht="12.75" x14ac:dyDescent="0.2"/>
    <row r="3702" s="197" customFormat="1" ht="12.75" x14ac:dyDescent="0.2"/>
    <row r="3703" s="197" customFormat="1" ht="12.75" x14ac:dyDescent="0.2"/>
    <row r="3704" s="197" customFormat="1" ht="12.75" x14ac:dyDescent="0.2"/>
    <row r="3705" s="197" customFormat="1" ht="12.75" x14ac:dyDescent="0.2"/>
    <row r="3706" s="197" customFormat="1" ht="12.75" x14ac:dyDescent="0.2"/>
    <row r="3707" s="197" customFormat="1" ht="12.75" x14ac:dyDescent="0.2"/>
    <row r="3708" s="197" customFormat="1" ht="12.75" x14ac:dyDescent="0.2"/>
    <row r="3709" s="197" customFormat="1" ht="12.75" x14ac:dyDescent="0.2"/>
    <row r="3710" s="197" customFormat="1" ht="12.75" x14ac:dyDescent="0.2"/>
    <row r="3711" s="197" customFormat="1" ht="12.75" x14ac:dyDescent="0.2"/>
    <row r="3712" s="197" customFormat="1" ht="12.75" x14ac:dyDescent="0.2"/>
    <row r="3713" s="197" customFormat="1" ht="12.75" x14ac:dyDescent="0.2"/>
    <row r="3714" s="197" customFormat="1" ht="12.75" x14ac:dyDescent="0.2"/>
    <row r="3715" s="197" customFormat="1" ht="12.75" x14ac:dyDescent="0.2"/>
    <row r="3716" s="197" customFormat="1" ht="12.75" x14ac:dyDescent="0.2"/>
    <row r="3717" s="197" customFormat="1" ht="12.75" x14ac:dyDescent="0.2"/>
    <row r="3718" s="197" customFormat="1" ht="12.75" x14ac:dyDescent="0.2"/>
    <row r="3719" s="197" customFormat="1" ht="12.75" x14ac:dyDescent="0.2"/>
    <row r="3720" s="197" customFormat="1" ht="12.75" x14ac:dyDescent="0.2"/>
    <row r="3721" s="197" customFormat="1" ht="12.75" x14ac:dyDescent="0.2"/>
    <row r="3722" s="197" customFormat="1" ht="12.75" x14ac:dyDescent="0.2"/>
    <row r="3723" s="197" customFormat="1" ht="12.75" x14ac:dyDescent="0.2"/>
    <row r="3724" s="197" customFormat="1" ht="12.75" x14ac:dyDescent="0.2"/>
    <row r="3725" s="197" customFormat="1" ht="12.75" x14ac:dyDescent="0.2"/>
    <row r="3726" s="197" customFormat="1" ht="12.75" x14ac:dyDescent="0.2"/>
    <row r="3727" s="197" customFormat="1" ht="12.75" x14ac:dyDescent="0.2"/>
    <row r="3728" s="197" customFormat="1" ht="12.75" x14ac:dyDescent="0.2"/>
    <row r="3729" s="197" customFormat="1" ht="12.75" x14ac:dyDescent="0.2"/>
    <row r="3730" s="197" customFormat="1" ht="12.75" x14ac:dyDescent="0.2"/>
    <row r="3731" s="197" customFormat="1" ht="12.75" x14ac:dyDescent="0.2"/>
    <row r="3732" s="197" customFormat="1" ht="12.75" x14ac:dyDescent="0.2"/>
    <row r="3733" s="197" customFormat="1" ht="12.75" x14ac:dyDescent="0.2"/>
    <row r="3734" s="197" customFormat="1" ht="12.75" x14ac:dyDescent="0.2"/>
    <row r="3735" s="197" customFormat="1" ht="12.75" x14ac:dyDescent="0.2"/>
    <row r="3736" s="197" customFormat="1" ht="12.75" x14ac:dyDescent="0.2"/>
    <row r="3737" s="197" customFormat="1" ht="12.75" x14ac:dyDescent="0.2"/>
    <row r="3738" s="197" customFormat="1" ht="12.75" x14ac:dyDescent="0.2"/>
    <row r="3739" s="197" customFormat="1" ht="12.75" x14ac:dyDescent="0.2"/>
    <row r="3740" s="197" customFormat="1" ht="12.75" x14ac:dyDescent="0.2"/>
    <row r="3741" s="197" customFormat="1" ht="12.75" x14ac:dyDescent="0.2"/>
    <row r="3742" s="197" customFormat="1" ht="12.75" x14ac:dyDescent="0.2"/>
    <row r="3743" s="197" customFormat="1" ht="12.75" x14ac:dyDescent="0.2"/>
    <row r="3744" s="197" customFormat="1" ht="12.75" x14ac:dyDescent="0.2"/>
    <row r="3745" s="197" customFormat="1" ht="12.75" x14ac:dyDescent="0.2"/>
    <row r="3746" s="197" customFormat="1" ht="12.75" x14ac:dyDescent="0.2"/>
    <row r="3747" s="197" customFormat="1" ht="12.75" x14ac:dyDescent="0.2"/>
    <row r="3748" s="197" customFormat="1" ht="12.75" x14ac:dyDescent="0.2"/>
    <row r="3749" s="197" customFormat="1" ht="12.75" x14ac:dyDescent="0.2"/>
    <row r="3750" s="197" customFormat="1" ht="12.75" x14ac:dyDescent="0.2"/>
    <row r="3751" s="197" customFormat="1" ht="12.75" x14ac:dyDescent="0.2"/>
    <row r="3752" s="197" customFormat="1" ht="12.75" x14ac:dyDescent="0.2"/>
    <row r="3753" s="197" customFormat="1" ht="12.75" x14ac:dyDescent="0.2"/>
    <row r="3754" s="197" customFormat="1" ht="12.75" x14ac:dyDescent="0.2"/>
    <row r="3755" s="197" customFormat="1" ht="12.75" x14ac:dyDescent="0.2"/>
    <row r="3756" s="197" customFormat="1" ht="12.75" x14ac:dyDescent="0.2"/>
    <row r="3757" s="197" customFormat="1" ht="12.75" x14ac:dyDescent="0.2"/>
    <row r="3758" s="197" customFormat="1" ht="12.75" x14ac:dyDescent="0.2"/>
    <row r="3759" s="197" customFormat="1" ht="12.75" x14ac:dyDescent="0.2"/>
    <row r="3760" s="197" customFormat="1" ht="12.75" x14ac:dyDescent="0.2"/>
    <row r="3761" s="197" customFormat="1" ht="12.75" x14ac:dyDescent="0.2"/>
    <row r="3762" s="197" customFormat="1" ht="12.75" x14ac:dyDescent="0.2"/>
    <row r="3763" s="197" customFormat="1" ht="12.75" x14ac:dyDescent="0.2"/>
    <row r="3764" s="197" customFormat="1" ht="12.75" x14ac:dyDescent="0.2"/>
    <row r="3765" s="197" customFormat="1" ht="12.75" x14ac:dyDescent="0.2"/>
    <row r="3766" s="197" customFormat="1" ht="12.75" x14ac:dyDescent="0.2"/>
    <row r="3767" s="197" customFormat="1" ht="12.75" x14ac:dyDescent="0.2"/>
    <row r="3768" s="197" customFormat="1" ht="12.75" x14ac:dyDescent="0.2"/>
    <row r="3769" s="197" customFormat="1" ht="12.75" x14ac:dyDescent="0.2"/>
    <row r="3770" s="197" customFormat="1" ht="12.75" x14ac:dyDescent="0.2"/>
    <row r="3771" s="197" customFormat="1" ht="12.75" x14ac:dyDescent="0.2"/>
    <row r="3772" s="197" customFormat="1" ht="12.75" x14ac:dyDescent="0.2"/>
    <row r="3773" s="197" customFormat="1" ht="12.75" x14ac:dyDescent="0.2"/>
    <row r="3774" s="197" customFormat="1" ht="12.75" x14ac:dyDescent="0.2"/>
    <row r="3775" s="197" customFormat="1" ht="12.75" x14ac:dyDescent="0.2"/>
    <row r="3776" s="197" customFormat="1" ht="12.75" x14ac:dyDescent="0.2"/>
    <row r="3777" s="197" customFormat="1" ht="12.75" x14ac:dyDescent="0.2"/>
    <row r="3778" s="197" customFormat="1" ht="12.75" x14ac:dyDescent="0.2"/>
    <row r="3779" s="197" customFormat="1" ht="12.75" x14ac:dyDescent="0.2"/>
    <row r="3780" s="197" customFormat="1" ht="12.75" x14ac:dyDescent="0.2"/>
    <row r="3781" s="197" customFormat="1" ht="12.75" x14ac:dyDescent="0.2"/>
    <row r="3782" s="197" customFormat="1" ht="12.75" x14ac:dyDescent="0.2"/>
    <row r="3783" s="197" customFormat="1" ht="12.75" x14ac:dyDescent="0.2"/>
    <row r="3784" s="197" customFormat="1" ht="12.75" x14ac:dyDescent="0.2"/>
    <row r="3785" s="197" customFormat="1" ht="12.75" x14ac:dyDescent="0.2"/>
    <row r="3786" s="197" customFormat="1" ht="12.75" x14ac:dyDescent="0.2"/>
    <row r="3787" s="197" customFormat="1" ht="12.75" x14ac:dyDescent="0.2"/>
    <row r="3788" s="197" customFormat="1" ht="12.75" x14ac:dyDescent="0.2"/>
    <row r="3789" s="197" customFormat="1" ht="12.75" x14ac:dyDescent="0.2"/>
    <row r="3790" s="197" customFormat="1" ht="12.75" x14ac:dyDescent="0.2"/>
    <row r="3791" s="197" customFormat="1" ht="12.75" x14ac:dyDescent="0.2"/>
    <row r="3792" s="197" customFormat="1" ht="12.75" x14ac:dyDescent="0.2"/>
    <row r="3793" s="197" customFormat="1" ht="12.75" x14ac:dyDescent="0.2"/>
    <row r="3794" s="197" customFormat="1" ht="12.75" x14ac:dyDescent="0.2"/>
    <row r="3795" s="197" customFormat="1" ht="12.75" x14ac:dyDescent="0.2"/>
    <row r="3796" s="197" customFormat="1" ht="12.75" x14ac:dyDescent="0.2"/>
    <row r="3797" s="197" customFormat="1" ht="12.75" x14ac:dyDescent="0.2"/>
    <row r="3798" s="197" customFormat="1" ht="12.75" x14ac:dyDescent="0.2"/>
    <row r="3799" s="197" customFormat="1" ht="12.75" x14ac:dyDescent="0.2"/>
    <row r="3800" s="197" customFormat="1" ht="12.75" x14ac:dyDescent="0.2"/>
    <row r="3801" s="197" customFormat="1" ht="12.75" x14ac:dyDescent="0.2"/>
    <row r="3802" s="197" customFormat="1" ht="12.75" x14ac:dyDescent="0.2"/>
    <row r="3803" s="197" customFormat="1" ht="12.75" x14ac:dyDescent="0.2"/>
    <row r="3804" s="197" customFormat="1" ht="12.75" x14ac:dyDescent="0.2"/>
    <row r="3805" s="197" customFormat="1" ht="12.75" x14ac:dyDescent="0.2"/>
    <row r="3806" s="197" customFormat="1" ht="12.75" x14ac:dyDescent="0.2"/>
    <row r="3807" s="197" customFormat="1" ht="12.75" x14ac:dyDescent="0.2"/>
    <row r="3808" s="197" customFormat="1" ht="12.75" x14ac:dyDescent="0.2"/>
    <row r="3809" s="197" customFormat="1" ht="12.75" x14ac:dyDescent="0.2"/>
    <row r="3810" s="197" customFormat="1" ht="12.75" x14ac:dyDescent="0.2"/>
    <row r="3811" s="197" customFormat="1" ht="12.75" x14ac:dyDescent="0.2"/>
    <row r="3812" s="197" customFormat="1" ht="12.75" x14ac:dyDescent="0.2"/>
    <row r="3813" s="197" customFormat="1" ht="12.75" x14ac:dyDescent="0.2"/>
    <row r="3814" s="197" customFormat="1" ht="12.75" x14ac:dyDescent="0.2"/>
    <row r="3815" s="197" customFormat="1" ht="12.75" x14ac:dyDescent="0.2"/>
    <row r="3816" s="197" customFormat="1" ht="12.75" x14ac:dyDescent="0.2"/>
    <row r="3817" s="197" customFormat="1" ht="12.75" x14ac:dyDescent="0.2"/>
    <row r="3818" s="197" customFormat="1" ht="12.75" x14ac:dyDescent="0.2"/>
    <row r="3819" s="197" customFormat="1" ht="12.75" x14ac:dyDescent="0.2"/>
    <row r="3820" s="197" customFormat="1" ht="12.75" x14ac:dyDescent="0.2"/>
    <row r="3821" s="197" customFormat="1" ht="12.75" x14ac:dyDescent="0.2"/>
    <row r="3822" s="197" customFormat="1" ht="12.75" x14ac:dyDescent="0.2"/>
    <row r="3823" s="197" customFormat="1" ht="12.75" x14ac:dyDescent="0.2"/>
    <row r="3824" s="197" customFormat="1" ht="12.75" x14ac:dyDescent="0.2"/>
    <row r="3825" s="197" customFormat="1" ht="12.75" x14ac:dyDescent="0.2"/>
    <row r="3826" s="197" customFormat="1" ht="12.75" x14ac:dyDescent="0.2"/>
    <row r="3827" s="197" customFormat="1" ht="12.75" x14ac:dyDescent="0.2"/>
    <row r="3828" s="197" customFormat="1" ht="12.75" x14ac:dyDescent="0.2"/>
    <row r="3829" s="197" customFormat="1" ht="12.75" x14ac:dyDescent="0.2"/>
    <row r="3830" s="197" customFormat="1" ht="12.75" x14ac:dyDescent="0.2"/>
    <row r="3831" s="197" customFormat="1" ht="12.75" x14ac:dyDescent="0.2"/>
    <row r="3832" s="197" customFormat="1" ht="12.75" x14ac:dyDescent="0.2"/>
    <row r="3833" s="197" customFormat="1" ht="12.75" x14ac:dyDescent="0.2"/>
    <row r="3834" s="197" customFormat="1" ht="12.75" x14ac:dyDescent="0.2"/>
    <row r="3835" s="197" customFormat="1" ht="12.75" x14ac:dyDescent="0.2"/>
    <row r="3836" s="197" customFormat="1" ht="12.75" x14ac:dyDescent="0.2"/>
    <row r="3837" s="197" customFormat="1" ht="12.75" x14ac:dyDescent="0.2"/>
    <row r="3838" s="197" customFormat="1" ht="12.75" x14ac:dyDescent="0.2"/>
    <row r="3839" s="197" customFormat="1" ht="12.75" x14ac:dyDescent="0.2"/>
    <row r="3840" s="197" customFormat="1" ht="12.75" x14ac:dyDescent="0.2"/>
    <row r="3841" s="197" customFormat="1" ht="12.75" x14ac:dyDescent="0.2"/>
    <row r="3842" s="197" customFormat="1" ht="12.75" x14ac:dyDescent="0.2"/>
    <row r="3843" s="197" customFormat="1" ht="12.75" x14ac:dyDescent="0.2"/>
    <row r="3844" s="197" customFormat="1" ht="12.75" x14ac:dyDescent="0.2"/>
    <row r="3845" s="197" customFormat="1" ht="12.75" x14ac:dyDescent="0.2"/>
    <row r="3846" s="197" customFormat="1" ht="12.75" x14ac:dyDescent="0.2"/>
    <row r="3847" s="197" customFormat="1" ht="12.75" x14ac:dyDescent="0.2"/>
    <row r="3848" s="197" customFormat="1" ht="12.75" x14ac:dyDescent="0.2"/>
    <row r="3849" s="197" customFormat="1" ht="12.75" x14ac:dyDescent="0.2"/>
    <row r="3850" s="197" customFormat="1" ht="12.75" x14ac:dyDescent="0.2"/>
    <row r="3851" s="197" customFormat="1" ht="12.75" x14ac:dyDescent="0.2"/>
    <row r="3852" s="197" customFormat="1" ht="12.75" x14ac:dyDescent="0.2"/>
    <row r="3853" s="197" customFormat="1" ht="12.75" x14ac:dyDescent="0.2"/>
    <row r="3854" s="197" customFormat="1" ht="12.75" x14ac:dyDescent="0.2"/>
    <row r="3855" s="197" customFormat="1" ht="12.75" x14ac:dyDescent="0.2"/>
    <row r="3856" s="197" customFormat="1" ht="12.75" x14ac:dyDescent="0.2"/>
    <row r="3857" s="197" customFormat="1" ht="12.75" x14ac:dyDescent="0.2"/>
    <row r="3858" s="197" customFormat="1" ht="12.75" x14ac:dyDescent="0.2"/>
    <row r="3859" s="197" customFormat="1" ht="12.75" x14ac:dyDescent="0.2"/>
    <row r="3860" s="197" customFormat="1" ht="12.75" x14ac:dyDescent="0.2"/>
    <row r="3861" s="197" customFormat="1" ht="12.75" x14ac:dyDescent="0.2"/>
    <row r="3862" s="197" customFormat="1" ht="12.75" x14ac:dyDescent="0.2"/>
    <row r="3863" s="197" customFormat="1" ht="12.75" x14ac:dyDescent="0.2"/>
    <row r="3864" s="197" customFormat="1" ht="12.75" x14ac:dyDescent="0.2"/>
    <row r="3865" s="197" customFormat="1" ht="12.75" x14ac:dyDescent="0.2"/>
    <row r="3866" s="197" customFormat="1" ht="12.75" x14ac:dyDescent="0.2"/>
    <row r="3867" s="197" customFormat="1" ht="12.75" x14ac:dyDescent="0.2"/>
    <row r="3868" s="197" customFormat="1" ht="12.75" x14ac:dyDescent="0.2"/>
    <row r="3869" s="197" customFormat="1" ht="12.75" x14ac:dyDescent="0.2"/>
    <row r="3870" s="197" customFormat="1" ht="12.75" x14ac:dyDescent="0.2"/>
    <row r="3871" s="197" customFormat="1" ht="12.75" x14ac:dyDescent="0.2"/>
    <row r="3872" s="197" customFormat="1" ht="12.75" x14ac:dyDescent="0.2"/>
    <row r="3873" s="197" customFormat="1" ht="12.75" x14ac:dyDescent="0.2"/>
    <row r="3874" s="197" customFormat="1" ht="12.75" x14ac:dyDescent="0.2"/>
    <row r="3875" s="197" customFormat="1" ht="12.75" x14ac:dyDescent="0.2"/>
    <row r="3876" s="197" customFormat="1" ht="12.75" x14ac:dyDescent="0.2"/>
    <row r="3877" s="197" customFormat="1" ht="12.75" x14ac:dyDescent="0.2"/>
    <row r="3878" s="197" customFormat="1" ht="12.75" x14ac:dyDescent="0.2"/>
    <row r="3879" s="197" customFormat="1" ht="12.75" x14ac:dyDescent="0.2"/>
    <row r="3880" s="197" customFormat="1" ht="12.75" x14ac:dyDescent="0.2"/>
    <row r="3881" s="197" customFormat="1" ht="12.75" x14ac:dyDescent="0.2"/>
    <row r="3882" s="197" customFormat="1" ht="12.75" x14ac:dyDescent="0.2"/>
    <row r="3883" s="197" customFormat="1" ht="12.75" x14ac:dyDescent="0.2"/>
    <row r="3884" s="197" customFormat="1" ht="12.75" x14ac:dyDescent="0.2"/>
    <row r="3885" s="197" customFormat="1" ht="12.75" x14ac:dyDescent="0.2"/>
    <row r="3886" s="197" customFormat="1" ht="12.75" x14ac:dyDescent="0.2"/>
    <row r="3887" s="197" customFormat="1" ht="12.75" x14ac:dyDescent="0.2"/>
    <row r="3888" s="197" customFormat="1" ht="12.75" x14ac:dyDescent="0.2"/>
    <row r="3889" s="197" customFormat="1" ht="12.75" x14ac:dyDescent="0.2"/>
    <row r="3890" s="197" customFormat="1" ht="12.75" x14ac:dyDescent="0.2"/>
    <row r="3891" s="197" customFormat="1" ht="12.75" x14ac:dyDescent="0.2"/>
    <row r="3892" s="197" customFormat="1" ht="12.75" x14ac:dyDescent="0.2"/>
    <row r="3893" s="197" customFormat="1" ht="12.75" x14ac:dyDescent="0.2"/>
    <row r="3894" s="197" customFormat="1" ht="12.75" x14ac:dyDescent="0.2"/>
    <row r="3895" s="197" customFormat="1" ht="12.75" x14ac:dyDescent="0.2"/>
    <row r="3896" s="197" customFormat="1" ht="12.75" x14ac:dyDescent="0.2"/>
    <row r="3897" s="197" customFormat="1" ht="12.75" x14ac:dyDescent="0.2"/>
    <row r="3898" s="197" customFormat="1" ht="12.75" x14ac:dyDescent="0.2"/>
    <row r="3899" s="197" customFormat="1" ht="12.75" x14ac:dyDescent="0.2"/>
    <row r="3900" s="197" customFormat="1" ht="12.75" x14ac:dyDescent="0.2"/>
    <row r="3901" s="197" customFormat="1" ht="12.75" x14ac:dyDescent="0.2"/>
    <row r="3902" s="197" customFormat="1" ht="12.75" x14ac:dyDescent="0.2"/>
    <row r="3903" s="197" customFormat="1" ht="12.75" x14ac:dyDescent="0.2"/>
    <row r="3904" s="197" customFormat="1" ht="12.75" x14ac:dyDescent="0.2"/>
    <row r="3905" s="197" customFormat="1" ht="12.75" x14ac:dyDescent="0.2"/>
    <row r="3906" s="197" customFormat="1" ht="12.75" x14ac:dyDescent="0.2"/>
    <row r="3907" s="197" customFormat="1" ht="12.75" x14ac:dyDescent="0.2"/>
    <row r="3908" s="197" customFormat="1" ht="12.75" x14ac:dyDescent="0.2"/>
    <row r="3909" s="197" customFormat="1" ht="12.75" x14ac:dyDescent="0.2"/>
    <row r="3910" s="197" customFormat="1" ht="12.75" x14ac:dyDescent="0.2"/>
    <row r="3911" s="197" customFormat="1" ht="12.75" x14ac:dyDescent="0.2"/>
    <row r="3912" s="197" customFormat="1" ht="12.75" x14ac:dyDescent="0.2"/>
    <row r="3913" s="197" customFormat="1" ht="12.75" x14ac:dyDescent="0.2"/>
    <row r="3914" s="197" customFormat="1" ht="12.75" x14ac:dyDescent="0.2"/>
    <row r="3915" s="197" customFormat="1" ht="12.75" x14ac:dyDescent="0.2"/>
    <row r="3916" s="197" customFormat="1" ht="12.75" x14ac:dyDescent="0.2"/>
    <row r="3917" s="197" customFormat="1" ht="12.75" x14ac:dyDescent="0.2"/>
    <row r="3918" s="197" customFormat="1" ht="12.75" x14ac:dyDescent="0.2"/>
    <row r="3919" s="197" customFormat="1" ht="12.75" x14ac:dyDescent="0.2"/>
    <row r="3920" s="197" customFormat="1" ht="12.75" x14ac:dyDescent="0.2"/>
    <row r="3921" s="197" customFormat="1" ht="12.75" x14ac:dyDescent="0.2"/>
    <row r="3922" s="197" customFormat="1" ht="12.75" x14ac:dyDescent="0.2"/>
    <row r="3923" s="197" customFormat="1" ht="12.75" x14ac:dyDescent="0.2"/>
    <row r="3924" s="197" customFormat="1" ht="12.75" x14ac:dyDescent="0.2"/>
    <row r="3925" s="197" customFormat="1" ht="12.75" x14ac:dyDescent="0.2"/>
    <row r="3926" s="197" customFormat="1" ht="12.75" x14ac:dyDescent="0.2"/>
    <row r="3927" s="197" customFormat="1" ht="12.75" x14ac:dyDescent="0.2"/>
    <row r="3928" s="197" customFormat="1" ht="12.75" x14ac:dyDescent="0.2"/>
    <row r="3929" s="197" customFormat="1" ht="12.75" x14ac:dyDescent="0.2"/>
    <row r="3930" s="197" customFormat="1" ht="12.75" x14ac:dyDescent="0.2"/>
    <row r="3931" s="197" customFormat="1" ht="12.75" x14ac:dyDescent="0.2"/>
    <row r="3932" s="197" customFormat="1" ht="12.75" x14ac:dyDescent="0.2"/>
    <row r="3933" s="197" customFormat="1" ht="12.75" x14ac:dyDescent="0.2"/>
    <row r="3934" s="197" customFormat="1" ht="12.75" x14ac:dyDescent="0.2"/>
    <row r="3935" s="197" customFormat="1" ht="12.75" x14ac:dyDescent="0.2"/>
    <row r="3936" s="197" customFormat="1" ht="12.75" x14ac:dyDescent="0.2"/>
    <row r="3937" s="197" customFormat="1" ht="12.75" x14ac:dyDescent="0.2"/>
    <row r="3938" s="197" customFormat="1" ht="12.75" x14ac:dyDescent="0.2"/>
    <row r="3939" s="197" customFormat="1" ht="12.75" x14ac:dyDescent="0.2"/>
    <row r="3940" s="197" customFormat="1" ht="12.75" x14ac:dyDescent="0.2"/>
    <row r="3941" s="197" customFormat="1" ht="12.75" x14ac:dyDescent="0.2"/>
    <row r="3942" s="197" customFormat="1" ht="12.75" x14ac:dyDescent="0.2"/>
    <row r="3943" s="197" customFormat="1" ht="12.75" x14ac:dyDescent="0.2"/>
    <row r="3944" s="197" customFormat="1" ht="12.75" x14ac:dyDescent="0.2"/>
    <row r="3945" s="197" customFormat="1" ht="12.75" x14ac:dyDescent="0.2"/>
    <row r="3946" s="197" customFormat="1" ht="12.75" x14ac:dyDescent="0.2"/>
    <row r="3947" s="197" customFormat="1" ht="12.75" x14ac:dyDescent="0.2"/>
    <row r="3948" s="197" customFormat="1" ht="12.75" x14ac:dyDescent="0.2"/>
    <row r="3949" s="197" customFormat="1" ht="12.75" x14ac:dyDescent="0.2"/>
    <row r="3950" s="197" customFormat="1" ht="12.75" x14ac:dyDescent="0.2"/>
    <row r="3951" s="197" customFormat="1" ht="12.75" x14ac:dyDescent="0.2"/>
    <row r="3952" s="197" customFormat="1" ht="12.75" x14ac:dyDescent="0.2"/>
    <row r="3953" s="197" customFormat="1" ht="12.75" x14ac:dyDescent="0.2"/>
    <row r="3954" s="197" customFormat="1" ht="12.75" x14ac:dyDescent="0.2"/>
    <row r="3955" s="197" customFormat="1" ht="12.75" x14ac:dyDescent="0.2"/>
    <row r="3956" s="197" customFormat="1" ht="12.75" x14ac:dyDescent="0.2"/>
    <row r="3957" s="197" customFormat="1" ht="12.75" x14ac:dyDescent="0.2"/>
    <row r="3958" s="197" customFormat="1" ht="12.75" x14ac:dyDescent="0.2"/>
    <row r="3959" s="197" customFormat="1" ht="12.75" x14ac:dyDescent="0.2"/>
    <row r="3960" s="197" customFormat="1" ht="12.75" x14ac:dyDescent="0.2"/>
    <row r="3961" s="197" customFormat="1" ht="12.75" x14ac:dyDescent="0.2"/>
    <row r="3962" s="197" customFormat="1" ht="12.75" x14ac:dyDescent="0.2"/>
    <row r="3963" s="197" customFormat="1" ht="12.75" x14ac:dyDescent="0.2"/>
    <row r="3964" s="197" customFormat="1" ht="12.75" x14ac:dyDescent="0.2"/>
    <row r="3965" s="197" customFormat="1" ht="12.75" x14ac:dyDescent="0.2"/>
    <row r="3966" s="197" customFormat="1" ht="12.75" x14ac:dyDescent="0.2"/>
    <row r="3967" s="197" customFormat="1" ht="12.75" x14ac:dyDescent="0.2"/>
    <row r="3968" s="197" customFormat="1" ht="12.75" x14ac:dyDescent="0.2"/>
    <row r="3969" s="197" customFormat="1" ht="12.75" x14ac:dyDescent="0.2"/>
    <row r="3970" s="197" customFormat="1" ht="12.75" x14ac:dyDescent="0.2"/>
    <row r="3971" s="197" customFormat="1" ht="12.75" x14ac:dyDescent="0.2"/>
    <row r="3972" s="197" customFormat="1" ht="12.75" x14ac:dyDescent="0.2"/>
    <row r="3973" s="197" customFormat="1" ht="12.75" x14ac:dyDescent="0.2"/>
    <row r="3974" s="197" customFormat="1" ht="12.75" x14ac:dyDescent="0.2"/>
    <row r="3975" s="197" customFormat="1" ht="12.75" x14ac:dyDescent="0.2"/>
    <row r="3976" s="197" customFormat="1" ht="12.75" x14ac:dyDescent="0.2"/>
    <row r="3977" s="197" customFormat="1" ht="12.75" x14ac:dyDescent="0.2"/>
    <row r="3978" s="197" customFormat="1" ht="12.75" x14ac:dyDescent="0.2"/>
    <row r="3979" s="197" customFormat="1" ht="12.75" x14ac:dyDescent="0.2"/>
    <row r="3980" s="197" customFormat="1" ht="12.75" x14ac:dyDescent="0.2"/>
    <row r="3981" s="197" customFormat="1" ht="12.75" x14ac:dyDescent="0.2"/>
    <row r="3982" s="197" customFormat="1" ht="12.75" x14ac:dyDescent="0.2"/>
    <row r="3983" s="197" customFormat="1" ht="12.75" x14ac:dyDescent="0.2"/>
    <row r="3984" s="197" customFormat="1" ht="12.75" x14ac:dyDescent="0.2"/>
    <row r="3985" s="197" customFormat="1" ht="12.75" x14ac:dyDescent="0.2"/>
    <row r="3986" s="197" customFormat="1" ht="12.75" x14ac:dyDescent="0.2"/>
    <row r="3987" s="197" customFormat="1" ht="12.75" x14ac:dyDescent="0.2"/>
    <row r="3988" s="197" customFormat="1" ht="12.75" x14ac:dyDescent="0.2"/>
    <row r="3989" s="197" customFormat="1" ht="12.75" x14ac:dyDescent="0.2"/>
    <row r="3990" s="197" customFormat="1" ht="12.75" x14ac:dyDescent="0.2"/>
    <row r="3991" s="197" customFormat="1" ht="12.75" x14ac:dyDescent="0.2"/>
    <row r="3992" s="197" customFormat="1" ht="12.75" x14ac:dyDescent="0.2"/>
    <row r="3993" s="197" customFormat="1" ht="12.75" x14ac:dyDescent="0.2"/>
    <row r="3994" s="197" customFormat="1" ht="12.75" x14ac:dyDescent="0.2"/>
    <row r="3995" s="197" customFormat="1" ht="12.75" x14ac:dyDescent="0.2"/>
    <row r="3996" s="197" customFormat="1" ht="12.75" x14ac:dyDescent="0.2"/>
    <row r="3997" s="197" customFormat="1" ht="12.75" x14ac:dyDescent="0.2"/>
    <row r="3998" s="197" customFormat="1" ht="12.75" x14ac:dyDescent="0.2"/>
    <row r="3999" s="197" customFormat="1" ht="12.75" x14ac:dyDescent="0.2"/>
    <row r="4000" s="197" customFormat="1" ht="12.75" x14ac:dyDescent="0.2"/>
    <row r="4001" s="197" customFormat="1" ht="12.75" x14ac:dyDescent="0.2"/>
    <row r="4002" s="197" customFormat="1" ht="12.75" x14ac:dyDescent="0.2"/>
    <row r="4003" s="197" customFormat="1" ht="12.75" x14ac:dyDescent="0.2"/>
    <row r="4004" s="197" customFormat="1" ht="12.75" x14ac:dyDescent="0.2"/>
    <row r="4005" s="197" customFormat="1" ht="12.75" x14ac:dyDescent="0.2"/>
    <row r="4006" s="197" customFormat="1" ht="12.75" x14ac:dyDescent="0.2"/>
    <row r="4007" s="197" customFormat="1" ht="12.75" x14ac:dyDescent="0.2"/>
    <row r="4008" s="197" customFormat="1" ht="12.75" x14ac:dyDescent="0.2"/>
    <row r="4009" s="197" customFormat="1" ht="12.75" x14ac:dyDescent="0.2"/>
    <row r="4010" s="197" customFormat="1" ht="12.75" x14ac:dyDescent="0.2"/>
    <row r="4011" s="197" customFormat="1" ht="12.75" x14ac:dyDescent="0.2"/>
    <row r="4012" s="197" customFormat="1" ht="12.75" x14ac:dyDescent="0.2"/>
    <row r="4013" s="197" customFormat="1" ht="12.75" x14ac:dyDescent="0.2"/>
    <row r="4014" s="197" customFormat="1" ht="12.75" x14ac:dyDescent="0.2"/>
    <row r="4015" s="197" customFormat="1" ht="12.75" x14ac:dyDescent="0.2"/>
    <row r="4016" s="197" customFormat="1" ht="12.75" x14ac:dyDescent="0.2"/>
    <row r="4017" s="197" customFormat="1" ht="12.75" x14ac:dyDescent="0.2"/>
    <row r="4018" s="197" customFormat="1" ht="12.75" x14ac:dyDescent="0.2"/>
    <row r="4019" s="197" customFormat="1" ht="12.75" x14ac:dyDescent="0.2"/>
    <row r="4020" s="197" customFormat="1" ht="12.75" x14ac:dyDescent="0.2"/>
    <row r="4021" s="197" customFormat="1" ht="12.75" x14ac:dyDescent="0.2"/>
    <row r="4022" s="197" customFormat="1" ht="12.75" x14ac:dyDescent="0.2"/>
    <row r="4023" s="197" customFormat="1" ht="12.75" x14ac:dyDescent="0.2"/>
    <row r="4024" s="197" customFormat="1" ht="12.75" x14ac:dyDescent="0.2"/>
    <row r="4025" s="197" customFormat="1" ht="12.75" x14ac:dyDescent="0.2"/>
    <row r="4026" s="197" customFormat="1" ht="12.75" x14ac:dyDescent="0.2"/>
    <row r="4027" s="197" customFormat="1" ht="12.75" x14ac:dyDescent="0.2"/>
    <row r="4028" s="197" customFormat="1" ht="12.75" x14ac:dyDescent="0.2"/>
    <row r="4029" s="197" customFormat="1" ht="12.75" x14ac:dyDescent="0.2"/>
    <row r="4030" s="197" customFormat="1" ht="12.75" x14ac:dyDescent="0.2"/>
    <row r="4031" s="197" customFormat="1" ht="12.75" x14ac:dyDescent="0.2"/>
    <row r="4032" s="197" customFormat="1" ht="12.75" x14ac:dyDescent="0.2"/>
    <row r="4033" s="197" customFormat="1" ht="12.75" x14ac:dyDescent="0.2"/>
    <row r="4034" s="197" customFormat="1" ht="12.75" x14ac:dyDescent="0.2"/>
    <row r="4035" s="197" customFormat="1" ht="12.75" x14ac:dyDescent="0.2"/>
    <row r="4036" s="197" customFormat="1" ht="12.75" x14ac:dyDescent="0.2"/>
    <row r="4037" s="197" customFormat="1" ht="12.75" x14ac:dyDescent="0.2"/>
    <row r="4038" s="197" customFormat="1" ht="12.75" x14ac:dyDescent="0.2"/>
    <row r="4039" s="197" customFormat="1" ht="12.75" x14ac:dyDescent="0.2"/>
    <row r="4040" s="197" customFormat="1" ht="12.75" x14ac:dyDescent="0.2"/>
    <row r="4041" s="197" customFormat="1" ht="12.75" x14ac:dyDescent="0.2"/>
    <row r="4042" s="197" customFormat="1" ht="12.75" x14ac:dyDescent="0.2"/>
    <row r="4043" s="197" customFormat="1" ht="12.75" x14ac:dyDescent="0.2"/>
    <row r="4044" s="197" customFormat="1" ht="12.75" x14ac:dyDescent="0.2"/>
    <row r="4045" s="197" customFormat="1" ht="12.75" x14ac:dyDescent="0.2"/>
    <row r="4046" s="197" customFormat="1" ht="12.75" x14ac:dyDescent="0.2"/>
    <row r="4047" s="197" customFormat="1" ht="12.75" x14ac:dyDescent="0.2"/>
    <row r="4048" s="197" customFormat="1" ht="12.75" x14ac:dyDescent="0.2"/>
    <row r="4049" s="197" customFormat="1" ht="12.75" x14ac:dyDescent="0.2"/>
    <row r="4050" s="197" customFormat="1" ht="12.75" x14ac:dyDescent="0.2"/>
    <row r="4051" s="197" customFormat="1" ht="12.75" x14ac:dyDescent="0.2"/>
    <row r="4052" s="197" customFormat="1" ht="12.75" x14ac:dyDescent="0.2"/>
    <row r="4053" s="197" customFormat="1" ht="12.75" x14ac:dyDescent="0.2"/>
    <row r="4054" s="197" customFormat="1" ht="12.75" x14ac:dyDescent="0.2"/>
    <row r="4055" s="197" customFormat="1" ht="12.75" x14ac:dyDescent="0.2"/>
    <row r="4056" s="197" customFormat="1" ht="12.75" x14ac:dyDescent="0.2"/>
    <row r="4057" s="197" customFormat="1" ht="12.75" x14ac:dyDescent="0.2"/>
    <row r="4058" s="197" customFormat="1" ht="12.75" x14ac:dyDescent="0.2"/>
    <row r="4059" s="197" customFormat="1" ht="12.75" x14ac:dyDescent="0.2"/>
    <row r="4060" s="197" customFormat="1" ht="12.75" x14ac:dyDescent="0.2"/>
    <row r="4061" s="197" customFormat="1" ht="12.75" x14ac:dyDescent="0.2"/>
    <row r="4062" s="197" customFormat="1" ht="12.75" x14ac:dyDescent="0.2"/>
    <row r="4063" s="197" customFormat="1" ht="12.75" x14ac:dyDescent="0.2"/>
    <row r="4064" s="197" customFormat="1" ht="12.75" x14ac:dyDescent="0.2"/>
    <row r="4065" s="197" customFormat="1" ht="12.75" x14ac:dyDescent="0.2"/>
    <row r="4066" s="197" customFormat="1" ht="12.75" x14ac:dyDescent="0.2"/>
    <row r="4067" s="197" customFormat="1" ht="12.75" x14ac:dyDescent="0.2"/>
    <row r="4068" s="197" customFormat="1" ht="12.75" x14ac:dyDescent="0.2"/>
    <row r="4069" s="197" customFormat="1" ht="12.75" x14ac:dyDescent="0.2"/>
    <row r="4070" s="197" customFormat="1" ht="12.75" x14ac:dyDescent="0.2"/>
    <row r="4071" s="197" customFormat="1" ht="12.75" x14ac:dyDescent="0.2"/>
    <row r="4072" s="197" customFormat="1" ht="12.75" x14ac:dyDescent="0.2"/>
    <row r="4073" s="197" customFormat="1" ht="12.75" x14ac:dyDescent="0.2"/>
    <row r="4074" s="197" customFormat="1" ht="12.75" x14ac:dyDescent="0.2"/>
    <row r="4075" s="197" customFormat="1" ht="12.75" x14ac:dyDescent="0.2"/>
    <row r="4076" s="197" customFormat="1" ht="12.75" x14ac:dyDescent="0.2"/>
    <row r="4077" s="197" customFormat="1" ht="12.75" x14ac:dyDescent="0.2"/>
    <row r="4078" s="197" customFormat="1" ht="12.75" x14ac:dyDescent="0.2"/>
    <row r="4079" s="197" customFormat="1" ht="12.75" x14ac:dyDescent="0.2"/>
    <row r="4080" s="197" customFormat="1" ht="12.75" x14ac:dyDescent="0.2"/>
    <row r="4081" s="197" customFormat="1" ht="12.75" x14ac:dyDescent="0.2"/>
    <row r="4082" s="197" customFormat="1" ht="12.75" x14ac:dyDescent="0.2"/>
    <row r="4083" s="197" customFormat="1" ht="12.75" x14ac:dyDescent="0.2"/>
    <row r="4084" s="197" customFormat="1" ht="12.75" x14ac:dyDescent="0.2"/>
    <row r="4085" s="197" customFormat="1" ht="12.75" x14ac:dyDescent="0.2"/>
    <row r="4086" s="197" customFormat="1" ht="12.75" x14ac:dyDescent="0.2"/>
    <row r="4087" s="197" customFormat="1" ht="12.75" x14ac:dyDescent="0.2"/>
    <row r="4088" s="197" customFormat="1" ht="12.75" x14ac:dyDescent="0.2"/>
    <row r="4089" s="197" customFormat="1" ht="12.75" x14ac:dyDescent="0.2"/>
    <row r="4090" s="197" customFormat="1" ht="12.75" x14ac:dyDescent="0.2"/>
    <row r="4091" s="197" customFormat="1" ht="12.75" x14ac:dyDescent="0.2"/>
    <row r="4092" s="197" customFormat="1" ht="12.75" x14ac:dyDescent="0.2"/>
    <row r="4093" s="197" customFormat="1" ht="12.75" x14ac:dyDescent="0.2"/>
    <row r="4094" s="197" customFormat="1" ht="12.75" x14ac:dyDescent="0.2"/>
    <row r="4095" s="197" customFormat="1" ht="12.75" x14ac:dyDescent="0.2"/>
    <row r="4096" s="197" customFormat="1" ht="12.75" x14ac:dyDescent="0.2"/>
    <row r="4097" s="197" customFormat="1" ht="12.75" x14ac:dyDescent="0.2"/>
    <row r="4098" s="197" customFormat="1" ht="12.75" x14ac:dyDescent="0.2"/>
    <row r="4099" s="197" customFormat="1" ht="12.75" x14ac:dyDescent="0.2"/>
    <row r="4100" s="197" customFormat="1" ht="12.75" x14ac:dyDescent="0.2"/>
    <row r="4101" s="197" customFormat="1" ht="12.75" x14ac:dyDescent="0.2"/>
    <row r="4102" s="197" customFormat="1" ht="12.75" x14ac:dyDescent="0.2"/>
    <row r="4103" s="197" customFormat="1" ht="12.75" x14ac:dyDescent="0.2"/>
    <row r="4104" s="197" customFormat="1" ht="12.75" x14ac:dyDescent="0.2"/>
    <row r="4105" s="197" customFormat="1" ht="12.75" x14ac:dyDescent="0.2"/>
    <row r="4106" s="197" customFormat="1" ht="12.75" x14ac:dyDescent="0.2"/>
    <row r="4107" s="197" customFormat="1" ht="12.75" x14ac:dyDescent="0.2"/>
    <row r="4108" s="197" customFormat="1" ht="12.75" x14ac:dyDescent="0.2"/>
    <row r="4109" s="197" customFormat="1" ht="12.75" x14ac:dyDescent="0.2"/>
    <row r="4110" s="197" customFormat="1" ht="12.75" x14ac:dyDescent="0.2"/>
    <row r="4111" s="197" customFormat="1" ht="12.75" x14ac:dyDescent="0.2"/>
    <row r="4112" s="197" customFormat="1" ht="12.75" x14ac:dyDescent="0.2"/>
    <row r="4113" s="197" customFormat="1" ht="12.75" x14ac:dyDescent="0.2"/>
    <row r="4114" s="197" customFormat="1" ht="12.75" x14ac:dyDescent="0.2"/>
    <row r="4115" s="197" customFormat="1" ht="12.75" x14ac:dyDescent="0.2"/>
    <row r="4116" s="197" customFormat="1" ht="12.75" x14ac:dyDescent="0.2"/>
    <row r="4117" s="197" customFormat="1" ht="12.75" x14ac:dyDescent="0.2"/>
    <row r="4118" s="197" customFormat="1" ht="12.75" x14ac:dyDescent="0.2"/>
    <row r="4119" s="197" customFormat="1" ht="12.75" x14ac:dyDescent="0.2"/>
    <row r="4120" s="197" customFormat="1" ht="12.75" x14ac:dyDescent="0.2"/>
    <row r="4121" s="197" customFormat="1" ht="12.75" x14ac:dyDescent="0.2"/>
    <row r="4122" s="197" customFormat="1" ht="12.75" x14ac:dyDescent="0.2"/>
    <row r="4123" s="197" customFormat="1" ht="12.75" x14ac:dyDescent="0.2"/>
    <row r="4124" s="197" customFormat="1" ht="12.75" x14ac:dyDescent="0.2"/>
    <row r="4125" s="197" customFormat="1" ht="12.75" x14ac:dyDescent="0.2"/>
    <row r="4126" s="197" customFormat="1" ht="12.75" x14ac:dyDescent="0.2"/>
    <row r="4127" s="197" customFormat="1" ht="12.75" x14ac:dyDescent="0.2"/>
    <row r="4128" s="197" customFormat="1" ht="12.75" x14ac:dyDescent="0.2"/>
    <row r="4129" s="197" customFormat="1" ht="12.75" x14ac:dyDescent="0.2"/>
    <row r="4130" s="197" customFormat="1" ht="12.75" x14ac:dyDescent="0.2"/>
    <row r="4131" s="197" customFormat="1" ht="12.75" x14ac:dyDescent="0.2"/>
    <row r="4132" s="197" customFormat="1" ht="12.75" x14ac:dyDescent="0.2"/>
    <row r="4133" s="197" customFormat="1" ht="12.75" x14ac:dyDescent="0.2"/>
    <row r="4134" s="197" customFormat="1" ht="12.75" x14ac:dyDescent="0.2"/>
    <row r="4135" s="197" customFormat="1" ht="12.75" x14ac:dyDescent="0.2"/>
    <row r="4136" s="197" customFormat="1" ht="12.75" x14ac:dyDescent="0.2"/>
    <row r="4137" s="197" customFormat="1" ht="12.75" x14ac:dyDescent="0.2"/>
    <row r="4138" s="197" customFormat="1" ht="12.75" x14ac:dyDescent="0.2"/>
    <row r="4139" s="197" customFormat="1" ht="12.75" x14ac:dyDescent="0.2"/>
    <row r="4140" s="197" customFormat="1" ht="12.75" x14ac:dyDescent="0.2"/>
    <row r="4141" s="197" customFormat="1" ht="12.75" x14ac:dyDescent="0.2"/>
    <row r="4142" s="197" customFormat="1" ht="12.75" x14ac:dyDescent="0.2"/>
    <row r="4143" s="197" customFormat="1" ht="12.75" x14ac:dyDescent="0.2"/>
    <row r="4144" s="197" customFormat="1" ht="12.75" x14ac:dyDescent="0.2"/>
    <row r="4145" s="197" customFormat="1" ht="12.75" x14ac:dyDescent="0.2"/>
    <row r="4146" s="197" customFormat="1" ht="12.75" x14ac:dyDescent="0.2"/>
    <row r="4147" s="197" customFormat="1" ht="12.75" x14ac:dyDescent="0.2"/>
    <row r="4148" s="197" customFormat="1" ht="12.75" x14ac:dyDescent="0.2"/>
    <row r="4149" s="197" customFormat="1" ht="12.75" x14ac:dyDescent="0.2"/>
    <row r="4150" s="197" customFormat="1" ht="12.75" x14ac:dyDescent="0.2"/>
    <row r="4151" s="197" customFormat="1" ht="12.75" x14ac:dyDescent="0.2"/>
    <row r="4152" s="197" customFormat="1" ht="12.75" x14ac:dyDescent="0.2"/>
    <row r="4153" s="197" customFormat="1" ht="12.75" x14ac:dyDescent="0.2"/>
    <row r="4154" s="197" customFormat="1" ht="12.75" x14ac:dyDescent="0.2"/>
    <row r="4155" s="197" customFormat="1" ht="12.75" x14ac:dyDescent="0.2"/>
    <row r="4156" s="197" customFormat="1" ht="12.75" x14ac:dyDescent="0.2"/>
    <row r="4157" s="197" customFormat="1" ht="12.75" x14ac:dyDescent="0.2"/>
    <row r="4158" s="197" customFormat="1" ht="12.75" x14ac:dyDescent="0.2"/>
    <row r="4159" s="197" customFormat="1" ht="12.75" x14ac:dyDescent="0.2"/>
    <row r="4160" s="197" customFormat="1" ht="12.75" x14ac:dyDescent="0.2"/>
    <row r="4161" s="197" customFormat="1" ht="12.75" x14ac:dyDescent="0.2"/>
    <row r="4162" s="197" customFormat="1" ht="12.75" x14ac:dyDescent="0.2"/>
    <row r="4163" s="197" customFormat="1" ht="12.75" x14ac:dyDescent="0.2"/>
    <row r="4164" s="197" customFormat="1" ht="12.75" x14ac:dyDescent="0.2"/>
    <row r="4165" s="197" customFormat="1" ht="12.75" x14ac:dyDescent="0.2"/>
    <row r="4166" s="197" customFormat="1" ht="12.75" x14ac:dyDescent="0.2"/>
    <row r="4167" s="197" customFormat="1" ht="12.75" x14ac:dyDescent="0.2"/>
    <row r="4168" s="197" customFormat="1" ht="12.75" x14ac:dyDescent="0.2"/>
    <row r="4169" s="197" customFormat="1" ht="12.75" x14ac:dyDescent="0.2"/>
    <row r="4170" s="197" customFormat="1" ht="12.75" x14ac:dyDescent="0.2"/>
    <row r="4171" s="197" customFormat="1" ht="12.75" x14ac:dyDescent="0.2"/>
    <row r="4172" s="197" customFormat="1" ht="12.75" x14ac:dyDescent="0.2"/>
    <row r="4173" s="197" customFormat="1" ht="12.75" x14ac:dyDescent="0.2"/>
    <row r="4174" s="197" customFormat="1" ht="12.75" x14ac:dyDescent="0.2"/>
    <row r="4175" s="197" customFormat="1" ht="12.75" x14ac:dyDescent="0.2"/>
    <row r="4176" s="197" customFormat="1" ht="12.75" x14ac:dyDescent="0.2"/>
    <row r="4177" s="197" customFormat="1" ht="12.75" x14ac:dyDescent="0.2"/>
    <row r="4178" s="197" customFormat="1" ht="12.75" x14ac:dyDescent="0.2"/>
    <row r="4179" s="197" customFormat="1" ht="12.75" x14ac:dyDescent="0.2"/>
    <row r="4180" s="197" customFormat="1" ht="12.75" x14ac:dyDescent="0.2"/>
    <row r="4181" s="197" customFormat="1" ht="12.75" x14ac:dyDescent="0.2"/>
    <row r="4182" s="197" customFormat="1" ht="12.75" x14ac:dyDescent="0.2"/>
    <row r="4183" s="197" customFormat="1" ht="12.75" x14ac:dyDescent="0.2"/>
    <row r="4184" s="197" customFormat="1" ht="12.75" x14ac:dyDescent="0.2"/>
    <row r="4185" s="197" customFormat="1" ht="12.75" x14ac:dyDescent="0.2"/>
    <row r="4186" s="197" customFormat="1" ht="12.75" x14ac:dyDescent="0.2"/>
    <row r="4187" s="197" customFormat="1" ht="12.75" x14ac:dyDescent="0.2"/>
    <row r="4188" s="197" customFormat="1" ht="12.75" x14ac:dyDescent="0.2"/>
    <row r="4189" s="197" customFormat="1" ht="12.75" x14ac:dyDescent="0.2"/>
    <row r="4190" s="197" customFormat="1" ht="12.75" x14ac:dyDescent="0.2"/>
    <row r="4191" s="197" customFormat="1" ht="12.75" x14ac:dyDescent="0.2"/>
    <row r="4192" s="197" customFormat="1" ht="12.75" x14ac:dyDescent="0.2"/>
    <row r="4193" s="197" customFormat="1" ht="12.75" x14ac:dyDescent="0.2"/>
    <row r="4194" s="197" customFormat="1" ht="12.75" x14ac:dyDescent="0.2"/>
    <row r="4195" s="197" customFormat="1" ht="12.75" x14ac:dyDescent="0.2"/>
    <row r="4196" s="197" customFormat="1" ht="12.75" x14ac:dyDescent="0.2"/>
    <row r="4197" s="197" customFormat="1" ht="12.75" x14ac:dyDescent="0.2"/>
    <row r="4198" s="197" customFormat="1" ht="12.75" x14ac:dyDescent="0.2"/>
    <row r="4199" s="197" customFormat="1" ht="12.75" x14ac:dyDescent="0.2"/>
    <row r="4200" s="197" customFormat="1" ht="12.75" x14ac:dyDescent="0.2"/>
    <row r="4201" s="197" customFormat="1" ht="12.75" x14ac:dyDescent="0.2"/>
    <row r="4202" s="197" customFormat="1" ht="12.75" x14ac:dyDescent="0.2"/>
    <row r="4203" s="197" customFormat="1" ht="12.75" x14ac:dyDescent="0.2"/>
    <row r="4204" s="197" customFormat="1" ht="12.75" x14ac:dyDescent="0.2"/>
    <row r="4205" s="197" customFormat="1" ht="12.75" x14ac:dyDescent="0.2"/>
    <row r="4206" s="197" customFormat="1" ht="12.75" x14ac:dyDescent="0.2"/>
    <row r="4207" s="197" customFormat="1" ht="12.75" x14ac:dyDescent="0.2"/>
    <row r="4208" s="197" customFormat="1" ht="12.75" x14ac:dyDescent="0.2"/>
    <row r="4209" s="197" customFormat="1" ht="12.75" x14ac:dyDescent="0.2"/>
    <row r="4210" s="197" customFormat="1" ht="12.75" x14ac:dyDescent="0.2"/>
    <row r="4211" s="197" customFormat="1" ht="12.75" x14ac:dyDescent="0.2"/>
    <row r="4212" s="197" customFormat="1" ht="12.75" x14ac:dyDescent="0.2"/>
    <row r="4213" s="197" customFormat="1" ht="12.75" x14ac:dyDescent="0.2"/>
    <row r="4214" s="197" customFormat="1" ht="12.75" x14ac:dyDescent="0.2"/>
    <row r="4215" s="197" customFormat="1" ht="12.75" x14ac:dyDescent="0.2"/>
    <row r="4216" s="197" customFormat="1" ht="12.75" x14ac:dyDescent="0.2"/>
    <row r="4217" s="197" customFormat="1" ht="12.75" x14ac:dyDescent="0.2"/>
    <row r="4218" s="197" customFormat="1" ht="12.75" x14ac:dyDescent="0.2"/>
    <row r="4219" s="197" customFormat="1" ht="12.75" x14ac:dyDescent="0.2"/>
    <row r="4220" s="197" customFormat="1" ht="12.75" x14ac:dyDescent="0.2"/>
    <row r="4221" s="197" customFormat="1" ht="12.75" x14ac:dyDescent="0.2"/>
    <row r="4222" s="197" customFormat="1" ht="12.75" x14ac:dyDescent="0.2"/>
    <row r="4223" s="197" customFormat="1" ht="12.75" x14ac:dyDescent="0.2"/>
    <row r="4224" s="197" customFormat="1" ht="12.75" x14ac:dyDescent="0.2"/>
    <row r="4225" s="197" customFormat="1" ht="12.75" x14ac:dyDescent="0.2"/>
    <row r="4226" s="197" customFormat="1" ht="12.75" x14ac:dyDescent="0.2"/>
    <row r="4227" s="197" customFormat="1" ht="12.75" x14ac:dyDescent="0.2"/>
    <row r="4228" s="197" customFormat="1" ht="12.75" x14ac:dyDescent="0.2"/>
    <row r="4229" s="197" customFormat="1" ht="12.75" x14ac:dyDescent="0.2"/>
    <row r="4230" s="197" customFormat="1" ht="12.75" x14ac:dyDescent="0.2"/>
    <row r="4231" s="197" customFormat="1" ht="12.75" x14ac:dyDescent="0.2"/>
    <row r="4232" s="197" customFormat="1" ht="12.75" x14ac:dyDescent="0.2"/>
    <row r="4233" s="197" customFormat="1" ht="12.75" x14ac:dyDescent="0.2"/>
    <row r="4234" s="197" customFormat="1" ht="12.75" x14ac:dyDescent="0.2"/>
    <row r="4235" s="197" customFormat="1" ht="12.75" x14ac:dyDescent="0.2"/>
    <row r="4236" s="197" customFormat="1" ht="12.75" x14ac:dyDescent="0.2"/>
    <row r="4237" s="197" customFormat="1" ht="12.75" x14ac:dyDescent="0.2"/>
    <row r="4238" s="197" customFormat="1" ht="12.75" x14ac:dyDescent="0.2"/>
    <row r="4239" s="197" customFormat="1" ht="12.75" x14ac:dyDescent="0.2"/>
    <row r="4240" s="197" customFormat="1" ht="12.75" x14ac:dyDescent="0.2"/>
    <row r="4241" s="197" customFormat="1" ht="12.75" x14ac:dyDescent="0.2"/>
    <row r="4242" s="197" customFormat="1" ht="12.75" x14ac:dyDescent="0.2"/>
    <row r="4243" s="197" customFormat="1" ht="12.75" x14ac:dyDescent="0.2"/>
    <row r="4244" s="197" customFormat="1" ht="12.75" x14ac:dyDescent="0.2"/>
    <row r="4245" s="197" customFormat="1" ht="12.75" x14ac:dyDescent="0.2"/>
    <row r="4246" s="197" customFormat="1" ht="12.75" x14ac:dyDescent="0.2"/>
    <row r="4247" s="197" customFormat="1" ht="12.75" x14ac:dyDescent="0.2"/>
    <row r="4248" s="197" customFormat="1" ht="12.75" x14ac:dyDescent="0.2"/>
    <row r="4249" s="197" customFormat="1" ht="12.75" x14ac:dyDescent="0.2"/>
    <row r="4250" s="197" customFormat="1" ht="12.75" x14ac:dyDescent="0.2"/>
    <row r="4251" s="197" customFormat="1" ht="12.75" x14ac:dyDescent="0.2"/>
    <row r="4252" s="197" customFormat="1" ht="12.75" x14ac:dyDescent="0.2"/>
    <row r="4253" s="197" customFormat="1" ht="12.75" x14ac:dyDescent="0.2"/>
    <row r="4254" s="197" customFormat="1" ht="12.75" x14ac:dyDescent="0.2"/>
    <row r="4255" s="197" customFormat="1" ht="12.75" x14ac:dyDescent="0.2"/>
    <row r="4256" s="197" customFormat="1" ht="12.75" x14ac:dyDescent="0.2"/>
    <row r="4257" s="197" customFormat="1" ht="12.75" x14ac:dyDescent="0.2"/>
    <row r="4258" s="197" customFormat="1" ht="12.75" x14ac:dyDescent="0.2"/>
    <row r="4259" s="197" customFormat="1" ht="12.75" x14ac:dyDescent="0.2"/>
    <row r="4260" s="197" customFormat="1" ht="12.75" x14ac:dyDescent="0.2"/>
    <row r="4261" s="197" customFormat="1" ht="12.75" x14ac:dyDescent="0.2"/>
    <row r="4262" s="197" customFormat="1" ht="12.75" x14ac:dyDescent="0.2"/>
    <row r="4263" s="197" customFormat="1" ht="12.75" x14ac:dyDescent="0.2"/>
    <row r="4264" s="197" customFormat="1" ht="12.75" x14ac:dyDescent="0.2"/>
    <row r="4265" s="197" customFormat="1" ht="12.75" x14ac:dyDescent="0.2"/>
    <row r="4266" s="197" customFormat="1" ht="12.75" x14ac:dyDescent="0.2"/>
    <row r="4267" s="197" customFormat="1" ht="12.75" x14ac:dyDescent="0.2"/>
    <row r="4268" s="197" customFormat="1" ht="12.75" x14ac:dyDescent="0.2"/>
    <row r="4269" s="197" customFormat="1" ht="12.75" x14ac:dyDescent="0.2"/>
    <row r="4270" s="197" customFormat="1" ht="12.75" x14ac:dyDescent="0.2"/>
    <row r="4271" s="197" customFormat="1" ht="12.75" x14ac:dyDescent="0.2"/>
    <row r="4272" s="197" customFormat="1" ht="12.75" x14ac:dyDescent="0.2"/>
    <row r="4273" s="197" customFormat="1" ht="12.75" x14ac:dyDescent="0.2"/>
    <row r="4274" s="197" customFormat="1" ht="12.75" x14ac:dyDescent="0.2"/>
    <row r="4275" s="197" customFormat="1" ht="12.75" x14ac:dyDescent="0.2"/>
    <row r="4276" s="197" customFormat="1" ht="12.75" x14ac:dyDescent="0.2"/>
    <row r="4277" s="197" customFormat="1" ht="12.75" x14ac:dyDescent="0.2"/>
    <row r="4278" s="197" customFormat="1" ht="12.75" x14ac:dyDescent="0.2"/>
    <row r="4279" s="197" customFormat="1" ht="12.75" x14ac:dyDescent="0.2"/>
    <row r="4280" s="197" customFormat="1" ht="12.75" x14ac:dyDescent="0.2"/>
    <row r="4281" s="197" customFormat="1" ht="12.75" x14ac:dyDescent="0.2"/>
    <row r="4282" s="197" customFormat="1" ht="12.75" x14ac:dyDescent="0.2"/>
    <row r="4283" s="197" customFormat="1" ht="12.75" x14ac:dyDescent="0.2"/>
    <row r="4284" s="197" customFormat="1" ht="12.75" x14ac:dyDescent="0.2"/>
    <row r="4285" s="197" customFormat="1" ht="12.75" x14ac:dyDescent="0.2"/>
    <row r="4286" s="197" customFormat="1" ht="12.75" x14ac:dyDescent="0.2"/>
    <row r="4287" s="197" customFormat="1" ht="12.75" x14ac:dyDescent="0.2"/>
    <row r="4288" s="197" customFormat="1" ht="12.75" x14ac:dyDescent="0.2"/>
    <row r="4289" s="197" customFormat="1" ht="12.75" x14ac:dyDescent="0.2"/>
    <row r="4290" s="197" customFormat="1" ht="12.75" x14ac:dyDescent="0.2"/>
    <row r="4291" s="197" customFormat="1" ht="12.75" x14ac:dyDescent="0.2"/>
    <row r="4292" s="197" customFormat="1" ht="12.75" x14ac:dyDescent="0.2"/>
    <row r="4293" s="197" customFormat="1" ht="12.75" x14ac:dyDescent="0.2"/>
    <row r="4294" s="197" customFormat="1" ht="12.75" x14ac:dyDescent="0.2"/>
    <row r="4295" s="197" customFormat="1" ht="12.75" x14ac:dyDescent="0.2"/>
    <row r="4296" s="197" customFormat="1" ht="12.75" x14ac:dyDescent="0.2"/>
    <row r="4297" s="197" customFormat="1" ht="12.75" x14ac:dyDescent="0.2"/>
    <row r="4298" s="197" customFormat="1" ht="12.75" x14ac:dyDescent="0.2"/>
    <row r="4299" s="197" customFormat="1" ht="12.75" x14ac:dyDescent="0.2"/>
    <row r="4300" s="197" customFormat="1" ht="12.75" x14ac:dyDescent="0.2"/>
    <row r="4301" s="197" customFormat="1" ht="12.75" x14ac:dyDescent="0.2"/>
    <row r="4302" s="197" customFormat="1" ht="12.75" x14ac:dyDescent="0.2"/>
    <row r="4303" s="197" customFormat="1" ht="12.75" x14ac:dyDescent="0.2"/>
    <row r="4304" s="197" customFormat="1" ht="12.75" x14ac:dyDescent="0.2"/>
    <row r="4305" s="197" customFormat="1" ht="12.75" x14ac:dyDescent="0.2"/>
    <row r="4306" s="197" customFormat="1" ht="12.75" x14ac:dyDescent="0.2"/>
    <row r="4307" s="197" customFormat="1" ht="12.75" x14ac:dyDescent="0.2"/>
    <row r="4308" s="197" customFormat="1" ht="12.75" x14ac:dyDescent="0.2"/>
    <row r="4309" s="197" customFormat="1" ht="12.75" x14ac:dyDescent="0.2"/>
    <row r="4310" s="197" customFormat="1" ht="12.75" x14ac:dyDescent="0.2"/>
    <row r="4311" s="197" customFormat="1" ht="12.75" x14ac:dyDescent="0.2"/>
    <row r="4312" s="197" customFormat="1" ht="12.75" x14ac:dyDescent="0.2"/>
    <row r="4313" s="197" customFormat="1" ht="12.75" x14ac:dyDescent="0.2"/>
    <row r="4314" s="197" customFormat="1" ht="12.75" x14ac:dyDescent="0.2"/>
    <row r="4315" s="197" customFormat="1" ht="12.75" x14ac:dyDescent="0.2"/>
    <row r="4316" s="197" customFormat="1" ht="12.75" x14ac:dyDescent="0.2"/>
    <row r="4317" s="197" customFormat="1" ht="12.75" x14ac:dyDescent="0.2"/>
    <row r="4318" s="197" customFormat="1" ht="12.75" x14ac:dyDescent="0.2"/>
    <row r="4319" s="197" customFormat="1" ht="12.75" x14ac:dyDescent="0.2"/>
    <row r="4320" s="197" customFormat="1" ht="12.75" x14ac:dyDescent="0.2"/>
    <row r="4321" s="197" customFormat="1" ht="12.75" x14ac:dyDescent="0.2"/>
    <row r="4322" s="197" customFormat="1" ht="12.75" x14ac:dyDescent="0.2"/>
    <row r="4323" s="197" customFormat="1" ht="12.75" x14ac:dyDescent="0.2"/>
    <row r="4324" s="197" customFormat="1" ht="12.75" x14ac:dyDescent="0.2"/>
    <row r="4325" s="197" customFormat="1" ht="12.75" x14ac:dyDescent="0.2"/>
    <row r="4326" s="197" customFormat="1" ht="12.75" x14ac:dyDescent="0.2"/>
    <row r="4327" s="197" customFormat="1" ht="12.75" x14ac:dyDescent="0.2"/>
    <row r="4328" s="197" customFormat="1" ht="12.75" x14ac:dyDescent="0.2"/>
    <row r="4329" s="197" customFormat="1" ht="12.75" x14ac:dyDescent="0.2"/>
    <row r="4330" s="197" customFormat="1" ht="12.75" x14ac:dyDescent="0.2"/>
    <row r="4331" s="197" customFormat="1" ht="12.75" x14ac:dyDescent="0.2"/>
    <row r="4332" s="197" customFormat="1" ht="12.75" x14ac:dyDescent="0.2"/>
    <row r="4333" s="197" customFormat="1" ht="12.75" x14ac:dyDescent="0.2"/>
    <row r="4334" s="197" customFormat="1" ht="12.75" x14ac:dyDescent="0.2"/>
    <row r="4335" s="197" customFormat="1" ht="12.75" x14ac:dyDescent="0.2"/>
    <row r="4336" s="197" customFormat="1" ht="12.75" x14ac:dyDescent="0.2"/>
    <row r="4337" s="197" customFormat="1" ht="12.75" x14ac:dyDescent="0.2"/>
    <row r="4338" s="197" customFormat="1" ht="12.75" x14ac:dyDescent="0.2"/>
    <row r="4339" s="197" customFormat="1" ht="12.75" x14ac:dyDescent="0.2"/>
    <row r="4340" s="197" customFormat="1" ht="12.75" x14ac:dyDescent="0.2"/>
    <row r="4341" s="197" customFormat="1" ht="12.75" x14ac:dyDescent="0.2"/>
    <row r="4342" s="197" customFormat="1" ht="12.75" x14ac:dyDescent="0.2"/>
    <row r="4343" s="197" customFormat="1" ht="12.75" x14ac:dyDescent="0.2"/>
    <row r="4344" s="197" customFormat="1" ht="12.75" x14ac:dyDescent="0.2"/>
    <row r="4345" s="197" customFormat="1" ht="12.75" x14ac:dyDescent="0.2"/>
    <row r="4346" s="197" customFormat="1" ht="12.75" x14ac:dyDescent="0.2"/>
    <row r="4347" s="197" customFormat="1" ht="12.75" x14ac:dyDescent="0.2"/>
    <row r="4348" s="197" customFormat="1" ht="12.75" x14ac:dyDescent="0.2"/>
    <row r="4349" s="197" customFormat="1" ht="12.75" x14ac:dyDescent="0.2"/>
    <row r="4350" s="197" customFormat="1" ht="12.75" x14ac:dyDescent="0.2"/>
    <row r="4351" s="197" customFormat="1" ht="12.75" x14ac:dyDescent="0.2"/>
    <row r="4352" s="197" customFormat="1" ht="12.75" x14ac:dyDescent="0.2"/>
    <row r="4353" s="197" customFormat="1" ht="12.75" x14ac:dyDescent="0.2"/>
    <row r="4354" s="197" customFormat="1" ht="12.75" x14ac:dyDescent="0.2"/>
    <row r="4355" s="197" customFormat="1" ht="12.75" x14ac:dyDescent="0.2"/>
    <row r="4356" s="197" customFormat="1" ht="12.75" x14ac:dyDescent="0.2"/>
    <row r="4357" s="197" customFormat="1" ht="12.75" x14ac:dyDescent="0.2"/>
    <row r="4358" s="197" customFormat="1" ht="12.75" x14ac:dyDescent="0.2"/>
    <row r="4359" s="197" customFormat="1" ht="12.75" x14ac:dyDescent="0.2"/>
    <row r="4360" s="197" customFormat="1" ht="12.75" x14ac:dyDescent="0.2"/>
    <row r="4361" s="197" customFormat="1" ht="12.75" x14ac:dyDescent="0.2"/>
    <row r="4362" s="197" customFormat="1" ht="12.75" x14ac:dyDescent="0.2"/>
    <row r="4363" s="197" customFormat="1" ht="12.75" x14ac:dyDescent="0.2"/>
    <row r="4364" s="197" customFormat="1" ht="12.75" x14ac:dyDescent="0.2"/>
    <row r="4365" s="197" customFormat="1" ht="12.75" x14ac:dyDescent="0.2"/>
    <row r="4366" s="197" customFormat="1" ht="12.75" x14ac:dyDescent="0.2"/>
    <row r="4367" s="197" customFormat="1" ht="12.75" x14ac:dyDescent="0.2"/>
    <row r="4368" s="197" customFormat="1" ht="12.75" x14ac:dyDescent="0.2"/>
    <row r="4369" s="197" customFormat="1" ht="12.75" x14ac:dyDescent="0.2"/>
    <row r="4370" s="197" customFormat="1" ht="12.75" x14ac:dyDescent="0.2"/>
    <row r="4371" s="197" customFormat="1" ht="12.75" x14ac:dyDescent="0.2"/>
    <row r="4372" s="197" customFormat="1" ht="12.75" x14ac:dyDescent="0.2"/>
    <row r="4373" s="197" customFormat="1" ht="12.75" x14ac:dyDescent="0.2"/>
    <row r="4374" s="197" customFormat="1" ht="12.75" x14ac:dyDescent="0.2"/>
    <row r="4375" s="197" customFormat="1" ht="12.75" x14ac:dyDescent="0.2"/>
    <row r="4376" s="197" customFormat="1" ht="12.75" x14ac:dyDescent="0.2"/>
    <row r="4377" s="197" customFormat="1" ht="12.75" x14ac:dyDescent="0.2"/>
    <row r="4378" s="197" customFormat="1" ht="12.75" x14ac:dyDescent="0.2"/>
    <row r="4379" s="197" customFormat="1" ht="12.75" x14ac:dyDescent="0.2"/>
    <row r="4380" s="197" customFormat="1" ht="12.75" x14ac:dyDescent="0.2"/>
    <row r="4381" s="197" customFormat="1" ht="12.75" x14ac:dyDescent="0.2"/>
    <row r="4382" s="197" customFormat="1" ht="12.75" x14ac:dyDescent="0.2"/>
    <row r="4383" s="197" customFormat="1" ht="12.75" x14ac:dyDescent="0.2"/>
    <row r="4384" s="197" customFormat="1" ht="12.75" x14ac:dyDescent="0.2"/>
    <row r="4385" s="197" customFormat="1" ht="12.75" x14ac:dyDescent="0.2"/>
    <row r="4386" s="197" customFormat="1" ht="12.75" x14ac:dyDescent="0.2"/>
    <row r="4387" s="197" customFormat="1" ht="12.75" x14ac:dyDescent="0.2"/>
    <row r="4388" s="197" customFormat="1" ht="12.75" x14ac:dyDescent="0.2"/>
    <row r="4389" s="197" customFormat="1" ht="12.75" x14ac:dyDescent="0.2"/>
    <row r="4390" s="197" customFormat="1" ht="12.75" x14ac:dyDescent="0.2"/>
    <row r="4391" s="197" customFormat="1" ht="12.75" x14ac:dyDescent="0.2"/>
    <row r="4392" s="197" customFormat="1" ht="12.75" x14ac:dyDescent="0.2"/>
    <row r="4393" s="197" customFormat="1" ht="12.75" x14ac:dyDescent="0.2"/>
    <row r="4394" s="197" customFormat="1" ht="12.75" x14ac:dyDescent="0.2"/>
    <row r="4395" s="197" customFormat="1" ht="12.75" x14ac:dyDescent="0.2"/>
    <row r="4396" s="197" customFormat="1" ht="12.75" x14ac:dyDescent="0.2"/>
    <row r="4397" s="197" customFormat="1" ht="12.75" x14ac:dyDescent="0.2"/>
    <row r="4398" s="197" customFormat="1" ht="12.75" x14ac:dyDescent="0.2"/>
    <row r="4399" s="197" customFormat="1" ht="12.75" x14ac:dyDescent="0.2"/>
    <row r="4400" s="197" customFormat="1" ht="12.75" x14ac:dyDescent="0.2"/>
    <row r="4401" s="197" customFormat="1" ht="12.75" x14ac:dyDescent="0.2"/>
    <row r="4402" s="197" customFormat="1" ht="12.75" x14ac:dyDescent="0.2"/>
    <row r="4403" s="197" customFormat="1" ht="12.75" x14ac:dyDescent="0.2"/>
    <row r="4404" s="197" customFormat="1" ht="12.75" x14ac:dyDescent="0.2"/>
    <row r="4405" s="197" customFormat="1" ht="12.75" x14ac:dyDescent="0.2"/>
    <row r="4406" s="197" customFormat="1" ht="12.75" x14ac:dyDescent="0.2"/>
    <row r="4407" s="197" customFormat="1" ht="12.75" x14ac:dyDescent="0.2"/>
    <row r="4408" s="197" customFormat="1" ht="12.75" x14ac:dyDescent="0.2"/>
    <row r="4409" s="197" customFormat="1" ht="12.75" x14ac:dyDescent="0.2"/>
    <row r="4410" s="197" customFormat="1" ht="12.75" x14ac:dyDescent="0.2"/>
    <row r="4411" s="197" customFormat="1" ht="12.75" x14ac:dyDescent="0.2"/>
    <row r="4412" s="197" customFormat="1" ht="12.75" x14ac:dyDescent="0.2"/>
    <row r="4413" s="197" customFormat="1" ht="12.75" x14ac:dyDescent="0.2"/>
    <row r="4414" s="197" customFormat="1" ht="12.75" x14ac:dyDescent="0.2"/>
    <row r="4415" s="197" customFormat="1" ht="12.75" x14ac:dyDescent="0.2"/>
    <row r="4416" s="197" customFormat="1" ht="12.75" x14ac:dyDescent="0.2"/>
    <row r="4417" s="197" customFormat="1" ht="12.75" x14ac:dyDescent="0.2"/>
    <row r="4418" s="197" customFormat="1" ht="12.75" x14ac:dyDescent="0.2"/>
    <row r="4419" s="197" customFormat="1" ht="12.75" x14ac:dyDescent="0.2"/>
    <row r="4420" s="197" customFormat="1" ht="12.75" x14ac:dyDescent="0.2"/>
    <row r="4421" s="197" customFormat="1" ht="12.75" x14ac:dyDescent="0.2"/>
    <row r="4422" s="197" customFormat="1" ht="12.75" x14ac:dyDescent="0.2"/>
    <row r="4423" s="197" customFormat="1" ht="12.75" x14ac:dyDescent="0.2"/>
    <row r="4424" s="197" customFormat="1" ht="12.75" x14ac:dyDescent="0.2"/>
    <row r="4425" s="197" customFormat="1" ht="12.75" x14ac:dyDescent="0.2"/>
    <row r="4426" s="197" customFormat="1" ht="12.75" x14ac:dyDescent="0.2"/>
    <row r="4427" s="197" customFormat="1" ht="12.75" x14ac:dyDescent="0.2"/>
    <row r="4428" s="197" customFormat="1" ht="12.75" x14ac:dyDescent="0.2"/>
    <row r="4429" s="197" customFormat="1" ht="12.75" x14ac:dyDescent="0.2"/>
    <row r="4430" s="197" customFormat="1" ht="12.75" x14ac:dyDescent="0.2"/>
    <row r="4431" s="197" customFormat="1" ht="12.75" x14ac:dyDescent="0.2"/>
    <row r="4432" s="197" customFormat="1" ht="12.75" x14ac:dyDescent="0.2"/>
    <row r="4433" s="197" customFormat="1" ht="12.75" x14ac:dyDescent="0.2"/>
    <row r="4434" s="197" customFormat="1" ht="12.75" x14ac:dyDescent="0.2"/>
    <row r="4435" s="197" customFormat="1" ht="12.75" x14ac:dyDescent="0.2"/>
    <row r="4436" s="197" customFormat="1" ht="12.75" x14ac:dyDescent="0.2"/>
    <row r="4437" s="197" customFormat="1" ht="12.75" x14ac:dyDescent="0.2"/>
    <row r="4438" s="197" customFormat="1" ht="12.75" x14ac:dyDescent="0.2"/>
    <row r="4439" s="197" customFormat="1" ht="12.75" x14ac:dyDescent="0.2"/>
    <row r="4440" s="197" customFormat="1" ht="12.75" x14ac:dyDescent="0.2"/>
    <row r="4441" s="197" customFormat="1" ht="12.75" x14ac:dyDescent="0.2"/>
    <row r="4442" s="197" customFormat="1" ht="12.75" x14ac:dyDescent="0.2"/>
    <row r="4443" s="197" customFormat="1" ht="12.75" x14ac:dyDescent="0.2"/>
    <row r="4444" s="197" customFormat="1" ht="12.75" x14ac:dyDescent="0.2"/>
    <row r="4445" s="197" customFormat="1" ht="12.75" x14ac:dyDescent="0.2"/>
    <row r="4446" s="197" customFormat="1" ht="12.75" x14ac:dyDescent="0.2"/>
    <row r="4447" s="197" customFormat="1" ht="12.75" x14ac:dyDescent="0.2"/>
    <row r="4448" s="197" customFormat="1" ht="12.75" x14ac:dyDescent="0.2"/>
    <row r="4449" s="197" customFormat="1" ht="12.75" x14ac:dyDescent="0.2"/>
    <row r="4450" s="197" customFormat="1" ht="12.75" x14ac:dyDescent="0.2"/>
    <row r="4451" s="197" customFormat="1" ht="12.75" x14ac:dyDescent="0.2"/>
    <row r="4452" s="197" customFormat="1" ht="12.75" x14ac:dyDescent="0.2"/>
    <row r="4453" s="197" customFormat="1" ht="12.75" x14ac:dyDescent="0.2"/>
    <row r="4454" s="197" customFormat="1" ht="12.75" x14ac:dyDescent="0.2"/>
    <row r="4455" s="197" customFormat="1" ht="12.75" x14ac:dyDescent="0.2"/>
    <row r="4456" s="197" customFormat="1" ht="12.75" x14ac:dyDescent="0.2"/>
    <row r="4457" s="197" customFormat="1" ht="12.75" x14ac:dyDescent="0.2"/>
    <row r="4458" s="197" customFormat="1" ht="12.75" x14ac:dyDescent="0.2"/>
    <row r="4459" s="197" customFormat="1" ht="12.75" x14ac:dyDescent="0.2"/>
    <row r="4460" s="197" customFormat="1" ht="12.75" x14ac:dyDescent="0.2"/>
    <row r="4461" s="197" customFormat="1" ht="12.75" x14ac:dyDescent="0.2"/>
    <row r="4462" s="197" customFormat="1" ht="12.75" x14ac:dyDescent="0.2"/>
    <row r="4463" s="197" customFormat="1" ht="12.75" x14ac:dyDescent="0.2"/>
    <row r="4464" s="197" customFormat="1" ht="12.75" x14ac:dyDescent="0.2"/>
    <row r="4465" s="197" customFormat="1" ht="12.75" x14ac:dyDescent="0.2"/>
    <row r="4466" s="197" customFormat="1" ht="12.75" x14ac:dyDescent="0.2"/>
    <row r="4467" s="197" customFormat="1" ht="12.75" x14ac:dyDescent="0.2"/>
    <row r="4468" s="197" customFormat="1" ht="12.75" x14ac:dyDescent="0.2"/>
    <row r="4469" s="197" customFormat="1" ht="12.75" x14ac:dyDescent="0.2"/>
    <row r="4470" s="197" customFormat="1" ht="12.75" x14ac:dyDescent="0.2"/>
    <row r="4471" s="197" customFormat="1" ht="12.75" x14ac:dyDescent="0.2"/>
    <row r="4472" s="197" customFormat="1" ht="12.75" x14ac:dyDescent="0.2"/>
    <row r="4473" s="197" customFormat="1" ht="12.75" x14ac:dyDescent="0.2"/>
    <row r="4474" s="197" customFormat="1" ht="12.75" x14ac:dyDescent="0.2"/>
    <row r="4475" s="197" customFormat="1" ht="12.75" x14ac:dyDescent="0.2"/>
    <row r="4476" s="197" customFormat="1" ht="12.75" x14ac:dyDescent="0.2"/>
    <row r="4477" s="197" customFormat="1" ht="12.75" x14ac:dyDescent="0.2"/>
    <row r="4478" s="197" customFormat="1" ht="12.75" x14ac:dyDescent="0.2"/>
    <row r="4479" s="197" customFormat="1" ht="12.75" x14ac:dyDescent="0.2"/>
    <row r="4480" s="197" customFormat="1" ht="12.75" x14ac:dyDescent="0.2"/>
    <row r="4481" s="197" customFormat="1" ht="12.75" x14ac:dyDescent="0.2"/>
    <row r="4482" s="197" customFormat="1" ht="12.75" x14ac:dyDescent="0.2"/>
    <row r="4483" s="197" customFormat="1" ht="12.75" x14ac:dyDescent="0.2"/>
    <row r="4484" s="197" customFormat="1" ht="12.75" x14ac:dyDescent="0.2"/>
    <row r="4485" s="197" customFormat="1" ht="12.75" x14ac:dyDescent="0.2"/>
    <row r="4486" s="197" customFormat="1" ht="12.75" x14ac:dyDescent="0.2"/>
    <row r="4487" s="197" customFormat="1" ht="12.75" x14ac:dyDescent="0.2"/>
    <row r="4488" s="197" customFormat="1" ht="12.75" x14ac:dyDescent="0.2"/>
    <row r="4489" s="197" customFormat="1" ht="12.75" x14ac:dyDescent="0.2"/>
    <row r="4490" s="197" customFormat="1" ht="12.75" x14ac:dyDescent="0.2"/>
    <row r="4491" s="197" customFormat="1" ht="12.75" x14ac:dyDescent="0.2"/>
    <row r="4492" s="197" customFormat="1" ht="12.75" x14ac:dyDescent="0.2"/>
    <row r="4493" s="197" customFormat="1" ht="12.75" x14ac:dyDescent="0.2"/>
    <row r="4494" s="197" customFormat="1" ht="12.75" x14ac:dyDescent="0.2"/>
    <row r="4495" s="197" customFormat="1" ht="12.75" x14ac:dyDescent="0.2"/>
    <row r="4496" s="197" customFormat="1" ht="12.75" x14ac:dyDescent="0.2"/>
    <row r="4497" s="197" customFormat="1" ht="12.75" x14ac:dyDescent="0.2"/>
    <row r="4498" s="197" customFormat="1" ht="12.75" x14ac:dyDescent="0.2"/>
    <row r="4499" s="197" customFormat="1" ht="12.75" x14ac:dyDescent="0.2"/>
    <row r="4500" s="197" customFormat="1" ht="12.75" x14ac:dyDescent="0.2"/>
    <row r="4501" s="197" customFormat="1" ht="12.75" x14ac:dyDescent="0.2"/>
    <row r="4502" s="197" customFormat="1" ht="12.75" x14ac:dyDescent="0.2"/>
    <row r="4503" s="197" customFormat="1" ht="12.75" x14ac:dyDescent="0.2"/>
    <row r="4504" s="197" customFormat="1" ht="12.75" x14ac:dyDescent="0.2"/>
    <row r="4505" s="197" customFormat="1" ht="12.75" x14ac:dyDescent="0.2"/>
    <row r="4506" s="197" customFormat="1" ht="12.75" x14ac:dyDescent="0.2"/>
    <row r="4507" s="197" customFormat="1" ht="12.75" x14ac:dyDescent="0.2"/>
    <row r="4508" s="197" customFormat="1" ht="12.75" x14ac:dyDescent="0.2"/>
    <row r="4509" s="197" customFormat="1" ht="12.75" x14ac:dyDescent="0.2"/>
    <row r="4510" s="197" customFormat="1" ht="12.75" x14ac:dyDescent="0.2"/>
    <row r="4511" s="197" customFormat="1" ht="12.75" x14ac:dyDescent="0.2"/>
    <row r="4512" s="197" customFormat="1" ht="12.75" x14ac:dyDescent="0.2"/>
    <row r="4513" s="197" customFormat="1" ht="12.75" x14ac:dyDescent="0.2"/>
    <row r="4514" s="197" customFormat="1" ht="12.75" x14ac:dyDescent="0.2"/>
    <row r="4515" s="197" customFormat="1" ht="12.75" x14ac:dyDescent="0.2"/>
    <row r="4516" s="197" customFormat="1" ht="12.75" x14ac:dyDescent="0.2"/>
    <row r="4517" s="197" customFormat="1" ht="12.75" x14ac:dyDescent="0.2"/>
    <row r="4518" s="197" customFormat="1" ht="12.75" x14ac:dyDescent="0.2"/>
    <row r="4519" s="197" customFormat="1" ht="12.75" x14ac:dyDescent="0.2"/>
    <row r="4520" s="197" customFormat="1" ht="12.75" x14ac:dyDescent="0.2"/>
    <row r="4521" s="197" customFormat="1" ht="12.75" x14ac:dyDescent="0.2"/>
    <row r="4522" s="197" customFormat="1" ht="12.75" x14ac:dyDescent="0.2"/>
    <row r="4523" s="197" customFormat="1" ht="12.75" x14ac:dyDescent="0.2"/>
    <row r="4524" s="197" customFormat="1" ht="12.75" x14ac:dyDescent="0.2"/>
    <row r="4525" s="197" customFormat="1" ht="12.75" x14ac:dyDescent="0.2"/>
    <row r="4526" s="197" customFormat="1" ht="12.75" x14ac:dyDescent="0.2"/>
    <row r="4527" s="197" customFormat="1" ht="12.75" x14ac:dyDescent="0.2"/>
    <row r="4528" s="197" customFormat="1" ht="12.75" x14ac:dyDescent="0.2"/>
    <row r="4529" s="197" customFormat="1" ht="12.75" x14ac:dyDescent="0.2"/>
    <row r="4530" s="197" customFormat="1" ht="12.75" x14ac:dyDescent="0.2"/>
    <row r="4531" s="197" customFormat="1" ht="12.75" x14ac:dyDescent="0.2"/>
    <row r="4532" s="197" customFormat="1" ht="12.75" x14ac:dyDescent="0.2"/>
    <row r="4533" s="197" customFormat="1" ht="12.75" x14ac:dyDescent="0.2"/>
    <row r="4534" s="197" customFormat="1" ht="12.75" x14ac:dyDescent="0.2"/>
    <row r="4535" s="197" customFormat="1" ht="12.75" x14ac:dyDescent="0.2"/>
    <row r="4536" s="197" customFormat="1" ht="12.75" x14ac:dyDescent="0.2"/>
    <row r="4537" s="197" customFormat="1" ht="12.75" x14ac:dyDescent="0.2"/>
    <row r="4538" s="197" customFormat="1" ht="12.75" x14ac:dyDescent="0.2"/>
    <row r="4539" s="197" customFormat="1" ht="12.75" x14ac:dyDescent="0.2"/>
    <row r="4540" s="197" customFormat="1" ht="12.75" x14ac:dyDescent="0.2"/>
    <row r="4541" s="197" customFormat="1" ht="12.75" x14ac:dyDescent="0.2"/>
    <row r="4542" s="197" customFormat="1" ht="12.75" x14ac:dyDescent="0.2"/>
    <row r="4543" s="197" customFormat="1" ht="12.75" x14ac:dyDescent="0.2"/>
    <row r="4544" s="197" customFormat="1" ht="12.75" x14ac:dyDescent="0.2"/>
    <row r="4545" s="197" customFormat="1" ht="12.75" x14ac:dyDescent="0.2"/>
    <row r="4546" s="197" customFormat="1" ht="12.75" x14ac:dyDescent="0.2"/>
    <row r="4547" s="197" customFormat="1" ht="12.75" x14ac:dyDescent="0.2"/>
    <row r="4548" s="197" customFormat="1" ht="12.75" x14ac:dyDescent="0.2"/>
    <row r="4549" s="197" customFormat="1" ht="12.75" x14ac:dyDescent="0.2"/>
    <row r="4550" s="197" customFormat="1" ht="12.75" x14ac:dyDescent="0.2"/>
    <row r="4551" s="197" customFormat="1" ht="12.75" x14ac:dyDescent="0.2"/>
    <row r="4552" s="197" customFormat="1" ht="12.75" x14ac:dyDescent="0.2"/>
    <row r="4553" s="197" customFormat="1" ht="12.75" x14ac:dyDescent="0.2"/>
    <row r="4554" s="197" customFormat="1" ht="12.75" x14ac:dyDescent="0.2"/>
    <row r="4555" s="197" customFormat="1" ht="12.75" x14ac:dyDescent="0.2"/>
    <row r="4556" s="197" customFormat="1" ht="12.75" x14ac:dyDescent="0.2"/>
    <row r="4557" s="197" customFormat="1" ht="12.75" x14ac:dyDescent="0.2"/>
    <row r="4558" s="197" customFormat="1" ht="12.75" x14ac:dyDescent="0.2"/>
    <row r="4559" s="197" customFormat="1" ht="12.75" x14ac:dyDescent="0.2"/>
    <row r="4560" s="197" customFormat="1" ht="12.75" x14ac:dyDescent="0.2"/>
    <row r="4561" s="197" customFormat="1" ht="12.75" x14ac:dyDescent="0.2"/>
    <row r="4562" s="197" customFormat="1" ht="12.75" x14ac:dyDescent="0.2"/>
    <row r="4563" s="197" customFormat="1" ht="12.75" x14ac:dyDescent="0.2"/>
    <row r="4564" s="197" customFormat="1" ht="12.75" x14ac:dyDescent="0.2"/>
    <row r="4565" s="197" customFormat="1" ht="12.75" x14ac:dyDescent="0.2"/>
    <row r="4566" s="197" customFormat="1" ht="12.75" x14ac:dyDescent="0.2"/>
    <row r="4567" s="197" customFormat="1" ht="12.75" x14ac:dyDescent="0.2"/>
    <row r="4568" s="197" customFormat="1" ht="12.75" x14ac:dyDescent="0.2"/>
    <row r="4569" s="197" customFormat="1" ht="12.75" x14ac:dyDescent="0.2"/>
    <row r="4570" s="197" customFormat="1" ht="12.75" x14ac:dyDescent="0.2"/>
    <row r="4571" s="197" customFormat="1" ht="12.75" x14ac:dyDescent="0.2"/>
    <row r="4572" s="197" customFormat="1" ht="12.75" x14ac:dyDescent="0.2"/>
    <row r="4573" s="197" customFormat="1" ht="12.75" x14ac:dyDescent="0.2"/>
    <row r="4574" s="197" customFormat="1" ht="12.75" x14ac:dyDescent="0.2"/>
    <row r="4575" s="197" customFormat="1" ht="12.75" x14ac:dyDescent="0.2"/>
    <row r="4576" s="197" customFormat="1" ht="12.75" x14ac:dyDescent="0.2"/>
    <row r="4577" s="197" customFormat="1" ht="12.75" x14ac:dyDescent="0.2"/>
    <row r="4578" s="197" customFormat="1" ht="12.75" x14ac:dyDescent="0.2"/>
    <row r="4579" s="197" customFormat="1" ht="12.75" x14ac:dyDescent="0.2"/>
    <row r="4580" s="197" customFormat="1" ht="12.75" x14ac:dyDescent="0.2"/>
    <row r="4581" s="197" customFormat="1" ht="12.75" x14ac:dyDescent="0.2"/>
    <row r="4582" s="197" customFormat="1" ht="12.75" x14ac:dyDescent="0.2"/>
    <row r="4583" s="197" customFormat="1" ht="12.75" x14ac:dyDescent="0.2"/>
    <row r="4584" s="197" customFormat="1" ht="12.75" x14ac:dyDescent="0.2"/>
    <row r="4585" s="197" customFormat="1" ht="12.75" x14ac:dyDescent="0.2"/>
    <row r="4586" s="197" customFormat="1" ht="12.75" x14ac:dyDescent="0.2"/>
    <row r="4587" s="197" customFormat="1" ht="12.75" x14ac:dyDescent="0.2"/>
    <row r="4588" s="197" customFormat="1" ht="12.75" x14ac:dyDescent="0.2"/>
    <row r="4589" s="197" customFormat="1" ht="12.75" x14ac:dyDescent="0.2"/>
    <row r="4590" s="197" customFormat="1" ht="12.75" x14ac:dyDescent="0.2"/>
    <row r="4591" s="197" customFormat="1" ht="12.75" x14ac:dyDescent="0.2"/>
    <row r="4592" s="197" customFormat="1" ht="12.75" x14ac:dyDescent="0.2"/>
    <row r="4593" s="197" customFormat="1" ht="12.75" x14ac:dyDescent="0.2"/>
    <row r="4594" s="197" customFormat="1" ht="12.75" x14ac:dyDescent="0.2"/>
    <row r="4595" s="197" customFormat="1" ht="12.75" x14ac:dyDescent="0.2"/>
    <row r="4596" s="197" customFormat="1" ht="12.75" x14ac:dyDescent="0.2"/>
    <row r="4597" s="197" customFormat="1" ht="12.75" x14ac:dyDescent="0.2"/>
    <row r="4598" s="197" customFormat="1" ht="12.75" x14ac:dyDescent="0.2"/>
    <row r="4599" s="197" customFormat="1" ht="12.75" x14ac:dyDescent="0.2"/>
    <row r="4600" s="197" customFormat="1" ht="12.75" x14ac:dyDescent="0.2"/>
    <row r="4601" s="197" customFormat="1" ht="12.75" x14ac:dyDescent="0.2"/>
    <row r="4602" s="197" customFormat="1" ht="12.75" x14ac:dyDescent="0.2"/>
    <row r="4603" s="197" customFormat="1" ht="12.75" x14ac:dyDescent="0.2"/>
    <row r="4604" s="197" customFormat="1" ht="12.75" x14ac:dyDescent="0.2"/>
    <row r="4605" s="197" customFormat="1" ht="12.75" x14ac:dyDescent="0.2"/>
    <row r="4606" s="197" customFormat="1" ht="12.75" x14ac:dyDescent="0.2"/>
    <row r="4607" s="197" customFormat="1" ht="12.75" x14ac:dyDescent="0.2"/>
    <row r="4608" s="197" customFormat="1" ht="12.75" x14ac:dyDescent="0.2"/>
    <row r="4609" s="197" customFormat="1" ht="12.75" x14ac:dyDescent="0.2"/>
    <row r="4610" s="197" customFormat="1" ht="12.75" x14ac:dyDescent="0.2"/>
    <row r="4611" s="197" customFormat="1" ht="12.75" x14ac:dyDescent="0.2"/>
    <row r="4612" s="197" customFormat="1" ht="12.75" x14ac:dyDescent="0.2"/>
    <row r="4613" s="197" customFormat="1" ht="12.75" x14ac:dyDescent="0.2"/>
    <row r="4614" s="197" customFormat="1" ht="12.75" x14ac:dyDescent="0.2"/>
    <row r="4615" s="197" customFormat="1" ht="12.75" x14ac:dyDescent="0.2"/>
    <row r="4616" s="197" customFormat="1" ht="12.75" x14ac:dyDescent="0.2"/>
    <row r="4617" s="197" customFormat="1" ht="12.75" x14ac:dyDescent="0.2"/>
    <row r="4618" s="197" customFormat="1" ht="12.75" x14ac:dyDescent="0.2"/>
    <row r="4619" s="197" customFormat="1" ht="12.75" x14ac:dyDescent="0.2"/>
    <row r="4620" s="197" customFormat="1" ht="12.75" x14ac:dyDescent="0.2"/>
    <row r="4621" s="197" customFormat="1" ht="12.75" x14ac:dyDescent="0.2"/>
    <row r="4622" s="197" customFormat="1" ht="12.75" x14ac:dyDescent="0.2"/>
    <row r="4623" s="197" customFormat="1" ht="12.75" x14ac:dyDescent="0.2"/>
    <row r="4624" s="197" customFormat="1" ht="12.75" x14ac:dyDescent="0.2"/>
    <row r="4625" s="197" customFormat="1" ht="12.75" x14ac:dyDescent="0.2"/>
    <row r="4626" s="197" customFormat="1" ht="12.75" x14ac:dyDescent="0.2"/>
    <row r="4627" s="197" customFormat="1" ht="12.75" x14ac:dyDescent="0.2"/>
    <row r="4628" s="197" customFormat="1" ht="12.75" x14ac:dyDescent="0.2"/>
    <row r="4629" s="197" customFormat="1" ht="12.75" x14ac:dyDescent="0.2"/>
    <row r="4630" s="197" customFormat="1" ht="12.75" x14ac:dyDescent="0.2"/>
    <row r="4631" s="197" customFormat="1" ht="12.75" x14ac:dyDescent="0.2"/>
    <row r="4632" s="197" customFormat="1" ht="12.75" x14ac:dyDescent="0.2"/>
    <row r="4633" s="197" customFormat="1" ht="12.75" x14ac:dyDescent="0.2"/>
    <row r="4634" s="197" customFormat="1" ht="12.75" x14ac:dyDescent="0.2"/>
    <row r="4635" s="197" customFormat="1" ht="12.75" x14ac:dyDescent="0.2"/>
    <row r="4636" s="197" customFormat="1" ht="12.75" x14ac:dyDescent="0.2"/>
    <row r="4637" s="197" customFormat="1" ht="12.75" x14ac:dyDescent="0.2"/>
    <row r="4638" s="197" customFormat="1" ht="12.75" x14ac:dyDescent="0.2"/>
    <row r="4639" s="197" customFormat="1" ht="12.75" x14ac:dyDescent="0.2"/>
    <row r="4640" s="197" customFormat="1" ht="12.75" x14ac:dyDescent="0.2"/>
    <row r="4641" s="197" customFormat="1" ht="12.75" x14ac:dyDescent="0.2"/>
    <row r="4642" s="197" customFormat="1" ht="12.75" x14ac:dyDescent="0.2"/>
    <row r="4643" s="197" customFormat="1" ht="12.75" x14ac:dyDescent="0.2"/>
    <row r="4644" s="197" customFormat="1" ht="12.75" x14ac:dyDescent="0.2"/>
    <row r="4645" s="197" customFormat="1" ht="12.75" x14ac:dyDescent="0.2"/>
    <row r="4646" s="197" customFormat="1" ht="12.75" x14ac:dyDescent="0.2"/>
    <row r="4647" s="197" customFormat="1" ht="12.75" x14ac:dyDescent="0.2"/>
    <row r="4648" s="197" customFormat="1" ht="12.75" x14ac:dyDescent="0.2"/>
    <row r="4649" s="197" customFormat="1" ht="12.75" x14ac:dyDescent="0.2"/>
    <row r="4650" s="197" customFormat="1" ht="12.75" x14ac:dyDescent="0.2"/>
    <row r="4651" s="197" customFormat="1" ht="12.75" x14ac:dyDescent="0.2"/>
    <row r="4652" s="197" customFormat="1" ht="12.75" x14ac:dyDescent="0.2"/>
    <row r="4653" s="197" customFormat="1" ht="12.75" x14ac:dyDescent="0.2"/>
    <row r="4654" s="197" customFormat="1" ht="12.75" x14ac:dyDescent="0.2"/>
    <row r="4655" s="197" customFormat="1" ht="12.75" x14ac:dyDescent="0.2"/>
    <row r="4656" s="197" customFormat="1" ht="12.75" x14ac:dyDescent="0.2"/>
    <row r="4657" s="197" customFormat="1" ht="12.75" x14ac:dyDescent="0.2"/>
    <row r="4658" s="197" customFormat="1" ht="12.75" x14ac:dyDescent="0.2"/>
    <row r="4659" s="197" customFormat="1" ht="12.75" x14ac:dyDescent="0.2"/>
    <row r="4660" s="197" customFormat="1" ht="12.75" x14ac:dyDescent="0.2"/>
    <row r="4661" s="197" customFormat="1" ht="12.75" x14ac:dyDescent="0.2"/>
    <row r="4662" s="197" customFormat="1" ht="12.75" x14ac:dyDescent="0.2"/>
    <row r="4663" s="197" customFormat="1" ht="12.75" x14ac:dyDescent="0.2"/>
    <row r="4664" s="197" customFormat="1" ht="12.75" x14ac:dyDescent="0.2"/>
    <row r="4665" s="197" customFormat="1" ht="12.75" x14ac:dyDescent="0.2"/>
    <row r="4666" s="197" customFormat="1" ht="12.75" x14ac:dyDescent="0.2"/>
    <row r="4667" s="197" customFormat="1" ht="12.75" x14ac:dyDescent="0.2"/>
    <row r="4668" s="197" customFormat="1" ht="12.75" x14ac:dyDescent="0.2"/>
    <row r="4669" s="197" customFormat="1" ht="12.75" x14ac:dyDescent="0.2"/>
    <row r="4670" s="197" customFormat="1" ht="12.75" x14ac:dyDescent="0.2"/>
    <row r="4671" s="197" customFormat="1" ht="12.75" x14ac:dyDescent="0.2"/>
    <row r="4672" s="197" customFormat="1" ht="12.75" x14ac:dyDescent="0.2"/>
    <row r="4673" s="197" customFormat="1" ht="12.75" x14ac:dyDescent="0.2"/>
    <row r="4674" s="197" customFormat="1" ht="12.75" x14ac:dyDescent="0.2"/>
    <row r="4675" s="197" customFormat="1" ht="12.75" x14ac:dyDescent="0.2"/>
    <row r="4676" s="197" customFormat="1" ht="12.75" x14ac:dyDescent="0.2"/>
    <row r="4677" s="197" customFormat="1" ht="12.75" x14ac:dyDescent="0.2"/>
    <row r="4678" s="197" customFormat="1" ht="12.75" x14ac:dyDescent="0.2"/>
    <row r="4679" s="197" customFormat="1" ht="12.75" x14ac:dyDescent="0.2"/>
    <row r="4680" s="197" customFormat="1" ht="12.75" x14ac:dyDescent="0.2"/>
    <row r="4681" s="197" customFormat="1" ht="12.75" x14ac:dyDescent="0.2"/>
    <row r="4682" s="197" customFormat="1" ht="12.75" x14ac:dyDescent="0.2"/>
    <row r="4683" s="197" customFormat="1" ht="12.75" x14ac:dyDescent="0.2"/>
    <row r="4684" s="197" customFormat="1" ht="12.75" x14ac:dyDescent="0.2"/>
    <row r="4685" s="197" customFormat="1" ht="12.75" x14ac:dyDescent="0.2"/>
    <row r="4686" s="197" customFormat="1" ht="12.75" x14ac:dyDescent="0.2"/>
    <row r="4687" s="197" customFormat="1" ht="12.75" x14ac:dyDescent="0.2"/>
    <row r="4688" s="197" customFormat="1" ht="12.75" x14ac:dyDescent="0.2"/>
    <row r="4689" s="197" customFormat="1" ht="12.75" x14ac:dyDescent="0.2"/>
    <row r="4690" s="197" customFormat="1" ht="12.75" x14ac:dyDescent="0.2"/>
    <row r="4691" s="197" customFormat="1" ht="12.75" x14ac:dyDescent="0.2"/>
    <row r="4692" s="197" customFormat="1" ht="12.75" x14ac:dyDescent="0.2"/>
    <row r="4693" s="197" customFormat="1" ht="12.75" x14ac:dyDescent="0.2"/>
    <row r="4694" s="197" customFormat="1" ht="12.75" x14ac:dyDescent="0.2"/>
    <row r="4695" s="197" customFormat="1" ht="12.75" x14ac:dyDescent="0.2"/>
    <row r="4696" s="197" customFormat="1" ht="12.75" x14ac:dyDescent="0.2"/>
    <row r="4697" s="197" customFormat="1" ht="12.75" x14ac:dyDescent="0.2"/>
    <row r="4698" s="197" customFormat="1" ht="12.75" x14ac:dyDescent="0.2"/>
    <row r="4699" s="197" customFormat="1" ht="12.75" x14ac:dyDescent="0.2"/>
    <row r="4700" s="197" customFormat="1" ht="12.75" x14ac:dyDescent="0.2"/>
    <row r="4701" s="197" customFormat="1" ht="12.75" x14ac:dyDescent="0.2"/>
    <row r="4702" s="197" customFormat="1" ht="12.75" x14ac:dyDescent="0.2"/>
    <row r="4703" s="197" customFormat="1" ht="12.75" x14ac:dyDescent="0.2"/>
    <row r="4704" s="197" customFormat="1" ht="12.75" x14ac:dyDescent="0.2"/>
    <row r="4705" s="197" customFormat="1" ht="12.75" x14ac:dyDescent="0.2"/>
    <row r="4706" s="197" customFormat="1" ht="12.75" x14ac:dyDescent="0.2"/>
    <row r="4707" s="197" customFormat="1" ht="12.75" x14ac:dyDescent="0.2"/>
    <row r="4708" s="197" customFormat="1" ht="12.75" x14ac:dyDescent="0.2"/>
    <row r="4709" s="197" customFormat="1" ht="12.75" x14ac:dyDescent="0.2"/>
    <row r="4710" s="197" customFormat="1" ht="12.75" x14ac:dyDescent="0.2"/>
    <row r="4711" s="197" customFormat="1" ht="12.75" x14ac:dyDescent="0.2"/>
    <row r="4712" s="197" customFormat="1" ht="12.75" x14ac:dyDescent="0.2"/>
    <row r="4713" s="197" customFormat="1" ht="12.75" x14ac:dyDescent="0.2"/>
    <row r="4714" s="197" customFormat="1" ht="12.75" x14ac:dyDescent="0.2"/>
    <row r="4715" s="197" customFormat="1" ht="12.75" x14ac:dyDescent="0.2"/>
    <row r="4716" s="197" customFormat="1" ht="12.75" x14ac:dyDescent="0.2"/>
    <row r="4717" s="197" customFormat="1" ht="12.75" x14ac:dyDescent="0.2"/>
    <row r="4718" s="197" customFormat="1" ht="12.75" x14ac:dyDescent="0.2"/>
    <row r="4719" s="197" customFormat="1" ht="12.75" x14ac:dyDescent="0.2"/>
    <row r="4720" s="197" customFormat="1" ht="12.75" x14ac:dyDescent="0.2"/>
    <row r="4721" s="197" customFormat="1" ht="12.75" x14ac:dyDescent="0.2"/>
    <row r="4722" s="197" customFormat="1" ht="12.75" x14ac:dyDescent="0.2"/>
    <row r="4723" s="197" customFormat="1" ht="12.75" x14ac:dyDescent="0.2"/>
    <row r="4724" s="197" customFormat="1" ht="12.75" x14ac:dyDescent="0.2"/>
    <row r="4725" s="197" customFormat="1" ht="12.75" x14ac:dyDescent="0.2"/>
    <row r="4726" s="197" customFormat="1" ht="12.75" x14ac:dyDescent="0.2"/>
    <row r="4727" s="197" customFormat="1" ht="12.75" x14ac:dyDescent="0.2"/>
    <row r="4728" s="197" customFormat="1" ht="12.75" x14ac:dyDescent="0.2"/>
    <row r="4729" s="197" customFormat="1" ht="12.75" x14ac:dyDescent="0.2"/>
    <row r="4730" s="197" customFormat="1" ht="12.75" x14ac:dyDescent="0.2"/>
    <row r="4731" s="197" customFormat="1" ht="12.75" x14ac:dyDescent="0.2"/>
    <row r="4732" s="197" customFormat="1" ht="12.75" x14ac:dyDescent="0.2"/>
    <row r="4733" s="197" customFormat="1" ht="12.75" x14ac:dyDescent="0.2"/>
    <row r="4734" s="197" customFormat="1" ht="12.75" x14ac:dyDescent="0.2"/>
    <row r="4735" s="197" customFormat="1" ht="12.75" x14ac:dyDescent="0.2"/>
    <row r="4736" s="197" customFormat="1" ht="12.75" x14ac:dyDescent="0.2"/>
    <row r="4737" s="197" customFormat="1" ht="12.75" x14ac:dyDescent="0.2"/>
    <row r="4738" s="197" customFormat="1" ht="12.75" x14ac:dyDescent="0.2"/>
    <row r="4739" s="197" customFormat="1" ht="12.75" x14ac:dyDescent="0.2"/>
    <row r="4740" s="197" customFormat="1" ht="12.75" x14ac:dyDescent="0.2"/>
    <row r="4741" s="197" customFormat="1" ht="12.75" x14ac:dyDescent="0.2"/>
    <row r="4742" s="197" customFormat="1" ht="12.75" x14ac:dyDescent="0.2"/>
    <row r="4743" s="197" customFormat="1" ht="12.75" x14ac:dyDescent="0.2"/>
    <row r="4744" s="197" customFormat="1" ht="12.75" x14ac:dyDescent="0.2"/>
    <row r="4745" s="197" customFormat="1" ht="12.75" x14ac:dyDescent="0.2"/>
    <row r="4746" s="197" customFormat="1" ht="12.75" x14ac:dyDescent="0.2"/>
    <row r="4747" s="197" customFormat="1" ht="12.75" x14ac:dyDescent="0.2"/>
    <row r="4748" s="197" customFormat="1" ht="12.75" x14ac:dyDescent="0.2"/>
    <row r="4749" s="197" customFormat="1" ht="12.75" x14ac:dyDescent="0.2"/>
    <row r="4750" s="197" customFormat="1" ht="12.75" x14ac:dyDescent="0.2"/>
    <row r="4751" s="197" customFormat="1" ht="12.75" x14ac:dyDescent="0.2"/>
    <row r="4752" s="197" customFormat="1" ht="12.75" x14ac:dyDescent="0.2"/>
    <row r="4753" s="197" customFormat="1" ht="12.75" x14ac:dyDescent="0.2"/>
    <row r="4754" s="197" customFormat="1" ht="12.75" x14ac:dyDescent="0.2"/>
    <row r="4755" s="197" customFormat="1" ht="12.75" x14ac:dyDescent="0.2"/>
    <row r="4756" s="197" customFormat="1" ht="12.75" x14ac:dyDescent="0.2"/>
    <row r="4757" s="197" customFormat="1" ht="12.75" x14ac:dyDescent="0.2"/>
    <row r="4758" s="197" customFormat="1" ht="12.75" x14ac:dyDescent="0.2"/>
    <row r="4759" s="197" customFormat="1" ht="12.75" x14ac:dyDescent="0.2"/>
    <row r="4760" s="197" customFormat="1" ht="12.75" x14ac:dyDescent="0.2"/>
    <row r="4761" s="197" customFormat="1" ht="12.75" x14ac:dyDescent="0.2"/>
    <row r="4762" s="197" customFormat="1" ht="12.75" x14ac:dyDescent="0.2"/>
    <row r="4763" s="197" customFormat="1" ht="12.75" x14ac:dyDescent="0.2"/>
    <row r="4764" s="197" customFormat="1" ht="12.75" x14ac:dyDescent="0.2"/>
    <row r="4765" s="197" customFormat="1" ht="12.75" x14ac:dyDescent="0.2"/>
    <row r="4766" s="197" customFormat="1" ht="12.75" x14ac:dyDescent="0.2"/>
    <row r="4767" s="197" customFormat="1" ht="12.75" x14ac:dyDescent="0.2"/>
    <row r="4768" s="197" customFormat="1" ht="12.75" x14ac:dyDescent="0.2"/>
    <row r="4769" s="197" customFormat="1" ht="12.75" x14ac:dyDescent="0.2"/>
    <row r="4770" s="197" customFormat="1" ht="12.75" x14ac:dyDescent="0.2"/>
    <row r="4771" s="197" customFormat="1" ht="12.75" x14ac:dyDescent="0.2"/>
    <row r="4772" s="197" customFormat="1" ht="12.75" x14ac:dyDescent="0.2"/>
    <row r="4773" s="197" customFormat="1" ht="12.75" x14ac:dyDescent="0.2"/>
    <row r="4774" s="197" customFormat="1" ht="12.75" x14ac:dyDescent="0.2"/>
    <row r="4775" s="197" customFormat="1" ht="12.75" x14ac:dyDescent="0.2"/>
    <row r="4776" s="197" customFormat="1" ht="12.75" x14ac:dyDescent="0.2"/>
    <row r="4777" s="197" customFormat="1" ht="12.75" x14ac:dyDescent="0.2"/>
    <row r="4778" s="197" customFormat="1" ht="12.75" x14ac:dyDescent="0.2"/>
    <row r="4779" s="197" customFormat="1" ht="12.75" x14ac:dyDescent="0.2"/>
    <row r="4780" s="197" customFormat="1" ht="12.75" x14ac:dyDescent="0.2"/>
    <row r="4781" s="197" customFormat="1" ht="12.75" x14ac:dyDescent="0.2"/>
    <row r="4782" s="197" customFormat="1" ht="12.75" x14ac:dyDescent="0.2"/>
    <row r="4783" s="197" customFormat="1" ht="12.75" x14ac:dyDescent="0.2"/>
    <row r="4784" s="197" customFormat="1" ht="12.75" x14ac:dyDescent="0.2"/>
    <row r="4785" s="197" customFormat="1" ht="12.75" x14ac:dyDescent="0.2"/>
    <row r="4786" s="197" customFormat="1" ht="12.75" x14ac:dyDescent="0.2"/>
    <row r="4787" s="197" customFormat="1" ht="12.75" x14ac:dyDescent="0.2"/>
    <row r="4788" s="197" customFormat="1" ht="12.75" x14ac:dyDescent="0.2"/>
    <row r="4789" s="197" customFormat="1" ht="12.75" x14ac:dyDescent="0.2"/>
    <row r="4790" s="197" customFormat="1" ht="12.75" x14ac:dyDescent="0.2"/>
    <row r="4791" s="197" customFormat="1" ht="12.75" x14ac:dyDescent="0.2"/>
    <row r="4792" s="197" customFormat="1" ht="12.75" x14ac:dyDescent="0.2"/>
    <row r="4793" s="197" customFormat="1" ht="12.75" x14ac:dyDescent="0.2"/>
    <row r="4794" s="197" customFormat="1" ht="12.75" x14ac:dyDescent="0.2"/>
    <row r="4795" s="197" customFormat="1" ht="12.75" x14ac:dyDescent="0.2"/>
    <row r="4796" s="197" customFormat="1" ht="12.75" x14ac:dyDescent="0.2"/>
    <row r="4797" s="197" customFormat="1" ht="12.75" x14ac:dyDescent="0.2"/>
    <row r="4798" s="197" customFormat="1" ht="12.75" x14ac:dyDescent="0.2"/>
    <row r="4799" s="197" customFormat="1" ht="12.75" x14ac:dyDescent="0.2"/>
    <row r="4800" s="197" customFormat="1" ht="12.75" x14ac:dyDescent="0.2"/>
    <row r="4801" s="197" customFormat="1" ht="12.75" x14ac:dyDescent="0.2"/>
    <row r="4802" s="197" customFormat="1" ht="12.75" x14ac:dyDescent="0.2"/>
    <row r="4803" s="197" customFormat="1" ht="12.75" x14ac:dyDescent="0.2"/>
    <row r="4804" s="197" customFormat="1" ht="12.75" x14ac:dyDescent="0.2"/>
    <row r="4805" s="197" customFormat="1" ht="12.75" x14ac:dyDescent="0.2"/>
    <row r="4806" s="197" customFormat="1" ht="12.75" x14ac:dyDescent="0.2"/>
    <row r="4807" s="197" customFormat="1" ht="12.75" x14ac:dyDescent="0.2"/>
    <row r="4808" s="197" customFormat="1" ht="12.75" x14ac:dyDescent="0.2"/>
    <row r="4809" s="197" customFormat="1" ht="12.75" x14ac:dyDescent="0.2"/>
    <row r="4810" s="197" customFormat="1" ht="12.75" x14ac:dyDescent="0.2"/>
    <row r="4811" s="197" customFormat="1" ht="12.75" x14ac:dyDescent="0.2"/>
    <row r="4812" s="197" customFormat="1" ht="12.75" x14ac:dyDescent="0.2"/>
    <row r="4813" s="197" customFormat="1" ht="12.75" x14ac:dyDescent="0.2"/>
    <row r="4814" s="197" customFormat="1" ht="12.75" x14ac:dyDescent="0.2"/>
    <row r="4815" s="197" customFormat="1" ht="12.75" x14ac:dyDescent="0.2"/>
    <row r="4816" s="197" customFormat="1" ht="12.75" x14ac:dyDescent="0.2"/>
    <row r="4817" s="197" customFormat="1" ht="12.75" x14ac:dyDescent="0.2"/>
    <row r="4818" s="197" customFormat="1" ht="12.75" x14ac:dyDescent="0.2"/>
    <row r="4819" s="197" customFormat="1" ht="12.75" x14ac:dyDescent="0.2"/>
    <row r="4820" s="197" customFormat="1" ht="12.75" x14ac:dyDescent="0.2"/>
    <row r="4821" s="197" customFormat="1" ht="12.75" x14ac:dyDescent="0.2"/>
    <row r="4822" s="197" customFormat="1" ht="12.75" x14ac:dyDescent="0.2"/>
    <row r="4823" s="197" customFormat="1" ht="12.75" x14ac:dyDescent="0.2"/>
    <row r="4824" s="197" customFormat="1" ht="12.75" x14ac:dyDescent="0.2"/>
    <row r="4825" s="197" customFormat="1" ht="12.75" x14ac:dyDescent="0.2"/>
    <row r="4826" s="197" customFormat="1" ht="12.75" x14ac:dyDescent="0.2"/>
    <row r="4827" s="197" customFormat="1" ht="12.75" x14ac:dyDescent="0.2"/>
    <row r="4828" s="197" customFormat="1" ht="12.75" x14ac:dyDescent="0.2"/>
    <row r="4829" s="197" customFormat="1" ht="12.75" x14ac:dyDescent="0.2"/>
    <row r="4830" s="197" customFormat="1" ht="12.75" x14ac:dyDescent="0.2"/>
    <row r="4831" s="197" customFormat="1" ht="12.75" x14ac:dyDescent="0.2"/>
    <row r="4832" s="197" customFormat="1" ht="12.75" x14ac:dyDescent="0.2"/>
    <row r="4833" s="197" customFormat="1" ht="12.75" x14ac:dyDescent="0.2"/>
    <row r="4834" s="197" customFormat="1" ht="12.75" x14ac:dyDescent="0.2"/>
    <row r="4835" s="197" customFormat="1" ht="12.75" x14ac:dyDescent="0.2"/>
    <row r="4836" s="197" customFormat="1" ht="12.75" x14ac:dyDescent="0.2"/>
    <row r="4837" s="197" customFormat="1" ht="12.75" x14ac:dyDescent="0.2"/>
    <row r="4838" s="197" customFormat="1" ht="12.75" x14ac:dyDescent="0.2"/>
    <row r="4839" s="197" customFormat="1" ht="12.75" x14ac:dyDescent="0.2"/>
    <row r="4840" s="197" customFormat="1" ht="12.75" x14ac:dyDescent="0.2"/>
    <row r="4841" s="197" customFormat="1" ht="12.75" x14ac:dyDescent="0.2"/>
    <row r="4842" s="197" customFormat="1" ht="12.75" x14ac:dyDescent="0.2"/>
    <row r="4843" s="197" customFormat="1" ht="12.75" x14ac:dyDescent="0.2"/>
    <row r="4844" s="197" customFormat="1" ht="12.75" x14ac:dyDescent="0.2"/>
    <row r="4845" s="197" customFormat="1" ht="12.75" x14ac:dyDescent="0.2"/>
    <row r="4846" s="197" customFormat="1" ht="12.75" x14ac:dyDescent="0.2"/>
    <row r="4847" s="197" customFormat="1" ht="12.75" x14ac:dyDescent="0.2"/>
    <row r="4848" s="197" customFormat="1" ht="12.75" x14ac:dyDescent="0.2"/>
    <row r="4849" s="197" customFormat="1" ht="12.75" x14ac:dyDescent="0.2"/>
    <row r="4850" s="197" customFormat="1" ht="12.75" x14ac:dyDescent="0.2"/>
    <row r="4851" s="197" customFormat="1" ht="12.75" x14ac:dyDescent="0.2"/>
    <row r="4852" s="197" customFormat="1" ht="12.75" x14ac:dyDescent="0.2"/>
    <row r="4853" s="197" customFormat="1" ht="12.75" x14ac:dyDescent="0.2"/>
    <row r="4854" s="197" customFormat="1" ht="12.75" x14ac:dyDescent="0.2"/>
    <row r="4855" s="197" customFormat="1" ht="12.75" x14ac:dyDescent="0.2"/>
    <row r="4856" s="197" customFormat="1" ht="12.75" x14ac:dyDescent="0.2"/>
    <row r="4857" s="197" customFormat="1" ht="12.75" x14ac:dyDescent="0.2"/>
    <row r="4858" s="197" customFormat="1" ht="12.75" x14ac:dyDescent="0.2"/>
    <row r="4859" s="197" customFormat="1" ht="12.75" x14ac:dyDescent="0.2"/>
    <row r="4860" s="197" customFormat="1" ht="12.75" x14ac:dyDescent="0.2"/>
    <row r="4861" s="197" customFormat="1" ht="12.75" x14ac:dyDescent="0.2"/>
    <row r="4862" s="197" customFormat="1" ht="12.75" x14ac:dyDescent="0.2"/>
    <row r="4863" s="197" customFormat="1" ht="12.75" x14ac:dyDescent="0.2"/>
    <row r="4864" s="197" customFormat="1" ht="12.75" x14ac:dyDescent="0.2"/>
    <row r="4865" s="197" customFormat="1" ht="12.75" x14ac:dyDescent="0.2"/>
    <row r="4866" s="197" customFormat="1" ht="12.75" x14ac:dyDescent="0.2"/>
    <row r="4867" s="197" customFormat="1" ht="12.75" x14ac:dyDescent="0.2"/>
    <row r="4868" s="197" customFormat="1" ht="12.75" x14ac:dyDescent="0.2"/>
    <row r="4869" s="197" customFormat="1" ht="12.75" x14ac:dyDescent="0.2"/>
    <row r="4870" s="197" customFormat="1" ht="12.75" x14ac:dyDescent="0.2"/>
    <row r="4871" s="197" customFormat="1" ht="12.75" x14ac:dyDescent="0.2"/>
    <row r="4872" s="197" customFormat="1" ht="12.75" x14ac:dyDescent="0.2"/>
    <row r="4873" s="197" customFormat="1" ht="12.75" x14ac:dyDescent="0.2"/>
    <row r="4874" s="197" customFormat="1" ht="12.75" x14ac:dyDescent="0.2"/>
    <row r="4875" s="197" customFormat="1" ht="12.75" x14ac:dyDescent="0.2"/>
    <row r="4876" s="197" customFormat="1" ht="12.75" x14ac:dyDescent="0.2"/>
    <row r="4877" s="197" customFormat="1" ht="12.75" x14ac:dyDescent="0.2"/>
    <row r="4878" s="197" customFormat="1" ht="12.75" x14ac:dyDescent="0.2"/>
    <row r="4879" s="197" customFormat="1" ht="12.75" x14ac:dyDescent="0.2"/>
    <row r="4880" s="197" customFormat="1" ht="12.75" x14ac:dyDescent="0.2"/>
    <row r="4881" s="197" customFormat="1" ht="12.75" x14ac:dyDescent="0.2"/>
    <row r="4882" s="197" customFormat="1" ht="12.75" x14ac:dyDescent="0.2"/>
    <row r="4883" s="197" customFormat="1" ht="12.75" x14ac:dyDescent="0.2"/>
    <row r="4884" s="197" customFormat="1" ht="12.75" x14ac:dyDescent="0.2"/>
    <row r="4885" s="197" customFormat="1" ht="12.75" x14ac:dyDescent="0.2"/>
    <row r="4886" s="197" customFormat="1" ht="12.75" x14ac:dyDescent="0.2"/>
    <row r="4887" s="197" customFormat="1" ht="12.75" x14ac:dyDescent="0.2"/>
    <row r="4888" s="197" customFormat="1" ht="12.75" x14ac:dyDescent="0.2"/>
    <row r="4889" s="197" customFormat="1" ht="12.75" x14ac:dyDescent="0.2"/>
    <row r="4890" s="197" customFormat="1" ht="12.75" x14ac:dyDescent="0.2"/>
    <row r="4891" s="197" customFormat="1" ht="12.75" x14ac:dyDescent="0.2"/>
    <row r="4892" s="197" customFormat="1" ht="12.75" x14ac:dyDescent="0.2"/>
    <row r="4893" s="197" customFormat="1" ht="12.75" x14ac:dyDescent="0.2"/>
    <row r="4894" s="197" customFormat="1" ht="12.75" x14ac:dyDescent="0.2"/>
    <row r="4895" s="197" customFormat="1" ht="12.75" x14ac:dyDescent="0.2"/>
    <row r="4896" s="197" customFormat="1" ht="12.75" x14ac:dyDescent="0.2"/>
    <row r="4897" s="197" customFormat="1" ht="12.75" x14ac:dyDescent="0.2"/>
    <row r="4898" s="197" customFormat="1" ht="12.75" x14ac:dyDescent="0.2"/>
    <row r="4899" s="197" customFormat="1" ht="12.75" x14ac:dyDescent="0.2"/>
    <row r="4900" s="197" customFormat="1" ht="12.75" x14ac:dyDescent="0.2"/>
    <row r="4901" s="197" customFormat="1" ht="12.75" x14ac:dyDescent="0.2"/>
    <row r="4902" s="197" customFormat="1" ht="12.75" x14ac:dyDescent="0.2"/>
    <row r="4903" s="197" customFormat="1" ht="12.75" x14ac:dyDescent="0.2"/>
    <row r="4904" s="197" customFormat="1" ht="12.75" x14ac:dyDescent="0.2"/>
    <row r="4905" s="197" customFormat="1" ht="12.75" x14ac:dyDescent="0.2"/>
    <row r="4906" s="197" customFormat="1" ht="12.75" x14ac:dyDescent="0.2"/>
    <row r="4907" s="197" customFormat="1" ht="12.75" x14ac:dyDescent="0.2"/>
    <row r="4908" s="197" customFormat="1" ht="12.75" x14ac:dyDescent="0.2"/>
    <row r="4909" s="197" customFormat="1" ht="12.75" x14ac:dyDescent="0.2"/>
    <row r="4910" s="197" customFormat="1" ht="12.75" x14ac:dyDescent="0.2"/>
    <row r="4911" s="197" customFormat="1" ht="12.75" x14ac:dyDescent="0.2"/>
    <row r="4912" s="197" customFormat="1" ht="12.75" x14ac:dyDescent="0.2"/>
    <row r="4913" s="197" customFormat="1" ht="12.75" x14ac:dyDescent="0.2"/>
    <row r="4914" s="197" customFormat="1" ht="12.75" x14ac:dyDescent="0.2"/>
    <row r="4915" s="197" customFormat="1" ht="12.75" x14ac:dyDescent="0.2"/>
    <row r="4916" s="197" customFormat="1" ht="12.75" x14ac:dyDescent="0.2"/>
    <row r="4917" s="197" customFormat="1" ht="12.75" x14ac:dyDescent="0.2"/>
    <row r="4918" s="197" customFormat="1" ht="12.75" x14ac:dyDescent="0.2"/>
    <row r="4919" s="197" customFormat="1" ht="12.75" x14ac:dyDescent="0.2"/>
    <row r="4920" s="197" customFormat="1" ht="12.75" x14ac:dyDescent="0.2"/>
    <row r="4921" s="197" customFormat="1" ht="12.75" x14ac:dyDescent="0.2"/>
    <row r="4922" s="197" customFormat="1" ht="12.75" x14ac:dyDescent="0.2"/>
    <row r="4923" s="197" customFormat="1" ht="12.75" x14ac:dyDescent="0.2"/>
    <row r="4924" s="197" customFormat="1" ht="12.75" x14ac:dyDescent="0.2"/>
    <row r="4925" s="197" customFormat="1" ht="12.75" x14ac:dyDescent="0.2"/>
    <row r="4926" s="197" customFormat="1" ht="12.75" x14ac:dyDescent="0.2"/>
    <row r="4927" s="197" customFormat="1" ht="12.75" x14ac:dyDescent="0.2"/>
    <row r="4928" s="197" customFormat="1" ht="12.75" x14ac:dyDescent="0.2"/>
    <row r="4929" s="197" customFormat="1" ht="12.75" x14ac:dyDescent="0.2"/>
    <row r="4930" s="197" customFormat="1" ht="12.75" x14ac:dyDescent="0.2"/>
    <row r="4931" s="197" customFormat="1" ht="12.75" x14ac:dyDescent="0.2"/>
    <row r="4932" s="197" customFormat="1" ht="12.75" x14ac:dyDescent="0.2"/>
    <row r="4933" s="197" customFormat="1" ht="12.75" x14ac:dyDescent="0.2"/>
    <row r="4934" s="197" customFormat="1" ht="12.75" x14ac:dyDescent="0.2"/>
    <row r="4935" s="197" customFormat="1" ht="12.75" x14ac:dyDescent="0.2"/>
    <row r="4936" s="197" customFormat="1" ht="12.75" x14ac:dyDescent="0.2"/>
    <row r="4937" s="197" customFormat="1" ht="12.75" x14ac:dyDescent="0.2"/>
    <row r="4938" s="197" customFormat="1" ht="12.75" x14ac:dyDescent="0.2"/>
    <row r="4939" s="197" customFormat="1" ht="12.75" x14ac:dyDescent="0.2"/>
    <row r="4940" s="197" customFormat="1" ht="12.75" x14ac:dyDescent="0.2"/>
    <row r="4941" s="197" customFormat="1" ht="12.75" x14ac:dyDescent="0.2"/>
    <row r="4942" s="197" customFormat="1" ht="12.75" x14ac:dyDescent="0.2"/>
    <row r="4943" s="197" customFormat="1" ht="12.75" x14ac:dyDescent="0.2"/>
    <row r="4944" s="197" customFormat="1" ht="12.75" x14ac:dyDescent="0.2"/>
    <row r="4945" s="197" customFormat="1" ht="12.75" x14ac:dyDescent="0.2"/>
    <row r="4946" s="197" customFormat="1" ht="12.75" x14ac:dyDescent="0.2"/>
    <row r="4947" s="197" customFormat="1" ht="12.75" x14ac:dyDescent="0.2"/>
    <row r="4948" s="197" customFormat="1" ht="12.75" x14ac:dyDescent="0.2"/>
    <row r="4949" s="197" customFormat="1" ht="12.75" x14ac:dyDescent="0.2"/>
    <row r="4950" s="197" customFormat="1" ht="12.75" x14ac:dyDescent="0.2"/>
    <row r="4951" s="197" customFormat="1" ht="12.75" x14ac:dyDescent="0.2"/>
    <row r="4952" s="197" customFormat="1" ht="12.75" x14ac:dyDescent="0.2"/>
    <row r="4953" s="197" customFormat="1" ht="12.75" x14ac:dyDescent="0.2"/>
    <row r="4954" s="197" customFormat="1" ht="12.75" x14ac:dyDescent="0.2"/>
    <row r="4955" s="197" customFormat="1" ht="12.75" x14ac:dyDescent="0.2"/>
    <row r="4956" s="197" customFormat="1" ht="12.75" x14ac:dyDescent="0.2"/>
    <row r="4957" s="197" customFormat="1" ht="12.75" x14ac:dyDescent="0.2"/>
    <row r="4958" s="197" customFormat="1" ht="12.75" x14ac:dyDescent="0.2"/>
    <row r="4959" s="197" customFormat="1" ht="12.75" x14ac:dyDescent="0.2"/>
    <row r="4960" s="197" customFormat="1" ht="12.75" x14ac:dyDescent="0.2"/>
    <row r="4961" s="197" customFormat="1" ht="12.75" x14ac:dyDescent="0.2"/>
    <row r="4962" s="197" customFormat="1" ht="12.75" x14ac:dyDescent="0.2"/>
    <row r="4963" s="197" customFormat="1" ht="12.75" x14ac:dyDescent="0.2"/>
    <row r="4964" s="197" customFormat="1" ht="12.75" x14ac:dyDescent="0.2"/>
    <row r="4965" s="197" customFormat="1" ht="12.75" x14ac:dyDescent="0.2"/>
    <row r="4966" s="197" customFormat="1" ht="12.75" x14ac:dyDescent="0.2"/>
    <row r="4967" s="197" customFormat="1" ht="12.75" x14ac:dyDescent="0.2"/>
    <row r="4968" s="197" customFormat="1" ht="12.75" x14ac:dyDescent="0.2"/>
    <row r="4969" s="197" customFormat="1" ht="12.75" x14ac:dyDescent="0.2"/>
    <row r="4970" s="197" customFormat="1" ht="12.75" x14ac:dyDescent="0.2"/>
    <row r="4971" s="197" customFormat="1" ht="12.75" x14ac:dyDescent="0.2"/>
    <row r="4972" s="197" customFormat="1" ht="12.75" x14ac:dyDescent="0.2"/>
    <row r="4973" s="197" customFormat="1" ht="12.75" x14ac:dyDescent="0.2"/>
    <row r="4974" s="197" customFormat="1" ht="12.75" x14ac:dyDescent="0.2"/>
    <row r="4975" s="197" customFormat="1" ht="12.75" x14ac:dyDescent="0.2"/>
    <row r="4976" s="197" customFormat="1" ht="12.75" x14ac:dyDescent="0.2"/>
    <row r="4977" s="197" customFormat="1" ht="12.75" x14ac:dyDescent="0.2"/>
    <row r="4978" s="197" customFormat="1" ht="12.75" x14ac:dyDescent="0.2"/>
    <row r="4979" s="197" customFormat="1" ht="12.75" x14ac:dyDescent="0.2"/>
    <row r="4980" s="197" customFormat="1" ht="12.75" x14ac:dyDescent="0.2"/>
    <row r="4981" s="197" customFormat="1" ht="12.75" x14ac:dyDescent="0.2"/>
    <row r="4982" s="197" customFormat="1" ht="12.75" x14ac:dyDescent="0.2"/>
    <row r="4983" s="197" customFormat="1" ht="12.75" x14ac:dyDescent="0.2"/>
    <row r="4984" s="197" customFormat="1" ht="12.75" x14ac:dyDescent="0.2"/>
    <row r="4985" s="197" customFormat="1" ht="12.75" x14ac:dyDescent="0.2"/>
    <row r="4986" s="197" customFormat="1" ht="12.75" x14ac:dyDescent="0.2"/>
    <row r="4987" s="197" customFormat="1" ht="12.75" x14ac:dyDescent="0.2"/>
    <row r="4988" s="197" customFormat="1" ht="12.75" x14ac:dyDescent="0.2"/>
    <row r="4989" s="197" customFormat="1" ht="12.75" x14ac:dyDescent="0.2"/>
    <row r="4990" s="197" customFormat="1" ht="12.75" x14ac:dyDescent="0.2"/>
    <row r="4991" s="197" customFormat="1" ht="12.75" x14ac:dyDescent="0.2"/>
    <row r="4992" s="197" customFormat="1" ht="12.75" x14ac:dyDescent="0.2"/>
    <row r="4993" s="197" customFormat="1" ht="12.75" x14ac:dyDescent="0.2"/>
    <row r="4994" s="197" customFormat="1" ht="12.75" x14ac:dyDescent="0.2"/>
    <row r="4995" s="197" customFormat="1" ht="12.75" x14ac:dyDescent="0.2"/>
    <row r="4996" s="197" customFormat="1" ht="12.75" x14ac:dyDescent="0.2"/>
    <row r="4997" s="197" customFormat="1" ht="12.75" x14ac:dyDescent="0.2"/>
    <row r="4998" s="197" customFormat="1" ht="12.75" x14ac:dyDescent="0.2"/>
    <row r="4999" s="197" customFormat="1" ht="12.75" x14ac:dyDescent="0.2"/>
    <row r="5000" s="197" customFormat="1" ht="12.75" x14ac:dyDescent="0.2"/>
    <row r="5001" s="197" customFormat="1" ht="12.75" x14ac:dyDescent="0.2"/>
    <row r="5002" s="197" customFormat="1" ht="12.75" x14ac:dyDescent="0.2"/>
    <row r="5003" s="197" customFormat="1" ht="12.75" x14ac:dyDescent="0.2"/>
    <row r="5004" s="197" customFormat="1" ht="12.75" x14ac:dyDescent="0.2"/>
    <row r="5005" s="197" customFormat="1" ht="12.75" x14ac:dyDescent="0.2"/>
    <row r="5006" s="197" customFormat="1" ht="12.75" x14ac:dyDescent="0.2"/>
    <row r="5007" s="197" customFormat="1" ht="12.75" x14ac:dyDescent="0.2"/>
    <row r="5008" s="197" customFormat="1" ht="12.75" x14ac:dyDescent="0.2"/>
    <row r="5009" s="197" customFormat="1" ht="12.75" x14ac:dyDescent="0.2"/>
    <row r="5010" s="197" customFormat="1" ht="12.75" x14ac:dyDescent="0.2"/>
    <row r="5011" s="197" customFormat="1" ht="12.75" x14ac:dyDescent="0.2"/>
    <row r="5012" s="197" customFormat="1" ht="12.75" x14ac:dyDescent="0.2"/>
    <row r="5013" s="197" customFormat="1" ht="12.75" x14ac:dyDescent="0.2"/>
    <row r="5014" s="197" customFormat="1" ht="12.75" x14ac:dyDescent="0.2"/>
    <row r="5015" s="197" customFormat="1" ht="12.75" x14ac:dyDescent="0.2"/>
    <row r="5016" s="197" customFormat="1" ht="12.75" x14ac:dyDescent="0.2"/>
    <row r="5017" s="197" customFormat="1" ht="12.75" x14ac:dyDescent="0.2"/>
    <row r="5018" s="197" customFormat="1" ht="12.75" x14ac:dyDescent="0.2"/>
    <row r="5019" s="197" customFormat="1" ht="12.75" x14ac:dyDescent="0.2"/>
    <row r="5020" s="197" customFormat="1" ht="12.75" x14ac:dyDescent="0.2"/>
    <row r="5021" s="197" customFormat="1" ht="12.75" x14ac:dyDescent="0.2"/>
    <row r="5022" s="197" customFormat="1" ht="12.75" x14ac:dyDescent="0.2"/>
    <row r="5023" s="197" customFormat="1" ht="12.75" x14ac:dyDescent="0.2"/>
    <row r="5024" s="197" customFormat="1" ht="12.75" x14ac:dyDescent="0.2"/>
    <row r="5025" s="197" customFormat="1" ht="12.75" x14ac:dyDescent="0.2"/>
    <row r="5026" s="197" customFormat="1" ht="12.75" x14ac:dyDescent="0.2"/>
    <row r="5027" s="197" customFormat="1" ht="12.75" x14ac:dyDescent="0.2"/>
    <row r="5028" s="197" customFormat="1" ht="12.75" x14ac:dyDescent="0.2"/>
    <row r="5029" s="197" customFormat="1" ht="12.75" x14ac:dyDescent="0.2"/>
    <row r="5030" s="197" customFormat="1" ht="12.75" x14ac:dyDescent="0.2"/>
    <row r="5031" s="197" customFormat="1" ht="12.75" x14ac:dyDescent="0.2"/>
    <row r="5032" s="197" customFormat="1" ht="12.75" x14ac:dyDescent="0.2"/>
    <row r="5033" s="197" customFormat="1" ht="12.75" x14ac:dyDescent="0.2"/>
    <row r="5034" s="197" customFormat="1" ht="12.75" x14ac:dyDescent="0.2"/>
    <row r="5035" s="197" customFormat="1" ht="12.75" x14ac:dyDescent="0.2"/>
    <row r="5036" s="197" customFormat="1" ht="12.75" x14ac:dyDescent="0.2"/>
    <row r="5037" s="197" customFormat="1" ht="12.75" x14ac:dyDescent="0.2"/>
    <row r="5038" s="197" customFormat="1" ht="12.75" x14ac:dyDescent="0.2"/>
    <row r="5039" s="197" customFormat="1" ht="12.75" x14ac:dyDescent="0.2"/>
    <row r="5040" s="197" customFormat="1" ht="12.75" x14ac:dyDescent="0.2"/>
    <row r="5041" s="197" customFormat="1" ht="12.75" x14ac:dyDescent="0.2"/>
    <row r="5042" s="197" customFormat="1" ht="12.75" x14ac:dyDescent="0.2"/>
    <row r="5043" s="197" customFormat="1" ht="12.75" x14ac:dyDescent="0.2"/>
    <row r="5044" s="197" customFormat="1" ht="12.75" x14ac:dyDescent="0.2"/>
    <row r="5045" s="197" customFormat="1" ht="12.75" x14ac:dyDescent="0.2"/>
    <row r="5046" s="197" customFormat="1" ht="12.75" x14ac:dyDescent="0.2"/>
    <row r="5047" s="197" customFormat="1" ht="12.75" x14ac:dyDescent="0.2"/>
    <row r="5048" s="197" customFormat="1" ht="12.75" x14ac:dyDescent="0.2"/>
    <row r="5049" s="197" customFormat="1" ht="12.75" x14ac:dyDescent="0.2"/>
    <row r="5050" s="197" customFormat="1" ht="12.75" x14ac:dyDescent="0.2"/>
    <row r="5051" s="197" customFormat="1" ht="12.75" x14ac:dyDescent="0.2"/>
    <row r="5052" s="197" customFormat="1" ht="12.75" x14ac:dyDescent="0.2"/>
    <row r="5053" s="197" customFormat="1" ht="12.75" x14ac:dyDescent="0.2"/>
    <row r="5054" s="197" customFormat="1" ht="12.75" x14ac:dyDescent="0.2"/>
    <row r="5055" s="197" customFormat="1" ht="12.75" x14ac:dyDescent="0.2"/>
    <row r="5056" s="197" customFormat="1" ht="12.75" x14ac:dyDescent="0.2"/>
    <row r="5057" s="197" customFormat="1" ht="12.75" x14ac:dyDescent="0.2"/>
    <row r="5058" s="197" customFormat="1" ht="12.75" x14ac:dyDescent="0.2"/>
    <row r="5059" s="197" customFormat="1" ht="12.75" x14ac:dyDescent="0.2"/>
    <row r="5060" s="197" customFormat="1" ht="12.75" x14ac:dyDescent="0.2"/>
    <row r="5061" s="197" customFormat="1" ht="12.75" x14ac:dyDescent="0.2"/>
    <row r="5062" s="197" customFormat="1" ht="12.75" x14ac:dyDescent="0.2"/>
    <row r="5063" s="197" customFormat="1" ht="12.75" x14ac:dyDescent="0.2"/>
    <row r="5064" s="197" customFormat="1" ht="12.75" x14ac:dyDescent="0.2"/>
    <row r="5065" s="197" customFormat="1" ht="12.75" x14ac:dyDescent="0.2"/>
    <row r="5066" s="197" customFormat="1" ht="12.75" x14ac:dyDescent="0.2"/>
    <row r="5067" s="197" customFormat="1" ht="12.75" x14ac:dyDescent="0.2"/>
    <row r="5068" s="197" customFormat="1" ht="12.75" x14ac:dyDescent="0.2"/>
    <row r="5069" s="197" customFormat="1" ht="12.75" x14ac:dyDescent="0.2"/>
    <row r="5070" s="197" customFormat="1" ht="12.75" x14ac:dyDescent="0.2"/>
    <row r="5071" s="197" customFormat="1" ht="12.75" x14ac:dyDescent="0.2"/>
    <row r="5072" s="197" customFormat="1" ht="12.75" x14ac:dyDescent="0.2"/>
    <row r="5073" s="197" customFormat="1" ht="12.75" x14ac:dyDescent="0.2"/>
    <row r="5074" s="197" customFormat="1" ht="12.75" x14ac:dyDescent="0.2"/>
    <row r="5075" s="197" customFormat="1" ht="12.75" x14ac:dyDescent="0.2"/>
    <row r="5076" s="197" customFormat="1" ht="12.75" x14ac:dyDescent="0.2"/>
    <row r="5077" s="197" customFormat="1" ht="12.75" x14ac:dyDescent="0.2"/>
    <row r="5078" s="197" customFormat="1" ht="12.75" x14ac:dyDescent="0.2"/>
    <row r="5079" s="197" customFormat="1" ht="12.75" x14ac:dyDescent="0.2"/>
    <row r="5080" s="197" customFormat="1" ht="12.75" x14ac:dyDescent="0.2"/>
    <row r="5081" s="197" customFormat="1" ht="12.75" x14ac:dyDescent="0.2"/>
    <row r="5082" s="197" customFormat="1" ht="12.75" x14ac:dyDescent="0.2"/>
    <row r="5083" s="197" customFormat="1" ht="12.75" x14ac:dyDescent="0.2"/>
    <row r="5084" s="197" customFormat="1" ht="12.75" x14ac:dyDescent="0.2"/>
    <row r="5085" s="197" customFormat="1" ht="12.75" x14ac:dyDescent="0.2"/>
    <row r="5086" s="197" customFormat="1" ht="12.75" x14ac:dyDescent="0.2"/>
    <row r="5087" s="197" customFormat="1" ht="12.75" x14ac:dyDescent="0.2"/>
    <row r="5088" s="197" customFormat="1" ht="12.75" x14ac:dyDescent="0.2"/>
    <row r="5089" s="197" customFormat="1" ht="12.75" x14ac:dyDescent="0.2"/>
    <row r="5090" s="197" customFormat="1" ht="12.75" x14ac:dyDescent="0.2"/>
    <row r="5091" s="197" customFormat="1" ht="12.75" x14ac:dyDescent="0.2"/>
    <row r="5092" s="197" customFormat="1" ht="12.75" x14ac:dyDescent="0.2"/>
    <row r="5093" s="197" customFormat="1" ht="12.75" x14ac:dyDescent="0.2"/>
    <row r="5094" s="197" customFormat="1" ht="12.75" x14ac:dyDescent="0.2"/>
    <row r="5095" s="197" customFormat="1" ht="12.75" x14ac:dyDescent="0.2"/>
    <row r="5096" s="197" customFormat="1" ht="12.75" x14ac:dyDescent="0.2"/>
    <row r="5097" s="197" customFormat="1" ht="12.75" x14ac:dyDescent="0.2"/>
    <row r="5098" s="197" customFormat="1" ht="12.75" x14ac:dyDescent="0.2"/>
    <row r="5099" s="197" customFormat="1" ht="12.75" x14ac:dyDescent="0.2"/>
    <row r="5100" s="197" customFormat="1" ht="12.75" x14ac:dyDescent="0.2"/>
    <row r="5101" s="197" customFormat="1" ht="12.75" x14ac:dyDescent="0.2"/>
    <row r="5102" s="197" customFormat="1" ht="12.75" x14ac:dyDescent="0.2"/>
    <row r="5103" s="197" customFormat="1" ht="12.75" x14ac:dyDescent="0.2"/>
    <row r="5104" s="197" customFormat="1" ht="12.75" x14ac:dyDescent="0.2"/>
    <row r="5105" s="197" customFormat="1" ht="12.75" x14ac:dyDescent="0.2"/>
    <row r="5106" s="197" customFormat="1" ht="12.75" x14ac:dyDescent="0.2"/>
    <row r="5107" s="197" customFormat="1" ht="12.75" x14ac:dyDescent="0.2"/>
    <row r="5108" s="197" customFormat="1" ht="12.75" x14ac:dyDescent="0.2"/>
    <row r="5109" s="197" customFormat="1" ht="12.75" x14ac:dyDescent="0.2"/>
    <row r="5110" s="197" customFormat="1" ht="12.75" x14ac:dyDescent="0.2"/>
    <row r="5111" s="197" customFormat="1" ht="12.75" x14ac:dyDescent="0.2"/>
    <row r="5112" s="197" customFormat="1" ht="12.75" x14ac:dyDescent="0.2"/>
    <row r="5113" s="197" customFormat="1" ht="12.75" x14ac:dyDescent="0.2"/>
    <row r="5114" s="197" customFormat="1" ht="12.75" x14ac:dyDescent="0.2"/>
    <row r="5115" s="197" customFormat="1" ht="12.75" x14ac:dyDescent="0.2"/>
    <row r="5116" s="197" customFormat="1" ht="12.75" x14ac:dyDescent="0.2"/>
    <row r="5117" s="197" customFormat="1" ht="12.75" x14ac:dyDescent="0.2"/>
    <row r="5118" s="197" customFormat="1" ht="12.75" x14ac:dyDescent="0.2"/>
    <row r="5119" s="197" customFormat="1" ht="12.75" x14ac:dyDescent="0.2"/>
    <row r="5120" s="197" customFormat="1" ht="12.75" x14ac:dyDescent="0.2"/>
    <row r="5121" s="197" customFormat="1" ht="12.75" x14ac:dyDescent="0.2"/>
    <row r="5122" s="197" customFormat="1" ht="12.75" x14ac:dyDescent="0.2"/>
    <row r="5123" s="197" customFormat="1" ht="12.75" x14ac:dyDescent="0.2"/>
    <row r="5124" s="197" customFormat="1" ht="12.75" x14ac:dyDescent="0.2"/>
    <row r="5125" s="197" customFormat="1" ht="12.75" x14ac:dyDescent="0.2"/>
    <row r="5126" s="197" customFormat="1" ht="12.75" x14ac:dyDescent="0.2"/>
    <row r="5127" s="197" customFormat="1" ht="12.75" x14ac:dyDescent="0.2"/>
    <row r="5128" s="197" customFormat="1" ht="12.75" x14ac:dyDescent="0.2"/>
    <row r="5129" s="197" customFormat="1" ht="12.75" x14ac:dyDescent="0.2"/>
    <row r="5130" s="197" customFormat="1" ht="12.75" x14ac:dyDescent="0.2"/>
    <row r="5131" s="197" customFormat="1" ht="12.75" x14ac:dyDescent="0.2"/>
    <row r="5132" s="197" customFormat="1" ht="12.75" x14ac:dyDescent="0.2"/>
    <row r="5133" s="197" customFormat="1" ht="12.75" x14ac:dyDescent="0.2"/>
    <row r="5134" s="197" customFormat="1" ht="12.75" x14ac:dyDescent="0.2"/>
    <row r="5135" s="197" customFormat="1" ht="12.75" x14ac:dyDescent="0.2"/>
    <row r="5136" s="197" customFormat="1" ht="12.75" x14ac:dyDescent="0.2"/>
    <row r="5137" s="197" customFormat="1" ht="12.75" x14ac:dyDescent="0.2"/>
    <row r="5138" s="197" customFormat="1" ht="12.75" x14ac:dyDescent="0.2"/>
    <row r="5139" s="197" customFormat="1" ht="12.75" x14ac:dyDescent="0.2"/>
    <row r="5140" s="197" customFormat="1" ht="12.75" x14ac:dyDescent="0.2"/>
    <row r="5141" s="197" customFormat="1" ht="12.75" x14ac:dyDescent="0.2"/>
    <row r="5142" s="197" customFormat="1" ht="12.75" x14ac:dyDescent="0.2"/>
    <row r="5143" s="197" customFormat="1" ht="12.75" x14ac:dyDescent="0.2"/>
    <row r="5144" s="197" customFormat="1" ht="12.75" x14ac:dyDescent="0.2"/>
    <row r="5145" s="197" customFormat="1" ht="12.75" x14ac:dyDescent="0.2"/>
    <row r="5146" s="197" customFormat="1" ht="12.75" x14ac:dyDescent="0.2"/>
    <row r="5147" s="197" customFormat="1" ht="12.75" x14ac:dyDescent="0.2"/>
    <row r="5148" s="197" customFormat="1" ht="12.75" x14ac:dyDescent="0.2"/>
    <row r="5149" s="197" customFormat="1" ht="12.75" x14ac:dyDescent="0.2"/>
    <row r="5150" s="197" customFormat="1" ht="12.75" x14ac:dyDescent="0.2"/>
    <row r="5151" s="197" customFormat="1" ht="12.75" x14ac:dyDescent="0.2"/>
    <row r="5152" s="197" customFormat="1" ht="12.75" x14ac:dyDescent="0.2"/>
    <row r="5153" s="197" customFormat="1" ht="12.75" x14ac:dyDescent="0.2"/>
    <row r="5154" s="197" customFormat="1" ht="12.75" x14ac:dyDescent="0.2"/>
    <row r="5155" s="197" customFormat="1" ht="12.75" x14ac:dyDescent="0.2"/>
    <row r="5156" s="197" customFormat="1" ht="12.75" x14ac:dyDescent="0.2"/>
    <row r="5157" s="197" customFormat="1" ht="12.75" x14ac:dyDescent="0.2"/>
    <row r="5158" s="197" customFormat="1" ht="12.75" x14ac:dyDescent="0.2"/>
    <row r="5159" s="197" customFormat="1" ht="12.75" x14ac:dyDescent="0.2"/>
    <row r="5160" s="197" customFormat="1" ht="12.75" x14ac:dyDescent="0.2"/>
    <row r="5161" s="197" customFormat="1" ht="12.75" x14ac:dyDescent="0.2"/>
    <row r="5162" s="197" customFormat="1" ht="12.75" x14ac:dyDescent="0.2"/>
    <row r="5163" s="197" customFormat="1" ht="12.75" x14ac:dyDescent="0.2"/>
    <row r="5164" s="197" customFormat="1" ht="12.75" x14ac:dyDescent="0.2"/>
    <row r="5165" s="197" customFormat="1" ht="12.75" x14ac:dyDescent="0.2"/>
    <row r="5166" s="197" customFormat="1" ht="12.75" x14ac:dyDescent="0.2"/>
    <row r="5167" s="197" customFormat="1" ht="12.75" x14ac:dyDescent="0.2"/>
    <row r="5168" s="197" customFormat="1" ht="12.75" x14ac:dyDescent="0.2"/>
    <row r="5169" s="197" customFormat="1" ht="12.75" x14ac:dyDescent="0.2"/>
    <row r="5170" s="197" customFormat="1" ht="12.75" x14ac:dyDescent="0.2"/>
    <row r="5171" s="197" customFormat="1" ht="12.75" x14ac:dyDescent="0.2"/>
    <row r="5172" s="197" customFormat="1" ht="12.75" x14ac:dyDescent="0.2"/>
    <row r="5173" s="197" customFormat="1" ht="12.75" x14ac:dyDescent="0.2"/>
    <row r="5174" s="197" customFormat="1" ht="12.75" x14ac:dyDescent="0.2"/>
    <row r="5175" s="197" customFormat="1" ht="12.75" x14ac:dyDescent="0.2"/>
    <row r="5176" s="197" customFormat="1" ht="12.75" x14ac:dyDescent="0.2"/>
    <row r="5177" s="197" customFormat="1" ht="12.75" x14ac:dyDescent="0.2"/>
    <row r="5178" s="197" customFormat="1" ht="12.75" x14ac:dyDescent="0.2"/>
    <row r="5179" s="197" customFormat="1" ht="12.75" x14ac:dyDescent="0.2"/>
    <row r="5180" s="197" customFormat="1" ht="12.75" x14ac:dyDescent="0.2"/>
    <row r="5181" s="197" customFormat="1" ht="12.75" x14ac:dyDescent="0.2"/>
    <row r="5182" s="197" customFormat="1" ht="12.75" x14ac:dyDescent="0.2"/>
    <row r="5183" s="197" customFormat="1" ht="12.75" x14ac:dyDescent="0.2"/>
    <row r="5184" s="197" customFormat="1" ht="12.75" x14ac:dyDescent="0.2"/>
    <row r="5185" s="197" customFormat="1" ht="12.75" x14ac:dyDescent="0.2"/>
    <row r="5186" s="197" customFormat="1" ht="12.75" x14ac:dyDescent="0.2"/>
    <row r="5187" s="197" customFormat="1" ht="12.75" x14ac:dyDescent="0.2"/>
    <row r="5188" s="197" customFormat="1" ht="12.75" x14ac:dyDescent="0.2"/>
    <row r="5189" s="197" customFormat="1" ht="12.75" x14ac:dyDescent="0.2"/>
    <row r="5190" s="197" customFormat="1" ht="12.75" x14ac:dyDescent="0.2"/>
    <row r="5191" s="197" customFormat="1" ht="12.75" x14ac:dyDescent="0.2"/>
    <row r="5192" s="197" customFormat="1" ht="12.75" x14ac:dyDescent="0.2"/>
    <row r="5193" s="197" customFormat="1" ht="12.75" x14ac:dyDescent="0.2"/>
    <row r="5194" s="197" customFormat="1" ht="12.75" x14ac:dyDescent="0.2"/>
    <row r="5195" s="197" customFormat="1" ht="12.75" x14ac:dyDescent="0.2"/>
    <row r="5196" s="197" customFormat="1" ht="12.75" x14ac:dyDescent="0.2"/>
    <row r="5197" s="197" customFormat="1" ht="12.75" x14ac:dyDescent="0.2"/>
    <row r="5198" s="197" customFormat="1" ht="12.75" x14ac:dyDescent="0.2"/>
    <row r="5199" s="197" customFormat="1" ht="12.75" x14ac:dyDescent="0.2"/>
    <row r="5200" s="197" customFormat="1" ht="12.75" x14ac:dyDescent="0.2"/>
    <row r="5201" s="197" customFormat="1" ht="12.75" x14ac:dyDescent="0.2"/>
    <row r="5202" s="197" customFormat="1" ht="12.75" x14ac:dyDescent="0.2"/>
    <row r="5203" s="197" customFormat="1" ht="12.75" x14ac:dyDescent="0.2"/>
    <row r="5204" s="197" customFormat="1" ht="12.75" x14ac:dyDescent="0.2"/>
    <row r="5205" s="197" customFormat="1" ht="12.75" x14ac:dyDescent="0.2"/>
    <row r="5206" s="197" customFormat="1" ht="12.75" x14ac:dyDescent="0.2"/>
    <row r="5207" s="197" customFormat="1" ht="12.75" x14ac:dyDescent="0.2"/>
    <row r="5208" s="197" customFormat="1" ht="12.75" x14ac:dyDescent="0.2"/>
    <row r="5209" s="197" customFormat="1" ht="12.75" x14ac:dyDescent="0.2"/>
    <row r="5210" s="197" customFormat="1" ht="12.75" x14ac:dyDescent="0.2"/>
    <row r="5211" s="197" customFormat="1" ht="12.75" x14ac:dyDescent="0.2"/>
    <row r="5212" s="197" customFormat="1" ht="12.75" x14ac:dyDescent="0.2"/>
    <row r="5213" s="197" customFormat="1" ht="12.75" x14ac:dyDescent="0.2"/>
    <row r="5214" s="197" customFormat="1" ht="12.75" x14ac:dyDescent="0.2"/>
    <row r="5215" s="197" customFormat="1" ht="12.75" x14ac:dyDescent="0.2"/>
    <row r="5216" s="197" customFormat="1" ht="12.75" x14ac:dyDescent="0.2"/>
    <row r="5217" s="197" customFormat="1" ht="12.75" x14ac:dyDescent="0.2"/>
    <row r="5218" s="197" customFormat="1" ht="12.75" x14ac:dyDescent="0.2"/>
    <row r="5219" s="197" customFormat="1" ht="12.75" x14ac:dyDescent="0.2"/>
    <row r="5220" s="197" customFormat="1" ht="12.75" x14ac:dyDescent="0.2"/>
    <row r="5221" s="197" customFormat="1" ht="12.75" x14ac:dyDescent="0.2"/>
    <row r="5222" s="197" customFormat="1" ht="12.75" x14ac:dyDescent="0.2"/>
    <row r="5223" s="197" customFormat="1" ht="12.75" x14ac:dyDescent="0.2"/>
    <row r="5224" s="197" customFormat="1" ht="12.75" x14ac:dyDescent="0.2"/>
    <row r="5225" s="197" customFormat="1" ht="12.75" x14ac:dyDescent="0.2"/>
    <row r="5226" s="197" customFormat="1" ht="12.75" x14ac:dyDescent="0.2"/>
    <row r="5227" s="197" customFormat="1" ht="12.75" x14ac:dyDescent="0.2"/>
    <row r="5228" s="197" customFormat="1" ht="12.75" x14ac:dyDescent="0.2"/>
    <row r="5229" s="197" customFormat="1" ht="12.75" x14ac:dyDescent="0.2"/>
    <row r="5230" s="197" customFormat="1" ht="12.75" x14ac:dyDescent="0.2"/>
    <row r="5231" s="197" customFormat="1" ht="12.75" x14ac:dyDescent="0.2"/>
    <row r="5232" s="197" customFormat="1" ht="12.75" x14ac:dyDescent="0.2"/>
    <row r="5233" s="197" customFormat="1" ht="12.75" x14ac:dyDescent="0.2"/>
    <row r="5234" s="197" customFormat="1" ht="12.75" x14ac:dyDescent="0.2"/>
    <row r="5235" s="197" customFormat="1" ht="12.75" x14ac:dyDescent="0.2"/>
    <row r="5236" s="197" customFormat="1" ht="12.75" x14ac:dyDescent="0.2"/>
    <row r="5237" s="197" customFormat="1" ht="12.75" x14ac:dyDescent="0.2"/>
    <row r="5238" s="197" customFormat="1" ht="12.75" x14ac:dyDescent="0.2"/>
    <row r="5239" s="197" customFormat="1" ht="12.75" x14ac:dyDescent="0.2"/>
    <row r="5240" s="197" customFormat="1" ht="12.75" x14ac:dyDescent="0.2"/>
    <row r="5241" s="197" customFormat="1" ht="12.75" x14ac:dyDescent="0.2"/>
    <row r="5242" s="197" customFormat="1" ht="12.75" x14ac:dyDescent="0.2"/>
    <row r="5243" s="197" customFormat="1" ht="12.75" x14ac:dyDescent="0.2"/>
    <row r="5244" s="197" customFormat="1" ht="12.75" x14ac:dyDescent="0.2"/>
    <row r="5245" s="197" customFormat="1" ht="12.75" x14ac:dyDescent="0.2"/>
    <row r="5246" s="197" customFormat="1" ht="12.75" x14ac:dyDescent="0.2"/>
    <row r="5247" s="197" customFormat="1" ht="12.75" x14ac:dyDescent="0.2"/>
    <row r="5248" s="197" customFormat="1" ht="12.75" x14ac:dyDescent="0.2"/>
    <row r="5249" s="197" customFormat="1" ht="12.75" x14ac:dyDescent="0.2"/>
    <row r="5250" s="197" customFormat="1" ht="12.75" x14ac:dyDescent="0.2"/>
    <row r="5251" s="197" customFormat="1" ht="12.75" x14ac:dyDescent="0.2"/>
    <row r="5252" s="197" customFormat="1" ht="12.75" x14ac:dyDescent="0.2"/>
    <row r="5253" s="197" customFormat="1" ht="12.75" x14ac:dyDescent="0.2"/>
    <row r="5254" s="197" customFormat="1" ht="12.75" x14ac:dyDescent="0.2"/>
    <row r="5255" s="197" customFormat="1" ht="12.75" x14ac:dyDescent="0.2"/>
    <row r="5256" s="197" customFormat="1" ht="12.75" x14ac:dyDescent="0.2"/>
    <row r="5257" s="197" customFormat="1" ht="12.75" x14ac:dyDescent="0.2"/>
    <row r="5258" s="197" customFormat="1" ht="12.75" x14ac:dyDescent="0.2"/>
    <row r="5259" s="197" customFormat="1" ht="12.75" x14ac:dyDescent="0.2"/>
    <row r="5260" s="197" customFormat="1" ht="12.75" x14ac:dyDescent="0.2"/>
    <row r="5261" s="197" customFormat="1" ht="12.75" x14ac:dyDescent="0.2"/>
    <row r="5262" s="197" customFormat="1" ht="12.75" x14ac:dyDescent="0.2"/>
    <row r="5263" s="197" customFormat="1" ht="12.75" x14ac:dyDescent="0.2"/>
    <row r="5264" s="197" customFormat="1" ht="12.75" x14ac:dyDescent="0.2"/>
    <row r="5265" s="197" customFormat="1" ht="12.75" x14ac:dyDescent="0.2"/>
    <row r="5266" s="197" customFormat="1" ht="12.75" x14ac:dyDescent="0.2"/>
    <row r="5267" s="197" customFormat="1" ht="12.75" x14ac:dyDescent="0.2"/>
    <row r="5268" s="197" customFormat="1" ht="12.75" x14ac:dyDescent="0.2"/>
    <row r="5269" s="197" customFormat="1" ht="12.75" x14ac:dyDescent="0.2"/>
    <row r="5270" s="197" customFormat="1" ht="12.75" x14ac:dyDescent="0.2"/>
    <row r="5271" s="197" customFormat="1" ht="12.75" x14ac:dyDescent="0.2"/>
    <row r="5272" s="197" customFormat="1" ht="12.75" x14ac:dyDescent="0.2"/>
    <row r="5273" s="197" customFormat="1" ht="12.75" x14ac:dyDescent="0.2"/>
    <row r="5274" s="197" customFormat="1" ht="12.75" x14ac:dyDescent="0.2"/>
    <row r="5275" s="197" customFormat="1" ht="12.75" x14ac:dyDescent="0.2"/>
    <row r="5276" s="197" customFormat="1" ht="12.75" x14ac:dyDescent="0.2"/>
    <row r="5277" s="197" customFormat="1" ht="12.75" x14ac:dyDescent="0.2"/>
    <row r="5278" s="197" customFormat="1" ht="12.75" x14ac:dyDescent="0.2"/>
    <row r="5279" s="197" customFormat="1" ht="12.75" x14ac:dyDescent="0.2"/>
    <row r="5280" s="197" customFormat="1" ht="12.75" x14ac:dyDescent="0.2"/>
    <row r="5281" s="197" customFormat="1" ht="12.75" x14ac:dyDescent="0.2"/>
    <row r="5282" s="197" customFormat="1" ht="12.75" x14ac:dyDescent="0.2"/>
    <row r="5283" s="197" customFormat="1" ht="12.75" x14ac:dyDescent="0.2"/>
    <row r="5284" s="197" customFormat="1" ht="12.75" x14ac:dyDescent="0.2"/>
    <row r="5285" s="197" customFormat="1" ht="12.75" x14ac:dyDescent="0.2"/>
    <row r="5286" s="197" customFormat="1" ht="12.75" x14ac:dyDescent="0.2"/>
    <row r="5287" s="197" customFormat="1" ht="12.75" x14ac:dyDescent="0.2"/>
    <row r="5288" s="197" customFormat="1" ht="12.75" x14ac:dyDescent="0.2"/>
    <row r="5289" s="197" customFormat="1" ht="12.75" x14ac:dyDescent="0.2"/>
    <row r="5290" s="197" customFormat="1" ht="12.75" x14ac:dyDescent="0.2"/>
    <row r="5291" s="197" customFormat="1" ht="12.75" x14ac:dyDescent="0.2"/>
    <row r="5292" s="197" customFormat="1" ht="12.75" x14ac:dyDescent="0.2"/>
    <row r="5293" s="197" customFormat="1" ht="12.75" x14ac:dyDescent="0.2"/>
    <row r="5294" s="197" customFormat="1" ht="12.75" x14ac:dyDescent="0.2"/>
    <row r="5295" s="197" customFormat="1" ht="12.75" x14ac:dyDescent="0.2"/>
    <row r="5296" s="197" customFormat="1" ht="12.75" x14ac:dyDescent="0.2"/>
    <row r="5297" s="197" customFormat="1" ht="12.75" x14ac:dyDescent="0.2"/>
    <row r="5298" s="197" customFormat="1" ht="12.75" x14ac:dyDescent="0.2"/>
    <row r="5299" s="197" customFormat="1" ht="12.75" x14ac:dyDescent="0.2"/>
    <row r="5300" s="197" customFormat="1" ht="12.75" x14ac:dyDescent="0.2"/>
    <row r="5301" s="197" customFormat="1" ht="12.75" x14ac:dyDescent="0.2"/>
    <row r="5302" s="197" customFormat="1" ht="12.75" x14ac:dyDescent="0.2"/>
    <row r="5303" s="197" customFormat="1" ht="12.75" x14ac:dyDescent="0.2"/>
    <row r="5304" s="197" customFormat="1" ht="12.75" x14ac:dyDescent="0.2"/>
    <row r="5305" s="197" customFormat="1" ht="12.75" x14ac:dyDescent="0.2"/>
    <row r="5306" s="197" customFormat="1" ht="12.75" x14ac:dyDescent="0.2"/>
    <row r="5307" s="197" customFormat="1" ht="12.75" x14ac:dyDescent="0.2"/>
    <row r="5308" s="197" customFormat="1" ht="12.75" x14ac:dyDescent="0.2"/>
    <row r="5309" s="197" customFormat="1" ht="12.75" x14ac:dyDescent="0.2"/>
    <row r="5310" s="197" customFormat="1" ht="12.75" x14ac:dyDescent="0.2"/>
    <row r="5311" s="197" customFormat="1" ht="12.75" x14ac:dyDescent="0.2"/>
    <row r="5312" s="197" customFormat="1" ht="12.75" x14ac:dyDescent="0.2"/>
    <row r="5313" s="197" customFormat="1" ht="12.75" x14ac:dyDescent="0.2"/>
    <row r="5314" s="197" customFormat="1" ht="12.75" x14ac:dyDescent="0.2"/>
    <row r="5315" s="197" customFormat="1" ht="12.75" x14ac:dyDescent="0.2"/>
    <row r="5316" s="197" customFormat="1" ht="12.75" x14ac:dyDescent="0.2"/>
    <row r="5317" s="197" customFormat="1" ht="12.75" x14ac:dyDescent="0.2"/>
    <row r="5318" s="197" customFormat="1" ht="12.75" x14ac:dyDescent="0.2"/>
    <row r="5319" s="197" customFormat="1" ht="12.75" x14ac:dyDescent="0.2"/>
    <row r="5320" s="197" customFormat="1" ht="12.75" x14ac:dyDescent="0.2"/>
    <row r="5321" s="197" customFormat="1" ht="12.75" x14ac:dyDescent="0.2"/>
    <row r="5322" s="197" customFormat="1" ht="12.75" x14ac:dyDescent="0.2"/>
    <row r="5323" s="197" customFormat="1" ht="12.75" x14ac:dyDescent="0.2"/>
    <row r="5324" s="197" customFormat="1" ht="12.75" x14ac:dyDescent="0.2"/>
    <row r="5325" s="197" customFormat="1" ht="12.75" x14ac:dyDescent="0.2"/>
    <row r="5326" s="197" customFormat="1" ht="12.75" x14ac:dyDescent="0.2"/>
    <row r="5327" s="197" customFormat="1" ht="12.75" x14ac:dyDescent="0.2"/>
    <row r="5328" s="197" customFormat="1" ht="12.75" x14ac:dyDescent="0.2"/>
    <row r="5329" s="197" customFormat="1" ht="12.75" x14ac:dyDescent="0.2"/>
    <row r="5330" s="197" customFormat="1" ht="12.75" x14ac:dyDescent="0.2"/>
    <row r="5331" s="197" customFormat="1" ht="12.75" x14ac:dyDescent="0.2"/>
    <row r="5332" s="197" customFormat="1" ht="12.75" x14ac:dyDescent="0.2"/>
    <row r="5333" s="197" customFormat="1" ht="12.75" x14ac:dyDescent="0.2"/>
    <row r="5334" s="197" customFormat="1" ht="12.75" x14ac:dyDescent="0.2"/>
    <row r="5335" s="197" customFormat="1" ht="12.75" x14ac:dyDescent="0.2"/>
    <row r="5336" s="197" customFormat="1" ht="12.75" x14ac:dyDescent="0.2"/>
    <row r="5337" s="197" customFormat="1" ht="12.75" x14ac:dyDescent="0.2"/>
    <row r="5338" s="197" customFormat="1" ht="12.75" x14ac:dyDescent="0.2"/>
    <row r="5339" s="197" customFormat="1" ht="12.75" x14ac:dyDescent="0.2"/>
    <row r="5340" s="197" customFormat="1" ht="12.75" x14ac:dyDescent="0.2"/>
    <row r="5341" s="197" customFormat="1" ht="12.75" x14ac:dyDescent="0.2"/>
    <row r="5342" s="197" customFormat="1" ht="12.75" x14ac:dyDescent="0.2"/>
    <row r="5343" s="197" customFormat="1" ht="12.75" x14ac:dyDescent="0.2"/>
    <row r="5344" s="197" customFormat="1" ht="12.75" x14ac:dyDescent="0.2"/>
    <row r="5345" s="197" customFormat="1" ht="12.75" x14ac:dyDescent="0.2"/>
    <row r="5346" s="197" customFormat="1" ht="12.75" x14ac:dyDescent="0.2"/>
    <row r="5347" s="197" customFormat="1" ht="12.75" x14ac:dyDescent="0.2"/>
    <row r="5348" s="197" customFormat="1" ht="12.75" x14ac:dyDescent="0.2"/>
    <row r="5349" s="197" customFormat="1" ht="12.75" x14ac:dyDescent="0.2"/>
    <row r="5350" s="197" customFormat="1" ht="12.75" x14ac:dyDescent="0.2"/>
    <row r="5351" s="197" customFormat="1" ht="12.75" x14ac:dyDescent="0.2"/>
    <row r="5352" s="197" customFormat="1" ht="12.75" x14ac:dyDescent="0.2"/>
    <row r="5353" s="197" customFormat="1" ht="12.75" x14ac:dyDescent="0.2"/>
    <row r="5354" s="197" customFormat="1" ht="12.75" x14ac:dyDescent="0.2"/>
    <row r="5355" s="197" customFormat="1" ht="12.75" x14ac:dyDescent="0.2"/>
    <row r="5356" s="197" customFormat="1" ht="12.75" x14ac:dyDescent="0.2"/>
    <row r="5357" s="197" customFormat="1" ht="12.75" x14ac:dyDescent="0.2"/>
    <row r="5358" s="197" customFormat="1" ht="12.75" x14ac:dyDescent="0.2"/>
    <row r="5359" s="197" customFormat="1" ht="12.75" x14ac:dyDescent="0.2"/>
    <row r="5360" s="197" customFormat="1" ht="12.75" x14ac:dyDescent="0.2"/>
    <row r="5361" s="197" customFormat="1" ht="12.75" x14ac:dyDescent="0.2"/>
    <row r="5362" s="197" customFormat="1" ht="12.75" x14ac:dyDescent="0.2"/>
    <row r="5363" s="197" customFormat="1" ht="12.75" x14ac:dyDescent="0.2"/>
    <row r="5364" s="197" customFormat="1" ht="12.75" x14ac:dyDescent="0.2"/>
    <row r="5365" s="197" customFormat="1" ht="12.75" x14ac:dyDescent="0.2"/>
    <row r="5366" s="197" customFormat="1" ht="12.75" x14ac:dyDescent="0.2"/>
    <row r="5367" s="197" customFormat="1" ht="12.75" x14ac:dyDescent="0.2"/>
    <row r="5368" s="197" customFormat="1" ht="12.75" x14ac:dyDescent="0.2"/>
    <row r="5369" s="197" customFormat="1" ht="12.75" x14ac:dyDescent="0.2"/>
    <row r="5370" s="197" customFormat="1" ht="12.75" x14ac:dyDescent="0.2"/>
    <row r="5371" s="197" customFormat="1" ht="12.75" x14ac:dyDescent="0.2"/>
    <row r="5372" s="197" customFormat="1" ht="12.75" x14ac:dyDescent="0.2"/>
    <row r="5373" s="197" customFormat="1" ht="12.75" x14ac:dyDescent="0.2"/>
    <row r="5374" s="197" customFormat="1" ht="12.75" x14ac:dyDescent="0.2"/>
    <row r="5375" s="197" customFormat="1" ht="12.75" x14ac:dyDescent="0.2"/>
    <row r="5376" s="197" customFormat="1" ht="12.75" x14ac:dyDescent="0.2"/>
    <row r="5377" s="197" customFormat="1" ht="12.75" x14ac:dyDescent="0.2"/>
    <row r="5378" s="197" customFormat="1" ht="12.75" x14ac:dyDescent="0.2"/>
    <row r="5379" s="197" customFormat="1" ht="12.75" x14ac:dyDescent="0.2"/>
    <row r="5380" s="197" customFormat="1" ht="12.75" x14ac:dyDescent="0.2"/>
    <row r="5381" s="197" customFormat="1" ht="12.75" x14ac:dyDescent="0.2"/>
    <row r="5382" s="197" customFormat="1" ht="12.75" x14ac:dyDescent="0.2"/>
    <row r="5383" s="197" customFormat="1" ht="12.75" x14ac:dyDescent="0.2"/>
    <row r="5384" s="197" customFormat="1" ht="12.75" x14ac:dyDescent="0.2"/>
    <row r="5385" s="197" customFormat="1" ht="12.75" x14ac:dyDescent="0.2"/>
    <row r="5386" s="197" customFormat="1" ht="12.75" x14ac:dyDescent="0.2"/>
    <row r="5387" s="197" customFormat="1" ht="12.75" x14ac:dyDescent="0.2"/>
    <row r="5388" s="197" customFormat="1" ht="12.75" x14ac:dyDescent="0.2"/>
    <row r="5389" s="197" customFormat="1" ht="12.75" x14ac:dyDescent="0.2"/>
    <row r="5390" s="197" customFormat="1" ht="12.75" x14ac:dyDescent="0.2"/>
    <row r="5391" s="197" customFormat="1" ht="12.75" x14ac:dyDescent="0.2"/>
    <row r="5392" s="197" customFormat="1" ht="12.75" x14ac:dyDescent="0.2"/>
    <row r="5393" s="197" customFormat="1" ht="12.75" x14ac:dyDescent="0.2"/>
    <row r="5394" s="197" customFormat="1" ht="12.75" x14ac:dyDescent="0.2"/>
    <row r="5395" s="197" customFormat="1" ht="12.75" x14ac:dyDescent="0.2"/>
    <row r="5396" s="197" customFormat="1" ht="12.75" x14ac:dyDescent="0.2"/>
    <row r="5397" s="197" customFormat="1" ht="12.75" x14ac:dyDescent="0.2"/>
    <row r="5398" s="197" customFormat="1" ht="12.75" x14ac:dyDescent="0.2"/>
    <row r="5399" s="197" customFormat="1" ht="12.75" x14ac:dyDescent="0.2"/>
    <row r="5400" s="197" customFormat="1" ht="12.75" x14ac:dyDescent="0.2"/>
    <row r="5401" s="197" customFormat="1" ht="12.75" x14ac:dyDescent="0.2"/>
    <row r="5402" s="197" customFormat="1" ht="12.75" x14ac:dyDescent="0.2"/>
    <row r="5403" s="197" customFormat="1" ht="12.75" x14ac:dyDescent="0.2"/>
    <row r="5404" s="197" customFormat="1" ht="12.75" x14ac:dyDescent="0.2"/>
    <row r="5405" s="197" customFormat="1" ht="12.75" x14ac:dyDescent="0.2"/>
    <row r="5406" s="197" customFormat="1" ht="12.75" x14ac:dyDescent="0.2"/>
    <row r="5407" s="197" customFormat="1" ht="12.75" x14ac:dyDescent="0.2"/>
    <row r="5408" s="197" customFormat="1" ht="12.75" x14ac:dyDescent="0.2"/>
    <row r="5409" s="197" customFormat="1" ht="12.75" x14ac:dyDescent="0.2"/>
    <row r="5410" s="197" customFormat="1" ht="12.75" x14ac:dyDescent="0.2"/>
    <row r="5411" s="197" customFormat="1" ht="12.75" x14ac:dyDescent="0.2"/>
    <row r="5412" s="197" customFormat="1" ht="12.75" x14ac:dyDescent="0.2"/>
    <row r="5413" s="197" customFormat="1" ht="12.75" x14ac:dyDescent="0.2"/>
    <row r="5414" s="197" customFormat="1" ht="12.75" x14ac:dyDescent="0.2"/>
    <row r="5415" s="197" customFormat="1" ht="12.75" x14ac:dyDescent="0.2"/>
    <row r="5416" s="197" customFormat="1" ht="12.75" x14ac:dyDescent="0.2"/>
    <row r="5417" s="197" customFormat="1" ht="12.75" x14ac:dyDescent="0.2"/>
    <row r="5418" s="197" customFormat="1" ht="12.75" x14ac:dyDescent="0.2"/>
    <row r="5419" s="197" customFormat="1" ht="12.75" x14ac:dyDescent="0.2"/>
    <row r="5420" s="197" customFormat="1" ht="12.75" x14ac:dyDescent="0.2"/>
    <row r="5421" s="197" customFormat="1" ht="12.75" x14ac:dyDescent="0.2"/>
    <row r="5422" s="197" customFormat="1" ht="12.75" x14ac:dyDescent="0.2"/>
    <row r="5423" s="197" customFormat="1" ht="12.75" x14ac:dyDescent="0.2"/>
    <row r="5424" s="197" customFormat="1" ht="12.75" x14ac:dyDescent="0.2"/>
    <row r="5425" s="197" customFormat="1" ht="12.75" x14ac:dyDescent="0.2"/>
    <row r="5426" s="197" customFormat="1" ht="12.75" x14ac:dyDescent="0.2"/>
    <row r="5427" s="197" customFormat="1" ht="12.75" x14ac:dyDescent="0.2"/>
    <row r="5428" s="197" customFormat="1" ht="12.75" x14ac:dyDescent="0.2"/>
    <row r="5429" s="197" customFormat="1" ht="12.75" x14ac:dyDescent="0.2"/>
    <row r="5430" s="197" customFormat="1" ht="12.75" x14ac:dyDescent="0.2"/>
    <row r="5431" s="197" customFormat="1" ht="12.75" x14ac:dyDescent="0.2"/>
    <row r="5432" s="197" customFormat="1" ht="12.75" x14ac:dyDescent="0.2"/>
    <row r="5433" s="197" customFormat="1" ht="12.75" x14ac:dyDescent="0.2"/>
    <row r="5434" s="197" customFormat="1" ht="12.75" x14ac:dyDescent="0.2"/>
    <row r="5435" s="197" customFormat="1" ht="12.75" x14ac:dyDescent="0.2"/>
    <row r="5436" s="197" customFormat="1" ht="12.75" x14ac:dyDescent="0.2"/>
    <row r="5437" s="197" customFormat="1" ht="12.75" x14ac:dyDescent="0.2"/>
    <row r="5438" s="197" customFormat="1" ht="12.75" x14ac:dyDescent="0.2"/>
    <row r="5439" s="197" customFormat="1" ht="12.75" x14ac:dyDescent="0.2"/>
    <row r="5440" s="197" customFormat="1" ht="12.75" x14ac:dyDescent="0.2"/>
    <row r="5441" s="197" customFormat="1" ht="12.75" x14ac:dyDescent="0.2"/>
    <row r="5442" s="197" customFormat="1" ht="12.75" x14ac:dyDescent="0.2"/>
    <row r="5443" s="197" customFormat="1" ht="12.75" x14ac:dyDescent="0.2"/>
    <row r="5444" s="197" customFormat="1" ht="12.75" x14ac:dyDescent="0.2"/>
    <row r="5445" s="197" customFormat="1" ht="12.75" x14ac:dyDescent="0.2"/>
    <row r="5446" s="197" customFormat="1" ht="12.75" x14ac:dyDescent="0.2"/>
    <row r="5447" s="197" customFormat="1" ht="12.75" x14ac:dyDescent="0.2"/>
    <row r="5448" s="197" customFormat="1" ht="12.75" x14ac:dyDescent="0.2"/>
    <row r="5449" s="197" customFormat="1" ht="12.75" x14ac:dyDescent="0.2"/>
    <row r="5450" s="197" customFormat="1" ht="12.75" x14ac:dyDescent="0.2"/>
    <row r="5451" s="197" customFormat="1" ht="12.75" x14ac:dyDescent="0.2"/>
    <row r="5452" s="197" customFormat="1" ht="12.75" x14ac:dyDescent="0.2"/>
    <row r="5453" s="197" customFormat="1" ht="12.75" x14ac:dyDescent="0.2"/>
    <row r="5454" s="197" customFormat="1" ht="12.75" x14ac:dyDescent="0.2"/>
    <row r="5455" s="197" customFormat="1" ht="12.75" x14ac:dyDescent="0.2"/>
    <row r="5456" s="197" customFormat="1" ht="12.75" x14ac:dyDescent="0.2"/>
    <row r="5457" s="197" customFormat="1" ht="12.75" x14ac:dyDescent="0.2"/>
    <row r="5458" s="197" customFormat="1" ht="12.75" x14ac:dyDescent="0.2"/>
    <row r="5459" s="197" customFormat="1" ht="12.75" x14ac:dyDescent="0.2"/>
    <row r="5460" s="197" customFormat="1" ht="12.75" x14ac:dyDescent="0.2"/>
    <row r="5461" s="197" customFormat="1" ht="12.75" x14ac:dyDescent="0.2"/>
    <row r="5462" s="197" customFormat="1" ht="12.75" x14ac:dyDescent="0.2"/>
    <row r="5463" s="197" customFormat="1" ht="12.75" x14ac:dyDescent="0.2"/>
    <row r="5464" s="197" customFormat="1" ht="12.75" x14ac:dyDescent="0.2"/>
    <row r="5465" s="197" customFormat="1" ht="12.75" x14ac:dyDescent="0.2"/>
    <row r="5466" s="197" customFormat="1" ht="12.75" x14ac:dyDescent="0.2"/>
    <row r="5467" s="197" customFormat="1" ht="12.75" x14ac:dyDescent="0.2"/>
    <row r="5468" s="197" customFormat="1" ht="12.75" x14ac:dyDescent="0.2"/>
    <row r="5469" s="197" customFormat="1" ht="12.75" x14ac:dyDescent="0.2"/>
    <row r="5470" s="197" customFormat="1" ht="12.75" x14ac:dyDescent="0.2"/>
    <row r="5471" s="197" customFormat="1" ht="12.75" x14ac:dyDescent="0.2"/>
    <row r="5472" s="197" customFormat="1" ht="12.75" x14ac:dyDescent="0.2"/>
    <row r="5473" s="197" customFormat="1" ht="12.75" x14ac:dyDescent="0.2"/>
    <row r="5474" s="197" customFormat="1" ht="12.75" x14ac:dyDescent="0.2"/>
    <row r="5475" s="197" customFormat="1" ht="12.75" x14ac:dyDescent="0.2"/>
    <row r="5476" s="197" customFormat="1" ht="12.75" x14ac:dyDescent="0.2"/>
    <row r="5477" s="197" customFormat="1" ht="12.75" x14ac:dyDescent="0.2"/>
    <row r="5478" s="197" customFormat="1" ht="12.75" x14ac:dyDescent="0.2"/>
    <row r="5479" s="197" customFormat="1" ht="12.75" x14ac:dyDescent="0.2"/>
    <row r="5480" s="197" customFormat="1" ht="12.75" x14ac:dyDescent="0.2"/>
    <row r="5481" s="197" customFormat="1" ht="12.75" x14ac:dyDescent="0.2"/>
    <row r="5482" s="197" customFormat="1" ht="12.75" x14ac:dyDescent="0.2"/>
    <row r="5483" s="197" customFormat="1" ht="12.75" x14ac:dyDescent="0.2"/>
    <row r="5484" s="197" customFormat="1" ht="12.75" x14ac:dyDescent="0.2"/>
    <row r="5485" s="197" customFormat="1" ht="12.75" x14ac:dyDescent="0.2"/>
    <row r="5486" s="197" customFormat="1" ht="12.75" x14ac:dyDescent="0.2"/>
    <row r="5487" s="197" customFormat="1" ht="12.75" x14ac:dyDescent="0.2"/>
    <row r="5488" s="197" customFormat="1" ht="12.75" x14ac:dyDescent="0.2"/>
    <row r="5489" s="197" customFormat="1" ht="12.75" x14ac:dyDescent="0.2"/>
    <row r="5490" s="197" customFormat="1" ht="12.75" x14ac:dyDescent="0.2"/>
    <row r="5491" s="197" customFormat="1" ht="12.75" x14ac:dyDescent="0.2"/>
    <row r="5492" s="197" customFormat="1" ht="12.75" x14ac:dyDescent="0.2"/>
    <row r="5493" s="197" customFormat="1" ht="12.75" x14ac:dyDescent="0.2"/>
    <row r="5494" s="197" customFormat="1" ht="12.75" x14ac:dyDescent="0.2"/>
    <row r="5495" s="197" customFormat="1" ht="12.75" x14ac:dyDescent="0.2"/>
    <row r="5496" s="197" customFormat="1" ht="12.75" x14ac:dyDescent="0.2"/>
    <row r="5497" s="197" customFormat="1" ht="12.75" x14ac:dyDescent="0.2"/>
    <row r="5498" s="197" customFormat="1" ht="12.75" x14ac:dyDescent="0.2"/>
    <row r="5499" s="197" customFormat="1" ht="12.75" x14ac:dyDescent="0.2"/>
    <row r="5500" s="197" customFormat="1" ht="12.75" x14ac:dyDescent="0.2"/>
    <row r="5501" s="197" customFormat="1" ht="12.75" x14ac:dyDescent="0.2"/>
    <row r="5502" s="197" customFormat="1" ht="12.75" x14ac:dyDescent="0.2"/>
    <row r="5503" s="197" customFormat="1" ht="12.75" x14ac:dyDescent="0.2"/>
    <row r="5504" s="197" customFormat="1" ht="12.75" x14ac:dyDescent="0.2"/>
    <row r="5505" s="197" customFormat="1" ht="12.75" x14ac:dyDescent="0.2"/>
    <row r="5506" s="197" customFormat="1" ht="12.75" x14ac:dyDescent="0.2"/>
    <row r="5507" s="197" customFormat="1" ht="12.75" x14ac:dyDescent="0.2"/>
    <row r="5508" s="197" customFormat="1" ht="12.75" x14ac:dyDescent="0.2"/>
    <row r="5509" s="197" customFormat="1" ht="12.75" x14ac:dyDescent="0.2"/>
    <row r="5510" s="197" customFormat="1" ht="12.75" x14ac:dyDescent="0.2"/>
    <row r="5511" s="197" customFormat="1" ht="12.75" x14ac:dyDescent="0.2"/>
    <row r="5512" s="197" customFormat="1" ht="12.75" x14ac:dyDescent="0.2"/>
    <row r="5513" s="197" customFormat="1" ht="12.75" x14ac:dyDescent="0.2"/>
    <row r="5514" s="197" customFormat="1" ht="12.75" x14ac:dyDescent="0.2"/>
    <row r="5515" s="197" customFormat="1" ht="12.75" x14ac:dyDescent="0.2"/>
    <row r="5516" s="197" customFormat="1" ht="12.75" x14ac:dyDescent="0.2"/>
    <row r="5517" s="197" customFormat="1" ht="12.75" x14ac:dyDescent="0.2"/>
    <row r="5518" s="197" customFormat="1" ht="12.75" x14ac:dyDescent="0.2"/>
    <row r="5519" s="197" customFormat="1" ht="12.75" x14ac:dyDescent="0.2"/>
    <row r="5520" s="197" customFormat="1" ht="12.75" x14ac:dyDescent="0.2"/>
    <row r="5521" s="197" customFormat="1" ht="12.75" x14ac:dyDescent="0.2"/>
    <row r="5522" s="197" customFormat="1" ht="12.75" x14ac:dyDescent="0.2"/>
    <row r="5523" s="197" customFormat="1" ht="12.75" x14ac:dyDescent="0.2"/>
    <row r="5524" s="197" customFormat="1" ht="12.75" x14ac:dyDescent="0.2"/>
    <row r="5525" s="197" customFormat="1" ht="12.75" x14ac:dyDescent="0.2"/>
    <row r="5526" s="197" customFormat="1" ht="12.75" x14ac:dyDescent="0.2"/>
    <row r="5527" s="197" customFormat="1" ht="12.75" x14ac:dyDescent="0.2"/>
    <row r="5528" s="197" customFormat="1" ht="12.75" x14ac:dyDescent="0.2"/>
    <row r="5529" s="197" customFormat="1" ht="12.75" x14ac:dyDescent="0.2"/>
    <row r="5530" s="197" customFormat="1" ht="12.75" x14ac:dyDescent="0.2"/>
    <row r="5531" s="197" customFormat="1" ht="12.75" x14ac:dyDescent="0.2"/>
    <row r="5532" s="197" customFormat="1" ht="12.75" x14ac:dyDescent="0.2"/>
    <row r="5533" s="197" customFormat="1" ht="12.75" x14ac:dyDescent="0.2"/>
    <row r="5534" s="197" customFormat="1" ht="12.75" x14ac:dyDescent="0.2"/>
    <row r="5535" s="197" customFormat="1" ht="12.75" x14ac:dyDescent="0.2"/>
    <row r="5536" s="197" customFormat="1" ht="12.75" x14ac:dyDescent="0.2"/>
    <row r="5537" s="197" customFormat="1" ht="12.75" x14ac:dyDescent="0.2"/>
    <row r="5538" s="197" customFormat="1" ht="12.75" x14ac:dyDescent="0.2"/>
    <row r="5539" s="197" customFormat="1" ht="12.75" x14ac:dyDescent="0.2"/>
    <row r="5540" s="197" customFormat="1" ht="12.75" x14ac:dyDescent="0.2"/>
    <row r="5541" s="197" customFormat="1" ht="12.75" x14ac:dyDescent="0.2"/>
    <row r="5542" s="197" customFormat="1" ht="12.75" x14ac:dyDescent="0.2"/>
    <row r="5543" s="197" customFormat="1" ht="12.75" x14ac:dyDescent="0.2"/>
    <row r="5544" s="197" customFormat="1" ht="12.75" x14ac:dyDescent="0.2"/>
    <row r="5545" s="197" customFormat="1" ht="12.75" x14ac:dyDescent="0.2"/>
    <row r="5546" s="197" customFormat="1" ht="12.75" x14ac:dyDescent="0.2"/>
    <row r="5547" s="197" customFormat="1" ht="12.75" x14ac:dyDescent="0.2"/>
    <row r="5548" s="197" customFormat="1" ht="12.75" x14ac:dyDescent="0.2"/>
    <row r="5549" s="197" customFormat="1" ht="12.75" x14ac:dyDescent="0.2"/>
    <row r="5550" s="197" customFormat="1" ht="12.75" x14ac:dyDescent="0.2"/>
    <row r="5551" s="197" customFormat="1" ht="12.75" x14ac:dyDescent="0.2"/>
    <row r="5552" s="197" customFormat="1" ht="12.75" x14ac:dyDescent="0.2"/>
    <row r="5553" s="197" customFormat="1" ht="12.75" x14ac:dyDescent="0.2"/>
    <row r="5554" s="197" customFormat="1" ht="12.75" x14ac:dyDescent="0.2"/>
    <row r="5555" s="197" customFormat="1" ht="12.75" x14ac:dyDescent="0.2"/>
    <row r="5556" s="197" customFormat="1" ht="12.75" x14ac:dyDescent="0.2"/>
    <row r="5557" s="197" customFormat="1" ht="12.75" x14ac:dyDescent="0.2"/>
    <row r="5558" s="197" customFormat="1" ht="12.75" x14ac:dyDescent="0.2"/>
    <row r="5559" s="197" customFormat="1" ht="12.75" x14ac:dyDescent="0.2"/>
    <row r="5560" s="197" customFormat="1" ht="12.75" x14ac:dyDescent="0.2"/>
    <row r="5561" s="197" customFormat="1" ht="12.75" x14ac:dyDescent="0.2"/>
    <row r="5562" s="197" customFormat="1" ht="12.75" x14ac:dyDescent="0.2"/>
    <row r="5563" s="197" customFormat="1" ht="12.75" x14ac:dyDescent="0.2"/>
    <row r="5564" s="197" customFormat="1" ht="12.75" x14ac:dyDescent="0.2"/>
    <row r="5565" s="197" customFormat="1" ht="12.75" x14ac:dyDescent="0.2"/>
    <row r="5566" s="197" customFormat="1" ht="12.75" x14ac:dyDescent="0.2"/>
    <row r="5567" s="197" customFormat="1" ht="12.75" x14ac:dyDescent="0.2"/>
    <row r="5568" s="197" customFormat="1" ht="12.75" x14ac:dyDescent="0.2"/>
    <row r="5569" s="197" customFormat="1" ht="12.75" x14ac:dyDescent="0.2"/>
    <row r="5570" s="197" customFormat="1" ht="12.75" x14ac:dyDescent="0.2"/>
    <row r="5571" s="197" customFormat="1" ht="12.75" x14ac:dyDescent="0.2"/>
    <row r="5572" s="197" customFormat="1" ht="12.75" x14ac:dyDescent="0.2"/>
    <row r="5573" s="197" customFormat="1" ht="12.75" x14ac:dyDescent="0.2"/>
    <row r="5574" s="197" customFormat="1" ht="12.75" x14ac:dyDescent="0.2"/>
    <row r="5575" s="197" customFormat="1" ht="12.75" x14ac:dyDescent="0.2"/>
    <row r="5576" s="197" customFormat="1" ht="12.75" x14ac:dyDescent="0.2"/>
    <row r="5577" s="197" customFormat="1" ht="12.75" x14ac:dyDescent="0.2"/>
    <row r="5578" s="197" customFormat="1" ht="12.75" x14ac:dyDescent="0.2"/>
    <row r="5579" s="197" customFormat="1" ht="12.75" x14ac:dyDescent="0.2"/>
    <row r="5580" s="197" customFormat="1" ht="12.75" x14ac:dyDescent="0.2"/>
    <row r="5581" s="197" customFormat="1" ht="12.75" x14ac:dyDescent="0.2"/>
    <row r="5582" s="197" customFormat="1" ht="12.75" x14ac:dyDescent="0.2"/>
    <row r="5583" s="197" customFormat="1" ht="12.75" x14ac:dyDescent="0.2"/>
    <row r="5584" s="197" customFormat="1" ht="12.75" x14ac:dyDescent="0.2"/>
    <row r="5585" s="197" customFormat="1" ht="12.75" x14ac:dyDescent="0.2"/>
    <row r="5586" s="197" customFormat="1" ht="12.75" x14ac:dyDescent="0.2"/>
    <row r="5587" s="197" customFormat="1" ht="12.75" x14ac:dyDescent="0.2"/>
    <row r="5588" s="197" customFormat="1" ht="12.75" x14ac:dyDescent="0.2"/>
    <row r="5589" s="197" customFormat="1" ht="12.75" x14ac:dyDescent="0.2"/>
    <row r="5590" s="197" customFormat="1" ht="12.75" x14ac:dyDescent="0.2"/>
    <row r="5591" s="197" customFormat="1" ht="12.75" x14ac:dyDescent="0.2"/>
    <row r="5592" s="197" customFormat="1" ht="12.75" x14ac:dyDescent="0.2"/>
    <row r="5593" s="197" customFormat="1" ht="12.75" x14ac:dyDescent="0.2"/>
    <row r="5594" s="197" customFormat="1" ht="12.75" x14ac:dyDescent="0.2"/>
    <row r="5595" s="197" customFormat="1" ht="12.75" x14ac:dyDescent="0.2"/>
    <row r="5596" s="197" customFormat="1" ht="12.75" x14ac:dyDescent="0.2"/>
    <row r="5597" s="197" customFormat="1" ht="12.75" x14ac:dyDescent="0.2"/>
    <row r="5598" s="197" customFormat="1" ht="12.75" x14ac:dyDescent="0.2"/>
    <row r="5599" s="197" customFormat="1" ht="12.75" x14ac:dyDescent="0.2"/>
    <row r="5600" s="197" customFormat="1" ht="12.75" x14ac:dyDescent="0.2"/>
    <row r="5601" s="197" customFormat="1" ht="12.75" x14ac:dyDescent="0.2"/>
    <row r="5602" s="197" customFormat="1" ht="12.75" x14ac:dyDescent="0.2"/>
    <row r="5603" s="197" customFormat="1" ht="12.75" x14ac:dyDescent="0.2"/>
    <row r="5604" s="197" customFormat="1" ht="12.75" x14ac:dyDescent="0.2"/>
    <row r="5605" s="197" customFormat="1" ht="12.75" x14ac:dyDescent="0.2"/>
    <row r="5606" s="197" customFormat="1" ht="12.75" x14ac:dyDescent="0.2"/>
    <row r="5607" s="197" customFormat="1" ht="12.75" x14ac:dyDescent="0.2"/>
    <row r="5608" s="197" customFormat="1" ht="12.75" x14ac:dyDescent="0.2"/>
    <row r="5609" s="197" customFormat="1" ht="12.75" x14ac:dyDescent="0.2"/>
    <row r="5610" s="197" customFormat="1" ht="12.75" x14ac:dyDescent="0.2"/>
    <row r="5611" s="197" customFormat="1" ht="12.75" x14ac:dyDescent="0.2"/>
    <row r="5612" s="197" customFormat="1" ht="12.75" x14ac:dyDescent="0.2"/>
    <row r="5613" s="197" customFormat="1" ht="12.75" x14ac:dyDescent="0.2"/>
    <row r="5614" s="197" customFormat="1" ht="12.75" x14ac:dyDescent="0.2"/>
    <row r="5615" s="197" customFormat="1" ht="12.75" x14ac:dyDescent="0.2"/>
    <row r="5616" s="197" customFormat="1" ht="12.75" x14ac:dyDescent="0.2"/>
    <row r="5617" s="197" customFormat="1" ht="12.75" x14ac:dyDescent="0.2"/>
    <row r="5618" s="197" customFormat="1" ht="12.75" x14ac:dyDescent="0.2"/>
    <row r="5619" s="197" customFormat="1" ht="12.75" x14ac:dyDescent="0.2"/>
    <row r="5620" s="197" customFormat="1" ht="12.75" x14ac:dyDescent="0.2"/>
    <row r="5621" s="197" customFormat="1" ht="12.75" x14ac:dyDescent="0.2"/>
    <row r="5622" s="197" customFormat="1" ht="12.75" x14ac:dyDescent="0.2"/>
    <row r="5623" s="197" customFormat="1" ht="12.75" x14ac:dyDescent="0.2"/>
    <row r="5624" s="197" customFormat="1" ht="12.75" x14ac:dyDescent="0.2"/>
    <row r="5625" s="197" customFormat="1" ht="12.75" x14ac:dyDescent="0.2"/>
    <row r="5626" s="197" customFormat="1" ht="12.75" x14ac:dyDescent="0.2"/>
    <row r="5627" s="197" customFormat="1" ht="12.75" x14ac:dyDescent="0.2"/>
    <row r="5628" s="197" customFormat="1" ht="12.75" x14ac:dyDescent="0.2"/>
    <row r="5629" s="197" customFormat="1" ht="12.75" x14ac:dyDescent="0.2"/>
    <row r="5630" s="197" customFormat="1" ht="12.75" x14ac:dyDescent="0.2"/>
    <row r="5631" s="197" customFormat="1" ht="12.75" x14ac:dyDescent="0.2"/>
    <row r="5632" s="197" customFormat="1" ht="12.75" x14ac:dyDescent="0.2"/>
    <row r="5633" s="197" customFormat="1" ht="12.75" x14ac:dyDescent="0.2"/>
    <row r="5634" s="197" customFormat="1" ht="12.75" x14ac:dyDescent="0.2"/>
    <row r="5635" s="197" customFormat="1" ht="12.75" x14ac:dyDescent="0.2"/>
    <row r="5636" s="197" customFormat="1" ht="12.75" x14ac:dyDescent="0.2"/>
    <row r="5637" s="197" customFormat="1" ht="12.75" x14ac:dyDescent="0.2"/>
    <row r="5638" s="197" customFormat="1" ht="12.75" x14ac:dyDescent="0.2"/>
    <row r="5639" s="197" customFormat="1" ht="12.75" x14ac:dyDescent="0.2"/>
    <row r="5640" s="197" customFormat="1" ht="12.75" x14ac:dyDescent="0.2"/>
    <row r="5641" s="197" customFormat="1" ht="12.75" x14ac:dyDescent="0.2"/>
    <row r="5642" s="197" customFormat="1" ht="12.75" x14ac:dyDescent="0.2"/>
    <row r="5643" s="197" customFormat="1" ht="12.75" x14ac:dyDescent="0.2"/>
    <row r="5644" s="197" customFormat="1" ht="12.75" x14ac:dyDescent="0.2"/>
    <row r="5645" s="197" customFormat="1" ht="12.75" x14ac:dyDescent="0.2"/>
    <row r="5646" s="197" customFormat="1" ht="12.75" x14ac:dyDescent="0.2"/>
    <row r="5647" s="197" customFormat="1" ht="12.75" x14ac:dyDescent="0.2"/>
    <row r="5648" s="197" customFormat="1" ht="12.75" x14ac:dyDescent="0.2"/>
    <row r="5649" s="197" customFormat="1" ht="12.75" x14ac:dyDescent="0.2"/>
    <row r="5650" s="197" customFormat="1" ht="12.75" x14ac:dyDescent="0.2"/>
    <row r="5651" s="197" customFormat="1" ht="12.75" x14ac:dyDescent="0.2"/>
    <row r="5652" s="197" customFormat="1" ht="12.75" x14ac:dyDescent="0.2"/>
    <row r="5653" s="197" customFormat="1" ht="12.75" x14ac:dyDescent="0.2"/>
    <row r="5654" s="197" customFormat="1" ht="12.75" x14ac:dyDescent="0.2"/>
    <row r="5655" s="197" customFormat="1" ht="12.75" x14ac:dyDescent="0.2"/>
    <row r="5656" s="197" customFormat="1" ht="12.75" x14ac:dyDescent="0.2"/>
    <row r="5657" s="197" customFormat="1" ht="12.75" x14ac:dyDescent="0.2"/>
    <row r="5658" s="197" customFormat="1" ht="12.75" x14ac:dyDescent="0.2"/>
    <row r="5659" s="197" customFormat="1" ht="12.75" x14ac:dyDescent="0.2"/>
    <row r="5660" s="197" customFormat="1" ht="12.75" x14ac:dyDescent="0.2"/>
    <row r="5661" s="197" customFormat="1" ht="12.75" x14ac:dyDescent="0.2"/>
    <row r="5662" s="197" customFormat="1" ht="12.75" x14ac:dyDescent="0.2"/>
    <row r="5663" s="197" customFormat="1" ht="12.75" x14ac:dyDescent="0.2"/>
    <row r="5664" s="197" customFormat="1" ht="12.75" x14ac:dyDescent="0.2"/>
    <row r="5665" s="197" customFormat="1" ht="12.75" x14ac:dyDescent="0.2"/>
    <row r="5666" s="197" customFormat="1" ht="12.75" x14ac:dyDescent="0.2"/>
    <row r="5667" s="197" customFormat="1" ht="12.75" x14ac:dyDescent="0.2"/>
    <row r="5668" s="197" customFormat="1" ht="12.75" x14ac:dyDescent="0.2"/>
    <row r="5669" s="197" customFormat="1" ht="12.75" x14ac:dyDescent="0.2"/>
    <row r="5670" s="197" customFormat="1" ht="12.75" x14ac:dyDescent="0.2"/>
    <row r="5671" s="197" customFormat="1" ht="12.75" x14ac:dyDescent="0.2"/>
    <row r="5672" s="197" customFormat="1" ht="12.75" x14ac:dyDescent="0.2"/>
    <row r="5673" s="197" customFormat="1" ht="12.75" x14ac:dyDescent="0.2"/>
    <row r="5674" s="197" customFormat="1" ht="12.75" x14ac:dyDescent="0.2"/>
    <row r="5675" s="197" customFormat="1" ht="12.75" x14ac:dyDescent="0.2"/>
    <row r="5676" s="197" customFormat="1" ht="12.75" x14ac:dyDescent="0.2"/>
    <row r="5677" s="197" customFormat="1" ht="12.75" x14ac:dyDescent="0.2"/>
    <row r="5678" s="197" customFormat="1" ht="12.75" x14ac:dyDescent="0.2"/>
    <row r="5679" s="197" customFormat="1" ht="12.75" x14ac:dyDescent="0.2"/>
    <row r="5680" s="197" customFormat="1" ht="12.75" x14ac:dyDescent="0.2"/>
    <row r="5681" s="197" customFormat="1" ht="12.75" x14ac:dyDescent="0.2"/>
    <row r="5682" s="197" customFormat="1" ht="12.75" x14ac:dyDescent="0.2"/>
    <row r="5683" s="197" customFormat="1" ht="12.75" x14ac:dyDescent="0.2"/>
    <row r="5684" s="197" customFormat="1" ht="12.75" x14ac:dyDescent="0.2"/>
    <row r="5685" s="197" customFormat="1" ht="12.75" x14ac:dyDescent="0.2"/>
    <row r="5686" s="197" customFormat="1" ht="12.75" x14ac:dyDescent="0.2"/>
    <row r="5687" s="197" customFormat="1" ht="12.75" x14ac:dyDescent="0.2"/>
    <row r="5688" s="197" customFormat="1" ht="12.75" x14ac:dyDescent="0.2"/>
    <row r="5689" s="197" customFormat="1" ht="12.75" x14ac:dyDescent="0.2"/>
    <row r="5690" s="197" customFormat="1" ht="12.75" x14ac:dyDescent="0.2"/>
    <row r="5691" s="197" customFormat="1" ht="12.75" x14ac:dyDescent="0.2"/>
    <row r="5692" s="197" customFormat="1" ht="12.75" x14ac:dyDescent="0.2"/>
    <row r="5693" s="197" customFormat="1" ht="12.75" x14ac:dyDescent="0.2"/>
    <row r="5694" s="197" customFormat="1" ht="12.75" x14ac:dyDescent="0.2"/>
    <row r="5695" s="197" customFormat="1" ht="12.75" x14ac:dyDescent="0.2"/>
    <row r="5696" s="197" customFormat="1" ht="12.75" x14ac:dyDescent="0.2"/>
    <row r="5697" s="197" customFormat="1" ht="12.75" x14ac:dyDescent="0.2"/>
    <row r="5698" s="197" customFormat="1" ht="12.75" x14ac:dyDescent="0.2"/>
    <row r="5699" s="197" customFormat="1" ht="12.75" x14ac:dyDescent="0.2"/>
    <row r="5700" s="197" customFormat="1" ht="12.75" x14ac:dyDescent="0.2"/>
    <row r="5701" s="197" customFormat="1" ht="12.75" x14ac:dyDescent="0.2"/>
    <row r="5702" s="197" customFormat="1" ht="12.75" x14ac:dyDescent="0.2"/>
    <row r="5703" s="197" customFormat="1" ht="12.75" x14ac:dyDescent="0.2"/>
    <row r="5704" s="197" customFormat="1" ht="12.75" x14ac:dyDescent="0.2"/>
    <row r="5705" s="197" customFormat="1" ht="12.75" x14ac:dyDescent="0.2"/>
    <row r="5706" s="197" customFormat="1" ht="12.75" x14ac:dyDescent="0.2"/>
    <row r="5707" s="197" customFormat="1" ht="12.75" x14ac:dyDescent="0.2"/>
    <row r="5708" s="197" customFormat="1" ht="12.75" x14ac:dyDescent="0.2"/>
    <row r="5709" s="197" customFormat="1" ht="12.75" x14ac:dyDescent="0.2"/>
    <row r="5710" s="197" customFormat="1" ht="12.75" x14ac:dyDescent="0.2"/>
    <row r="5711" s="197" customFormat="1" ht="12.75" x14ac:dyDescent="0.2"/>
    <row r="5712" s="197" customFormat="1" ht="12.75" x14ac:dyDescent="0.2"/>
    <row r="5713" s="197" customFormat="1" ht="12.75" x14ac:dyDescent="0.2"/>
    <row r="5714" s="197" customFormat="1" ht="12.75" x14ac:dyDescent="0.2"/>
    <row r="5715" s="197" customFormat="1" ht="12.75" x14ac:dyDescent="0.2"/>
    <row r="5716" s="197" customFormat="1" ht="12.75" x14ac:dyDescent="0.2"/>
    <row r="5717" s="197" customFormat="1" ht="12.75" x14ac:dyDescent="0.2"/>
    <row r="5718" s="197" customFormat="1" ht="12.75" x14ac:dyDescent="0.2"/>
    <row r="5719" s="197" customFormat="1" ht="12.75" x14ac:dyDescent="0.2"/>
    <row r="5720" s="197" customFormat="1" ht="12.75" x14ac:dyDescent="0.2"/>
    <row r="5721" s="197" customFormat="1" ht="12.75" x14ac:dyDescent="0.2"/>
    <row r="5722" s="197" customFormat="1" ht="12.75" x14ac:dyDescent="0.2"/>
    <row r="5723" s="197" customFormat="1" ht="12.75" x14ac:dyDescent="0.2"/>
    <row r="5724" s="197" customFormat="1" ht="12.75" x14ac:dyDescent="0.2"/>
    <row r="5725" s="197" customFormat="1" ht="12.75" x14ac:dyDescent="0.2"/>
    <row r="5726" s="197" customFormat="1" ht="12.75" x14ac:dyDescent="0.2"/>
    <row r="5727" s="197" customFormat="1" ht="12.75" x14ac:dyDescent="0.2"/>
    <row r="5728" s="197" customFormat="1" ht="12.75" x14ac:dyDescent="0.2"/>
    <row r="5729" s="197" customFormat="1" ht="12.75" x14ac:dyDescent="0.2"/>
    <row r="5730" s="197" customFormat="1" ht="12.75" x14ac:dyDescent="0.2"/>
    <row r="5731" s="197" customFormat="1" ht="12.75" x14ac:dyDescent="0.2"/>
    <row r="5732" s="197" customFormat="1" ht="12.75" x14ac:dyDescent="0.2"/>
    <row r="5733" s="197" customFormat="1" ht="12.75" x14ac:dyDescent="0.2"/>
    <row r="5734" s="197" customFormat="1" ht="12.75" x14ac:dyDescent="0.2"/>
    <row r="5735" s="197" customFormat="1" ht="12.75" x14ac:dyDescent="0.2"/>
    <row r="5736" s="197" customFormat="1" ht="12.75" x14ac:dyDescent="0.2"/>
    <row r="5737" s="197" customFormat="1" ht="12.75" x14ac:dyDescent="0.2"/>
    <row r="5738" s="197" customFormat="1" ht="12.75" x14ac:dyDescent="0.2"/>
    <row r="5739" s="197" customFormat="1" ht="12.75" x14ac:dyDescent="0.2"/>
    <row r="5740" s="197" customFormat="1" ht="12.75" x14ac:dyDescent="0.2"/>
    <row r="5741" s="197" customFormat="1" ht="12.75" x14ac:dyDescent="0.2"/>
    <row r="5742" s="197" customFormat="1" ht="12.75" x14ac:dyDescent="0.2"/>
    <row r="5743" s="197" customFormat="1" ht="12.75" x14ac:dyDescent="0.2"/>
    <row r="5744" s="197" customFormat="1" ht="12.75" x14ac:dyDescent="0.2"/>
    <row r="5745" s="197" customFormat="1" ht="12.75" x14ac:dyDescent="0.2"/>
    <row r="5746" s="197" customFormat="1" ht="12.75" x14ac:dyDescent="0.2"/>
    <row r="5747" s="197" customFormat="1" ht="12.75" x14ac:dyDescent="0.2"/>
    <row r="5748" s="197" customFormat="1" ht="12.75" x14ac:dyDescent="0.2"/>
    <row r="5749" s="197" customFormat="1" ht="12.75" x14ac:dyDescent="0.2"/>
    <row r="5750" s="197" customFormat="1" ht="12.75" x14ac:dyDescent="0.2"/>
    <row r="5751" s="197" customFormat="1" ht="12.75" x14ac:dyDescent="0.2"/>
    <row r="5752" s="197" customFormat="1" ht="12.75" x14ac:dyDescent="0.2"/>
    <row r="5753" s="197" customFormat="1" ht="12.75" x14ac:dyDescent="0.2"/>
    <row r="5754" s="197" customFormat="1" ht="12.75" x14ac:dyDescent="0.2"/>
    <row r="5755" s="197" customFormat="1" ht="12.75" x14ac:dyDescent="0.2"/>
    <row r="5756" s="197" customFormat="1" ht="12.75" x14ac:dyDescent="0.2"/>
    <row r="5757" s="197" customFormat="1" ht="12.75" x14ac:dyDescent="0.2"/>
    <row r="5758" s="197" customFormat="1" ht="12.75" x14ac:dyDescent="0.2"/>
    <row r="5759" s="197" customFormat="1" ht="12.75" x14ac:dyDescent="0.2"/>
    <row r="5760" s="197" customFormat="1" ht="12.75" x14ac:dyDescent="0.2"/>
    <row r="5761" s="197" customFormat="1" ht="12.75" x14ac:dyDescent="0.2"/>
    <row r="5762" s="197" customFormat="1" ht="12.75" x14ac:dyDescent="0.2"/>
    <row r="5763" s="197" customFormat="1" ht="12.75" x14ac:dyDescent="0.2"/>
    <row r="5764" s="197" customFormat="1" ht="12.75" x14ac:dyDescent="0.2"/>
    <row r="5765" s="197" customFormat="1" ht="12.75" x14ac:dyDescent="0.2"/>
    <row r="5766" s="197" customFormat="1" ht="12.75" x14ac:dyDescent="0.2"/>
    <row r="5767" s="197" customFormat="1" ht="12.75" x14ac:dyDescent="0.2"/>
    <row r="5768" s="197" customFormat="1" ht="12.75" x14ac:dyDescent="0.2"/>
    <row r="5769" s="197" customFormat="1" ht="12.75" x14ac:dyDescent="0.2"/>
    <row r="5770" s="197" customFormat="1" ht="12.75" x14ac:dyDescent="0.2"/>
    <row r="5771" s="197" customFormat="1" ht="12.75" x14ac:dyDescent="0.2"/>
    <row r="5772" s="197" customFormat="1" ht="12.75" x14ac:dyDescent="0.2"/>
    <row r="5773" s="197" customFormat="1" ht="12.75" x14ac:dyDescent="0.2"/>
    <row r="5774" s="197" customFormat="1" ht="12.75" x14ac:dyDescent="0.2"/>
    <row r="5775" s="197" customFormat="1" ht="12.75" x14ac:dyDescent="0.2"/>
    <row r="5776" s="197" customFormat="1" ht="12.75" x14ac:dyDescent="0.2"/>
    <row r="5777" s="197" customFormat="1" ht="12.75" x14ac:dyDescent="0.2"/>
    <row r="5778" s="197" customFormat="1" ht="12.75" x14ac:dyDescent="0.2"/>
    <row r="5779" s="197" customFormat="1" ht="12.75" x14ac:dyDescent="0.2"/>
    <row r="5780" s="197" customFormat="1" ht="12.75" x14ac:dyDescent="0.2"/>
    <row r="5781" s="197" customFormat="1" ht="12.75" x14ac:dyDescent="0.2"/>
    <row r="5782" s="197" customFormat="1" ht="12.75" x14ac:dyDescent="0.2"/>
    <row r="5783" s="197" customFormat="1" ht="12.75" x14ac:dyDescent="0.2"/>
    <row r="5784" s="197" customFormat="1" ht="12.75" x14ac:dyDescent="0.2"/>
    <row r="5785" s="197" customFormat="1" ht="12.75" x14ac:dyDescent="0.2"/>
    <row r="5786" s="197" customFormat="1" ht="12.75" x14ac:dyDescent="0.2"/>
    <row r="5787" s="197" customFormat="1" ht="12.75" x14ac:dyDescent="0.2"/>
    <row r="5788" s="197" customFormat="1" ht="12.75" x14ac:dyDescent="0.2"/>
    <row r="5789" s="197" customFormat="1" ht="12.75" x14ac:dyDescent="0.2"/>
    <row r="5790" s="197" customFormat="1" ht="12.75" x14ac:dyDescent="0.2"/>
    <row r="5791" s="197" customFormat="1" ht="12.75" x14ac:dyDescent="0.2"/>
    <row r="5792" s="197" customFormat="1" ht="12.75" x14ac:dyDescent="0.2"/>
    <row r="5793" s="197" customFormat="1" ht="12.75" x14ac:dyDescent="0.2"/>
    <row r="5794" s="197" customFormat="1" ht="12.75" x14ac:dyDescent="0.2"/>
    <row r="5795" s="197" customFormat="1" ht="12.75" x14ac:dyDescent="0.2"/>
    <row r="5796" s="197" customFormat="1" ht="12.75" x14ac:dyDescent="0.2"/>
    <row r="5797" s="197" customFormat="1" ht="12.75" x14ac:dyDescent="0.2"/>
    <row r="5798" s="197" customFormat="1" ht="12.75" x14ac:dyDescent="0.2"/>
    <row r="5799" s="197" customFormat="1" ht="12.75" x14ac:dyDescent="0.2"/>
    <row r="5800" s="197" customFormat="1" ht="12.75" x14ac:dyDescent="0.2"/>
    <row r="5801" s="197" customFormat="1" ht="12.75" x14ac:dyDescent="0.2"/>
    <row r="5802" s="197" customFormat="1" ht="12.75" x14ac:dyDescent="0.2"/>
    <row r="5803" s="197" customFormat="1" ht="12.75" x14ac:dyDescent="0.2"/>
    <row r="5804" s="197" customFormat="1" ht="12.75" x14ac:dyDescent="0.2"/>
    <row r="5805" s="197" customFormat="1" ht="12.75" x14ac:dyDescent="0.2"/>
    <row r="5806" s="197" customFormat="1" ht="12.75" x14ac:dyDescent="0.2"/>
    <row r="5807" s="197" customFormat="1" ht="12.75" x14ac:dyDescent="0.2"/>
    <row r="5808" s="197" customFormat="1" ht="12.75" x14ac:dyDescent="0.2"/>
    <row r="5809" s="197" customFormat="1" ht="12.75" x14ac:dyDescent="0.2"/>
    <row r="5810" s="197" customFormat="1" ht="12.75" x14ac:dyDescent="0.2"/>
    <row r="5811" s="197" customFormat="1" ht="12.75" x14ac:dyDescent="0.2"/>
    <row r="5812" s="197" customFormat="1" ht="12.75" x14ac:dyDescent="0.2"/>
    <row r="5813" s="197" customFormat="1" ht="12.75" x14ac:dyDescent="0.2"/>
    <row r="5814" s="197" customFormat="1" ht="12.75" x14ac:dyDescent="0.2"/>
    <row r="5815" s="197" customFormat="1" ht="12.75" x14ac:dyDescent="0.2"/>
    <row r="5816" s="197" customFormat="1" ht="12.75" x14ac:dyDescent="0.2"/>
    <row r="5817" s="197" customFormat="1" ht="12.75" x14ac:dyDescent="0.2"/>
    <row r="5818" s="197" customFormat="1" ht="12.75" x14ac:dyDescent="0.2"/>
    <row r="5819" s="197" customFormat="1" ht="12.75" x14ac:dyDescent="0.2"/>
    <row r="5820" s="197" customFormat="1" ht="12.75" x14ac:dyDescent="0.2"/>
    <row r="5821" s="197" customFormat="1" ht="12.75" x14ac:dyDescent="0.2"/>
    <row r="5822" s="197" customFormat="1" ht="12.75" x14ac:dyDescent="0.2"/>
    <row r="5823" s="197" customFormat="1" ht="12.75" x14ac:dyDescent="0.2"/>
    <row r="5824" s="197" customFormat="1" ht="12.75" x14ac:dyDescent="0.2"/>
    <row r="5825" s="197" customFormat="1" ht="12.75" x14ac:dyDescent="0.2"/>
    <row r="5826" s="197" customFormat="1" ht="12.75" x14ac:dyDescent="0.2"/>
    <row r="5827" s="197" customFormat="1" ht="12.75" x14ac:dyDescent="0.2"/>
    <row r="5828" s="197" customFormat="1" ht="12.75" x14ac:dyDescent="0.2"/>
    <row r="5829" s="197" customFormat="1" ht="12.75" x14ac:dyDescent="0.2"/>
    <row r="5830" s="197" customFormat="1" ht="12.75" x14ac:dyDescent="0.2"/>
    <row r="5831" s="197" customFormat="1" ht="12.75" x14ac:dyDescent="0.2"/>
    <row r="5832" s="197" customFormat="1" ht="12.75" x14ac:dyDescent="0.2"/>
    <row r="5833" s="197" customFormat="1" ht="12.75" x14ac:dyDescent="0.2"/>
    <row r="5834" s="197" customFormat="1" ht="12.75" x14ac:dyDescent="0.2"/>
    <row r="5835" s="197" customFormat="1" ht="12.75" x14ac:dyDescent="0.2"/>
    <row r="5836" s="197" customFormat="1" ht="12.75" x14ac:dyDescent="0.2"/>
    <row r="5837" s="197" customFormat="1" ht="12.75" x14ac:dyDescent="0.2"/>
    <row r="5838" s="197" customFormat="1" ht="12.75" x14ac:dyDescent="0.2"/>
    <row r="5839" s="197" customFormat="1" ht="12.75" x14ac:dyDescent="0.2"/>
    <row r="5840" s="197" customFormat="1" ht="12.75" x14ac:dyDescent="0.2"/>
    <row r="5841" s="197" customFormat="1" ht="12.75" x14ac:dyDescent="0.2"/>
    <row r="5842" s="197" customFormat="1" ht="12.75" x14ac:dyDescent="0.2"/>
    <row r="5843" s="197" customFormat="1" ht="12.75" x14ac:dyDescent="0.2"/>
    <row r="5844" s="197" customFormat="1" ht="12.75" x14ac:dyDescent="0.2"/>
    <row r="5845" s="197" customFormat="1" ht="12.75" x14ac:dyDescent="0.2"/>
    <row r="5846" s="197" customFormat="1" ht="12.75" x14ac:dyDescent="0.2"/>
    <row r="5847" s="197" customFormat="1" ht="12.75" x14ac:dyDescent="0.2"/>
    <row r="5848" s="197" customFormat="1" ht="12.75" x14ac:dyDescent="0.2"/>
    <row r="5849" s="197" customFormat="1" ht="12.75" x14ac:dyDescent="0.2"/>
    <row r="5850" s="197" customFormat="1" ht="12.75" x14ac:dyDescent="0.2"/>
    <row r="5851" s="197" customFormat="1" ht="12.75" x14ac:dyDescent="0.2"/>
    <row r="5852" s="197" customFormat="1" ht="12.75" x14ac:dyDescent="0.2"/>
    <row r="5853" s="197" customFormat="1" ht="12.75" x14ac:dyDescent="0.2"/>
    <row r="5854" s="197" customFormat="1" ht="12.75" x14ac:dyDescent="0.2"/>
    <row r="5855" s="197" customFormat="1" ht="12.75" x14ac:dyDescent="0.2"/>
    <row r="5856" s="197" customFormat="1" ht="12.75" x14ac:dyDescent="0.2"/>
    <row r="5857" s="197" customFormat="1" ht="12.75" x14ac:dyDescent="0.2"/>
    <row r="5858" s="197" customFormat="1" ht="12.75" x14ac:dyDescent="0.2"/>
    <row r="5859" s="197" customFormat="1" ht="12.75" x14ac:dyDescent="0.2"/>
    <row r="5860" s="197" customFormat="1" ht="12.75" x14ac:dyDescent="0.2"/>
    <row r="5861" s="197" customFormat="1" ht="12.75" x14ac:dyDescent="0.2"/>
    <row r="5862" s="197" customFormat="1" ht="12.75" x14ac:dyDescent="0.2"/>
    <row r="5863" s="197" customFormat="1" ht="12.75" x14ac:dyDescent="0.2"/>
    <row r="5864" s="197" customFormat="1" ht="12.75" x14ac:dyDescent="0.2"/>
    <row r="5865" s="197" customFormat="1" ht="12.75" x14ac:dyDescent="0.2"/>
    <row r="5866" s="197" customFormat="1" ht="12.75" x14ac:dyDescent="0.2"/>
    <row r="5867" s="197" customFormat="1" ht="12.75" x14ac:dyDescent="0.2"/>
    <row r="5868" s="197" customFormat="1" ht="12.75" x14ac:dyDescent="0.2"/>
    <row r="5869" s="197" customFormat="1" ht="12.75" x14ac:dyDescent="0.2"/>
    <row r="5870" s="197" customFormat="1" ht="12.75" x14ac:dyDescent="0.2"/>
    <row r="5871" s="197" customFormat="1" ht="12.75" x14ac:dyDescent="0.2"/>
    <row r="5872" s="197" customFormat="1" ht="12.75" x14ac:dyDescent="0.2"/>
    <row r="5873" s="197" customFormat="1" ht="12.75" x14ac:dyDescent="0.2"/>
    <row r="5874" s="197" customFormat="1" ht="12.75" x14ac:dyDescent="0.2"/>
    <row r="5875" s="197" customFormat="1" ht="12.75" x14ac:dyDescent="0.2"/>
    <row r="5876" s="197" customFormat="1" ht="12.75" x14ac:dyDescent="0.2"/>
    <row r="5877" s="197" customFormat="1" ht="12.75" x14ac:dyDescent="0.2"/>
    <row r="5878" s="197" customFormat="1" ht="12.75" x14ac:dyDescent="0.2"/>
    <row r="5879" s="197" customFormat="1" ht="12.75" x14ac:dyDescent="0.2"/>
    <row r="5880" s="197" customFormat="1" ht="12.75" x14ac:dyDescent="0.2"/>
    <row r="5881" s="197" customFormat="1" ht="12.75" x14ac:dyDescent="0.2"/>
    <row r="5882" s="197" customFormat="1" ht="12.75" x14ac:dyDescent="0.2"/>
    <row r="5883" s="197" customFormat="1" ht="12.75" x14ac:dyDescent="0.2"/>
    <row r="5884" s="197" customFormat="1" ht="12.75" x14ac:dyDescent="0.2"/>
    <row r="5885" s="197" customFormat="1" ht="12.75" x14ac:dyDescent="0.2"/>
    <row r="5886" s="197" customFormat="1" ht="12.75" x14ac:dyDescent="0.2"/>
    <row r="5887" s="197" customFormat="1" ht="12.75" x14ac:dyDescent="0.2"/>
    <row r="5888" s="197" customFormat="1" ht="12.75" x14ac:dyDescent="0.2"/>
    <row r="5889" s="197" customFormat="1" ht="12.75" x14ac:dyDescent="0.2"/>
    <row r="5890" s="197" customFormat="1" ht="12.75" x14ac:dyDescent="0.2"/>
    <row r="5891" s="197" customFormat="1" ht="12.75" x14ac:dyDescent="0.2"/>
    <row r="5892" s="197" customFormat="1" ht="12.75" x14ac:dyDescent="0.2"/>
    <row r="5893" s="197" customFormat="1" ht="12.75" x14ac:dyDescent="0.2"/>
    <row r="5894" s="197" customFormat="1" ht="12.75" x14ac:dyDescent="0.2"/>
    <row r="5895" s="197" customFormat="1" ht="12.75" x14ac:dyDescent="0.2"/>
    <row r="5896" s="197" customFormat="1" ht="12.75" x14ac:dyDescent="0.2"/>
    <row r="5897" s="197" customFormat="1" ht="12.75" x14ac:dyDescent="0.2"/>
    <row r="5898" s="197" customFormat="1" ht="12.75" x14ac:dyDescent="0.2"/>
    <row r="5899" s="197" customFormat="1" ht="12.75" x14ac:dyDescent="0.2"/>
    <row r="5900" s="197" customFormat="1" ht="12.75" x14ac:dyDescent="0.2"/>
    <row r="5901" s="197" customFormat="1" ht="12.75" x14ac:dyDescent="0.2"/>
    <row r="5902" s="197" customFormat="1" ht="12.75" x14ac:dyDescent="0.2"/>
    <row r="5903" s="197" customFormat="1" ht="12.75" x14ac:dyDescent="0.2"/>
    <row r="5904" s="197" customFormat="1" ht="12.75" x14ac:dyDescent="0.2"/>
    <row r="5905" s="197" customFormat="1" ht="12.75" x14ac:dyDescent="0.2"/>
    <row r="5906" s="197" customFormat="1" ht="12.75" x14ac:dyDescent="0.2"/>
    <row r="5907" s="197" customFormat="1" ht="12.75" x14ac:dyDescent="0.2"/>
    <row r="5908" s="197" customFormat="1" ht="12.75" x14ac:dyDescent="0.2"/>
    <row r="5909" s="197" customFormat="1" ht="12.75" x14ac:dyDescent="0.2"/>
    <row r="5910" s="197" customFormat="1" ht="12.75" x14ac:dyDescent="0.2"/>
    <row r="5911" s="197" customFormat="1" ht="12.75" x14ac:dyDescent="0.2"/>
    <row r="5912" s="197" customFormat="1" ht="12.75" x14ac:dyDescent="0.2"/>
    <row r="5913" s="197" customFormat="1" ht="12.75" x14ac:dyDescent="0.2"/>
    <row r="5914" s="197" customFormat="1" ht="12.75" x14ac:dyDescent="0.2"/>
    <row r="5915" s="197" customFormat="1" ht="12.75" x14ac:dyDescent="0.2"/>
    <row r="5916" s="197" customFormat="1" ht="12.75" x14ac:dyDescent="0.2"/>
    <row r="5917" s="197" customFormat="1" ht="12.75" x14ac:dyDescent="0.2"/>
    <row r="5918" s="197" customFormat="1" ht="12.75" x14ac:dyDescent="0.2"/>
    <row r="5919" s="197" customFormat="1" ht="12.75" x14ac:dyDescent="0.2"/>
    <row r="5920" s="197" customFormat="1" ht="12.75" x14ac:dyDescent="0.2"/>
    <row r="5921" s="197" customFormat="1" ht="12.75" x14ac:dyDescent="0.2"/>
    <row r="5922" s="197" customFormat="1" ht="12.75" x14ac:dyDescent="0.2"/>
    <row r="5923" s="197" customFormat="1" ht="12.75" x14ac:dyDescent="0.2"/>
    <row r="5924" s="197" customFormat="1" ht="12.75" x14ac:dyDescent="0.2"/>
    <row r="5925" s="197" customFormat="1" ht="12.75" x14ac:dyDescent="0.2"/>
    <row r="5926" s="197" customFormat="1" ht="12.75" x14ac:dyDescent="0.2"/>
    <row r="5927" s="197" customFormat="1" ht="12.75" x14ac:dyDescent="0.2"/>
    <row r="5928" s="197" customFormat="1" ht="12.75" x14ac:dyDescent="0.2"/>
    <row r="5929" s="197" customFormat="1" ht="12.75" x14ac:dyDescent="0.2"/>
    <row r="5930" s="197" customFormat="1" ht="12.75" x14ac:dyDescent="0.2"/>
    <row r="5931" s="197" customFormat="1" ht="12.75" x14ac:dyDescent="0.2"/>
    <row r="5932" s="197" customFormat="1" ht="12.75" x14ac:dyDescent="0.2"/>
    <row r="5933" s="197" customFormat="1" ht="12.75" x14ac:dyDescent="0.2"/>
    <row r="5934" s="197" customFormat="1" ht="12.75" x14ac:dyDescent="0.2"/>
    <row r="5935" s="197" customFormat="1" ht="12.75" x14ac:dyDescent="0.2"/>
    <row r="5936" s="197" customFormat="1" ht="12.75" x14ac:dyDescent="0.2"/>
    <row r="5937" s="197" customFormat="1" ht="12.75" x14ac:dyDescent="0.2"/>
    <row r="5938" s="197" customFormat="1" ht="12.75" x14ac:dyDescent="0.2"/>
    <row r="5939" s="197" customFormat="1" ht="12.75" x14ac:dyDescent="0.2"/>
    <row r="5940" s="197" customFormat="1" ht="12.75" x14ac:dyDescent="0.2"/>
    <row r="5941" s="197" customFormat="1" ht="12.75" x14ac:dyDescent="0.2"/>
    <row r="5942" s="197" customFormat="1" ht="12.75" x14ac:dyDescent="0.2"/>
    <row r="5943" s="197" customFormat="1" ht="12.75" x14ac:dyDescent="0.2"/>
    <row r="5944" s="197" customFormat="1" ht="12.75" x14ac:dyDescent="0.2"/>
    <row r="5945" s="197" customFormat="1" ht="12.75" x14ac:dyDescent="0.2"/>
    <row r="5946" s="197" customFormat="1" ht="12.75" x14ac:dyDescent="0.2"/>
    <row r="5947" s="197" customFormat="1" ht="12.75" x14ac:dyDescent="0.2"/>
    <row r="5948" s="197" customFormat="1" ht="12.75" x14ac:dyDescent="0.2"/>
    <row r="5949" s="197" customFormat="1" ht="12.75" x14ac:dyDescent="0.2"/>
    <row r="5950" s="197" customFormat="1" ht="12.75" x14ac:dyDescent="0.2"/>
    <row r="5951" s="197" customFormat="1" ht="12.75" x14ac:dyDescent="0.2"/>
    <row r="5952" s="197" customFormat="1" ht="12.75" x14ac:dyDescent="0.2"/>
    <row r="5953" s="197" customFormat="1" ht="12.75" x14ac:dyDescent="0.2"/>
    <row r="5954" s="197" customFormat="1" ht="12.75" x14ac:dyDescent="0.2"/>
    <row r="5955" s="197" customFormat="1" ht="12.75" x14ac:dyDescent="0.2"/>
    <row r="5956" s="197" customFormat="1" ht="12.75" x14ac:dyDescent="0.2"/>
    <row r="5957" s="197" customFormat="1" ht="12.75" x14ac:dyDescent="0.2"/>
    <row r="5958" s="197" customFormat="1" ht="12.75" x14ac:dyDescent="0.2"/>
    <row r="5959" s="197" customFormat="1" ht="12.75" x14ac:dyDescent="0.2"/>
    <row r="5960" s="197" customFormat="1" ht="12.75" x14ac:dyDescent="0.2"/>
    <row r="5961" s="197" customFormat="1" ht="12.75" x14ac:dyDescent="0.2"/>
    <row r="5962" s="197" customFormat="1" ht="12.75" x14ac:dyDescent="0.2"/>
    <row r="5963" s="197" customFormat="1" ht="12.75" x14ac:dyDescent="0.2"/>
    <row r="5964" s="197" customFormat="1" ht="12.75" x14ac:dyDescent="0.2"/>
    <row r="5965" s="197" customFormat="1" ht="12.75" x14ac:dyDescent="0.2"/>
    <row r="5966" s="197" customFormat="1" ht="12.75" x14ac:dyDescent="0.2"/>
    <row r="5967" s="197" customFormat="1" ht="12.75" x14ac:dyDescent="0.2"/>
    <row r="5968" s="197" customFormat="1" ht="12.75" x14ac:dyDescent="0.2"/>
    <row r="5969" s="197" customFormat="1" ht="12.75" x14ac:dyDescent="0.2"/>
    <row r="5970" s="197" customFormat="1" ht="12.75" x14ac:dyDescent="0.2"/>
    <row r="5971" s="197" customFormat="1" ht="12.75" x14ac:dyDescent="0.2"/>
    <row r="5972" s="197" customFormat="1" ht="12.75" x14ac:dyDescent="0.2"/>
    <row r="5973" s="197" customFormat="1" ht="12.75" x14ac:dyDescent="0.2"/>
    <row r="5974" s="197" customFormat="1" ht="12.75" x14ac:dyDescent="0.2"/>
    <row r="5975" s="197" customFormat="1" ht="12.75" x14ac:dyDescent="0.2"/>
    <row r="5976" s="197" customFormat="1" ht="12.75" x14ac:dyDescent="0.2"/>
    <row r="5977" s="197" customFormat="1" ht="12.75" x14ac:dyDescent="0.2"/>
    <row r="5978" s="197" customFormat="1" ht="12.75" x14ac:dyDescent="0.2"/>
    <row r="5979" s="197" customFormat="1" ht="12.75" x14ac:dyDescent="0.2"/>
    <row r="5980" s="197" customFormat="1" ht="12.75" x14ac:dyDescent="0.2"/>
    <row r="5981" s="197" customFormat="1" ht="12.75" x14ac:dyDescent="0.2"/>
    <row r="5982" s="197" customFormat="1" ht="12.75" x14ac:dyDescent="0.2"/>
    <row r="5983" s="197" customFormat="1" ht="12.75" x14ac:dyDescent="0.2"/>
    <row r="5984" s="197" customFormat="1" ht="12.75" x14ac:dyDescent="0.2"/>
    <row r="5985" s="197" customFormat="1" ht="12.75" x14ac:dyDescent="0.2"/>
    <row r="5986" s="197" customFormat="1" ht="12.75" x14ac:dyDescent="0.2"/>
    <row r="5987" s="197" customFormat="1" ht="12.75" x14ac:dyDescent="0.2"/>
    <row r="5988" s="197" customFormat="1" ht="12.75" x14ac:dyDescent="0.2"/>
    <row r="5989" s="197" customFormat="1" ht="12.75" x14ac:dyDescent="0.2"/>
    <row r="5990" s="197" customFormat="1" ht="12.75" x14ac:dyDescent="0.2"/>
    <row r="5991" s="197" customFormat="1" ht="12.75" x14ac:dyDescent="0.2"/>
    <row r="5992" s="197" customFormat="1" ht="12.75" x14ac:dyDescent="0.2"/>
    <row r="5993" s="197" customFormat="1" ht="12.75" x14ac:dyDescent="0.2"/>
    <row r="5994" s="197" customFormat="1" ht="12.75" x14ac:dyDescent="0.2"/>
    <row r="5995" s="197" customFormat="1" ht="12.75" x14ac:dyDescent="0.2"/>
    <row r="5996" s="197" customFormat="1" ht="12.75" x14ac:dyDescent="0.2"/>
    <row r="5997" s="197" customFormat="1" ht="12.75" x14ac:dyDescent="0.2"/>
    <row r="5998" s="197" customFormat="1" ht="12.75" x14ac:dyDescent="0.2"/>
    <row r="5999" s="197" customFormat="1" ht="12.75" x14ac:dyDescent="0.2"/>
    <row r="6000" s="197" customFormat="1" ht="12.75" x14ac:dyDescent="0.2"/>
    <row r="6001" s="197" customFormat="1" ht="12.75" x14ac:dyDescent="0.2"/>
    <row r="6002" s="197" customFormat="1" ht="12.75" x14ac:dyDescent="0.2"/>
    <row r="6003" s="197" customFormat="1" ht="12.75" x14ac:dyDescent="0.2"/>
    <row r="6004" s="197" customFormat="1" ht="12.75" x14ac:dyDescent="0.2"/>
    <row r="6005" s="197" customFormat="1" ht="12.75" x14ac:dyDescent="0.2"/>
    <row r="6006" s="197" customFormat="1" ht="12.75" x14ac:dyDescent="0.2"/>
    <row r="6007" s="197" customFormat="1" ht="12.75" x14ac:dyDescent="0.2"/>
    <row r="6008" s="197" customFormat="1" ht="12.75" x14ac:dyDescent="0.2"/>
    <row r="6009" s="197" customFormat="1" ht="12.75" x14ac:dyDescent="0.2"/>
    <row r="6010" s="197" customFormat="1" ht="12.75" x14ac:dyDescent="0.2"/>
    <row r="6011" s="197" customFormat="1" ht="12.75" x14ac:dyDescent="0.2"/>
    <row r="6012" s="197" customFormat="1" ht="12.75" x14ac:dyDescent="0.2"/>
    <row r="6013" s="197" customFormat="1" ht="12.75" x14ac:dyDescent="0.2"/>
    <row r="6014" s="197" customFormat="1" ht="12.75" x14ac:dyDescent="0.2"/>
    <row r="6015" s="197" customFormat="1" ht="12.75" x14ac:dyDescent="0.2"/>
    <row r="6016" s="197" customFormat="1" ht="12.75" x14ac:dyDescent="0.2"/>
    <row r="6017" s="197" customFormat="1" ht="12.75" x14ac:dyDescent="0.2"/>
    <row r="6018" s="197" customFormat="1" ht="12.75" x14ac:dyDescent="0.2"/>
    <row r="6019" s="197" customFormat="1" ht="12.75" x14ac:dyDescent="0.2"/>
    <row r="6020" s="197" customFormat="1" ht="12.75" x14ac:dyDescent="0.2"/>
    <row r="6021" s="197" customFormat="1" ht="12.75" x14ac:dyDescent="0.2"/>
    <row r="6022" s="197" customFormat="1" ht="12.75" x14ac:dyDescent="0.2"/>
    <row r="6023" s="197" customFormat="1" ht="12.75" x14ac:dyDescent="0.2"/>
    <row r="6024" s="197" customFormat="1" ht="12.75" x14ac:dyDescent="0.2"/>
    <row r="6025" s="197" customFormat="1" ht="12.75" x14ac:dyDescent="0.2"/>
    <row r="6026" s="197" customFormat="1" ht="12.75" x14ac:dyDescent="0.2"/>
    <row r="6027" s="197" customFormat="1" ht="12.75" x14ac:dyDescent="0.2"/>
    <row r="6028" s="197" customFormat="1" ht="12.75" x14ac:dyDescent="0.2"/>
    <row r="6029" s="197" customFormat="1" ht="12.75" x14ac:dyDescent="0.2"/>
    <row r="6030" s="197" customFormat="1" ht="12.75" x14ac:dyDescent="0.2"/>
    <row r="6031" s="197" customFormat="1" ht="12.75" x14ac:dyDescent="0.2"/>
    <row r="6032" s="197" customFormat="1" ht="12.75" x14ac:dyDescent="0.2"/>
    <row r="6033" s="197" customFormat="1" ht="12.75" x14ac:dyDescent="0.2"/>
    <row r="6034" s="197" customFormat="1" ht="12.75" x14ac:dyDescent="0.2"/>
    <row r="6035" s="197" customFormat="1" ht="12.75" x14ac:dyDescent="0.2"/>
    <row r="6036" s="197" customFormat="1" ht="12.75" x14ac:dyDescent="0.2"/>
    <row r="6037" s="197" customFormat="1" ht="12.75" x14ac:dyDescent="0.2"/>
    <row r="6038" s="197" customFormat="1" ht="12.75" x14ac:dyDescent="0.2"/>
    <row r="6039" s="197" customFormat="1" ht="12.75" x14ac:dyDescent="0.2"/>
    <row r="6040" s="197" customFormat="1" ht="12.75" x14ac:dyDescent="0.2"/>
    <row r="6041" s="197" customFormat="1" ht="12.75" x14ac:dyDescent="0.2"/>
    <row r="6042" s="197" customFormat="1" ht="12.75" x14ac:dyDescent="0.2"/>
    <row r="6043" s="197" customFormat="1" ht="12.75" x14ac:dyDescent="0.2"/>
    <row r="6044" s="197" customFormat="1" ht="12.75" x14ac:dyDescent="0.2"/>
    <row r="6045" s="197" customFormat="1" ht="12.75" x14ac:dyDescent="0.2"/>
    <row r="6046" s="197" customFormat="1" ht="12.75" x14ac:dyDescent="0.2"/>
    <row r="6047" s="197" customFormat="1" ht="12.75" x14ac:dyDescent="0.2"/>
    <row r="6048" s="197" customFormat="1" ht="12.75" x14ac:dyDescent="0.2"/>
    <row r="6049" s="197" customFormat="1" ht="12.75" x14ac:dyDescent="0.2"/>
    <row r="6050" s="197" customFormat="1" ht="12.75" x14ac:dyDescent="0.2"/>
    <row r="6051" s="197" customFormat="1" ht="12.75" x14ac:dyDescent="0.2"/>
    <row r="6052" s="197" customFormat="1" ht="12.75" x14ac:dyDescent="0.2"/>
    <row r="6053" s="197" customFormat="1" ht="12.75" x14ac:dyDescent="0.2"/>
    <row r="6054" s="197" customFormat="1" ht="12.75" x14ac:dyDescent="0.2"/>
    <row r="6055" s="197" customFormat="1" ht="12.75" x14ac:dyDescent="0.2"/>
    <row r="6056" s="197" customFormat="1" ht="12.75" x14ac:dyDescent="0.2"/>
    <row r="6057" s="197" customFormat="1" ht="12.75" x14ac:dyDescent="0.2"/>
    <row r="6058" s="197" customFormat="1" ht="12.75" x14ac:dyDescent="0.2"/>
    <row r="6059" s="197" customFormat="1" ht="12.75" x14ac:dyDescent="0.2"/>
    <row r="6060" s="197" customFormat="1" ht="12.75" x14ac:dyDescent="0.2"/>
    <row r="6061" s="197" customFormat="1" ht="12.75" x14ac:dyDescent="0.2"/>
    <row r="6062" s="197" customFormat="1" ht="12.75" x14ac:dyDescent="0.2"/>
    <row r="6063" s="197" customFormat="1" ht="12.75" x14ac:dyDescent="0.2"/>
    <row r="6064" s="197" customFormat="1" ht="12.75" x14ac:dyDescent="0.2"/>
    <row r="6065" s="197" customFormat="1" ht="12.75" x14ac:dyDescent="0.2"/>
    <row r="6066" s="197" customFormat="1" ht="12.75" x14ac:dyDescent="0.2"/>
    <row r="6067" s="197" customFormat="1" ht="12.75" x14ac:dyDescent="0.2"/>
    <row r="6068" s="197" customFormat="1" ht="12.75" x14ac:dyDescent="0.2"/>
    <row r="6069" s="197" customFormat="1" ht="12.75" x14ac:dyDescent="0.2"/>
    <row r="6070" s="197" customFormat="1" ht="12.75" x14ac:dyDescent="0.2"/>
    <row r="6071" s="197" customFormat="1" ht="12.75" x14ac:dyDescent="0.2"/>
    <row r="6072" s="197" customFormat="1" ht="12.75" x14ac:dyDescent="0.2"/>
    <row r="6073" s="197" customFormat="1" ht="12.75" x14ac:dyDescent="0.2"/>
    <row r="6074" s="197" customFormat="1" ht="12.75" x14ac:dyDescent="0.2"/>
    <row r="6075" s="197" customFormat="1" ht="12.75" x14ac:dyDescent="0.2"/>
    <row r="6076" s="197" customFormat="1" ht="12.75" x14ac:dyDescent="0.2"/>
    <row r="6077" s="197" customFormat="1" ht="12.75" x14ac:dyDescent="0.2"/>
    <row r="6078" s="197" customFormat="1" ht="12.75" x14ac:dyDescent="0.2"/>
    <row r="6079" s="197" customFormat="1" ht="12.75" x14ac:dyDescent="0.2"/>
    <row r="6080" s="197" customFormat="1" ht="12.75" x14ac:dyDescent="0.2"/>
    <row r="6081" s="197" customFormat="1" ht="12.75" x14ac:dyDescent="0.2"/>
    <row r="6082" s="197" customFormat="1" ht="12.75" x14ac:dyDescent="0.2"/>
    <row r="6083" s="197" customFormat="1" ht="12.75" x14ac:dyDescent="0.2"/>
    <row r="6084" s="197" customFormat="1" ht="12.75" x14ac:dyDescent="0.2"/>
    <row r="6085" s="197" customFormat="1" ht="12.75" x14ac:dyDescent="0.2"/>
    <row r="6086" s="197" customFormat="1" ht="12.75" x14ac:dyDescent="0.2"/>
    <row r="6087" s="197" customFormat="1" ht="12.75" x14ac:dyDescent="0.2"/>
    <row r="6088" s="197" customFormat="1" ht="12.75" x14ac:dyDescent="0.2"/>
    <row r="6089" s="197" customFormat="1" ht="12.75" x14ac:dyDescent="0.2"/>
    <row r="6090" s="197" customFormat="1" ht="12.75" x14ac:dyDescent="0.2"/>
    <row r="6091" s="197" customFormat="1" ht="12.75" x14ac:dyDescent="0.2"/>
    <row r="6092" s="197" customFormat="1" ht="12.75" x14ac:dyDescent="0.2"/>
    <row r="6093" s="197" customFormat="1" ht="12.75" x14ac:dyDescent="0.2"/>
    <row r="6094" s="197" customFormat="1" ht="12.75" x14ac:dyDescent="0.2"/>
    <row r="6095" s="197" customFormat="1" ht="12.75" x14ac:dyDescent="0.2"/>
    <row r="6096" s="197" customFormat="1" ht="12.75" x14ac:dyDescent="0.2"/>
    <row r="6097" s="197" customFormat="1" ht="12.75" x14ac:dyDescent="0.2"/>
    <row r="6098" s="197" customFormat="1" ht="12.75" x14ac:dyDescent="0.2"/>
    <row r="6099" s="197" customFormat="1" ht="12.75" x14ac:dyDescent="0.2"/>
    <row r="6100" s="197" customFormat="1" ht="12.75" x14ac:dyDescent="0.2"/>
    <row r="6101" s="197" customFormat="1" ht="12.75" x14ac:dyDescent="0.2"/>
    <row r="6102" s="197" customFormat="1" ht="12.75" x14ac:dyDescent="0.2"/>
    <row r="6103" s="197" customFormat="1" ht="12.75" x14ac:dyDescent="0.2"/>
    <row r="6104" s="197" customFormat="1" ht="12.75" x14ac:dyDescent="0.2"/>
    <row r="6105" s="197" customFormat="1" ht="12.75" x14ac:dyDescent="0.2"/>
    <row r="6106" s="197" customFormat="1" ht="12.75" x14ac:dyDescent="0.2"/>
    <row r="6107" s="197" customFormat="1" ht="12.75" x14ac:dyDescent="0.2"/>
    <row r="6108" s="197" customFormat="1" ht="12.75" x14ac:dyDescent="0.2"/>
    <row r="6109" s="197" customFormat="1" ht="12.75" x14ac:dyDescent="0.2"/>
    <row r="6110" s="197" customFormat="1" ht="12.75" x14ac:dyDescent="0.2"/>
    <row r="6111" s="197" customFormat="1" ht="12.75" x14ac:dyDescent="0.2"/>
    <row r="6112" s="197" customFormat="1" ht="12.75" x14ac:dyDescent="0.2"/>
    <row r="6113" s="197" customFormat="1" ht="12.75" x14ac:dyDescent="0.2"/>
    <row r="6114" s="197" customFormat="1" ht="12.75" x14ac:dyDescent="0.2"/>
    <row r="6115" s="197" customFormat="1" ht="12.75" x14ac:dyDescent="0.2"/>
    <row r="6116" s="197" customFormat="1" ht="12.75" x14ac:dyDescent="0.2"/>
    <row r="6117" s="197" customFormat="1" ht="12.75" x14ac:dyDescent="0.2"/>
    <row r="6118" s="197" customFormat="1" ht="12.75" x14ac:dyDescent="0.2"/>
    <row r="6119" s="197" customFormat="1" ht="12.75" x14ac:dyDescent="0.2"/>
    <row r="6120" s="197" customFormat="1" ht="12.75" x14ac:dyDescent="0.2"/>
    <row r="6121" s="197" customFormat="1" ht="12.75" x14ac:dyDescent="0.2"/>
    <row r="6122" s="197" customFormat="1" ht="12.75" x14ac:dyDescent="0.2"/>
    <row r="6123" s="197" customFormat="1" ht="12.75" x14ac:dyDescent="0.2"/>
    <row r="6124" s="197" customFormat="1" ht="12.75" x14ac:dyDescent="0.2"/>
    <row r="6125" s="197" customFormat="1" ht="12.75" x14ac:dyDescent="0.2"/>
    <row r="6126" s="197" customFormat="1" ht="12.75" x14ac:dyDescent="0.2"/>
    <row r="6127" s="197" customFormat="1" ht="12.75" x14ac:dyDescent="0.2"/>
    <row r="6128" s="197" customFormat="1" ht="12.75" x14ac:dyDescent="0.2"/>
    <row r="6129" s="197" customFormat="1" ht="12.75" x14ac:dyDescent="0.2"/>
    <row r="6130" s="197" customFormat="1" ht="12.75" x14ac:dyDescent="0.2"/>
    <row r="6131" s="197" customFormat="1" ht="12.75" x14ac:dyDescent="0.2"/>
    <row r="6132" s="197" customFormat="1" ht="12.75" x14ac:dyDescent="0.2"/>
    <row r="6133" s="197" customFormat="1" ht="12.75" x14ac:dyDescent="0.2"/>
    <row r="6134" s="197" customFormat="1" ht="12.75" x14ac:dyDescent="0.2"/>
    <row r="6135" s="197" customFormat="1" ht="12.75" x14ac:dyDescent="0.2"/>
    <row r="6136" s="197" customFormat="1" ht="12.75" x14ac:dyDescent="0.2"/>
    <row r="6137" s="197" customFormat="1" ht="12.75" x14ac:dyDescent="0.2"/>
    <row r="6138" s="197" customFormat="1" ht="12.75" x14ac:dyDescent="0.2"/>
    <row r="6139" s="197" customFormat="1" ht="12.75" x14ac:dyDescent="0.2"/>
    <row r="6140" s="197" customFormat="1" ht="12.75" x14ac:dyDescent="0.2"/>
    <row r="6141" s="197" customFormat="1" ht="12.75" x14ac:dyDescent="0.2"/>
    <row r="6142" s="197" customFormat="1" ht="12.75" x14ac:dyDescent="0.2"/>
    <row r="6143" s="197" customFormat="1" ht="12.75" x14ac:dyDescent="0.2"/>
    <row r="6144" s="197" customFormat="1" ht="12.75" x14ac:dyDescent="0.2"/>
    <row r="6145" s="197" customFormat="1" ht="12.75" x14ac:dyDescent="0.2"/>
    <row r="6146" s="197" customFormat="1" ht="12.75" x14ac:dyDescent="0.2"/>
    <row r="6147" s="197" customFormat="1" ht="12.75" x14ac:dyDescent="0.2"/>
    <row r="6148" s="197" customFormat="1" ht="12.75" x14ac:dyDescent="0.2"/>
    <row r="6149" s="197" customFormat="1" ht="12.75" x14ac:dyDescent="0.2"/>
    <row r="6150" s="197" customFormat="1" ht="12.75" x14ac:dyDescent="0.2"/>
    <row r="6151" s="197" customFormat="1" ht="12.75" x14ac:dyDescent="0.2"/>
    <row r="6152" s="197" customFormat="1" ht="12.75" x14ac:dyDescent="0.2"/>
    <row r="6153" s="197" customFormat="1" ht="12.75" x14ac:dyDescent="0.2"/>
    <row r="6154" s="197" customFormat="1" ht="12.75" x14ac:dyDescent="0.2"/>
    <row r="6155" s="197" customFormat="1" ht="12.75" x14ac:dyDescent="0.2"/>
    <row r="6156" s="197" customFormat="1" ht="12.75" x14ac:dyDescent="0.2"/>
    <row r="6157" s="197" customFormat="1" ht="12.75" x14ac:dyDescent="0.2"/>
    <row r="6158" s="197" customFormat="1" ht="12.75" x14ac:dyDescent="0.2"/>
    <row r="6159" s="197" customFormat="1" ht="12.75" x14ac:dyDescent="0.2"/>
    <row r="6160" s="197" customFormat="1" ht="12.75" x14ac:dyDescent="0.2"/>
    <row r="6161" s="197" customFormat="1" ht="12.75" x14ac:dyDescent="0.2"/>
    <row r="6162" s="197" customFormat="1" ht="12.75" x14ac:dyDescent="0.2"/>
    <row r="6163" s="197" customFormat="1" ht="12.75" x14ac:dyDescent="0.2"/>
    <row r="6164" s="197" customFormat="1" ht="12.75" x14ac:dyDescent="0.2"/>
    <row r="6165" s="197" customFormat="1" ht="12.75" x14ac:dyDescent="0.2"/>
    <row r="6166" s="197" customFormat="1" ht="12.75" x14ac:dyDescent="0.2"/>
    <row r="6167" s="197" customFormat="1" ht="12.75" x14ac:dyDescent="0.2"/>
    <row r="6168" s="197" customFormat="1" ht="12.75" x14ac:dyDescent="0.2"/>
    <row r="6169" s="197" customFormat="1" ht="12.75" x14ac:dyDescent="0.2"/>
    <row r="6170" s="197" customFormat="1" ht="12.75" x14ac:dyDescent="0.2"/>
    <row r="6171" s="197" customFormat="1" ht="12.75" x14ac:dyDescent="0.2"/>
    <row r="6172" s="197" customFormat="1" ht="12.75" x14ac:dyDescent="0.2"/>
    <row r="6173" s="197" customFormat="1" ht="12.75" x14ac:dyDescent="0.2"/>
    <row r="6174" s="197" customFormat="1" ht="12.75" x14ac:dyDescent="0.2"/>
    <row r="6175" s="197" customFormat="1" ht="12.75" x14ac:dyDescent="0.2"/>
    <row r="6176" s="197" customFormat="1" ht="12.75" x14ac:dyDescent="0.2"/>
    <row r="6177" s="197" customFormat="1" ht="12.75" x14ac:dyDescent="0.2"/>
    <row r="6178" s="197" customFormat="1" ht="12.75" x14ac:dyDescent="0.2"/>
    <row r="6179" s="197" customFormat="1" ht="12.75" x14ac:dyDescent="0.2"/>
    <row r="6180" s="197" customFormat="1" ht="12.75" x14ac:dyDescent="0.2"/>
    <row r="6181" s="197" customFormat="1" ht="12.75" x14ac:dyDescent="0.2"/>
    <row r="6182" s="197" customFormat="1" ht="12.75" x14ac:dyDescent="0.2"/>
    <row r="6183" s="197" customFormat="1" ht="12.75" x14ac:dyDescent="0.2"/>
    <row r="6184" s="197" customFormat="1" ht="12.75" x14ac:dyDescent="0.2"/>
    <row r="6185" s="197" customFormat="1" ht="12.75" x14ac:dyDescent="0.2"/>
    <row r="6186" s="197" customFormat="1" ht="12.75" x14ac:dyDescent="0.2"/>
    <row r="6187" s="197" customFormat="1" ht="12.75" x14ac:dyDescent="0.2"/>
    <row r="6188" s="197" customFormat="1" ht="12.75" x14ac:dyDescent="0.2"/>
    <row r="6189" s="197" customFormat="1" ht="12.75" x14ac:dyDescent="0.2"/>
    <row r="6190" s="197" customFormat="1" ht="12.75" x14ac:dyDescent="0.2"/>
    <row r="6191" s="197" customFormat="1" ht="12.75" x14ac:dyDescent="0.2"/>
    <row r="6192" s="197" customFormat="1" ht="12.75" x14ac:dyDescent="0.2"/>
    <row r="6193" s="197" customFormat="1" ht="12.75" x14ac:dyDescent="0.2"/>
    <row r="6194" s="197" customFormat="1" ht="12.75" x14ac:dyDescent="0.2"/>
    <row r="6195" s="197" customFormat="1" ht="12.75" x14ac:dyDescent="0.2"/>
    <row r="6196" s="197" customFormat="1" ht="12.75" x14ac:dyDescent="0.2"/>
    <row r="6197" s="197" customFormat="1" ht="12.75" x14ac:dyDescent="0.2"/>
    <row r="6198" s="197" customFormat="1" ht="12.75" x14ac:dyDescent="0.2"/>
    <row r="6199" s="197" customFormat="1" ht="12.75" x14ac:dyDescent="0.2"/>
    <row r="6200" s="197" customFormat="1" ht="12.75" x14ac:dyDescent="0.2"/>
    <row r="6201" s="197" customFormat="1" ht="12.75" x14ac:dyDescent="0.2"/>
    <row r="6202" s="197" customFormat="1" ht="12.75" x14ac:dyDescent="0.2"/>
    <row r="6203" s="197" customFormat="1" ht="12.75" x14ac:dyDescent="0.2"/>
    <row r="6204" s="197" customFormat="1" ht="12.75" x14ac:dyDescent="0.2"/>
    <row r="6205" s="197" customFormat="1" ht="12.75" x14ac:dyDescent="0.2"/>
    <row r="6206" s="197" customFormat="1" ht="12.75" x14ac:dyDescent="0.2"/>
    <row r="6207" s="197" customFormat="1" ht="12.75" x14ac:dyDescent="0.2"/>
    <row r="6208" s="197" customFormat="1" ht="12.75" x14ac:dyDescent="0.2"/>
    <row r="6209" s="197" customFormat="1" ht="12.75" x14ac:dyDescent="0.2"/>
    <row r="6210" s="197" customFormat="1" ht="12.75" x14ac:dyDescent="0.2"/>
    <row r="6211" s="197" customFormat="1" ht="12.75" x14ac:dyDescent="0.2"/>
    <row r="6212" s="197" customFormat="1" ht="12.75" x14ac:dyDescent="0.2"/>
    <row r="6213" s="197" customFormat="1" ht="12.75" x14ac:dyDescent="0.2"/>
    <row r="6214" s="197" customFormat="1" ht="12.75" x14ac:dyDescent="0.2"/>
    <row r="6215" s="197" customFormat="1" ht="12.75" x14ac:dyDescent="0.2"/>
    <row r="6216" s="197" customFormat="1" ht="12.75" x14ac:dyDescent="0.2"/>
    <row r="6217" s="197" customFormat="1" ht="12.75" x14ac:dyDescent="0.2"/>
    <row r="6218" s="197" customFormat="1" ht="12.75" x14ac:dyDescent="0.2"/>
    <row r="6219" s="197" customFormat="1" ht="12.75" x14ac:dyDescent="0.2"/>
    <row r="6220" s="197" customFormat="1" ht="12.75" x14ac:dyDescent="0.2"/>
    <row r="6221" s="197" customFormat="1" ht="12.75" x14ac:dyDescent="0.2"/>
    <row r="6222" s="197" customFormat="1" ht="12.75" x14ac:dyDescent="0.2"/>
    <row r="6223" s="197" customFormat="1" ht="12.75" x14ac:dyDescent="0.2"/>
    <row r="6224" s="197" customFormat="1" ht="12.75" x14ac:dyDescent="0.2"/>
    <row r="6225" s="197" customFormat="1" ht="12.75" x14ac:dyDescent="0.2"/>
    <row r="6226" s="197" customFormat="1" ht="12.75" x14ac:dyDescent="0.2"/>
    <row r="6227" s="197" customFormat="1" ht="12.75" x14ac:dyDescent="0.2"/>
    <row r="6228" s="197" customFormat="1" ht="12.75" x14ac:dyDescent="0.2"/>
    <row r="6229" s="197" customFormat="1" ht="12.75" x14ac:dyDescent="0.2"/>
    <row r="6230" s="197" customFormat="1" ht="12.75" x14ac:dyDescent="0.2"/>
    <row r="6231" s="197" customFormat="1" ht="12.75" x14ac:dyDescent="0.2"/>
    <row r="6232" s="197" customFormat="1" ht="12.75" x14ac:dyDescent="0.2"/>
    <row r="6233" s="197" customFormat="1" ht="12.75" x14ac:dyDescent="0.2"/>
    <row r="6234" s="197" customFormat="1" ht="12.75" x14ac:dyDescent="0.2"/>
    <row r="6235" s="197" customFormat="1" ht="12.75" x14ac:dyDescent="0.2"/>
    <row r="6236" s="197" customFormat="1" ht="12.75" x14ac:dyDescent="0.2"/>
    <row r="6237" s="197" customFormat="1" ht="12.75" x14ac:dyDescent="0.2"/>
    <row r="6238" s="197" customFormat="1" ht="12.75" x14ac:dyDescent="0.2"/>
    <row r="6239" s="197" customFormat="1" ht="12.75" x14ac:dyDescent="0.2"/>
    <row r="6240" s="197" customFormat="1" ht="12.75" x14ac:dyDescent="0.2"/>
    <row r="6241" s="197" customFormat="1" ht="12.75" x14ac:dyDescent="0.2"/>
    <row r="6242" s="197" customFormat="1" ht="12.75" x14ac:dyDescent="0.2"/>
    <row r="6243" s="197" customFormat="1" ht="12.75" x14ac:dyDescent="0.2"/>
    <row r="6244" s="197" customFormat="1" ht="12.75" x14ac:dyDescent="0.2"/>
    <row r="6245" s="197" customFormat="1" ht="12.75" x14ac:dyDescent="0.2"/>
    <row r="6246" s="197" customFormat="1" ht="12.75" x14ac:dyDescent="0.2"/>
    <row r="6247" s="197" customFormat="1" ht="12.75" x14ac:dyDescent="0.2"/>
    <row r="6248" s="197" customFormat="1" ht="12.75" x14ac:dyDescent="0.2"/>
    <row r="6249" s="197" customFormat="1" ht="12.75" x14ac:dyDescent="0.2"/>
    <row r="6250" s="197" customFormat="1" ht="12.75" x14ac:dyDescent="0.2"/>
    <row r="6251" s="197" customFormat="1" ht="12.75" x14ac:dyDescent="0.2"/>
    <row r="6252" s="197" customFormat="1" ht="12.75" x14ac:dyDescent="0.2"/>
    <row r="6253" s="197" customFormat="1" ht="12.75" x14ac:dyDescent="0.2"/>
    <row r="6254" s="197" customFormat="1" ht="12.75" x14ac:dyDescent="0.2"/>
    <row r="6255" s="197" customFormat="1" ht="12.75" x14ac:dyDescent="0.2"/>
    <row r="6256" s="197" customFormat="1" ht="12.75" x14ac:dyDescent="0.2"/>
    <row r="6257" s="197" customFormat="1" ht="12.75" x14ac:dyDescent="0.2"/>
    <row r="6258" s="197" customFormat="1" ht="12.75" x14ac:dyDescent="0.2"/>
    <row r="6259" s="197" customFormat="1" ht="12.75" x14ac:dyDescent="0.2"/>
    <row r="6260" s="197" customFormat="1" ht="12.75" x14ac:dyDescent="0.2"/>
    <row r="6261" s="197" customFormat="1" ht="12.75" x14ac:dyDescent="0.2"/>
    <row r="6262" s="197" customFormat="1" ht="12.75" x14ac:dyDescent="0.2"/>
    <row r="6263" s="197" customFormat="1" ht="12.75" x14ac:dyDescent="0.2"/>
    <row r="6264" s="197" customFormat="1" ht="12.75" x14ac:dyDescent="0.2"/>
    <row r="6265" s="197" customFormat="1" ht="12.75" x14ac:dyDescent="0.2"/>
    <row r="6266" s="197" customFormat="1" ht="12.75" x14ac:dyDescent="0.2"/>
    <row r="6267" s="197" customFormat="1" ht="12.75" x14ac:dyDescent="0.2"/>
    <row r="6268" s="197" customFormat="1" ht="12.75" x14ac:dyDescent="0.2"/>
    <row r="6269" s="197" customFormat="1" ht="12.75" x14ac:dyDescent="0.2"/>
    <row r="6270" s="197" customFormat="1" ht="12.75" x14ac:dyDescent="0.2"/>
    <row r="6271" s="197" customFormat="1" ht="12.75" x14ac:dyDescent="0.2"/>
    <row r="6272" s="197" customFormat="1" ht="12.75" x14ac:dyDescent="0.2"/>
    <row r="6273" s="197" customFormat="1" ht="12.75" x14ac:dyDescent="0.2"/>
    <row r="6274" s="197" customFormat="1" ht="12.75" x14ac:dyDescent="0.2"/>
    <row r="6275" s="197" customFormat="1" ht="12.75" x14ac:dyDescent="0.2"/>
    <row r="6276" s="197" customFormat="1" ht="12.75" x14ac:dyDescent="0.2"/>
    <row r="6277" s="197" customFormat="1" ht="12.75" x14ac:dyDescent="0.2"/>
    <row r="6278" s="197" customFormat="1" ht="12.75" x14ac:dyDescent="0.2"/>
    <row r="6279" s="197" customFormat="1" ht="12.75" x14ac:dyDescent="0.2"/>
    <row r="6280" s="197" customFormat="1" ht="12.75" x14ac:dyDescent="0.2"/>
    <row r="6281" s="197" customFormat="1" ht="12.75" x14ac:dyDescent="0.2"/>
    <row r="6282" s="197" customFormat="1" ht="12.75" x14ac:dyDescent="0.2"/>
    <row r="6283" s="197" customFormat="1" ht="12.75" x14ac:dyDescent="0.2"/>
    <row r="6284" s="197" customFormat="1" ht="12.75" x14ac:dyDescent="0.2"/>
    <row r="6285" s="197" customFormat="1" ht="12.75" x14ac:dyDescent="0.2"/>
    <row r="6286" s="197" customFormat="1" ht="12.75" x14ac:dyDescent="0.2"/>
    <row r="6287" s="197" customFormat="1" ht="12.75" x14ac:dyDescent="0.2"/>
    <row r="6288" s="197" customFormat="1" ht="12.75" x14ac:dyDescent="0.2"/>
    <row r="6289" s="197" customFormat="1" ht="12.75" x14ac:dyDescent="0.2"/>
    <row r="6290" s="197" customFormat="1" ht="12.75" x14ac:dyDescent="0.2"/>
    <row r="6291" s="197" customFormat="1" ht="12.75" x14ac:dyDescent="0.2"/>
    <row r="6292" s="197" customFormat="1" ht="12.75" x14ac:dyDescent="0.2"/>
    <row r="6293" s="197" customFormat="1" ht="12.75" x14ac:dyDescent="0.2"/>
    <row r="6294" s="197" customFormat="1" ht="12.75" x14ac:dyDescent="0.2"/>
    <row r="6295" s="197" customFormat="1" ht="12.75" x14ac:dyDescent="0.2"/>
    <row r="6296" s="197" customFormat="1" ht="12.75" x14ac:dyDescent="0.2"/>
    <row r="6297" s="197" customFormat="1" ht="12.75" x14ac:dyDescent="0.2"/>
    <row r="6298" s="197" customFormat="1" ht="12.75" x14ac:dyDescent="0.2"/>
    <row r="6299" s="197" customFormat="1" ht="12.75" x14ac:dyDescent="0.2"/>
    <row r="6300" s="197" customFormat="1" ht="12.75" x14ac:dyDescent="0.2"/>
    <row r="6301" s="197" customFormat="1" ht="12.75" x14ac:dyDescent="0.2"/>
    <row r="6302" s="197" customFormat="1" ht="12.75" x14ac:dyDescent="0.2"/>
    <row r="6303" s="197" customFormat="1" ht="12.75" x14ac:dyDescent="0.2"/>
    <row r="6304" s="197" customFormat="1" ht="12.75" x14ac:dyDescent="0.2"/>
    <row r="6305" s="197" customFormat="1" ht="12.75" x14ac:dyDescent="0.2"/>
    <row r="6306" s="197" customFormat="1" ht="12.75" x14ac:dyDescent="0.2"/>
    <row r="6307" s="197" customFormat="1" ht="12.75" x14ac:dyDescent="0.2"/>
    <row r="6308" s="197" customFormat="1" ht="12.75" x14ac:dyDescent="0.2"/>
    <row r="6309" s="197" customFormat="1" ht="12.75" x14ac:dyDescent="0.2"/>
    <row r="6310" s="197" customFormat="1" ht="12.75" x14ac:dyDescent="0.2"/>
    <row r="6311" s="197" customFormat="1" ht="12.75" x14ac:dyDescent="0.2"/>
    <row r="6312" s="197" customFormat="1" ht="12.75" x14ac:dyDescent="0.2"/>
    <row r="6313" s="197" customFormat="1" ht="12.75" x14ac:dyDescent="0.2"/>
    <row r="6314" s="197" customFormat="1" ht="12.75" x14ac:dyDescent="0.2"/>
    <row r="6315" s="197" customFormat="1" ht="12.75" x14ac:dyDescent="0.2"/>
    <row r="6316" s="197" customFormat="1" ht="12.75" x14ac:dyDescent="0.2"/>
    <row r="6317" s="197" customFormat="1" ht="12.75" x14ac:dyDescent="0.2"/>
    <row r="6318" s="197" customFormat="1" ht="12.75" x14ac:dyDescent="0.2"/>
    <row r="6319" s="197" customFormat="1" ht="12.75" x14ac:dyDescent="0.2"/>
    <row r="6320" s="197" customFormat="1" ht="12.75" x14ac:dyDescent="0.2"/>
    <row r="6321" s="197" customFormat="1" ht="12.75" x14ac:dyDescent="0.2"/>
    <row r="6322" s="197" customFormat="1" ht="12.75" x14ac:dyDescent="0.2"/>
    <row r="6323" s="197" customFormat="1" ht="12.75" x14ac:dyDescent="0.2"/>
    <row r="6324" s="197" customFormat="1" ht="12.75" x14ac:dyDescent="0.2"/>
    <row r="6325" s="197" customFormat="1" ht="12.75" x14ac:dyDescent="0.2"/>
    <row r="6326" s="197" customFormat="1" ht="12.75" x14ac:dyDescent="0.2"/>
    <row r="6327" s="197" customFormat="1" ht="12.75" x14ac:dyDescent="0.2"/>
    <row r="6328" s="197" customFormat="1" ht="12.75" x14ac:dyDescent="0.2"/>
    <row r="6329" s="197" customFormat="1" ht="12.75" x14ac:dyDescent="0.2"/>
    <row r="6330" s="197" customFormat="1" ht="12.75" x14ac:dyDescent="0.2"/>
    <row r="6331" s="197" customFormat="1" ht="12.75" x14ac:dyDescent="0.2"/>
    <row r="6332" s="197" customFormat="1" ht="12.75" x14ac:dyDescent="0.2"/>
    <row r="6333" s="197" customFormat="1" ht="12.75" x14ac:dyDescent="0.2"/>
    <row r="6334" s="197" customFormat="1" ht="12.75" x14ac:dyDescent="0.2"/>
    <row r="6335" s="197" customFormat="1" ht="12.75" x14ac:dyDescent="0.2"/>
    <row r="6336" s="197" customFormat="1" ht="12.75" x14ac:dyDescent="0.2"/>
    <row r="6337" s="197" customFormat="1" ht="12.75" x14ac:dyDescent="0.2"/>
    <row r="6338" s="197" customFormat="1" ht="12.75" x14ac:dyDescent="0.2"/>
    <row r="6339" s="197" customFormat="1" ht="12.75" x14ac:dyDescent="0.2"/>
    <row r="6340" s="197" customFormat="1" ht="12.75" x14ac:dyDescent="0.2"/>
    <row r="6341" s="197" customFormat="1" ht="12.75" x14ac:dyDescent="0.2"/>
    <row r="6342" s="197" customFormat="1" ht="12.75" x14ac:dyDescent="0.2"/>
    <row r="6343" s="197" customFormat="1" ht="12.75" x14ac:dyDescent="0.2"/>
    <row r="6344" s="197" customFormat="1" ht="12.75" x14ac:dyDescent="0.2"/>
    <row r="6345" s="197" customFormat="1" ht="12.75" x14ac:dyDescent="0.2"/>
    <row r="6346" s="197" customFormat="1" ht="12.75" x14ac:dyDescent="0.2"/>
    <row r="6347" s="197" customFormat="1" ht="12.75" x14ac:dyDescent="0.2"/>
    <row r="6348" s="197" customFormat="1" ht="12.75" x14ac:dyDescent="0.2"/>
    <row r="6349" s="197" customFormat="1" ht="12.75" x14ac:dyDescent="0.2"/>
    <row r="6350" s="197" customFormat="1" ht="12.75" x14ac:dyDescent="0.2"/>
    <row r="6351" s="197" customFormat="1" ht="12.75" x14ac:dyDescent="0.2"/>
    <row r="6352" s="197" customFormat="1" ht="12.75" x14ac:dyDescent="0.2"/>
    <row r="6353" s="197" customFormat="1" ht="12.75" x14ac:dyDescent="0.2"/>
    <row r="6354" s="197" customFormat="1" ht="12.75" x14ac:dyDescent="0.2"/>
    <row r="6355" s="197" customFormat="1" ht="12.75" x14ac:dyDescent="0.2"/>
    <row r="6356" s="197" customFormat="1" ht="12.75" x14ac:dyDescent="0.2"/>
    <row r="6357" s="197" customFormat="1" ht="12.75" x14ac:dyDescent="0.2"/>
    <row r="6358" s="197" customFormat="1" ht="12.75" x14ac:dyDescent="0.2"/>
    <row r="6359" s="197" customFormat="1" ht="12.75" x14ac:dyDescent="0.2"/>
    <row r="6360" s="197" customFormat="1" ht="12.75" x14ac:dyDescent="0.2"/>
    <row r="6361" s="197" customFormat="1" ht="12.75" x14ac:dyDescent="0.2"/>
    <row r="6362" s="197" customFormat="1" ht="12.75" x14ac:dyDescent="0.2"/>
    <row r="6363" s="197" customFormat="1" ht="12.75" x14ac:dyDescent="0.2"/>
    <row r="6364" s="197" customFormat="1" ht="12.75" x14ac:dyDescent="0.2"/>
    <row r="6365" s="197" customFormat="1" ht="12.75" x14ac:dyDescent="0.2"/>
    <row r="6366" s="197" customFormat="1" ht="12.75" x14ac:dyDescent="0.2"/>
    <row r="6367" s="197" customFormat="1" ht="12.75" x14ac:dyDescent="0.2"/>
    <row r="6368" s="197" customFormat="1" ht="12.75" x14ac:dyDescent="0.2"/>
    <row r="6369" s="197" customFormat="1" ht="12.75" x14ac:dyDescent="0.2"/>
    <row r="6370" s="197" customFormat="1" ht="12.75" x14ac:dyDescent="0.2"/>
    <row r="6371" s="197" customFormat="1" ht="12.75" x14ac:dyDescent="0.2"/>
    <row r="6372" s="197" customFormat="1" ht="12.75" x14ac:dyDescent="0.2"/>
    <row r="6373" s="197" customFormat="1" ht="12.75" x14ac:dyDescent="0.2"/>
    <row r="6374" s="197" customFormat="1" ht="12.75" x14ac:dyDescent="0.2"/>
    <row r="6375" s="197" customFormat="1" ht="12.75" x14ac:dyDescent="0.2"/>
    <row r="6376" s="197" customFormat="1" ht="12.75" x14ac:dyDescent="0.2"/>
    <row r="6377" s="197" customFormat="1" ht="12.75" x14ac:dyDescent="0.2"/>
    <row r="6378" s="197" customFormat="1" ht="12.75" x14ac:dyDescent="0.2"/>
    <row r="6379" s="197" customFormat="1" ht="12.75" x14ac:dyDescent="0.2"/>
    <row r="6380" s="197" customFormat="1" ht="12.75" x14ac:dyDescent="0.2"/>
    <row r="6381" s="197" customFormat="1" ht="12.75" x14ac:dyDescent="0.2"/>
    <row r="6382" s="197" customFormat="1" ht="12.75" x14ac:dyDescent="0.2"/>
    <row r="6383" s="197" customFormat="1" ht="12.75" x14ac:dyDescent="0.2"/>
    <row r="6384" s="197" customFormat="1" ht="12.75" x14ac:dyDescent="0.2"/>
    <row r="6385" s="197" customFormat="1" ht="12.75" x14ac:dyDescent="0.2"/>
    <row r="6386" s="197" customFormat="1" ht="12.75" x14ac:dyDescent="0.2"/>
    <row r="6387" s="197" customFormat="1" ht="12.75" x14ac:dyDescent="0.2"/>
    <row r="6388" s="197" customFormat="1" ht="12.75" x14ac:dyDescent="0.2"/>
    <row r="6389" s="197" customFormat="1" ht="12.75" x14ac:dyDescent="0.2"/>
    <row r="6390" s="197" customFormat="1" ht="12.75" x14ac:dyDescent="0.2"/>
    <row r="6391" s="197" customFormat="1" ht="12.75" x14ac:dyDescent="0.2"/>
    <row r="6392" s="197" customFormat="1" ht="12.75" x14ac:dyDescent="0.2"/>
    <row r="6393" s="197" customFormat="1" ht="12.75" x14ac:dyDescent="0.2"/>
    <row r="6394" s="197" customFormat="1" ht="12.75" x14ac:dyDescent="0.2"/>
    <row r="6395" s="197" customFormat="1" ht="12.75" x14ac:dyDescent="0.2"/>
    <row r="6396" s="197" customFormat="1" ht="12.75" x14ac:dyDescent="0.2"/>
    <row r="6397" s="197" customFormat="1" ht="12.75" x14ac:dyDescent="0.2"/>
    <row r="6398" s="197" customFormat="1" ht="12.75" x14ac:dyDescent="0.2"/>
    <row r="6399" s="197" customFormat="1" ht="12.75" x14ac:dyDescent="0.2"/>
    <row r="6400" s="197" customFormat="1" ht="12.75" x14ac:dyDescent="0.2"/>
    <row r="6401" s="197" customFormat="1" ht="12.75" x14ac:dyDescent="0.2"/>
    <row r="6402" s="197" customFormat="1" ht="12.75" x14ac:dyDescent="0.2"/>
    <row r="6403" s="197" customFormat="1" ht="12.75" x14ac:dyDescent="0.2"/>
    <row r="6404" s="197" customFormat="1" ht="12.75" x14ac:dyDescent="0.2"/>
    <row r="6405" s="197" customFormat="1" ht="12.75" x14ac:dyDescent="0.2"/>
    <row r="6406" s="197" customFormat="1" ht="12.75" x14ac:dyDescent="0.2"/>
    <row r="6407" s="197" customFormat="1" ht="12.75" x14ac:dyDescent="0.2"/>
    <row r="6408" s="197" customFormat="1" ht="12.75" x14ac:dyDescent="0.2"/>
    <row r="6409" s="197" customFormat="1" ht="12.75" x14ac:dyDescent="0.2"/>
    <row r="6410" s="197" customFormat="1" ht="12.75" x14ac:dyDescent="0.2"/>
    <row r="6411" s="197" customFormat="1" ht="12.75" x14ac:dyDescent="0.2"/>
    <row r="6412" s="197" customFormat="1" ht="12.75" x14ac:dyDescent="0.2"/>
    <row r="6413" s="197" customFormat="1" ht="12.75" x14ac:dyDescent="0.2"/>
    <row r="6414" s="197" customFormat="1" ht="12.75" x14ac:dyDescent="0.2"/>
    <row r="6415" s="197" customFormat="1" ht="12.75" x14ac:dyDescent="0.2"/>
    <row r="6416" s="197" customFormat="1" ht="12.75" x14ac:dyDescent="0.2"/>
    <row r="6417" s="197" customFormat="1" ht="12.75" x14ac:dyDescent="0.2"/>
    <row r="6418" s="197" customFormat="1" ht="12.75" x14ac:dyDescent="0.2"/>
    <row r="6419" s="197" customFormat="1" ht="12.75" x14ac:dyDescent="0.2"/>
    <row r="6420" s="197" customFormat="1" ht="12.75" x14ac:dyDescent="0.2"/>
    <row r="6421" s="197" customFormat="1" ht="12.75" x14ac:dyDescent="0.2"/>
    <row r="6422" s="197" customFormat="1" ht="12.75" x14ac:dyDescent="0.2"/>
    <row r="6423" s="197" customFormat="1" ht="12.75" x14ac:dyDescent="0.2"/>
    <row r="6424" s="197" customFormat="1" ht="12.75" x14ac:dyDescent="0.2"/>
    <row r="6425" s="197" customFormat="1" ht="12.75" x14ac:dyDescent="0.2"/>
    <row r="6426" s="197" customFormat="1" ht="12.75" x14ac:dyDescent="0.2"/>
    <row r="6427" s="197" customFormat="1" ht="12.75" x14ac:dyDescent="0.2"/>
    <row r="6428" s="197" customFormat="1" ht="12.75" x14ac:dyDescent="0.2"/>
    <row r="6429" s="197" customFormat="1" ht="12.75" x14ac:dyDescent="0.2"/>
    <row r="6430" s="197" customFormat="1" ht="12.75" x14ac:dyDescent="0.2"/>
    <row r="6431" s="197" customFormat="1" ht="12.75" x14ac:dyDescent="0.2"/>
    <row r="6432" s="197" customFormat="1" ht="12.75" x14ac:dyDescent="0.2"/>
    <row r="6433" s="197" customFormat="1" ht="12.75" x14ac:dyDescent="0.2"/>
    <row r="6434" s="197" customFormat="1" ht="12.75" x14ac:dyDescent="0.2"/>
    <row r="6435" s="197" customFormat="1" ht="12.75" x14ac:dyDescent="0.2"/>
    <row r="6436" s="197" customFormat="1" ht="12.75" x14ac:dyDescent="0.2"/>
    <row r="6437" s="197" customFormat="1" ht="12.75" x14ac:dyDescent="0.2"/>
    <row r="6438" s="197" customFormat="1" ht="12.75" x14ac:dyDescent="0.2"/>
    <row r="6439" s="197" customFormat="1" ht="12.75" x14ac:dyDescent="0.2"/>
    <row r="6440" s="197" customFormat="1" ht="12.75" x14ac:dyDescent="0.2"/>
    <row r="6441" s="197" customFormat="1" ht="12.75" x14ac:dyDescent="0.2"/>
    <row r="6442" s="197" customFormat="1" ht="12.75" x14ac:dyDescent="0.2"/>
    <row r="6443" s="197" customFormat="1" ht="12.75" x14ac:dyDescent="0.2"/>
    <row r="6444" s="197" customFormat="1" ht="12.75" x14ac:dyDescent="0.2"/>
    <row r="6445" s="197" customFormat="1" ht="12.75" x14ac:dyDescent="0.2"/>
    <row r="6446" s="197" customFormat="1" ht="12.75" x14ac:dyDescent="0.2"/>
    <row r="6447" s="197" customFormat="1" ht="12.75" x14ac:dyDescent="0.2"/>
    <row r="6448" s="197" customFormat="1" ht="12.75" x14ac:dyDescent="0.2"/>
    <row r="6449" s="197" customFormat="1" ht="12.75" x14ac:dyDescent="0.2"/>
    <row r="6450" s="197" customFormat="1" ht="12.75" x14ac:dyDescent="0.2"/>
    <row r="6451" s="197" customFormat="1" ht="12.75" x14ac:dyDescent="0.2"/>
    <row r="6452" s="197" customFormat="1" ht="12.75" x14ac:dyDescent="0.2"/>
    <row r="6453" s="197" customFormat="1" ht="12.75" x14ac:dyDescent="0.2"/>
    <row r="6454" s="197" customFormat="1" ht="12.75" x14ac:dyDescent="0.2"/>
    <row r="6455" s="197" customFormat="1" ht="12.75" x14ac:dyDescent="0.2"/>
    <row r="6456" s="197" customFormat="1" ht="12.75" x14ac:dyDescent="0.2"/>
    <row r="6457" s="197" customFormat="1" ht="12.75" x14ac:dyDescent="0.2"/>
    <row r="6458" s="197" customFormat="1" ht="12.75" x14ac:dyDescent="0.2"/>
    <row r="6459" s="197" customFormat="1" ht="12.75" x14ac:dyDescent="0.2"/>
    <row r="6460" s="197" customFormat="1" ht="12.75" x14ac:dyDescent="0.2"/>
    <row r="6461" s="197" customFormat="1" ht="12.75" x14ac:dyDescent="0.2"/>
    <row r="6462" s="197" customFormat="1" ht="12.75" x14ac:dyDescent="0.2"/>
    <row r="6463" s="197" customFormat="1" ht="12.75" x14ac:dyDescent="0.2"/>
    <row r="6464" s="197" customFormat="1" ht="12.75" x14ac:dyDescent="0.2"/>
    <row r="6465" s="197" customFormat="1" ht="12.75" x14ac:dyDescent="0.2"/>
    <row r="6466" s="197" customFormat="1" ht="12.75" x14ac:dyDescent="0.2"/>
    <row r="6467" s="197" customFormat="1" ht="12.75" x14ac:dyDescent="0.2"/>
    <row r="6468" s="197" customFormat="1" ht="12.75" x14ac:dyDescent="0.2"/>
    <row r="6469" s="197" customFormat="1" ht="12.75" x14ac:dyDescent="0.2"/>
    <row r="6470" s="197" customFormat="1" ht="12.75" x14ac:dyDescent="0.2"/>
    <row r="6471" s="197" customFormat="1" ht="12.75" x14ac:dyDescent="0.2"/>
    <row r="6472" s="197" customFormat="1" ht="12.75" x14ac:dyDescent="0.2"/>
    <row r="6473" s="197" customFormat="1" ht="12.75" x14ac:dyDescent="0.2"/>
    <row r="6474" s="197" customFormat="1" ht="12.75" x14ac:dyDescent="0.2"/>
    <row r="6475" s="197" customFormat="1" ht="12.75" x14ac:dyDescent="0.2"/>
    <row r="6476" s="197" customFormat="1" ht="12.75" x14ac:dyDescent="0.2"/>
    <row r="6477" s="197" customFormat="1" ht="12.75" x14ac:dyDescent="0.2"/>
    <row r="6478" s="197" customFormat="1" ht="12.75" x14ac:dyDescent="0.2"/>
    <row r="6479" s="197" customFormat="1" ht="12.75" x14ac:dyDescent="0.2"/>
    <row r="6480" s="197" customFormat="1" ht="12.75" x14ac:dyDescent="0.2"/>
    <row r="6481" s="197" customFormat="1" ht="12.75" x14ac:dyDescent="0.2"/>
    <row r="6482" s="197" customFormat="1" ht="12.75" x14ac:dyDescent="0.2"/>
    <row r="6483" s="197" customFormat="1" ht="12.75" x14ac:dyDescent="0.2"/>
    <row r="6484" s="197" customFormat="1" ht="12.75" x14ac:dyDescent="0.2"/>
    <row r="6485" s="197" customFormat="1" ht="12.75" x14ac:dyDescent="0.2"/>
    <row r="6486" s="197" customFormat="1" ht="12.75" x14ac:dyDescent="0.2"/>
    <row r="6487" s="197" customFormat="1" ht="12.75" x14ac:dyDescent="0.2"/>
    <row r="6488" s="197" customFormat="1" ht="12.75" x14ac:dyDescent="0.2"/>
    <row r="6489" s="197" customFormat="1" ht="12.75" x14ac:dyDescent="0.2"/>
    <row r="6490" s="197" customFormat="1" ht="12.75" x14ac:dyDescent="0.2"/>
    <row r="6491" s="197" customFormat="1" ht="12.75" x14ac:dyDescent="0.2"/>
    <row r="6492" s="197" customFormat="1" ht="12.75" x14ac:dyDescent="0.2"/>
    <row r="6493" s="197" customFormat="1" ht="12.75" x14ac:dyDescent="0.2"/>
    <row r="6494" s="197" customFormat="1" ht="12.75" x14ac:dyDescent="0.2"/>
    <row r="6495" s="197" customFormat="1" ht="12.75" x14ac:dyDescent="0.2"/>
    <row r="6496" s="197" customFormat="1" ht="12.75" x14ac:dyDescent="0.2"/>
    <row r="6497" s="197" customFormat="1" ht="12.75" x14ac:dyDescent="0.2"/>
    <row r="6498" s="197" customFormat="1" ht="12.75" x14ac:dyDescent="0.2"/>
    <row r="6499" s="197" customFormat="1" ht="12.75" x14ac:dyDescent="0.2"/>
    <row r="6500" s="197" customFormat="1" ht="12.75" x14ac:dyDescent="0.2"/>
    <row r="6501" s="197" customFormat="1" ht="12.75" x14ac:dyDescent="0.2"/>
    <row r="6502" s="197" customFormat="1" ht="12.75" x14ac:dyDescent="0.2"/>
    <row r="6503" s="197" customFormat="1" ht="12.75" x14ac:dyDescent="0.2"/>
    <row r="6504" s="197" customFormat="1" ht="12.75" x14ac:dyDescent="0.2"/>
    <row r="6505" s="197" customFormat="1" ht="12.75" x14ac:dyDescent="0.2"/>
    <row r="6506" s="197" customFormat="1" ht="12.75" x14ac:dyDescent="0.2"/>
    <row r="6507" s="197" customFormat="1" ht="12.75" x14ac:dyDescent="0.2"/>
    <row r="6508" s="197" customFormat="1" ht="12.75" x14ac:dyDescent="0.2"/>
    <row r="6509" s="197" customFormat="1" ht="12.75" x14ac:dyDescent="0.2"/>
    <row r="6510" s="197" customFormat="1" ht="12.75" x14ac:dyDescent="0.2"/>
    <row r="6511" s="197" customFormat="1" ht="12.75" x14ac:dyDescent="0.2"/>
    <row r="6512" s="197" customFormat="1" ht="12.75" x14ac:dyDescent="0.2"/>
    <row r="6513" s="197" customFormat="1" ht="12.75" x14ac:dyDescent="0.2"/>
    <row r="6514" s="197" customFormat="1" ht="12.75" x14ac:dyDescent="0.2"/>
    <row r="6515" s="197" customFormat="1" ht="12.75" x14ac:dyDescent="0.2"/>
    <row r="6516" s="197" customFormat="1" ht="12.75" x14ac:dyDescent="0.2"/>
    <row r="6517" s="197" customFormat="1" ht="12.75" x14ac:dyDescent="0.2"/>
    <row r="6518" s="197" customFormat="1" ht="12.75" x14ac:dyDescent="0.2"/>
    <row r="6519" s="197" customFormat="1" ht="12.75" x14ac:dyDescent="0.2"/>
    <row r="6520" s="197" customFormat="1" ht="12.75" x14ac:dyDescent="0.2"/>
    <row r="6521" s="197" customFormat="1" ht="12.75" x14ac:dyDescent="0.2"/>
    <row r="6522" s="197" customFormat="1" ht="12.75" x14ac:dyDescent="0.2"/>
    <row r="6523" s="197" customFormat="1" ht="12.75" x14ac:dyDescent="0.2"/>
    <row r="6524" s="197" customFormat="1" ht="12.75" x14ac:dyDescent="0.2"/>
    <row r="6525" s="197" customFormat="1" ht="12.75" x14ac:dyDescent="0.2"/>
    <row r="6526" s="197" customFormat="1" ht="12.75" x14ac:dyDescent="0.2"/>
    <row r="6527" s="197" customFormat="1" ht="12.75" x14ac:dyDescent="0.2"/>
    <row r="6528" s="197" customFormat="1" ht="12.75" x14ac:dyDescent="0.2"/>
    <row r="6529" s="197" customFormat="1" ht="12.75" x14ac:dyDescent="0.2"/>
    <row r="6530" s="197" customFormat="1" ht="12.75" x14ac:dyDescent="0.2"/>
    <row r="6531" s="197" customFormat="1" ht="12.75" x14ac:dyDescent="0.2"/>
    <row r="6532" s="197" customFormat="1" ht="12.75" x14ac:dyDescent="0.2"/>
    <row r="6533" s="197" customFormat="1" ht="12.75" x14ac:dyDescent="0.2"/>
    <row r="6534" s="197" customFormat="1" ht="12.75" x14ac:dyDescent="0.2"/>
    <row r="6535" s="197" customFormat="1" ht="12.75" x14ac:dyDescent="0.2"/>
    <row r="6536" s="197" customFormat="1" ht="12.75" x14ac:dyDescent="0.2"/>
    <row r="6537" s="197" customFormat="1" ht="12.75" x14ac:dyDescent="0.2"/>
    <row r="6538" s="197" customFormat="1" ht="12.75" x14ac:dyDescent="0.2"/>
    <row r="6539" s="197" customFormat="1" ht="12.75" x14ac:dyDescent="0.2"/>
    <row r="6540" s="197" customFormat="1" ht="12.75" x14ac:dyDescent="0.2"/>
    <row r="6541" s="197" customFormat="1" ht="12.75" x14ac:dyDescent="0.2"/>
    <row r="6542" s="197" customFormat="1" ht="12.75" x14ac:dyDescent="0.2"/>
    <row r="6543" s="197" customFormat="1" ht="12.75" x14ac:dyDescent="0.2"/>
    <row r="6544" s="197" customFormat="1" ht="12.75" x14ac:dyDescent="0.2"/>
    <row r="6545" s="197" customFormat="1" ht="12.75" x14ac:dyDescent="0.2"/>
    <row r="6546" s="197" customFormat="1" ht="12.75" x14ac:dyDescent="0.2"/>
    <row r="6547" s="197" customFormat="1" ht="12.75" x14ac:dyDescent="0.2"/>
    <row r="6548" s="197" customFormat="1" ht="12.75" x14ac:dyDescent="0.2"/>
    <row r="6549" s="197" customFormat="1" ht="12.75" x14ac:dyDescent="0.2"/>
    <row r="6550" s="197" customFormat="1" ht="12.75" x14ac:dyDescent="0.2"/>
    <row r="6551" s="197" customFormat="1" ht="12.75" x14ac:dyDescent="0.2"/>
    <row r="6552" s="197" customFormat="1" ht="12.75" x14ac:dyDescent="0.2"/>
    <row r="6553" s="197" customFormat="1" ht="12.75" x14ac:dyDescent="0.2"/>
    <row r="6554" s="197" customFormat="1" ht="12.75" x14ac:dyDescent="0.2"/>
    <row r="6555" s="197" customFormat="1" ht="12.75" x14ac:dyDescent="0.2"/>
    <row r="6556" s="197" customFormat="1" ht="12.75" x14ac:dyDescent="0.2"/>
    <row r="6557" s="197" customFormat="1" ht="12.75" x14ac:dyDescent="0.2"/>
    <row r="6558" s="197" customFormat="1" ht="12.75" x14ac:dyDescent="0.2"/>
    <row r="6559" s="197" customFormat="1" ht="12.75" x14ac:dyDescent="0.2"/>
    <row r="6560" s="197" customFormat="1" ht="12.75" x14ac:dyDescent="0.2"/>
    <row r="6561" s="197" customFormat="1" ht="12.75" x14ac:dyDescent="0.2"/>
    <row r="6562" s="197" customFormat="1" ht="12.75" x14ac:dyDescent="0.2"/>
    <row r="6563" s="197" customFormat="1" ht="12.75" x14ac:dyDescent="0.2"/>
    <row r="6564" s="197" customFormat="1" ht="12.75" x14ac:dyDescent="0.2"/>
    <row r="6565" s="197" customFormat="1" ht="12.75" x14ac:dyDescent="0.2"/>
    <row r="6566" s="197" customFormat="1" ht="12.75" x14ac:dyDescent="0.2"/>
    <row r="6567" s="197" customFormat="1" ht="12.75" x14ac:dyDescent="0.2"/>
    <row r="6568" s="197" customFormat="1" ht="12.75" x14ac:dyDescent="0.2"/>
    <row r="6569" s="197" customFormat="1" ht="12.75" x14ac:dyDescent="0.2"/>
    <row r="6570" s="197" customFormat="1" ht="12.75" x14ac:dyDescent="0.2"/>
    <row r="6571" s="197" customFormat="1" ht="12.75" x14ac:dyDescent="0.2"/>
    <row r="6572" s="197" customFormat="1" ht="12.75" x14ac:dyDescent="0.2"/>
    <row r="6573" s="197" customFormat="1" ht="12.75" x14ac:dyDescent="0.2"/>
    <row r="6574" s="197" customFormat="1" ht="12.75" x14ac:dyDescent="0.2"/>
    <row r="6575" s="197" customFormat="1" ht="12.75" x14ac:dyDescent="0.2"/>
    <row r="6576" s="197" customFormat="1" ht="12.75" x14ac:dyDescent="0.2"/>
    <row r="6577" s="197" customFormat="1" ht="12.75" x14ac:dyDescent="0.2"/>
    <row r="6578" s="197" customFormat="1" ht="12.75" x14ac:dyDescent="0.2"/>
    <row r="6579" s="197" customFormat="1" ht="12.75" x14ac:dyDescent="0.2"/>
    <row r="6580" s="197" customFormat="1" ht="12.75" x14ac:dyDescent="0.2"/>
    <row r="6581" s="197" customFormat="1" ht="12.75" x14ac:dyDescent="0.2"/>
    <row r="6582" s="197" customFormat="1" ht="12.75" x14ac:dyDescent="0.2"/>
    <row r="6583" s="197" customFormat="1" ht="12.75" x14ac:dyDescent="0.2"/>
    <row r="6584" s="197" customFormat="1" ht="12.75" x14ac:dyDescent="0.2"/>
    <row r="6585" s="197" customFormat="1" ht="12.75" x14ac:dyDescent="0.2"/>
    <row r="6586" s="197" customFormat="1" ht="12.75" x14ac:dyDescent="0.2"/>
    <row r="6587" s="197" customFormat="1" ht="12.75" x14ac:dyDescent="0.2"/>
    <row r="6588" s="197" customFormat="1" ht="12.75" x14ac:dyDescent="0.2"/>
    <row r="6589" s="197" customFormat="1" ht="12.75" x14ac:dyDescent="0.2"/>
    <row r="6590" s="197" customFormat="1" ht="12.75" x14ac:dyDescent="0.2"/>
    <row r="6591" s="197" customFormat="1" ht="12.75" x14ac:dyDescent="0.2"/>
    <row r="6592" s="197" customFormat="1" ht="12.75" x14ac:dyDescent="0.2"/>
    <row r="6593" s="197" customFormat="1" ht="12.75" x14ac:dyDescent="0.2"/>
    <row r="6594" s="197" customFormat="1" ht="12.75" x14ac:dyDescent="0.2"/>
    <row r="6595" s="197" customFormat="1" ht="12.75" x14ac:dyDescent="0.2"/>
    <row r="6596" s="197" customFormat="1" ht="12.75" x14ac:dyDescent="0.2"/>
    <row r="6597" s="197" customFormat="1" ht="12.75" x14ac:dyDescent="0.2"/>
    <row r="6598" s="197" customFormat="1" ht="12.75" x14ac:dyDescent="0.2"/>
    <row r="6599" s="197" customFormat="1" ht="12.75" x14ac:dyDescent="0.2"/>
    <row r="6600" s="197" customFormat="1" ht="12.75" x14ac:dyDescent="0.2"/>
    <row r="6601" s="197" customFormat="1" ht="12.75" x14ac:dyDescent="0.2"/>
    <row r="6602" s="197" customFormat="1" ht="12.75" x14ac:dyDescent="0.2"/>
    <row r="6603" s="197" customFormat="1" ht="12.75" x14ac:dyDescent="0.2"/>
    <row r="6604" s="197" customFormat="1" ht="12.75" x14ac:dyDescent="0.2"/>
    <row r="6605" s="197" customFormat="1" ht="12.75" x14ac:dyDescent="0.2"/>
    <row r="6606" s="197" customFormat="1" ht="12.75" x14ac:dyDescent="0.2"/>
    <row r="6607" s="197" customFormat="1" ht="12.75" x14ac:dyDescent="0.2"/>
    <row r="6608" s="197" customFormat="1" ht="12.75" x14ac:dyDescent="0.2"/>
    <row r="6609" s="197" customFormat="1" ht="12.75" x14ac:dyDescent="0.2"/>
    <row r="6610" s="197" customFormat="1" ht="12.75" x14ac:dyDescent="0.2"/>
    <row r="6611" s="197" customFormat="1" ht="12.75" x14ac:dyDescent="0.2"/>
    <row r="6612" s="197" customFormat="1" ht="12.75" x14ac:dyDescent="0.2"/>
    <row r="6613" s="197" customFormat="1" ht="12.75" x14ac:dyDescent="0.2"/>
    <row r="6614" s="197" customFormat="1" ht="12.75" x14ac:dyDescent="0.2"/>
    <row r="6615" s="197" customFormat="1" ht="12.75" x14ac:dyDescent="0.2"/>
    <row r="6616" s="197" customFormat="1" ht="12.75" x14ac:dyDescent="0.2"/>
    <row r="6617" s="197" customFormat="1" ht="12.75" x14ac:dyDescent="0.2"/>
    <row r="6618" s="197" customFormat="1" ht="12.75" x14ac:dyDescent="0.2"/>
    <row r="6619" s="197" customFormat="1" ht="12.75" x14ac:dyDescent="0.2"/>
    <row r="6620" s="197" customFormat="1" ht="12.75" x14ac:dyDescent="0.2"/>
    <row r="6621" s="197" customFormat="1" ht="12.75" x14ac:dyDescent="0.2"/>
    <row r="6622" s="197" customFormat="1" ht="12.75" x14ac:dyDescent="0.2"/>
    <row r="6623" s="197" customFormat="1" ht="12.75" x14ac:dyDescent="0.2"/>
    <row r="6624" s="197" customFormat="1" ht="12.75" x14ac:dyDescent="0.2"/>
    <row r="6625" s="197" customFormat="1" ht="12.75" x14ac:dyDescent="0.2"/>
    <row r="6626" s="197" customFormat="1" ht="12.75" x14ac:dyDescent="0.2"/>
    <row r="6627" s="197" customFormat="1" ht="12.75" x14ac:dyDescent="0.2"/>
    <row r="6628" s="197" customFormat="1" ht="12.75" x14ac:dyDescent="0.2"/>
    <row r="6629" s="197" customFormat="1" ht="12.75" x14ac:dyDescent="0.2"/>
    <row r="6630" s="197" customFormat="1" ht="12.75" x14ac:dyDescent="0.2"/>
    <row r="6631" s="197" customFormat="1" ht="12.75" x14ac:dyDescent="0.2"/>
    <row r="6632" s="197" customFormat="1" ht="12.75" x14ac:dyDescent="0.2"/>
    <row r="6633" s="197" customFormat="1" ht="12.75" x14ac:dyDescent="0.2"/>
    <row r="6634" s="197" customFormat="1" ht="12.75" x14ac:dyDescent="0.2"/>
    <row r="6635" s="197" customFormat="1" ht="12.75" x14ac:dyDescent="0.2"/>
    <row r="6636" s="197" customFormat="1" ht="12.75" x14ac:dyDescent="0.2"/>
    <row r="6637" s="197" customFormat="1" ht="12.75" x14ac:dyDescent="0.2"/>
    <row r="6638" s="197" customFormat="1" ht="12.75" x14ac:dyDescent="0.2"/>
    <row r="6639" s="197" customFormat="1" ht="12.75" x14ac:dyDescent="0.2"/>
    <row r="6640" s="197" customFormat="1" ht="12.75" x14ac:dyDescent="0.2"/>
    <row r="6641" s="197" customFormat="1" ht="12.75" x14ac:dyDescent="0.2"/>
    <row r="6642" s="197" customFormat="1" ht="12.75" x14ac:dyDescent="0.2"/>
    <row r="6643" s="197" customFormat="1" ht="12.75" x14ac:dyDescent="0.2"/>
    <row r="6644" s="197" customFormat="1" ht="12.75" x14ac:dyDescent="0.2"/>
    <row r="6645" s="197" customFormat="1" ht="12.75" x14ac:dyDescent="0.2"/>
    <row r="6646" s="197" customFormat="1" ht="12.75" x14ac:dyDescent="0.2"/>
    <row r="6647" s="197" customFormat="1" ht="12.75" x14ac:dyDescent="0.2"/>
    <row r="6648" s="197" customFormat="1" ht="12.75" x14ac:dyDescent="0.2"/>
    <row r="6649" s="197" customFormat="1" ht="12.75" x14ac:dyDescent="0.2"/>
    <row r="6650" s="197" customFormat="1" ht="12.75" x14ac:dyDescent="0.2"/>
    <row r="6651" s="197" customFormat="1" ht="12.75" x14ac:dyDescent="0.2"/>
    <row r="6652" s="197" customFormat="1" ht="12.75" x14ac:dyDescent="0.2"/>
    <row r="6653" s="197" customFormat="1" ht="12.75" x14ac:dyDescent="0.2"/>
    <row r="6654" s="197" customFormat="1" ht="12.75" x14ac:dyDescent="0.2"/>
    <row r="6655" s="197" customFormat="1" ht="12.75" x14ac:dyDescent="0.2"/>
    <row r="6656" s="197" customFormat="1" ht="12.75" x14ac:dyDescent="0.2"/>
    <row r="6657" s="197" customFormat="1" ht="12.75" x14ac:dyDescent="0.2"/>
    <row r="6658" s="197" customFormat="1" ht="12.75" x14ac:dyDescent="0.2"/>
    <row r="6659" s="197" customFormat="1" ht="12.75" x14ac:dyDescent="0.2"/>
    <row r="6660" s="197" customFormat="1" ht="12.75" x14ac:dyDescent="0.2"/>
    <row r="6661" s="197" customFormat="1" ht="12.75" x14ac:dyDescent="0.2"/>
    <row r="6662" s="197" customFormat="1" ht="12.75" x14ac:dyDescent="0.2"/>
    <row r="6663" s="197" customFormat="1" ht="12.75" x14ac:dyDescent="0.2"/>
    <row r="6664" s="197" customFormat="1" ht="12.75" x14ac:dyDescent="0.2"/>
    <row r="6665" s="197" customFormat="1" ht="12.75" x14ac:dyDescent="0.2"/>
    <row r="6666" s="197" customFormat="1" ht="12.75" x14ac:dyDescent="0.2"/>
    <row r="6667" s="197" customFormat="1" ht="12.75" x14ac:dyDescent="0.2"/>
    <row r="6668" s="197" customFormat="1" ht="12.75" x14ac:dyDescent="0.2"/>
    <row r="6669" s="197" customFormat="1" ht="12.75" x14ac:dyDescent="0.2"/>
    <row r="6670" s="197" customFormat="1" ht="12.75" x14ac:dyDescent="0.2"/>
    <row r="6671" s="197" customFormat="1" ht="12.75" x14ac:dyDescent="0.2"/>
    <row r="6672" s="197" customFormat="1" ht="12.75" x14ac:dyDescent="0.2"/>
    <row r="6673" s="197" customFormat="1" ht="12.75" x14ac:dyDescent="0.2"/>
    <row r="6674" s="197" customFormat="1" ht="12.75" x14ac:dyDescent="0.2"/>
    <row r="6675" s="197" customFormat="1" ht="12.75" x14ac:dyDescent="0.2"/>
    <row r="6676" s="197" customFormat="1" ht="12.75" x14ac:dyDescent="0.2"/>
    <row r="6677" s="197" customFormat="1" ht="12.75" x14ac:dyDescent="0.2"/>
    <row r="6678" s="197" customFormat="1" ht="12.75" x14ac:dyDescent="0.2"/>
    <row r="6679" s="197" customFormat="1" ht="12.75" x14ac:dyDescent="0.2"/>
    <row r="6680" s="197" customFormat="1" ht="12.75" x14ac:dyDescent="0.2"/>
    <row r="6681" s="197" customFormat="1" ht="12.75" x14ac:dyDescent="0.2"/>
    <row r="6682" s="197" customFormat="1" ht="12.75" x14ac:dyDescent="0.2"/>
    <row r="6683" s="197" customFormat="1" ht="12.75" x14ac:dyDescent="0.2"/>
    <row r="6684" s="197" customFormat="1" ht="12.75" x14ac:dyDescent="0.2"/>
    <row r="6685" s="197" customFormat="1" ht="12.75" x14ac:dyDescent="0.2"/>
    <row r="6686" s="197" customFormat="1" ht="12.75" x14ac:dyDescent="0.2"/>
    <row r="6687" s="197" customFormat="1" ht="12.75" x14ac:dyDescent="0.2"/>
    <row r="6688" s="197" customFormat="1" ht="12.75" x14ac:dyDescent="0.2"/>
    <row r="6689" s="197" customFormat="1" ht="12.75" x14ac:dyDescent="0.2"/>
    <row r="6690" s="197" customFormat="1" ht="12.75" x14ac:dyDescent="0.2"/>
    <row r="6691" s="197" customFormat="1" ht="12.75" x14ac:dyDescent="0.2"/>
    <row r="6692" s="197" customFormat="1" ht="12.75" x14ac:dyDescent="0.2"/>
    <row r="6693" s="197" customFormat="1" ht="12.75" x14ac:dyDescent="0.2"/>
    <row r="6694" s="197" customFormat="1" ht="12.75" x14ac:dyDescent="0.2"/>
    <row r="6695" s="197" customFormat="1" ht="12.75" x14ac:dyDescent="0.2"/>
    <row r="6696" s="197" customFormat="1" ht="12.75" x14ac:dyDescent="0.2"/>
    <row r="6697" s="197" customFormat="1" ht="12.75" x14ac:dyDescent="0.2"/>
    <row r="6698" s="197" customFormat="1" ht="12.75" x14ac:dyDescent="0.2"/>
    <row r="6699" s="197" customFormat="1" ht="12.75" x14ac:dyDescent="0.2"/>
    <row r="6700" s="197" customFormat="1" ht="12.75" x14ac:dyDescent="0.2"/>
    <row r="6701" s="197" customFormat="1" ht="12.75" x14ac:dyDescent="0.2"/>
    <row r="6702" s="197" customFormat="1" ht="12.75" x14ac:dyDescent="0.2"/>
    <row r="6703" s="197" customFormat="1" ht="12.75" x14ac:dyDescent="0.2"/>
    <row r="6704" s="197" customFormat="1" ht="12.75" x14ac:dyDescent="0.2"/>
    <row r="6705" s="197" customFormat="1" ht="12.75" x14ac:dyDescent="0.2"/>
    <row r="6706" s="197" customFormat="1" ht="12.75" x14ac:dyDescent="0.2"/>
    <row r="6707" s="197" customFormat="1" ht="12.75" x14ac:dyDescent="0.2"/>
    <row r="6708" s="197" customFormat="1" ht="12.75" x14ac:dyDescent="0.2"/>
    <row r="6709" s="197" customFormat="1" ht="12.75" x14ac:dyDescent="0.2"/>
    <row r="6710" s="197" customFormat="1" ht="12.75" x14ac:dyDescent="0.2"/>
    <row r="6711" s="197" customFormat="1" ht="12.75" x14ac:dyDescent="0.2"/>
    <row r="6712" s="197" customFormat="1" ht="12.75" x14ac:dyDescent="0.2"/>
    <row r="6713" s="197" customFormat="1" ht="12.75" x14ac:dyDescent="0.2"/>
    <row r="6714" s="197" customFormat="1" ht="12.75" x14ac:dyDescent="0.2"/>
    <row r="6715" s="197" customFormat="1" ht="12.75" x14ac:dyDescent="0.2"/>
    <row r="6716" s="197" customFormat="1" ht="12.75" x14ac:dyDescent="0.2"/>
    <row r="6717" s="197" customFormat="1" ht="12.75" x14ac:dyDescent="0.2"/>
    <row r="6718" s="197" customFormat="1" ht="12.75" x14ac:dyDescent="0.2"/>
    <row r="6719" s="197" customFormat="1" ht="12.75" x14ac:dyDescent="0.2"/>
    <row r="6720" s="197" customFormat="1" ht="12.75" x14ac:dyDescent="0.2"/>
    <row r="6721" s="197" customFormat="1" ht="12.75" x14ac:dyDescent="0.2"/>
    <row r="6722" s="197" customFormat="1" ht="12.75" x14ac:dyDescent="0.2"/>
    <row r="6723" s="197" customFormat="1" ht="12.75" x14ac:dyDescent="0.2"/>
    <row r="6724" s="197" customFormat="1" ht="12.75" x14ac:dyDescent="0.2"/>
    <row r="6725" s="197" customFormat="1" ht="12.75" x14ac:dyDescent="0.2"/>
    <row r="6726" s="197" customFormat="1" ht="12.75" x14ac:dyDescent="0.2"/>
    <row r="6727" s="197" customFormat="1" ht="12.75" x14ac:dyDescent="0.2"/>
    <row r="6728" s="197" customFormat="1" ht="12.75" x14ac:dyDescent="0.2"/>
    <row r="6729" s="197" customFormat="1" ht="12.75" x14ac:dyDescent="0.2"/>
    <row r="6730" s="197" customFormat="1" ht="12.75" x14ac:dyDescent="0.2"/>
    <row r="6731" s="197" customFormat="1" ht="12.75" x14ac:dyDescent="0.2"/>
    <row r="6732" s="197" customFormat="1" ht="12.75" x14ac:dyDescent="0.2"/>
    <row r="6733" s="197" customFormat="1" ht="12.75" x14ac:dyDescent="0.2"/>
    <row r="6734" s="197" customFormat="1" ht="12.75" x14ac:dyDescent="0.2"/>
    <row r="6735" s="197" customFormat="1" ht="12.75" x14ac:dyDescent="0.2"/>
    <row r="6736" s="197" customFormat="1" ht="12.75" x14ac:dyDescent="0.2"/>
    <row r="6737" s="197" customFormat="1" ht="12.75" x14ac:dyDescent="0.2"/>
    <row r="6738" s="197" customFormat="1" ht="12.75" x14ac:dyDescent="0.2"/>
    <row r="6739" s="197" customFormat="1" ht="12.75" x14ac:dyDescent="0.2"/>
    <row r="6740" s="197" customFormat="1" ht="12.75" x14ac:dyDescent="0.2"/>
    <row r="6741" s="197" customFormat="1" ht="12.75" x14ac:dyDescent="0.2"/>
    <row r="6742" s="197" customFormat="1" ht="12.75" x14ac:dyDescent="0.2"/>
    <row r="6743" s="197" customFormat="1" ht="12.75" x14ac:dyDescent="0.2"/>
    <row r="6744" s="197" customFormat="1" ht="12.75" x14ac:dyDescent="0.2"/>
    <row r="6745" s="197" customFormat="1" ht="12.75" x14ac:dyDescent="0.2"/>
    <row r="6746" s="197" customFormat="1" ht="12.75" x14ac:dyDescent="0.2"/>
    <row r="6747" s="197" customFormat="1" ht="12.75" x14ac:dyDescent="0.2"/>
    <row r="6748" s="197" customFormat="1" ht="12.75" x14ac:dyDescent="0.2"/>
    <row r="6749" s="197" customFormat="1" ht="12.75" x14ac:dyDescent="0.2"/>
    <row r="6750" s="197" customFormat="1" ht="12.75" x14ac:dyDescent="0.2"/>
    <row r="6751" s="197" customFormat="1" ht="12.75" x14ac:dyDescent="0.2"/>
    <row r="6752" s="197" customFormat="1" ht="12.75" x14ac:dyDescent="0.2"/>
    <row r="6753" s="197" customFormat="1" ht="12.75" x14ac:dyDescent="0.2"/>
    <row r="6754" s="197" customFormat="1" ht="12.75" x14ac:dyDescent="0.2"/>
    <row r="6755" s="197" customFormat="1" ht="12.75" x14ac:dyDescent="0.2"/>
    <row r="6756" s="197" customFormat="1" ht="12.75" x14ac:dyDescent="0.2"/>
    <row r="6757" s="197" customFormat="1" ht="12.75" x14ac:dyDescent="0.2"/>
    <row r="6758" s="197" customFormat="1" ht="12.75" x14ac:dyDescent="0.2"/>
    <row r="6759" s="197" customFormat="1" ht="12.75" x14ac:dyDescent="0.2"/>
    <row r="6760" s="197" customFormat="1" ht="12.75" x14ac:dyDescent="0.2"/>
    <row r="6761" s="197" customFormat="1" ht="12.75" x14ac:dyDescent="0.2"/>
    <row r="6762" s="197" customFormat="1" ht="12.75" x14ac:dyDescent="0.2"/>
    <row r="6763" s="197" customFormat="1" ht="12.75" x14ac:dyDescent="0.2"/>
    <row r="6764" s="197" customFormat="1" ht="12.75" x14ac:dyDescent="0.2"/>
    <row r="6765" s="197" customFormat="1" ht="12.75" x14ac:dyDescent="0.2"/>
    <row r="6766" s="197" customFormat="1" ht="12.75" x14ac:dyDescent="0.2"/>
    <row r="6767" s="197" customFormat="1" ht="12.75" x14ac:dyDescent="0.2"/>
    <row r="6768" s="197" customFormat="1" ht="12.75" x14ac:dyDescent="0.2"/>
    <row r="6769" s="197" customFormat="1" ht="12.75" x14ac:dyDescent="0.2"/>
    <row r="6770" s="197" customFormat="1" ht="12.75" x14ac:dyDescent="0.2"/>
    <row r="6771" s="197" customFormat="1" ht="12.75" x14ac:dyDescent="0.2"/>
    <row r="6772" s="197" customFormat="1" ht="12.75" x14ac:dyDescent="0.2"/>
    <row r="6773" s="197" customFormat="1" ht="12.75" x14ac:dyDescent="0.2"/>
    <row r="6774" s="197" customFormat="1" ht="12.75" x14ac:dyDescent="0.2"/>
    <row r="6775" s="197" customFormat="1" ht="12.75" x14ac:dyDescent="0.2"/>
    <row r="6776" s="197" customFormat="1" ht="12.75" x14ac:dyDescent="0.2"/>
    <row r="6777" s="197" customFormat="1" ht="12.75" x14ac:dyDescent="0.2"/>
    <row r="6778" s="197" customFormat="1" ht="12.75" x14ac:dyDescent="0.2"/>
    <row r="6779" s="197" customFormat="1" ht="12.75" x14ac:dyDescent="0.2"/>
    <row r="6780" s="197" customFormat="1" ht="12.75" x14ac:dyDescent="0.2"/>
    <row r="6781" s="197" customFormat="1" ht="12.75" x14ac:dyDescent="0.2"/>
    <row r="6782" s="197" customFormat="1" ht="12.75" x14ac:dyDescent="0.2"/>
    <row r="6783" s="197" customFormat="1" ht="12.75" x14ac:dyDescent="0.2"/>
    <row r="6784" s="197" customFormat="1" ht="12.75" x14ac:dyDescent="0.2"/>
    <row r="6785" s="197" customFormat="1" ht="12.75" x14ac:dyDescent="0.2"/>
    <row r="6786" s="197" customFormat="1" ht="12.75" x14ac:dyDescent="0.2"/>
    <row r="6787" s="197" customFormat="1" ht="12.75" x14ac:dyDescent="0.2"/>
    <row r="6788" s="197" customFormat="1" ht="12.75" x14ac:dyDescent="0.2"/>
    <row r="6789" s="197" customFormat="1" ht="12.75" x14ac:dyDescent="0.2"/>
    <row r="6790" s="197" customFormat="1" ht="12.75" x14ac:dyDescent="0.2"/>
    <row r="6791" s="197" customFormat="1" ht="12.75" x14ac:dyDescent="0.2"/>
    <row r="6792" s="197" customFormat="1" ht="12.75" x14ac:dyDescent="0.2"/>
    <row r="6793" s="197" customFormat="1" ht="12.75" x14ac:dyDescent="0.2"/>
    <row r="6794" s="197" customFormat="1" ht="12.75" x14ac:dyDescent="0.2"/>
    <row r="6795" s="197" customFormat="1" ht="12.75" x14ac:dyDescent="0.2"/>
    <row r="6796" s="197" customFormat="1" ht="12.75" x14ac:dyDescent="0.2"/>
    <row r="6797" s="197" customFormat="1" ht="12.75" x14ac:dyDescent="0.2"/>
    <row r="6798" s="197" customFormat="1" ht="12.75" x14ac:dyDescent="0.2"/>
    <row r="6799" s="197" customFormat="1" ht="12.75" x14ac:dyDescent="0.2"/>
    <row r="6800" s="197" customFormat="1" ht="12.75" x14ac:dyDescent="0.2"/>
    <row r="6801" s="197" customFormat="1" ht="12.75" x14ac:dyDescent="0.2"/>
    <row r="6802" s="197" customFormat="1" ht="12.75" x14ac:dyDescent="0.2"/>
    <row r="6803" s="197" customFormat="1" ht="12.75" x14ac:dyDescent="0.2"/>
    <row r="6804" s="197" customFormat="1" ht="12.75" x14ac:dyDescent="0.2"/>
    <row r="6805" s="197" customFormat="1" ht="12.75" x14ac:dyDescent="0.2"/>
    <row r="6806" s="197" customFormat="1" ht="12.75" x14ac:dyDescent="0.2"/>
    <row r="6807" s="197" customFormat="1" ht="12.75" x14ac:dyDescent="0.2"/>
    <row r="6808" s="197" customFormat="1" ht="12.75" x14ac:dyDescent="0.2"/>
    <row r="6809" s="197" customFormat="1" ht="12.75" x14ac:dyDescent="0.2"/>
    <row r="6810" s="197" customFormat="1" ht="12.75" x14ac:dyDescent="0.2"/>
    <row r="6811" s="197" customFormat="1" ht="12.75" x14ac:dyDescent="0.2"/>
    <row r="6812" s="197" customFormat="1" ht="12.75" x14ac:dyDescent="0.2"/>
    <row r="6813" s="197" customFormat="1" ht="12.75" x14ac:dyDescent="0.2"/>
    <row r="6814" s="197" customFormat="1" ht="12.75" x14ac:dyDescent="0.2"/>
    <row r="6815" s="197" customFormat="1" ht="12.75" x14ac:dyDescent="0.2"/>
    <row r="6816" s="197" customFormat="1" ht="12.75" x14ac:dyDescent="0.2"/>
    <row r="6817" s="197" customFormat="1" ht="12.75" x14ac:dyDescent="0.2"/>
    <row r="6818" s="197" customFormat="1" ht="12.75" x14ac:dyDescent="0.2"/>
    <row r="6819" s="197" customFormat="1" ht="12.75" x14ac:dyDescent="0.2"/>
    <row r="6820" s="197" customFormat="1" ht="12.75" x14ac:dyDescent="0.2"/>
    <row r="6821" s="197" customFormat="1" ht="12.75" x14ac:dyDescent="0.2"/>
    <row r="6822" s="197" customFormat="1" ht="12.75" x14ac:dyDescent="0.2"/>
    <row r="6823" s="197" customFormat="1" ht="12.75" x14ac:dyDescent="0.2"/>
    <row r="6824" s="197" customFormat="1" ht="12.75" x14ac:dyDescent="0.2"/>
    <row r="6825" s="197" customFormat="1" ht="12.75" x14ac:dyDescent="0.2"/>
    <row r="6826" s="197" customFormat="1" ht="12.75" x14ac:dyDescent="0.2"/>
    <row r="6827" s="197" customFormat="1" ht="12.75" x14ac:dyDescent="0.2"/>
    <row r="6828" s="197" customFormat="1" ht="12.75" x14ac:dyDescent="0.2"/>
    <row r="6829" s="197" customFormat="1" ht="12.75" x14ac:dyDescent="0.2"/>
    <row r="6830" s="197" customFormat="1" ht="12.75" x14ac:dyDescent="0.2"/>
    <row r="6831" s="197" customFormat="1" ht="12.75" x14ac:dyDescent="0.2"/>
    <row r="6832" s="197" customFormat="1" ht="12.75" x14ac:dyDescent="0.2"/>
    <row r="6833" s="197" customFormat="1" ht="12.75" x14ac:dyDescent="0.2"/>
    <row r="6834" s="197" customFormat="1" ht="12.75" x14ac:dyDescent="0.2"/>
    <row r="6835" s="197" customFormat="1" ht="12.75" x14ac:dyDescent="0.2"/>
    <row r="6836" s="197" customFormat="1" ht="12.75" x14ac:dyDescent="0.2"/>
    <row r="6837" s="197" customFormat="1" ht="12.75" x14ac:dyDescent="0.2"/>
    <row r="6838" s="197" customFormat="1" ht="12.75" x14ac:dyDescent="0.2"/>
    <row r="6839" s="197" customFormat="1" ht="12.75" x14ac:dyDescent="0.2"/>
    <row r="6840" s="197" customFormat="1" ht="12.75" x14ac:dyDescent="0.2"/>
    <row r="6841" s="197" customFormat="1" ht="12.75" x14ac:dyDescent="0.2"/>
    <row r="6842" s="197" customFormat="1" ht="12.75" x14ac:dyDescent="0.2"/>
    <row r="6843" s="197" customFormat="1" ht="12.75" x14ac:dyDescent="0.2"/>
    <row r="6844" s="197" customFormat="1" ht="12.75" x14ac:dyDescent="0.2"/>
    <row r="6845" s="197" customFormat="1" ht="12.75" x14ac:dyDescent="0.2"/>
    <row r="6846" s="197" customFormat="1" ht="12.75" x14ac:dyDescent="0.2"/>
    <row r="6847" s="197" customFormat="1" ht="12.75" x14ac:dyDescent="0.2"/>
    <row r="6848" s="197" customFormat="1" ht="12.75" x14ac:dyDescent="0.2"/>
    <row r="6849" s="197" customFormat="1" ht="12.75" x14ac:dyDescent="0.2"/>
    <row r="6850" s="197" customFormat="1" ht="12.75" x14ac:dyDescent="0.2"/>
    <row r="6851" s="197" customFormat="1" ht="12.75" x14ac:dyDescent="0.2"/>
    <row r="6852" s="197" customFormat="1" ht="12.75" x14ac:dyDescent="0.2"/>
    <row r="6853" s="197" customFormat="1" ht="12.75" x14ac:dyDescent="0.2"/>
    <row r="6854" s="197" customFormat="1" ht="12.75" x14ac:dyDescent="0.2"/>
    <row r="6855" s="197" customFormat="1" ht="12.75" x14ac:dyDescent="0.2"/>
    <row r="6856" s="197" customFormat="1" ht="12.75" x14ac:dyDescent="0.2"/>
    <row r="6857" s="197" customFormat="1" ht="12.75" x14ac:dyDescent="0.2"/>
    <row r="6858" s="197" customFormat="1" ht="12.75" x14ac:dyDescent="0.2"/>
    <row r="6859" s="197" customFormat="1" ht="12.75" x14ac:dyDescent="0.2"/>
    <row r="6860" s="197" customFormat="1" ht="12.75" x14ac:dyDescent="0.2"/>
    <row r="6861" s="197" customFormat="1" ht="12.75" x14ac:dyDescent="0.2"/>
    <row r="6862" s="197" customFormat="1" ht="12.75" x14ac:dyDescent="0.2"/>
    <row r="6863" s="197" customFormat="1" ht="12.75" x14ac:dyDescent="0.2"/>
    <row r="6864" s="197" customFormat="1" ht="12.75" x14ac:dyDescent="0.2"/>
    <row r="6865" s="197" customFormat="1" ht="12.75" x14ac:dyDescent="0.2"/>
    <row r="6866" s="197" customFormat="1" ht="12.75" x14ac:dyDescent="0.2"/>
    <row r="6867" s="197" customFormat="1" ht="12.75" x14ac:dyDescent="0.2"/>
    <row r="6868" s="197" customFormat="1" ht="12.75" x14ac:dyDescent="0.2"/>
    <row r="6869" s="197" customFormat="1" ht="12.75" x14ac:dyDescent="0.2"/>
    <row r="6870" s="197" customFormat="1" ht="12.75" x14ac:dyDescent="0.2"/>
    <row r="6871" s="197" customFormat="1" ht="12.75" x14ac:dyDescent="0.2"/>
    <row r="6872" s="197" customFormat="1" ht="12.75" x14ac:dyDescent="0.2"/>
    <row r="6873" s="197" customFormat="1" ht="12.75" x14ac:dyDescent="0.2"/>
    <row r="6874" s="197" customFormat="1" ht="12.75" x14ac:dyDescent="0.2"/>
    <row r="6875" s="197" customFormat="1" ht="12.75" x14ac:dyDescent="0.2"/>
    <row r="6876" s="197" customFormat="1" ht="12.75" x14ac:dyDescent="0.2"/>
    <row r="6877" s="197" customFormat="1" ht="12.75" x14ac:dyDescent="0.2"/>
    <row r="6878" s="197" customFormat="1" ht="12.75" x14ac:dyDescent="0.2"/>
    <row r="6879" s="197" customFormat="1" ht="12.75" x14ac:dyDescent="0.2"/>
    <row r="6880" s="197" customFormat="1" ht="12.75" x14ac:dyDescent="0.2"/>
    <row r="6881" s="197" customFormat="1" ht="12.75" x14ac:dyDescent="0.2"/>
    <row r="6882" s="197" customFormat="1" ht="12.75" x14ac:dyDescent="0.2"/>
    <row r="6883" s="197" customFormat="1" ht="12.75" x14ac:dyDescent="0.2"/>
    <row r="6884" s="197" customFormat="1" ht="12.75" x14ac:dyDescent="0.2"/>
    <row r="6885" s="197" customFormat="1" ht="12.75" x14ac:dyDescent="0.2"/>
    <row r="6886" s="197" customFormat="1" ht="12.75" x14ac:dyDescent="0.2"/>
    <row r="6887" s="197" customFormat="1" ht="12.75" x14ac:dyDescent="0.2"/>
    <row r="6888" s="197" customFormat="1" ht="12.75" x14ac:dyDescent="0.2"/>
    <row r="6889" s="197" customFormat="1" ht="12.75" x14ac:dyDescent="0.2"/>
    <row r="6890" s="197" customFormat="1" ht="12.75" x14ac:dyDescent="0.2"/>
    <row r="6891" s="197" customFormat="1" ht="12.75" x14ac:dyDescent="0.2"/>
    <row r="6892" s="197" customFormat="1" ht="12.75" x14ac:dyDescent="0.2"/>
    <row r="6893" s="197" customFormat="1" ht="12.75" x14ac:dyDescent="0.2"/>
    <row r="6894" s="197" customFormat="1" ht="12.75" x14ac:dyDescent="0.2"/>
    <row r="6895" s="197" customFormat="1" ht="12.75" x14ac:dyDescent="0.2"/>
    <row r="6896" s="197" customFormat="1" ht="12.75" x14ac:dyDescent="0.2"/>
    <row r="6897" s="197" customFormat="1" ht="12.75" x14ac:dyDescent="0.2"/>
    <row r="6898" s="197" customFormat="1" ht="12.75" x14ac:dyDescent="0.2"/>
    <row r="6899" s="197" customFormat="1" ht="12.75" x14ac:dyDescent="0.2"/>
    <row r="6900" s="197" customFormat="1" ht="12.75" x14ac:dyDescent="0.2"/>
    <row r="6901" s="197" customFormat="1" ht="12.75" x14ac:dyDescent="0.2"/>
    <row r="6902" s="197" customFormat="1" ht="12.75" x14ac:dyDescent="0.2"/>
    <row r="6903" s="197" customFormat="1" ht="12.75" x14ac:dyDescent="0.2"/>
    <row r="6904" s="197" customFormat="1" ht="12.75" x14ac:dyDescent="0.2"/>
    <row r="6905" s="197" customFormat="1" ht="12.75" x14ac:dyDescent="0.2"/>
    <row r="6906" s="197" customFormat="1" ht="12.75" x14ac:dyDescent="0.2"/>
    <row r="6907" s="197" customFormat="1" ht="12.75" x14ac:dyDescent="0.2"/>
    <row r="6908" s="197" customFormat="1" ht="12.75" x14ac:dyDescent="0.2"/>
    <row r="6909" s="197" customFormat="1" ht="12.75" x14ac:dyDescent="0.2"/>
    <row r="6910" s="197" customFormat="1" ht="12.75" x14ac:dyDescent="0.2"/>
    <row r="6911" s="197" customFormat="1" ht="12.75" x14ac:dyDescent="0.2"/>
    <row r="6912" s="197" customFormat="1" ht="12.75" x14ac:dyDescent="0.2"/>
    <row r="6913" s="197" customFormat="1" ht="12.75" x14ac:dyDescent="0.2"/>
    <row r="6914" s="197" customFormat="1" ht="12.75" x14ac:dyDescent="0.2"/>
    <row r="6915" s="197" customFormat="1" ht="12.75" x14ac:dyDescent="0.2"/>
    <row r="6916" s="197" customFormat="1" ht="12.75" x14ac:dyDescent="0.2"/>
    <row r="6917" s="197" customFormat="1" ht="12.75" x14ac:dyDescent="0.2"/>
    <row r="6918" s="197" customFormat="1" ht="12.75" x14ac:dyDescent="0.2"/>
    <row r="6919" s="197" customFormat="1" ht="12.75" x14ac:dyDescent="0.2"/>
    <row r="6920" s="197" customFormat="1" ht="12.75" x14ac:dyDescent="0.2"/>
    <row r="6921" s="197" customFormat="1" ht="12.75" x14ac:dyDescent="0.2"/>
    <row r="6922" s="197" customFormat="1" ht="12.75" x14ac:dyDescent="0.2"/>
    <row r="6923" s="197" customFormat="1" ht="12.75" x14ac:dyDescent="0.2"/>
    <row r="6924" s="197" customFormat="1" ht="12.75" x14ac:dyDescent="0.2"/>
    <row r="6925" s="197" customFormat="1" ht="12.75" x14ac:dyDescent="0.2"/>
    <row r="6926" s="197" customFormat="1" ht="12.75" x14ac:dyDescent="0.2"/>
    <row r="6927" s="197" customFormat="1" ht="12.75" x14ac:dyDescent="0.2"/>
    <row r="6928" s="197" customFormat="1" ht="12.75" x14ac:dyDescent="0.2"/>
    <row r="6929" s="197" customFormat="1" ht="12.75" x14ac:dyDescent="0.2"/>
    <row r="6930" s="197" customFormat="1" ht="12.75" x14ac:dyDescent="0.2"/>
    <row r="6931" s="197" customFormat="1" ht="12.75" x14ac:dyDescent="0.2"/>
    <row r="6932" s="197" customFormat="1" ht="12.75" x14ac:dyDescent="0.2"/>
    <row r="6933" s="197" customFormat="1" ht="12.75" x14ac:dyDescent="0.2"/>
    <row r="6934" s="197" customFormat="1" ht="12.75" x14ac:dyDescent="0.2"/>
    <row r="6935" s="197" customFormat="1" ht="12.75" x14ac:dyDescent="0.2"/>
    <row r="6936" s="197" customFormat="1" ht="12.75" x14ac:dyDescent="0.2"/>
    <row r="6937" s="197" customFormat="1" ht="12.75" x14ac:dyDescent="0.2"/>
    <row r="6938" s="197" customFormat="1" ht="12.75" x14ac:dyDescent="0.2"/>
    <row r="6939" s="197" customFormat="1" ht="12.75" x14ac:dyDescent="0.2"/>
    <row r="6940" s="197" customFormat="1" ht="12.75" x14ac:dyDescent="0.2"/>
    <row r="6941" s="197" customFormat="1" ht="12.75" x14ac:dyDescent="0.2"/>
    <row r="6942" s="197" customFormat="1" ht="12.75" x14ac:dyDescent="0.2"/>
    <row r="6943" s="197" customFormat="1" ht="12.75" x14ac:dyDescent="0.2"/>
    <row r="6944" s="197" customFormat="1" ht="12.75" x14ac:dyDescent="0.2"/>
    <row r="6945" s="197" customFormat="1" ht="12.75" x14ac:dyDescent="0.2"/>
    <row r="6946" s="197" customFormat="1" ht="12.75" x14ac:dyDescent="0.2"/>
    <row r="6947" s="197" customFormat="1" ht="12.75" x14ac:dyDescent="0.2"/>
    <row r="6948" s="197" customFormat="1" ht="12.75" x14ac:dyDescent="0.2"/>
    <row r="6949" s="197" customFormat="1" ht="12.75" x14ac:dyDescent="0.2"/>
    <row r="6950" s="197" customFormat="1" ht="12.75" x14ac:dyDescent="0.2"/>
    <row r="6951" s="197" customFormat="1" ht="12.75" x14ac:dyDescent="0.2"/>
    <row r="6952" s="197" customFormat="1" ht="12.75" x14ac:dyDescent="0.2"/>
    <row r="6953" s="197" customFormat="1" ht="12.75" x14ac:dyDescent="0.2"/>
    <row r="6954" s="197" customFormat="1" ht="12.75" x14ac:dyDescent="0.2"/>
    <row r="6955" s="197" customFormat="1" ht="12.75" x14ac:dyDescent="0.2"/>
    <row r="6956" s="197" customFormat="1" ht="12.75" x14ac:dyDescent="0.2"/>
    <row r="6957" s="197" customFormat="1" ht="12.75" x14ac:dyDescent="0.2"/>
    <row r="6958" s="197" customFormat="1" ht="12.75" x14ac:dyDescent="0.2"/>
    <row r="6959" s="197" customFormat="1" ht="12.75" x14ac:dyDescent="0.2"/>
    <row r="6960" s="197" customFormat="1" ht="12.75" x14ac:dyDescent="0.2"/>
    <row r="6961" s="197" customFormat="1" ht="12.75" x14ac:dyDescent="0.2"/>
    <row r="6962" s="197" customFormat="1" ht="12.75" x14ac:dyDescent="0.2"/>
    <row r="6963" s="197" customFormat="1" ht="12.75" x14ac:dyDescent="0.2"/>
    <row r="6964" s="197" customFormat="1" ht="12.75" x14ac:dyDescent="0.2"/>
    <row r="6965" s="197" customFormat="1" ht="12.75" x14ac:dyDescent="0.2"/>
    <row r="6966" s="197" customFormat="1" ht="12.75" x14ac:dyDescent="0.2"/>
    <row r="6967" s="197" customFormat="1" ht="12.75" x14ac:dyDescent="0.2"/>
    <row r="6968" s="197" customFormat="1" ht="12.75" x14ac:dyDescent="0.2"/>
    <row r="6969" s="197" customFormat="1" ht="12.75" x14ac:dyDescent="0.2"/>
    <row r="6970" s="197" customFormat="1" ht="12.75" x14ac:dyDescent="0.2"/>
    <row r="6971" s="197" customFormat="1" ht="12.75" x14ac:dyDescent="0.2"/>
    <row r="6972" s="197" customFormat="1" ht="12.75" x14ac:dyDescent="0.2"/>
    <row r="6973" s="197" customFormat="1" ht="12.75" x14ac:dyDescent="0.2"/>
    <row r="6974" s="197" customFormat="1" ht="12.75" x14ac:dyDescent="0.2"/>
    <row r="6975" s="197" customFormat="1" ht="12.75" x14ac:dyDescent="0.2"/>
    <row r="6976" s="197" customFormat="1" ht="12.75" x14ac:dyDescent="0.2"/>
    <row r="6977" s="197" customFormat="1" ht="12.75" x14ac:dyDescent="0.2"/>
    <row r="6978" s="197" customFormat="1" ht="12.75" x14ac:dyDescent="0.2"/>
    <row r="6979" s="197" customFormat="1" ht="12.75" x14ac:dyDescent="0.2"/>
    <row r="6980" s="197" customFormat="1" ht="12.75" x14ac:dyDescent="0.2"/>
    <row r="6981" s="197" customFormat="1" ht="12.75" x14ac:dyDescent="0.2"/>
    <row r="6982" s="197" customFormat="1" ht="12.75" x14ac:dyDescent="0.2"/>
    <row r="6983" s="197" customFormat="1" ht="12.75" x14ac:dyDescent="0.2"/>
    <row r="6984" s="197" customFormat="1" ht="12.75" x14ac:dyDescent="0.2"/>
    <row r="6985" s="197" customFormat="1" ht="12.75" x14ac:dyDescent="0.2"/>
    <row r="6986" s="197" customFormat="1" ht="12.75" x14ac:dyDescent="0.2"/>
    <row r="6987" s="197" customFormat="1" ht="12.75" x14ac:dyDescent="0.2"/>
    <row r="6988" s="197" customFormat="1" ht="12.75" x14ac:dyDescent="0.2"/>
    <row r="6989" s="197" customFormat="1" ht="12.75" x14ac:dyDescent="0.2"/>
    <row r="6990" s="197" customFormat="1" ht="12.75" x14ac:dyDescent="0.2"/>
    <row r="6991" s="197" customFormat="1" ht="12.75" x14ac:dyDescent="0.2"/>
    <row r="6992" s="197" customFormat="1" ht="12.75" x14ac:dyDescent="0.2"/>
    <row r="6993" s="197" customFormat="1" ht="12.75" x14ac:dyDescent="0.2"/>
    <row r="6994" s="197" customFormat="1" ht="12.75" x14ac:dyDescent="0.2"/>
    <row r="6995" s="197" customFormat="1" ht="12.75" x14ac:dyDescent="0.2"/>
    <row r="6996" s="197" customFormat="1" ht="12.75" x14ac:dyDescent="0.2"/>
    <row r="6997" s="197" customFormat="1" ht="12.75" x14ac:dyDescent="0.2"/>
    <row r="6998" s="197" customFormat="1" ht="12.75" x14ac:dyDescent="0.2"/>
    <row r="6999" s="197" customFormat="1" ht="12.75" x14ac:dyDescent="0.2"/>
    <row r="7000" s="197" customFormat="1" ht="12.75" x14ac:dyDescent="0.2"/>
    <row r="7001" s="197" customFormat="1" ht="12.75" x14ac:dyDescent="0.2"/>
    <row r="7002" s="197" customFormat="1" ht="12.75" x14ac:dyDescent="0.2"/>
    <row r="7003" s="197" customFormat="1" ht="12.75" x14ac:dyDescent="0.2"/>
    <row r="7004" s="197" customFormat="1" ht="12.75" x14ac:dyDescent="0.2"/>
    <row r="7005" s="197" customFormat="1" ht="12.75" x14ac:dyDescent="0.2"/>
    <row r="7006" s="197" customFormat="1" ht="12.75" x14ac:dyDescent="0.2"/>
    <row r="7007" s="197" customFormat="1" ht="12.75" x14ac:dyDescent="0.2"/>
    <row r="7008" s="197" customFormat="1" ht="12.75" x14ac:dyDescent="0.2"/>
    <row r="7009" s="197" customFormat="1" ht="12.75" x14ac:dyDescent="0.2"/>
    <row r="7010" s="197" customFormat="1" ht="12.75" x14ac:dyDescent="0.2"/>
    <row r="7011" s="197" customFormat="1" ht="12.75" x14ac:dyDescent="0.2"/>
    <row r="7012" s="197" customFormat="1" ht="12.75" x14ac:dyDescent="0.2"/>
    <row r="7013" s="197" customFormat="1" ht="12.75" x14ac:dyDescent="0.2"/>
    <row r="7014" s="197" customFormat="1" ht="12.75" x14ac:dyDescent="0.2"/>
    <row r="7015" s="197" customFormat="1" ht="12.75" x14ac:dyDescent="0.2"/>
    <row r="7016" s="197" customFormat="1" ht="12.75" x14ac:dyDescent="0.2"/>
    <row r="7017" s="197" customFormat="1" ht="12.75" x14ac:dyDescent="0.2"/>
    <row r="7018" s="197" customFormat="1" ht="12.75" x14ac:dyDescent="0.2"/>
    <row r="7019" s="197" customFormat="1" ht="12.75" x14ac:dyDescent="0.2"/>
    <row r="7020" s="197" customFormat="1" ht="12.75" x14ac:dyDescent="0.2"/>
    <row r="7021" s="197" customFormat="1" ht="12.75" x14ac:dyDescent="0.2"/>
    <row r="7022" s="197" customFormat="1" ht="12.75" x14ac:dyDescent="0.2"/>
    <row r="7023" s="197" customFormat="1" ht="12.75" x14ac:dyDescent="0.2"/>
    <row r="7024" s="197" customFormat="1" ht="12.75" x14ac:dyDescent="0.2"/>
    <row r="7025" s="197" customFormat="1" ht="12.75" x14ac:dyDescent="0.2"/>
    <row r="7026" s="197" customFormat="1" ht="12.75" x14ac:dyDescent="0.2"/>
    <row r="7027" s="197" customFormat="1" ht="12.75" x14ac:dyDescent="0.2"/>
    <row r="7028" s="197" customFormat="1" ht="12.75" x14ac:dyDescent="0.2"/>
    <row r="7029" s="197" customFormat="1" ht="12.75" x14ac:dyDescent="0.2"/>
    <row r="7030" s="197" customFormat="1" ht="12.75" x14ac:dyDescent="0.2"/>
    <row r="7031" s="197" customFormat="1" ht="12.75" x14ac:dyDescent="0.2"/>
    <row r="7032" s="197" customFormat="1" ht="12.75" x14ac:dyDescent="0.2"/>
    <row r="7033" s="197" customFormat="1" ht="12.75" x14ac:dyDescent="0.2"/>
    <row r="7034" s="197" customFormat="1" ht="12.75" x14ac:dyDescent="0.2"/>
    <row r="7035" s="197" customFormat="1" ht="12.75" x14ac:dyDescent="0.2"/>
    <row r="7036" s="197" customFormat="1" ht="12.75" x14ac:dyDescent="0.2"/>
    <row r="7037" s="197" customFormat="1" ht="12.75" x14ac:dyDescent="0.2"/>
    <row r="7038" s="197" customFormat="1" ht="12.75" x14ac:dyDescent="0.2"/>
    <row r="7039" s="197" customFormat="1" ht="12.75" x14ac:dyDescent="0.2"/>
    <row r="7040" s="197" customFormat="1" ht="12.75" x14ac:dyDescent="0.2"/>
    <row r="7041" s="197" customFormat="1" ht="12.75" x14ac:dyDescent="0.2"/>
    <row r="7042" s="197" customFormat="1" ht="12.75" x14ac:dyDescent="0.2"/>
    <row r="7043" s="197" customFormat="1" ht="12.75" x14ac:dyDescent="0.2"/>
    <row r="7044" s="197" customFormat="1" ht="12.75" x14ac:dyDescent="0.2"/>
    <row r="7045" s="197" customFormat="1" ht="12.75" x14ac:dyDescent="0.2"/>
    <row r="7046" s="197" customFormat="1" ht="12.75" x14ac:dyDescent="0.2"/>
    <row r="7047" s="197" customFormat="1" ht="12.75" x14ac:dyDescent="0.2"/>
    <row r="7048" s="197" customFormat="1" ht="12.75" x14ac:dyDescent="0.2"/>
    <row r="7049" s="197" customFormat="1" ht="12.75" x14ac:dyDescent="0.2"/>
    <row r="7050" s="197" customFormat="1" ht="12.75" x14ac:dyDescent="0.2"/>
    <row r="7051" s="197" customFormat="1" ht="12.75" x14ac:dyDescent="0.2"/>
    <row r="7052" s="197" customFormat="1" ht="12.75" x14ac:dyDescent="0.2"/>
    <row r="7053" s="197" customFormat="1" ht="12.75" x14ac:dyDescent="0.2"/>
    <row r="7054" s="197" customFormat="1" ht="12.75" x14ac:dyDescent="0.2"/>
    <row r="7055" s="197" customFormat="1" ht="12.75" x14ac:dyDescent="0.2"/>
    <row r="7056" s="197" customFormat="1" ht="12.75" x14ac:dyDescent="0.2"/>
    <row r="7057" s="197" customFormat="1" ht="12.75" x14ac:dyDescent="0.2"/>
    <row r="7058" s="197" customFormat="1" ht="12.75" x14ac:dyDescent="0.2"/>
    <row r="7059" s="197" customFormat="1" ht="12.75" x14ac:dyDescent="0.2"/>
    <row r="7060" s="197" customFormat="1" ht="12.75" x14ac:dyDescent="0.2"/>
    <row r="7061" s="197" customFormat="1" ht="12.75" x14ac:dyDescent="0.2"/>
    <row r="7062" s="197" customFormat="1" ht="12.75" x14ac:dyDescent="0.2"/>
    <row r="7063" s="197" customFormat="1" ht="12.75" x14ac:dyDescent="0.2"/>
    <row r="7064" s="197" customFormat="1" ht="12.75" x14ac:dyDescent="0.2"/>
    <row r="7065" s="197" customFormat="1" ht="12.75" x14ac:dyDescent="0.2"/>
    <row r="7066" s="197" customFormat="1" ht="12.75" x14ac:dyDescent="0.2"/>
    <row r="7067" s="197" customFormat="1" ht="12.75" x14ac:dyDescent="0.2"/>
    <row r="7068" s="197" customFormat="1" ht="12.75" x14ac:dyDescent="0.2"/>
    <row r="7069" s="197" customFormat="1" ht="12.75" x14ac:dyDescent="0.2"/>
    <row r="7070" s="197" customFormat="1" ht="12.75" x14ac:dyDescent="0.2"/>
    <row r="7071" s="197" customFormat="1" ht="12.75" x14ac:dyDescent="0.2"/>
    <row r="7072" s="197" customFormat="1" ht="12.75" x14ac:dyDescent="0.2"/>
    <row r="7073" s="197" customFormat="1" ht="12.75" x14ac:dyDescent="0.2"/>
    <row r="7074" s="197" customFormat="1" ht="12.75" x14ac:dyDescent="0.2"/>
    <row r="7075" s="197" customFormat="1" ht="12.75" x14ac:dyDescent="0.2"/>
    <row r="7076" s="197" customFormat="1" ht="12.75" x14ac:dyDescent="0.2"/>
    <row r="7077" s="197" customFormat="1" ht="12.75" x14ac:dyDescent="0.2"/>
    <row r="7078" s="197" customFormat="1" ht="12.75" x14ac:dyDescent="0.2"/>
    <row r="7079" s="197" customFormat="1" ht="12.75" x14ac:dyDescent="0.2"/>
    <row r="7080" s="197" customFormat="1" ht="12.75" x14ac:dyDescent="0.2"/>
    <row r="7081" s="197" customFormat="1" ht="12.75" x14ac:dyDescent="0.2"/>
    <row r="7082" s="197" customFormat="1" ht="12.75" x14ac:dyDescent="0.2"/>
    <row r="7083" s="197" customFormat="1" ht="12.75" x14ac:dyDescent="0.2"/>
    <row r="7084" s="197" customFormat="1" ht="12.75" x14ac:dyDescent="0.2"/>
    <row r="7085" s="197" customFormat="1" ht="12.75" x14ac:dyDescent="0.2"/>
    <row r="7086" s="197" customFormat="1" ht="12.75" x14ac:dyDescent="0.2"/>
    <row r="7087" s="197" customFormat="1" ht="12.75" x14ac:dyDescent="0.2"/>
    <row r="7088" s="197" customFormat="1" ht="12.75" x14ac:dyDescent="0.2"/>
    <row r="7089" s="197" customFormat="1" ht="12.75" x14ac:dyDescent="0.2"/>
    <row r="7090" s="197" customFormat="1" ht="12.75" x14ac:dyDescent="0.2"/>
    <row r="7091" s="197" customFormat="1" ht="12.75" x14ac:dyDescent="0.2"/>
    <row r="7092" s="197" customFormat="1" ht="12.75" x14ac:dyDescent="0.2"/>
    <row r="7093" s="197" customFormat="1" ht="12.75" x14ac:dyDescent="0.2"/>
    <row r="7094" s="197" customFormat="1" ht="12.75" x14ac:dyDescent="0.2"/>
    <row r="7095" s="197" customFormat="1" ht="12.75" x14ac:dyDescent="0.2"/>
    <row r="7096" s="197" customFormat="1" ht="12.75" x14ac:dyDescent="0.2"/>
    <row r="7097" s="197" customFormat="1" ht="12.75" x14ac:dyDescent="0.2"/>
    <row r="7098" s="197" customFormat="1" ht="12.75" x14ac:dyDescent="0.2"/>
    <row r="7099" s="197" customFormat="1" ht="12.75" x14ac:dyDescent="0.2"/>
    <row r="7100" s="197" customFormat="1" ht="12.75" x14ac:dyDescent="0.2"/>
    <row r="7101" s="197" customFormat="1" ht="12.75" x14ac:dyDescent="0.2"/>
    <row r="7102" s="197" customFormat="1" ht="12.75" x14ac:dyDescent="0.2"/>
    <row r="7103" s="197" customFormat="1" ht="12.75" x14ac:dyDescent="0.2"/>
    <row r="7104" s="197" customFormat="1" ht="12.75" x14ac:dyDescent="0.2"/>
    <row r="7105" s="197" customFormat="1" ht="12.75" x14ac:dyDescent="0.2"/>
    <row r="7106" s="197" customFormat="1" ht="12.75" x14ac:dyDescent="0.2"/>
    <row r="7107" s="197" customFormat="1" ht="12.75" x14ac:dyDescent="0.2"/>
    <row r="7108" s="197" customFormat="1" ht="12.75" x14ac:dyDescent="0.2"/>
    <row r="7109" s="197" customFormat="1" ht="12.75" x14ac:dyDescent="0.2"/>
    <row r="7110" s="197" customFormat="1" ht="12.75" x14ac:dyDescent="0.2"/>
    <row r="7111" s="197" customFormat="1" ht="12.75" x14ac:dyDescent="0.2"/>
    <row r="7112" s="197" customFormat="1" ht="12.75" x14ac:dyDescent="0.2"/>
    <row r="7113" s="197" customFormat="1" ht="12.75" x14ac:dyDescent="0.2"/>
    <row r="7114" s="197" customFormat="1" ht="12.75" x14ac:dyDescent="0.2"/>
    <row r="7115" s="197" customFormat="1" ht="12.75" x14ac:dyDescent="0.2"/>
    <row r="7116" s="197" customFormat="1" ht="12.75" x14ac:dyDescent="0.2"/>
    <row r="7117" s="197" customFormat="1" ht="12.75" x14ac:dyDescent="0.2"/>
    <row r="7118" s="197" customFormat="1" ht="12.75" x14ac:dyDescent="0.2"/>
    <row r="7119" s="197" customFormat="1" ht="12.75" x14ac:dyDescent="0.2"/>
    <row r="7120" s="197" customFormat="1" ht="12.75" x14ac:dyDescent="0.2"/>
    <row r="7121" s="197" customFormat="1" ht="12.75" x14ac:dyDescent="0.2"/>
    <row r="7122" s="197" customFormat="1" ht="12.75" x14ac:dyDescent="0.2"/>
    <row r="7123" s="197" customFormat="1" ht="12.75" x14ac:dyDescent="0.2"/>
    <row r="7124" s="197" customFormat="1" ht="12.75" x14ac:dyDescent="0.2"/>
    <row r="7125" s="197" customFormat="1" ht="12.75" x14ac:dyDescent="0.2"/>
    <row r="7126" s="197" customFormat="1" ht="12.75" x14ac:dyDescent="0.2"/>
    <row r="7127" s="197" customFormat="1" ht="12.75" x14ac:dyDescent="0.2"/>
    <row r="7128" s="197" customFormat="1" ht="12.75" x14ac:dyDescent="0.2"/>
    <row r="7129" s="197" customFormat="1" ht="12.75" x14ac:dyDescent="0.2"/>
    <row r="7130" s="197" customFormat="1" ht="12.75" x14ac:dyDescent="0.2"/>
    <row r="7131" s="197" customFormat="1" ht="12.75" x14ac:dyDescent="0.2"/>
    <row r="7132" s="197" customFormat="1" ht="12.75" x14ac:dyDescent="0.2"/>
    <row r="7133" s="197" customFormat="1" ht="12.75" x14ac:dyDescent="0.2"/>
    <row r="7134" s="197" customFormat="1" ht="12.75" x14ac:dyDescent="0.2"/>
    <row r="7135" s="197" customFormat="1" ht="12.75" x14ac:dyDescent="0.2"/>
    <row r="7136" s="197" customFormat="1" ht="12.75" x14ac:dyDescent="0.2"/>
    <row r="7137" s="197" customFormat="1" ht="12.75" x14ac:dyDescent="0.2"/>
    <row r="7138" s="197" customFormat="1" ht="12.75" x14ac:dyDescent="0.2"/>
    <row r="7139" s="197" customFormat="1" ht="12.75" x14ac:dyDescent="0.2"/>
    <row r="7140" s="197" customFormat="1" ht="12.75" x14ac:dyDescent="0.2"/>
    <row r="7141" s="197" customFormat="1" ht="12.75" x14ac:dyDescent="0.2"/>
    <row r="7142" s="197" customFormat="1" ht="12.75" x14ac:dyDescent="0.2"/>
    <row r="7143" s="197" customFormat="1" ht="12.75" x14ac:dyDescent="0.2"/>
    <row r="7144" s="197" customFormat="1" ht="12.75" x14ac:dyDescent="0.2"/>
    <row r="7145" s="197" customFormat="1" ht="12.75" x14ac:dyDescent="0.2"/>
    <row r="7146" s="197" customFormat="1" ht="12.75" x14ac:dyDescent="0.2"/>
    <row r="7147" s="197" customFormat="1" ht="12.75" x14ac:dyDescent="0.2"/>
    <row r="7148" s="197" customFormat="1" ht="12.75" x14ac:dyDescent="0.2"/>
    <row r="7149" s="197" customFormat="1" ht="12.75" x14ac:dyDescent="0.2"/>
    <row r="7150" s="197" customFormat="1" ht="12.75" x14ac:dyDescent="0.2"/>
    <row r="7151" s="197" customFormat="1" ht="12.75" x14ac:dyDescent="0.2"/>
    <row r="7152" s="197" customFormat="1" ht="12.75" x14ac:dyDescent="0.2"/>
    <row r="7153" s="197" customFormat="1" ht="12.75" x14ac:dyDescent="0.2"/>
    <row r="7154" s="197" customFormat="1" ht="12.75" x14ac:dyDescent="0.2"/>
    <row r="7155" s="197" customFormat="1" ht="12.75" x14ac:dyDescent="0.2"/>
    <row r="7156" s="197" customFormat="1" ht="12.75" x14ac:dyDescent="0.2"/>
    <row r="7157" s="197" customFormat="1" ht="12.75" x14ac:dyDescent="0.2"/>
    <row r="7158" s="197" customFormat="1" ht="12.75" x14ac:dyDescent="0.2"/>
    <row r="7159" s="197" customFormat="1" ht="12.75" x14ac:dyDescent="0.2"/>
    <row r="7160" s="197" customFormat="1" ht="12.75" x14ac:dyDescent="0.2"/>
    <row r="7161" s="197" customFormat="1" ht="12.75" x14ac:dyDescent="0.2"/>
    <row r="7162" s="197" customFormat="1" ht="12.75" x14ac:dyDescent="0.2"/>
    <row r="7163" s="197" customFormat="1" ht="12.75" x14ac:dyDescent="0.2"/>
    <row r="7164" s="197" customFormat="1" ht="12.75" x14ac:dyDescent="0.2"/>
    <row r="7165" s="197" customFormat="1" ht="12.75" x14ac:dyDescent="0.2"/>
    <row r="7166" s="197" customFormat="1" ht="12.75" x14ac:dyDescent="0.2"/>
    <row r="7167" s="197" customFormat="1" ht="12.75" x14ac:dyDescent="0.2"/>
    <row r="7168" s="197" customFormat="1" ht="12.75" x14ac:dyDescent="0.2"/>
    <row r="7169" s="197" customFormat="1" ht="12.75" x14ac:dyDescent="0.2"/>
    <row r="7170" s="197" customFormat="1" ht="12.75" x14ac:dyDescent="0.2"/>
    <row r="7171" s="197" customFormat="1" ht="12.75" x14ac:dyDescent="0.2"/>
    <row r="7172" s="197" customFormat="1" ht="12.75" x14ac:dyDescent="0.2"/>
    <row r="7173" s="197" customFormat="1" ht="12.75" x14ac:dyDescent="0.2"/>
    <row r="7174" s="197" customFormat="1" ht="12.75" x14ac:dyDescent="0.2"/>
    <row r="7175" s="197" customFormat="1" ht="12.75" x14ac:dyDescent="0.2"/>
    <row r="7176" s="197" customFormat="1" ht="12.75" x14ac:dyDescent="0.2"/>
    <row r="7177" s="197" customFormat="1" ht="12.75" x14ac:dyDescent="0.2"/>
    <row r="7178" s="197" customFormat="1" ht="12.75" x14ac:dyDescent="0.2"/>
    <row r="7179" s="197" customFormat="1" ht="12.75" x14ac:dyDescent="0.2"/>
    <row r="7180" s="197" customFormat="1" ht="12.75" x14ac:dyDescent="0.2"/>
    <row r="7181" s="197" customFormat="1" ht="12.75" x14ac:dyDescent="0.2"/>
    <row r="7182" s="197" customFormat="1" ht="12.75" x14ac:dyDescent="0.2"/>
    <row r="7183" s="197" customFormat="1" ht="12.75" x14ac:dyDescent="0.2"/>
    <row r="7184" s="197" customFormat="1" ht="12.75" x14ac:dyDescent="0.2"/>
    <row r="7185" s="197" customFormat="1" ht="12.75" x14ac:dyDescent="0.2"/>
    <row r="7186" s="197" customFormat="1" ht="12.75" x14ac:dyDescent="0.2"/>
    <row r="7187" s="197" customFormat="1" ht="12.75" x14ac:dyDescent="0.2"/>
    <row r="7188" s="197" customFormat="1" ht="12.75" x14ac:dyDescent="0.2"/>
    <row r="7189" s="197" customFormat="1" ht="12.75" x14ac:dyDescent="0.2"/>
    <row r="7190" s="197" customFormat="1" ht="12.75" x14ac:dyDescent="0.2"/>
    <row r="7191" s="197" customFormat="1" ht="12.75" x14ac:dyDescent="0.2"/>
    <row r="7192" s="197" customFormat="1" ht="12.75" x14ac:dyDescent="0.2"/>
    <row r="7193" s="197" customFormat="1" ht="12.75" x14ac:dyDescent="0.2"/>
    <row r="7194" s="197" customFormat="1" ht="12.75" x14ac:dyDescent="0.2"/>
    <row r="7195" s="197" customFormat="1" ht="12.75" x14ac:dyDescent="0.2"/>
    <row r="7196" s="197" customFormat="1" ht="12.75" x14ac:dyDescent="0.2"/>
    <row r="7197" s="197" customFormat="1" ht="12.75" x14ac:dyDescent="0.2"/>
    <row r="7198" s="197" customFormat="1" ht="12.75" x14ac:dyDescent="0.2"/>
    <row r="7199" s="197" customFormat="1" ht="12.75" x14ac:dyDescent="0.2"/>
    <row r="7200" s="197" customFormat="1" ht="12.75" x14ac:dyDescent="0.2"/>
    <row r="7201" s="197" customFormat="1" ht="12.75" x14ac:dyDescent="0.2"/>
    <row r="7202" s="197" customFormat="1" ht="12.75" x14ac:dyDescent="0.2"/>
    <row r="7203" s="197" customFormat="1" ht="12.75" x14ac:dyDescent="0.2"/>
    <row r="7204" s="197" customFormat="1" ht="12.75" x14ac:dyDescent="0.2"/>
    <row r="7205" s="197" customFormat="1" ht="12.75" x14ac:dyDescent="0.2"/>
    <row r="7206" s="197" customFormat="1" ht="12.75" x14ac:dyDescent="0.2"/>
    <row r="7207" s="197" customFormat="1" ht="12.75" x14ac:dyDescent="0.2"/>
    <row r="7208" s="197" customFormat="1" ht="12.75" x14ac:dyDescent="0.2"/>
    <row r="7209" s="197" customFormat="1" ht="12.75" x14ac:dyDescent="0.2"/>
    <row r="7210" s="197" customFormat="1" ht="12.75" x14ac:dyDescent="0.2"/>
    <row r="7211" s="197" customFormat="1" ht="12.75" x14ac:dyDescent="0.2"/>
    <row r="7212" s="197" customFormat="1" ht="12.75" x14ac:dyDescent="0.2"/>
    <row r="7213" s="197" customFormat="1" ht="12.75" x14ac:dyDescent="0.2"/>
    <row r="7214" s="197" customFormat="1" ht="12.75" x14ac:dyDescent="0.2"/>
    <row r="7215" s="197" customFormat="1" ht="12.75" x14ac:dyDescent="0.2"/>
    <row r="7216" s="197" customFormat="1" ht="12.75" x14ac:dyDescent="0.2"/>
    <row r="7217" s="197" customFormat="1" ht="12.75" x14ac:dyDescent="0.2"/>
    <row r="7218" s="197" customFormat="1" ht="12.75" x14ac:dyDescent="0.2"/>
    <row r="7219" s="197" customFormat="1" ht="12.75" x14ac:dyDescent="0.2"/>
    <row r="7220" s="197" customFormat="1" ht="12.75" x14ac:dyDescent="0.2"/>
    <row r="7221" s="197" customFormat="1" ht="12.75" x14ac:dyDescent="0.2"/>
    <row r="7222" s="197" customFormat="1" ht="12.75" x14ac:dyDescent="0.2"/>
    <row r="7223" s="197" customFormat="1" ht="12.75" x14ac:dyDescent="0.2"/>
    <row r="7224" s="197" customFormat="1" ht="12.75" x14ac:dyDescent="0.2"/>
    <row r="7225" s="197" customFormat="1" ht="12.75" x14ac:dyDescent="0.2"/>
    <row r="7226" s="197" customFormat="1" ht="12.75" x14ac:dyDescent="0.2"/>
    <row r="7227" s="197" customFormat="1" ht="12.75" x14ac:dyDescent="0.2"/>
    <row r="7228" s="197" customFormat="1" ht="12.75" x14ac:dyDescent="0.2"/>
    <row r="7229" s="197" customFormat="1" ht="12.75" x14ac:dyDescent="0.2"/>
    <row r="7230" s="197" customFormat="1" ht="12.75" x14ac:dyDescent="0.2"/>
    <row r="7231" s="197" customFormat="1" ht="12.75" x14ac:dyDescent="0.2"/>
    <row r="7232" s="197" customFormat="1" ht="12.75" x14ac:dyDescent="0.2"/>
    <row r="7233" s="197" customFormat="1" ht="12.75" x14ac:dyDescent="0.2"/>
    <row r="7234" s="197" customFormat="1" ht="12.75" x14ac:dyDescent="0.2"/>
    <row r="7235" s="197" customFormat="1" ht="12.75" x14ac:dyDescent="0.2"/>
    <row r="7236" s="197" customFormat="1" ht="12.75" x14ac:dyDescent="0.2"/>
    <row r="7237" s="197" customFormat="1" ht="12.75" x14ac:dyDescent="0.2"/>
    <row r="7238" s="197" customFormat="1" ht="12.75" x14ac:dyDescent="0.2"/>
    <row r="7239" s="197" customFormat="1" ht="12.75" x14ac:dyDescent="0.2"/>
    <row r="7240" s="197" customFormat="1" ht="12.75" x14ac:dyDescent="0.2"/>
    <row r="7241" s="197" customFormat="1" ht="12.75" x14ac:dyDescent="0.2"/>
    <row r="7242" s="197" customFormat="1" ht="12.75" x14ac:dyDescent="0.2"/>
    <row r="7243" s="197" customFormat="1" ht="12.75" x14ac:dyDescent="0.2"/>
    <row r="7244" s="197" customFormat="1" ht="12.75" x14ac:dyDescent="0.2"/>
    <row r="7245" s="197" customFormat="1" ht="12.75" x14ac:dyDescent="0.2"/>
    <row r="7246" s="197" customFormat="1" ht="12.75" x14ac:dyDescent="0.2"/>
    <row r="7247" s="197" customFormat="1" ht="12.75" x14ac:dyDescent="0.2"/>
    <row r="7248" s="197" customFormat="1" ht="12.75" x14ac:dyDescent="0.2"/>
    <row r="7249" s="197" customFormat="1" ht="12.75" x14ac:dyDescent="0.2"/>
    <row r="7250" s="197" customFormat="1" ht="12.75" x14ac:dyDescent="0.2"/>
    <row r="7251" s="197" customFormat="1" ht="12.75" x14ac:dyDescent="0.2"/>
    <row r="7252" s="197" customFormat="1" ht="12.75" x14ac:dyDescent="0.2"/>
    <row r="7253" s="197" customFormat="1" ht="12.75" x14ac:dyDescent="0.2"/>
    <row r="7254" s="197" customFormat="1" ht="12.75" x14ac:dyDescent="0.2"/>
    <row r="7255" s="197" customFormat="1" ht="12.75" x14ac:dyDescent="0.2"/>
    <row r="7256" s="197" customFormat="1" ht="12.75" x14ac:dyDescent="0.2"/>
    <row r="7257" s="197" customFormat="1" ht="12.75" x14ac:dyDescent="0.2"/>
    <row r="7258" s="197" customFormat="1" ht="12.75" x14ac:dyDescent="0.2"/>
    <row r="7259" s="197" customFormat="1" ht="12.75" x14ac:dyDescent="0.2"/>
    <row r="7260" s="197" customFormat="1" ht="12.75" x14ac:dyDescent="0.2"/>
    <row r="7261" s="197" customFormat="1" ht="12.75" x14ac:dyDescent="0.2"/>
    <row r="7262" s="197" customFormat="1" ht="12.75" x14ac:dyDescent="0.2"/>
    <row r="7263" s="197" customFormat="1" ht="12.75" x14ac:dyDescent="0.2"/>
    <row r="7264" s="197" customFormat="1" ht="12.75" x14ac:dyDescent="0.2"/>
    <row r="7265" s="197" customFormat="1" ht="12.75" x14ac:dyDescent="0.2"/>
    <row r="7266" s="197" customFormat="1" ht="12.75" x14ac:dyDescent="0.2"/>
    <row r="7267" s="197" customFormat="1" ht="12.75" x14ac:dyDescent="0.2"/>
    <row r="7268" s="197" customFormat="1" ht="12.75" x14ac:dyDescent="0.2"/>
    <row r="7269" s="197" customFormat="1" ht="12.75" x14ac:dyDescent="0.2"/>
    <row r="7270" s="197" customFormat="1" ht="12.75" x14ac:dyDescent="0.2"/>
    <row r="7271" s="197" customFormat="1" ht="12.75" x14ac:dyDescent="0.2"/>
    <row r="7272" s="197" customFormat="1" ht="12.75" x14ac:dyDescent="0.2"/>
    <row r="7273" s="197" customFormat="1" ht="12.75" x14ac:dyDescent="0.2"/>
    <row r="7274" s="197" customFormat="1" ht="12.75" x14ac:dyDescent="0.2"/>
    <row r="7275" s="197" customFormat="1" ht="12.75" x14ac:dyDescent="0.2"/>
    <row r="7276" s="197" customFormat="1" ht="12.75" x14ac:dyDescent="0.2"/>
    <row r="7277" s="197" customFormat="1" ht="12.75" x14ac:dyDescent="0.2"/>
    <row r="7278" s="197" customFormat="1" ht="12.75" x14ac:dyDescent="0.2"/>
    <row r="7279" s="197" customFormat="1" ht="12.75" x14ac:dyDescent="0.2"/>
    <row r="7280" s="197" customFormat="1" ht="12.75" x14ac:dyDescent="0.2"/>
    <row r="7281" s="197" customFormat="1" ht="12.75" x14ac:dyDescent="0.2"/>
    <row r="7282" s="197" customFormat="1" ht="12.75" x14ac:dyDescent="0.2"/>
    <row r="7283" s="197" customFormat="1" ht="12.75" x14ac:dyDescent="0.2"/>
    <row r="7284" s="197" customFormat="1" ht="12.75" x14ac:dyDescent="0.2"/>
    <row r="7285" s="197" customFormat="1" ht="12.75" x14ac:dyDescent="0.2"/>
    <row r="7286" s="197" customFormat="1" ht="12.75" x14ac:dyDescent="0.2"/>
    <row r="7287" s="197" customFormat="1" ht="12.75" x14ac:dyDescent="0.2"/>
    <row r="7288" s="197" customFormat="1" ht="12.75" x14ac:dyDescent="0.2"/>
    <row r="7289" s="197" customFormat="1" ht="12.75" x14ac:dyDescent="0.2"/>
    <row r="7290" s="197" customFormat="1" ht="12.75" x14ac:dyDescent="0.2"/>
    <row r="7291" s="197" customFormat="1" ht="12.75" x14ac:dyDescent="0.2"/>
    <row r="7292" s="197" customFormat="1" ht="12.75" x14ac:dyDescent="0.2"/>
    <row r="7293" s="197" customFormat="1" ht="12.75" x14ac:dyDescent="0.2"/>
    <row r="7294" s="197" customFormat="1" ht="12.75" x14ac:dyDescent="0.2"/>
    <row r="7295" s="197" customFormat="1" ht="12.75" x14ac:dyDescent="0.2"/>
    <row r="7296" s="197" customFormat="1" ht="12.75" x14ac:dyDescent="0.2"/>
    <row r="7297" s="197" customFormat="1" ht="12.75" x14ac:dyDescent="0.2"/>
    <row r="7298" s="197" customFormat="1" ht="12.75" x14ac:dyDescent="0.2"/>
    <row r="7299" s="197" customFormat="1" ht="12.75" x14ac:dyDescent="0.2"/>
    <row r="7300" s="197" customFormat="1" ht="12.75" x14ac:dyDescent="0.2"/>
    <row r="7301" s="197" customFormat="1" ht="12.75" x14ac:dyDescent="0.2"/>
    <row r="7302" s="197" customFormat="1" ht="12.75" x14ac:dyDescent="0.2"/>
    <row r="7303" s="197" customFormat="1" ht="12.75" x14ac:dyDescent="0.2"/>
    <row r="7304" s="197" customFormat="1" ht="12.75" x14ac:dyDescent="0.2"/>
    <row r="7305" s="197" customFormat="1" ht="12.75" x14ac:dyDescent="0.2"/>
    <row r="7306" s="197" customFormat="1" ht="12.75" x14ac:dyDescent="0.2"/>
    <row r="7307" s="197" customFormat="1" ht="12.75" x14ac:dyDescent="0.2"/>
    <row r="7308" s="197" customFormat="1" ht="12.75" x14ac:dyDescent="0.2"/>
    <row r="7309" s="197" customFormat="1" ht="12.75" x14ac:dyDescent="0.2"/>
    <row r="7310" s="197" customFormat="1" ht="12.75" x14ac:dyDescent="0.2"/>
    <row r="7311" s="197" customFormat="1" ht="12.75" x14ac:dyDescent="0.2"/>
    <row r="7312" s="197" customFormat="1" ht="12.75" x14ac:dyDescent="0.2"/>
    <row r="7313" s="197" customFormat="1" ht="12.75" x14ac:dyDescent="0.2"/>
    <row r="7314" s="197" customFormat="1" ht="12.75" x14ac:dyDescent="0.2"/>
    <row r="7315" s="197" customFormat="1" ht="12.75" x14ac:dyDescent="0.2"/>
    <row r="7316" s="197" customFormat="1" ht="12.75" x14ac:dyDescent="0.2"/>
    <row r="7317" s="197" customFormat="1" ht="12.75" x14ac:dyDescent="0.2"/>
    <row r="7318" s="197" customFormat="1" ht="12.75" x14ac:dyDescent="0.2"/>
    <row r="7319" s="197" customFormat="1" ht="12.75" x14ac:dyDescent="0.2"/>
    <row r="7320" s="197" customFormat="1" ht="12.75" x14ac:dyDescent="0.2"/>
    <row r="7321" s="197" customFormat="1" ht="12.75" x14ac:dyDescent="0.2"/>
    <row r="7322" s="197" customFormat="1" ht="12.75" x14ac:dyDescent="0.2"/>
    <row r="7323" s="197" customFormat="1" ht="12.75" x14ac:dyDescent="0.2"/>
    <row r="7324" s="197" customFormat="1" ht="12.75" x14ac:dyDescent="0.2"/>
    <row r="7325" s="197" customFormat="1" ht="12.75" x14ac:dyDescent="0.2"/>
    <row r="7326" s="197" customFormat="1" ht="12.75" x14ac:dyDescent="0.2"/>
    <row r="7327" s="197" customFormat="1" ht="12.75" x14ac:dyDescent="0.2"/>
    <row r="7328" s="197" customFormat="1" ht="12.75" x14ac:dyDescent="0.2"/>
    <row r="7329" s="197" customFormat="1" ht="12.75" x14ac:dyDescent="0.2"/>
    <row r="7330" s="197" customFormat="1" ht="12.75" x14ac:dyDescent="0.2"/>
    <row r="7331" s="197" customFormat="1" ht="12.75" x14ac:dyDescent="0.2"/>
    <row r="7332" s="197" customFormat="1" ht="12.75" x14ac:dyDescent="0.2"/>
    <row r="7333" s="197" customFormat="1" ht="12.75" x14ac:dyDescent="0.2"/>
    <row r="7334" s="197" customFormat="1" ht="12.75" x14ac:dyDescent="0.2"/>
    <row r="7335" s="197" customFormat="1" ht="12.75" x14ac:dyDescent="0.2"/>
    <row r="7336" s="197" customFormat="1" ht="12.75" x14ac:dyDescent="0.2"/>
    <row r="7337" s="197" customFormat="1" ht="12.75" x14ac:dyDescent="0.2"/>
    <row r="7338" s="197" customFormat="1" ht="12.75" x14ac:dyDescent="0.2"/>
    <row r="7339" s="197" customFormat="1" ht="12.75" x14ac:dyDescent="0.2"/>
    <row r="7340" s="197" customFormat="1" ht="12.75" x14ac:dyDescent="0.2"/>
    <row r="7341" s="197" customFormat="1" ht="12.75" x14ac:dyDescent="0.2"/>
    <row r="7342" s="197" customFormat="1" ht="12.75" x14ac:dyDescent="0.2"/>
    <row r="7343" s="197" customFormat="1" ht="12.75" x14ac:dyDescent="0.2"/>
    <row r="7344" s="197" customFormat="1" ht="12.75" x14ac:dyDescent="0.2"/>
    <row r="7345" s="197" customFormat="1" ht="12.75" x14ac:dyDescent="0.2"/>
    <row r="7346" s="197" customFormat="1" ht="12.75" x14ac:dyDescent="0.2"/>
    <row r="7347" s="197" customFormat="1" ht="12.75" x14ac:dyDescent="0.2"/>
    <row r="7348" s="197" customFormat="1" ht="12.75" x14ac:dyDescent="0.2"/>
    <row r="7349" s="197" customFormat="1" ht="12.75" x14ac:dyDescent="0.2"/>
    <row r="7350" s="197" customFormat="1" ht="12.75" x14ac:dyDescent="0.2"/>
    <row r="7351" s="197" customFormat="1" ht="12.75" x14ac:dyDescent="0.2"/>
    <row r="7352" s="197" customFormat="1" ht="12.75" x14ac:dyDescent="0.2"/>
    <row r="7353" s="197" customFormat="1" ht="12.75" x14ac:dyDescent="0.2"/>
    <row r="7354" s="197" customFormat="1" ht="12.75" x14ac:dyDescent="0.2"/>
    <row r="7355" s="197" customFormat="1" ht="12.75" x14ac:dyDescent="0.2"/>
    <row r="7356" s="197" customFormat="1" ht="12.75" x14ac:dyDescent="0.2"/>
    <row r="7357" s="197" customFormat="1" ht="12.75" x14ac:dyDescent="0.2"/>
    <row r="7358" s="197" customFormat="1" ht="12.75" x14ac:dyDescent="0.2"/>
    <row r="7359" s="197" customFormat="1" ht="12.75" x14ac:dyDescent="0.2"/>
    <row r="7360" s="197" customFormat="1" ht="12.75" x14ac:dyDescent="0.2"/>
    <row r="7361" s="197" customFormat="1" ht="12.75" x14ac:dyDescent="0.2"/>
    <row r="7362" s="197" customFormat="1" ht="12.75" x14ac:dyDescent="0.2"/>
    <row r="7363" s="197" customFormat="1" ht="12.75" x14ac:dyDescent="0.2"/>
    <row r="7364" s="197" customFormat="1" ht="12.75" x14ac:dyDescent="0.2"/>
    <row r="7365" s="197" customFormat="1" ht="12.75" x14ac:dyDescent="0.2"/>
    <row r="7366" s="197" customFormat="1" ht="12.75" x14ac:dyDescent="0.2"/>
    <row r="7367" s="197" customFormat="1" ht="12.75" x14ac:dyDescent="0.2"/>
    <row r="7368" s="197" customFormat="1" ht="12.75" x14ac:dyDescent="0.2"/>
    <row r="7369" s="197" customFormat="1" ht="12.75" x14ac:dyDescent="0.2"/>
    <row r="7370" s="197" customFormat="1" ht="12.75" x14ac:dyDescent="0.2"/>
    <row r="7371" s="197" customFormat="1" ht="12.75" x14ac:dyDescent="0.2"/>
    <row r="7372" s="197" customFormat="1" ht="12.75" x14ac:dyDescent="0.2"/>
    <row r="7373" s="197" customFormat="1" ht="12.75" x14ac:dyDescent="0.2"/>
    <row r="7374" s="197" customFormat="1" ht="12.75" x14ac:dyDescent="0.2"/>
    <row r="7375" s="197" customFormat="1" ht="12.75" x14ac:dyDescent="0.2"/>
    <row r="7376" s="197" customFormat="1" ht="12.75" x14ac:dyDescent="0.2"/>
    <row r="7377" s="197" customFormat="1" ht="12.75" x14ac:dyDescent="0.2"/>
    <row r="7378" s="197" customFormat="1" ht="12.75" x14ac:dyDescent="0.2"/>
    <row r="7379" s="197" customFormat="1" ht="12.75" x14ac:dyDescent="0.2"/>
    <row r="7380" s="197" customFormat="1" ht="12.75" x14ac:dyDescent="0.2"/>
    <row r="7381" s="197" customFormat="1" ht="12.75" x14ac:dyDescent="0.2"/>
    <row r="7382" s="197" customFormat="1" ht="12.75" x14ac:dyDescent="0.2"/>
    <row r="7383" s="197" customFormat="1" ht="12.75" x14ac:dyDescent="0.2"/>
    <row r="7384" s="197" customFormat="1" ht="12.75" x14ac:dyDescent="0.2"/>
    <row r="7385" s="197" customFormat="1" ht="12.75" x14ac:dyDescent="0.2"/>
    <row r="7386" s="197" customFormat="1" ht="12.75" x14ac:dyDescent="0.2"/>
    <row r="7387" s="197" customFormat="1" ht="12.75" x14ac:dyDescent="0.2"/>
    <row r="7388" s="197" customFormat="1" ht="12.75" x14ac:dyDescent="0.2"/>
    <row r="7389" s="197" customFormat="1" ht="12.75" x14ac:dyDescent="0.2"/>
    <row r="7390" s="197" customFormat="1" ht="12.75" x14ac:dyDescent="0.2"/>
    <row r="7391" s="197" customFormat="1" ht="12.75" x14ac:dyDescent="0.2"/>
    <row r="7392" s="197" customFormat="1" ht="12.75" x14ac:dyDescent="0.2"/>
    <row r="7393" s="197" customFormat="1" ht="12.75" x14ac:dyDescent="0.2"/>
    <row r="7394" s="197" customFormat="1" ht="12.75" x14ac:dyDescent="0.2"/>
    <row r="7395" s="197" customFormat="1" ht="12.75" x14ac:dyDescent="0.2"/>
    <row r="7396" s="197" customFormat="1" ht="12.75" x14ac:dyDescent="0.2"/>
    <row r="7397" s="197" customFormat="1" ht="12.75" x14ac:dyDescent="0.2"/>
    <row r="7398" s="197" customFormat="1" ht="12.75" x14ac:dyDescent="0.2"/>
    <row r="7399" s="197" customFormat="1" ht="12.75" x14ac:dyDescent="0.2"/>
    <row r="7400" s="197" customFormat="1" ht="12.75" x14ac:dyDescent="0.2"/>
    <row r="7401" s="197" customFormat="1" ht="12.75" x14ac:dyDescent="0.2"/>
    <row r="7402" s="197" customFormat="1" ht="12.75" x14ac:dyDescent="0.2"/>
    <row r="7403" s="197" customFormat="1" ht="12.75" x14ac:dyDescent="0.2"/>
    <row r="7404" s="197" customFormat="1" ht="12.75" x14ac:dyDescent="0.2"/>
    <row r="7405" s="197" customFormat="1" ht="12.75" x14ac:dyDescent="0.2"/>
    <row r="7406" s="197" customFormat="1" ht="12.75" x14ac:dyDescent="0.2"/>
    <row r="7407" s="197" customFormat="1" ht="12.75" x14ac:dyDescent="0.2"/>
    <row r="7408" s="197" customFormat="1" ht="12.75" x14ac:dyDescent="0.2"/>
    <row r="7409" s="197" customFormat="1" ht="12.75" x14ac:dyDescent="0.2"/>
    <row r="7410" s="197" customFormat="1" ht="12.75" x14ac:dyDescent="0.2"/>
    <row r="7411" s="197" customFormat="1" ht="12.75" x14ac:dyDescent="0.2"/>
    <row r="7412" s="197" customFormat="1" ht="12.75" x14ac:dyDescent="0.2"/>
    <row r="7413" s="197" customFormat="1" ht="12.75" x14ac:dyDescent="0.2"/>
    <row r="7414" s="197" customFormat="1" ht="12.75" x14ac:dyDescent="0.2"/>
    <row r="7415" s="197" customFormat="1" ht="12.75" x14ac:dyDescent="0.2"/>
    <row r="7416" s="197" customFormat="1" ht="12.75" x14ac:dyDescent="0.2"/>
    <row r="7417" s="197" customFormat="1" ht="12.75" x14ac:dyDescent="0.2"/>
    <row r="7418" s="197" customFormat="1" ht="12.75" x14ac:dyDescent="0.2"/>
    <row r="7419" s="197" customFormat="1" ht="12.75" x14ac:dyDescent="0.2"/>
    <row r="7420" s="197" customFormat="1" ht="12.75" x14ac:dyDescent="0.2"/>
    <row r="7421" s="197" customFormat="1" ht="12.75" x14ac:dyDescent="0.2"/>
    <row r="7422" s="197" customFormat="1" ht="12.75" x14ac:dyDescent="0.2"/>
    <row r="7423" s="197" customFormat="1" ht="12.75" x14ac:dyDescent="0.2"/>
    <row r="7424" s="197" customFormat="1" ht="12.75" x14ac:dyDescent="0.2"/>
    <row r="7425" s="197" customFormat="1" ht="12.75" x14ac:dyDescent="0.2"/>
    <row r="7426" s="197" customFormat="1" ht="12.75" x14ac:dyDescent="0.2"/>
    <row r="7427" s="197" customFormat="1" ht="12.75" x14ac:dyDescent="0.2"/>
    <row r="7428" s="197" customFormat="1" ht="12.75" x14ac:dyDescent="0.2"/>
    <row r="7429" s="197" customFormat="1" ht="12.75" x14ac:dyDescent="0.2"/>
    <row r="7430" s="197" customFormat="1" ht="12.75" x14ac:dyDescent="0.2"/>
    <row r="7431" s="197" customFormat="1" ht="12.75" x14ac:dyDescent="0.2"/>
    <row r="7432" s="197" customFormat="1" ht="12.75" x14ac:dyDescent="0.2"/>
    <row r="7433" s="197" customFormat="1" ht="12.75" x14ac:dyDescent="0.2"/>
    <row r="7434" s="197" customFormat="1" ht="12.75" x14ac:dyDescent="0.2"/>
    <row r="7435" s="197" customFormat="1" ht="12.75" x14ac:dyDescent="0.2"/>
    <row r="7436" s="197" customFormat="1" ht="12.75" x14ac:dyDescent="0.2"/>
    <row r="7437" s="197" customFormat="1" ht="12.75" x14ac:dyDescent="0.2"/>
    <row r="7438" s="197" customFormat="1" ht="12.75" x14ac:dyDescent="0.2"/>
    <row r="7439" s="197" customFormat="1" ht="12.75" x14ac:dyDescent="0.2"/>
    <row r="7440" s="197" customFormat="1" ht="12.75" x14ac:dyDescent="0.2"/>
    <row r="7441" s="197" customFormat="1" ht="12.75" x14ac:dyDescent="0.2"/>
    <row r="7442" s="197" customFormat="1" ht="12.75" x14ac:dyDescent="0.2"/>
    <row r="7443" s="197" customFormat="1" ht="12.75" x14ac:dyDescent="0.2"/>
    <row r="7444" s="197" customFormat="1" ht="12.75" x14ac:dyDescent="0.2"/>
    <row r="7445" s="197" customFormat="1" ht="12.75" x14ac:dyDescent="0.2"/>
    <row r="7446" s="197" customFormat="1" ht="12.75" x14ac:dyDescent="0.2"/>
    <row r="7447" s="197" customFormat="1" ht="12.75" x14ac:dyDescent="0.2"/>
    <row r="7448" s="197" customFormat="1" ht="12.75" x14ac:dyDescent="0.2"/>
    <row r="7449" s="197" customFormat="1" ht="12.75" x14ac:dyDescent="0.2"/>
    <row r="7450" s="197" customFormat="1" ht="12.75" x14ac:dyDescent="0.2"/>
    <row r="7451" s="197" customFormat="1" ht="12.75" x14ac:dyDescent="0.2"/>
    <row r="7452" s="197" customFormat="1" ht="12.75" x14ac:dyDescent="0.2"/>
    <row r="7453" s="197" customFormat="1" ht="12.75" x14ac:dyDescent="0.2"/>
    <row r="7454" s="197" customFormat="1" ht="12.75" x14ac:dyDescent="0.2"/>
    <row r="7455" s="197" customFormat="1" ht="12.75" x14ac:dyDescent="0.2"/>
    <row r="7456" s="197" customFormat="1" ht="12.75" x14ac:dyDescent="0.2"/>
    <row r="7457" s="197" customFormat="1" ht="12.75" x14ac:dyDescent="0.2"/>
    <row r="7458" s="197" customFormat="1" ht="12.75" x14ac:dyDescent="0.2"/>
    <row r="7459" s="197" customFormat="1" ht="12.75" x14ac:dyDescent="0.2"/>
    <row r="7460" s="197" customFormat="1" ht="12.75" x14ac:dyDescent="0.2"/>
    <row r="7461" s="197" customFormat="1" ht="12.75" x14ac:dyDescent="0.2"/>
    <row r="7462" s="197" customFormat="1" ht="12.75" x14ac:dyDescent="0.2"/>
    <row r="7463" s="197" customFormat="1" ht="12.75" x14ac:dyDescent="0.2"/>
    <row r="7464" s="197" customFormat="1" ht="12.75" x14ac:dyDescent="0.2"/>
    <row r="7465" s="197" customFormat="1" ht="12.75" x14ac:dyDescent="0.2"/>
    <row r="7466" s="197" customFormat="1" ht="12.75" x14ac:dyDescent="0.2"/>
    <row r="7467" s="197" customFormat="1" ht="12.75" x14ac:dyDescent="0.2"/>
    <row r="7468" s="197" customFormat="1" ht="12.75" x14ac:dyDescent="0.2"/>
    <row r="7469" s="197" customFormat="1" ht="12.75" x14ac:dyDescent="0.2"/>
    <row r="7470" s="197" customFormat="1" ht="12.75" x14ac:dyDescent="0.2"/>
    <row r="7471" s="197" customFormat="1" ht="12.75" x14ac:dyDescent="0.2"/>
    <row r="7472" s="197" customFormat="1" ht="12.75" x14ac:dyDescent="0.2"/>
    <row r="7473" s="197" customFormat="1" ht="12.75" x14ac:dyDescent="0.2"/>
    <row r="7474" s="197" customFormat="1" ht="12.75" x14ac:dyDescent="0.2"/>
    <row r="7475" s="197" customFormat="1" ht="12.75" x14ac:dyDescent="0.2"/>
    <row r="7476" s="197" customFormat="1" ht="12.75" x14ac:dyDescent="0.2"/>
    <row r="7477" s="197" customFormat="1" ht="12.75" x14ac:dyDescent="0.2"/>
    <row r="7478" s="197" customFormat="1" ht="12.75" x14ac:dyDescent="0.2"/>
    <row r="7479" s="197" customFormat="1" ht="12.75" x14ac:dyDescent="0.2"/>
    <row r="7480" s="197" customFormat="1" ht="12.75" x14ac:dyDescent="0.2"/>
    <row r="7481" s="197" customFormat="1" ht="12.75" x14ac:dyDescent="0.2"/>
    <row r="7482" s="197" customFormat="1" ht="12.75" x14ac:dyDescent="0.2"/>
    <row r="7483" s="197" customFormat="1" ht="12.75" x14ac:dyDescent="0.2"/>
    <row r="7484" s="197" customFormat="1" ht="12.75" x14ac:dyDescent="0.2"/>
    <row r="7485" s="197" customFormat="1" ht="12.75" x14ac:dyDescent="0.2"/>
    <row r="7486" s="197" customFormat="1" ht="12.75" x14ac:dyDescent="0.2"/>
    <row r="7487" s="197" customFormat="1" ht="12.75" x14ac:dyDescent="0.2"/>
    <row r="7488" s="197" customFormat="1" ht="12.75" x14ac:dyDescent="0.2"/>
    <row r="7489" s="197" customFormat="1" ht="12.75" x14ac:dyDescent="0.2"/>
    <row r="7490" s="197" customFormat="1" ht="12.75" x14ac:dyDescent="0.2"/>
    <row r="7491" s="197" customFormat="1" ht="12.75" x14ac:dyDescent="0.2"/>
    <row r="7492" s="197" customFormat="1" ht="12.75" x14ac:dyDescent="0.2"/>
    <row r="7493" s="197" customFormat="1" ht="12.75" x14ac:dyDescent="0.2"/>
    <row r="7494" s="197" customFormat="1" ht="12.75" x14ac:dyDescent="0.2"/>
    <row r="7495" s="197" customFormat="1" ht="12.75" x14ac:dyDescent="0.2"/>
    <row r="7496" s="197" customFormat="1" ht="12.75" x14ac:dyDescent="0.2"/>
    <row r="7497" s="197" customFormat="1" ht="12.75" x14ac:dyDescent="0.2"/>
    <row r="7498" s="197" customFormat="1" ht="12.75" x14ac:dyDescent="0.2"/>
    <row r="7499" s="197" customFormat="1" ht="12.75" x14ac:dyDescent="0.2"/>
    <row r="7500" s="197" customFormat="1" ht="12.75" x14ac:dyDescent="0.2"/>
    <row r="7501" s="197" customFormat="1" ht="12.75" x14ac:dyDescent="0.2"/>
    <row r="7502" s="197" customFormat="1" ht="12.75" x14ac:dyDescent="0.2"/>
    <row r="7503" s="197" customFormat="1" ht="12.75" x14ac:dyDescent="0.2"/>
    <row r="7504" s="197" customFormat="1" ht="12.75" x14ac:dyDescent="0.2"/>
    <row r="7505" s="197" customFormat="1" ht="12.75" x14ac:dyDescent="0.2"/>
    <row r="7506" s="197" customFormat="1" ht="12.75" x14ac:dyDescent="0.2"/>
    <row r="7507" s="197" customFormat="1" ht="12.75" x14ac:dyDescent="0.2"/>
    <row r="7508" s="197" customFormat="1" ht="12.75" x14ac:dyDescent="0.2"/>
    <row r="7509" s="197" customFormat="1" ht="12.75" x14ac:dyDescent="0.2"/>
    <row r="7510" s="197" customFormat="1" ht="12.75" x14ac:dyDescent="0.2"/>
    <row r="7511" s="197" customFormat="1" ht="12.75" x14ac:dyDescent="0.2"/>
    <row r="7512" s="197" customFormat="1" ht="12.75" x14ac:dyDescent="0.2"/>
    <row r="7513" s="197" customFormat="1" ht="12.75" x14ac:dyDescent="0.2"/>
    <row r="7514" s="197" customFormat="1" ht="12.75" x14ac:dyDescent="0.2"/>
    <row r="7515" s="197" customFormat="1" ht="12.75" x14ac:dyDescent="0.2"/>
    <row r="7516" s="197" customFormat="1" ht="12.75" x14ac:dyDescent="0.2"/>
    <row r="7517" s="197" customFormat="1" ht="12.75" x14ac:dyDescent="0.2"/>
    <row r="7518" s="197" customFormat="1" ht="12.75" x14ac:dyDescent="0.2"/>
    <row r="7519" s="197" customFormat="1" ht="12.75" x14ac:dyDescent="0.2"/>
    <row r="7520" s="197" customFormat="1" ht="12.75" x14ac:dyDescent="0.2"/>
    <row r="7521" s="197" customFormat="1" ht="12.75" x14ac:dyDescent="0.2"/>
    <row r="7522" s="197" customFormat="1" ht="12.75" x14ac:dyDescent="0.2"/>
    <row r="7523" s="197" customFormat="1" ht="12.75" x14ac:dyDescent="0.2"/>
    <row r="7524" s="197" customFormat="1" ht="12.75" x14ac:dyDescent="0.2"/>
    <row r="7525" s="197" customFormat="1" ht="12.75" x14ac:dyDescent="0.2"/>
    <row r="7526" s="197" customFormat="1" ht="12.75" x14ac:dyDescent="0.2"/>
    <row r="7527" s="197" customFormat="1" ht="12.75" x14ac:dyDescent="0.2"/>
    <row r="7528" s="197" customFormat="1" ht="12.75" x14ac:dyDescent="0.2"/>
    <row r="7529" s="197" customFormat="1" ht="12.75" x14ac:dyDescent="0.2"/>
    <row r="7530" s="197" customFormat="1" ht="12.75" x14ac:dyDescent="0.2"/>
    <row r="7531" s="197" customFormat="1" ht="12.75" x14ac:dyDescent="0.2"/>
    <row r="7532" s="197" customFormat="1" ht="12.75" x14ac:dyDescent="0.2"/>
    <row r="7533" s="197" customFormat="1" ht="12.75" x14ac:dyDescent="0.2"/>
    <row r="7534" s="197" customFormat="1" ht="12.75" x14ac:dyDescent="0.2"/>
    <row r="7535" s="197" customFormat="1" ht="12.75" x14ac:dyDescent="0.2"/>
    <row r="7536" s="197" customFormat="1" ht="12.75" x14ac:dyDescent="0.2"/>
    <row r="7537" s="197" customFormat="1" ht="12.75" x14ac:dyDescent="0.2"/>
    <row r="7538" s="197" customFormat="1" ht="12.75" x14ac:dyDescent="0.2"/>
    <row r="7539" s="197" customFormat="1" ht="12.75" x14ac:dyDescent="0.2"/>
    <row r="7540" s="197" customFormat="1" ht="12.75" x14ac:dyDescent="0.2"/>
    <row r="7541" s="197" customFormat="1" ht="12.75" x14ac:dyDescent="0.2"/>
    <row r="7542" s="197" customFormat="1" ht="12.75" x14ac:dyDescent="0.2"/>
    <row r="7543" s="197" customFormat="1" ht="12.75" x14ac:dyDescent="0.2"/>
    <row r="7544" s="197" customFormat="1" ht="12.75" x14ac:dyDescent="0.2"/>
    <row r="7545" s="197" customFormat="1" ht="12.75" x14ac:dyDescent="0.2"/>
    <row r="7546" s="197" customFormat="1" ht="12.75" x14ac:dyDescent="0.2"/>
    <row r="7547" s="197" customFormat="1" ht="12.75" x14ac:dyDescent="0.2"/>
    <row r="7548" s="197" customFormat="1" ht="12.75" x14ac:dyDescent="0.2"/>
    <row r="7549" s="197" customFormat="1" ht="12.75" x14ac:dyDescent="0.2"/>
    <row r="7550" s="197" customFormat="1" ht="12.75" x14ac:dyDescent="0.2"/>
    <row r="7551" s="197" customFormat="1" ht="12.75" x14ac:dyDescent="0.2"/>
    <row r="7552" s="197" customFormat="1" ht="12.75" x14ac:dyDescent="0.2"/>
    <row r="7553" s="197" customFormat="1" ht="12.75" x14ac:dyDescent="0.2"/>
    <row r="7554" s="197" customFormat="1" ht="12.75" x14ac:dyDescent="0.2"/>
    <row r="7555" s="197" customFormat="1" ht="12.75" x14ac:dyDescent="0.2"/>
    <row r="7556" s="197" customFormat="1" ht="12.75" x14ac:dyDescent="0.2"/>
    <row r="7557" s="197" customFormat="1" ht="12.75" x14ac:dyDescent="0.2"/>
    <row r="7558" s="197" customFormat="1" ht="12.75" x14ac:dyDescent="0.2"/>
    <row r="7559" s="197" customFormat="1" ht="12.75" x14ac:dyDescent="0.2"/>
    <row r="7560" s="197" customFormat="1" ht="12.75" x14ac:dyDescent="0.2"/>
    <row r="7561" s="197" customFormat="1" ht="12.75" x14ac:dyDescent="0.2"/>
    <row r="7562" s="197" customFormat="1" ht="12.75" x14ac:dyDescent="0.2"/>
    <row r="7563" s="197" customFormat="1" ht="12.75" x14ac:dyDescent="0.2"/>
    <row r="7564" s="197" customFormat="1" ht="12.75" x14ac:dyDescent="0.2"/>
    <row r="7565" s="197" customFormat="1" ht="12.75" x14ac:dyDescent="0.2"/>
    <row r="7566" s="197" customFormat="1" ht="12.75" x14ac:dyDescent="0.2"/>
    <row r="7567" s="197" customFormat="1" ht="12.75" x14ac:dyDescent="0.2"/>
    <row r="7568" s="197" customFormat="1" ht="12.75" x14ac:dyDescent="0.2"/>
    <row r="7569" s="197" customFormat="1" ht="12.75" x14ac:dyDescent="0.2"/>
    <row r="7570" s="197" customFormat="1" ht="12.75" x14ac:dyDescent="0.2"/>
    <row r="7571" s="197" customFormat="1" ht="12.75" x14ac:dyDescent="0.2"/>
    <row r="7572" s="197" customFormat="1" ht="12.75" x14ac:dyDescent="0.2"/>
    <row r="7573" s="197" customFormat="1" ht="12.75" x14ac:dyDescent="0.2"/>
    <row r="7574" s="197" customFormat="1" ht="12.75" x14ac:dyDescent="0.2"/>
    <row r="7575" s="197" customFormat="1" ht="12.75" x14ac:dyDescent="0.2"/>
    <row r="7576" s="197" customFormat="1" ht="12.75" x14ac:dyDescent="0.2"/>
    <row r="7577" s="197" customFormat="1" ht="12.75" x14ac:dyDescent="0.2"/>
    <row r="7578" s="197" customFormat="1" ht="12.75" x14ac:dyDescent="0.2"/>
    <row r="7579" s="197" customFormat="1" ht="12.75" x14ac:dyDescent="0.2"/>
    <row r="7580" s="197" customFormat="1" ht="12.75" x14ac:dyDescent="0.2"/>
    <row r="7581" s="197" customFormat="1" ht="12.75" x14ac:dyDescent="0.2"/>
    <row r="7582" s="197" customFormat="1" ht="12.75" x14ac:dyDescent="0.2"/>
    <row r="7583" s="197" customFormat="1" ht="12.75" x14ac:dyDescent="0.2"/>
    <row r="7584" s="197" customFormat="1" ht="12.75" x14ac:dyDescent="0.2"/>
    <row r="7585" s="197" customFormat="1" ht="12.75" x14ac:dyDescent="0.2"/>
    <row r="7586" s="197" customFormat="1" ht="12.75" x14ac:dyDescent="0.2"/>
    <row r="7587" s="197" customFormat="1" ht="12.75" x14ac:dyDescent="0.2"/>
    <row r="7588" s="197" customFormat="1" ht="12.75" x14ac:dyDescent="0.2"/>
    <row r="7589" s="197" customFormat="1" ht="12.75" x14ac:dyDescent="0.2"/>
    <row r="7590" s="197" customFormat="1" ht="12.75" x14ac:dyDescent="0.2"/>
    <row r="7591" s="197" customFormat="1" ht="12.75" x14ac:dyDescent="0.2"/>
    <row r="7592" s="197" customFormat="1" ht="12.75" x14ac:dyDescent="0.2"/>
    <row r="7593" s="197" customFormat="1" ht="12.75" x14ac:dyDescent="0.2"/>
    <row r="7594" s="197" customFormat="1" ht="12.75" x14ac:dyDescent="0.2"/>
    <row r="7595" s="197" customFormat="1" ht="12.75" x14ac:dyDescent="0.2"/>
    <row r="7596" s="197" customFormat="1" ht="12.75" x14ac:dyDescent="0.2"/>
    <row r="7597" s="197" customFormat="1" ht="12.75" x14ac:dyDescent="0.2"/>
    <row r="7598" s="197" customFormat="1" ht="12.75" x14ac:dyDescent="0.2"/>
    <row r="7599" s="197" customFormat="1" ht="12.75" x14ac:dyDescent="0.2"/>
    <row r="7600" s="197" customFormat="1" ht="12.75" x14ac:dyDescent="0.2"/>
    <row r="7601" s="197" customFormat="1" ht="12.75" x14ac:dyDescent="0.2"/>
    <row r="7602" s="197" customFormat="1" ht="12.75" x14ac:dyDescent="0.2"/>
    <row r="7603" s="197" customFormat="1" ht="12.75" x14ac:dyDescent="0.2"/>
    <row r="7604" s="197" customFormat="1" ht="12.75" x14ac:dyDescent="0.2"/>
    <row r="7605" s="197" customFormat="1" ht="12.75" x14ac:dyDescent="0.2"/>
    <row r="7606" s="197" customFormat="1" ht="12.75" x14ac:dyDescent="0.2"/>
    <row r="7607" s="197" customFormat="1" ht="12.75" x14ac:dyDescent="0.2"/>
    <row r="7608" s="197" customFormat="1" ht="12.75" x14ac:dyDescent="0.2"/>
    <row r="7609" s="197" customFormat="1" ht="12.75" x14ac:dyDescent="0.2"/>
    <row r="7610" s="197" customFormat="1" ht="12.75" x14ac:dyDescent="0.2"/>
    <row r="7611" s="197" customFormat="1" ht="12.75" x14ac:dyDescent="0.2"/>
    <row r="7612" s="197" customFormat="1" ht="12.75" x14ac:dyDescent="0.2"/>
    <row r="7613" s="197" customFormat="1" ht="12.75" x14ac:dyDescent="0.2"/>
    <row r="7614" s="197" customFormat="1" ht="12.75" x14ac:dyDescent="0.2"/>
    <row r="7615" s="197" customFormat="1" ht="12.75" x14ac:dyDescent="0.2"/>
    <row r="7616" s="197" customFormat="1" ht="12.75" x14ac:dyDescent="0.2"/>
    <row r="7617" s="197" customFormat="1" ht="12.75" x14ac:dyDescent="0.2"/>
    <row r="7618" s="197" customFormat="1" ht="12.75" x14ac:dyDescent="0.2"/>
    <row r="7619" s="197" customFormat="1" ht="12.75" x14ac:dyDescent="0.2"/>
    <row r="7620" s="197" customFormat="1" ht="12.75" x14ac:dyDescent="0.2"/>
    <row r="7621" s="197" customFormat="1" ht="12.75" x14ac:dyDescent="0.2"/>
    <row r="7622" s="197" customFormat="1" ht="12.75" x14ac:dyDescent="0.2"/>
    <row r="7623" s="197" customFormat="1" ht="12.75" x14ac:dyDescent="0.2"/>
    <row r="7624" s="197" customFormat="1" ht="12.75" x14ac:dyDescent="0.2"/>
    <row r="7625" s="197" customFormat="1" ht="12.75" x14ac:dyDescent="0.2"/>
    <row r="7626" s="197" customFormat="1" ht="12.75" x14ac:dyDescent="0.2"/>
    <row r="7627" s="197" customFormat="1" ht="12.75" x14ac:dyDescent="0.2"/>
    <row r="7628" s="197" customFormat="1" ht="12.75" x14ac:dyDescent="0.2"/>
    <row r="7629" s="197" customFormat="1" ht="12.75" x14ac:dyDescent="0.2"/>
    <row r="7630" s="197" customFormat="1" ht="12.75" x14ac:dyDescent="0.2"/>
    <row r="7631" s="197" customFormat="1" ht="12.75" x14ac:dyDescent="0.2"/>
    <row r="7632" s="197" customFormat="1" ht="12.75" x14ac:dyDescent="0.2"/>
    <row r="7633" s="197" customFormat="1" ht="12.75" x14ac:dyDescent="0.2"/>
    <row r="7634" s="197" customFormat="1" ht="12.75" x14ac:dyDescent="0.2"/>
    <row r="7635" s="197" customFormat="1" ht="12.75" x14ac:dyDescent="0.2"/>
    <row r="7636" s="197" customFormat="1" ht="12.75" x14ac:dyDescent="0.2"/>
    <row r="7637" s="197" customFormat="1" ht="12.75" x14ac:dyDescent="0.2"/>
    <row r="7638" s="197" customFormat="1" ht="12.75" x14ac:dyDescent="0.2"/>
    <row r="7639" s="197" customFormat="1" ht="12.75" x14ac:dyDescent="0.2"/>
    <row r="7640" s="197" customFormat="1" ht="12.75" x14ac:dyDescent="0.2"/>
    <row r="7641" s="197" customFormat="1" ht="12.75" x14ac:dyDescent="0.2"/>
    <row r="7642" s="197" customFormat="1" ht="12.75" x14ac:dyDescent="0.2"/>
    <row r="7643" s="197" customFormat="1" ht="12.75" x14ac:dyDescent="0.2"/>
    <row r="7644" s="197" customFormat="1" ht="12.75" x14ac:dyDescent="0.2"/>
    <row r="7645" s="197" customFormat="1" ht="12.75" x14ac:dyDescent="0.2"/>
    <row r="7646" s="197" customFormat="1" ht="12.75" x14ac:dyDescent="0.2"/>
    <row r="7647" s="197" customFormat="1" ht="12.75" x14ac:dyDescent="0.2"/>
    <row r="7648" s="197" customFormat="1" ht="12.75" x14ac:dyDescent="0.2"/>
    <row r="7649" s="197" customFormat="1" ht="12.75" x14ac:dyDescent="0.2"/>
    <row r="7650" s="197" customFormat="1" ht="12.75" x14ac:dyDescent="0.2"/>
    <row r="7651" s="197" customFormat="1" ht="12.75" x14ac:dyDescent="0.2"/>
    <row r="7652" s="197" customFormat="1" ht="12.75" x14ac:dyDescent="0.2"/>
    <row r="7653" s="197" customFormat="1" ht="12.75" x14ac:dyDescent="0.2"/>
    <row r="7654" s="197" customFormat="1" ht="12.75" x14ac:dyDescent="0.2"/>
    <row r="7655" s="197" customFormat="1" ht="12.75" x14ac:dyDescent="0.2"/>
    <row r="7656" s="197" customFormat="1" ht="12.75" x14ac:dyDescent="0.2"/>
    <row r="7657" s="197" customFormat="1" ht="12.75" x14ac:dyDescent="0.2"/>
    <row r="7658" s="197" customFormat="1" ht="12.75" x14ac:dyDescent="0.2"/>
    <row r="7659" s="197" customFormat="1" ht="12.75" x14ac:dyDescent="0.2"/>
    <row r="7660" s="197" customFormat="1" ht="12.75" x14ac:dyDescent="0.2"/>
    <row r="7661" s="197" customFormat="1" ht="12.75" x14ac:dyDescent="0.2"/>
    <row r="7662" s="197" customFormat="1" ht="12.75" x14ac:dyDescent="0.2"/>
    <row r="7663" s="197" customFormat="1" ht="12.75" x14ac:dyDescent="0.2"/>
    <row r="7664" s="197" customFormat="1" ht="12.75" x14ac:dyDescent="0.2"/>
    <row r="7665" s="197" customFormat="1" ht="12.75" x14ac:dyDescent="0.2"/>
    <row r="7666" s="197" customFormat="1" ht="12.75" x14ac:dyDescent="0.2"/>
    <row r="7667" s="197" customFormat="1" ht="12.75" x14ac:dyDescent="0.2"/>
    <row r="7668" s="197" customFormat="1" ht="12.75" x14ac:dyDescent="0.2"/>
    <row r="7669" s="197" customFormat="1" ht="12.75" x14ac:dyDescent="0.2"/>
    <row r="7670" s="197" customFormat="1" ht="12.75" x14ac:dyDescent="0.2"/>
    <row r="7671" s="197" customFormat="1" ht="12.75" x14ac:dyDescent="0.2"/>
    <row r="7672" s="197" customFormat="1" ht="12.75" x14ac:dyDescent="0.2"/>
    <row r="7673" s="197" customFormat="1" ht="12.75" x14ac:dyDescent="0.2"/>
    <row r="7674" s="197" customFormat="1" ht="12.75" x14ac:dyDescent="0.2"/>
    <row r="7675" s="197" customFormat="1" ht="12.75" x14ac:dyDescent="0.2"/>
    <row r="7676" s="197" customFormat="1" ht="12.75" x14ac:dyDescent="0.2"/>
    <row r="7677" s="197" customFormat="1" ht="12.75" x14ac:dyDescent="0.2"/>
    <row r="7678" s="197" customFormat="1" ht="12.75" x14ac:dyDescent="0.2"/>
    <row r="7679" s="197" customFormat="1" ht="12.75" x14ac:dyDescent="0.2"/>
    <row r="7680" s="197" customFormat="1" ht="12.75" x14ac:dyDescent="0.2"/>
    <row r="7681" s="197" customFormat="1" ht="12.75" x14ac:dyDescent="0.2"/>
    <row r="7682" s="197" customFormat="1" ht="12.75" x14ac:dyDescent="0.2"/>
    <row r="7683" s="197" customFormat="1" ht="12.75" x14ac:dyDescent="0.2"/>
    <row r="7684" s="197" customFormat="1" ht="12.75" x14ac:dyDescent="0.2"/>
    <row r="7685" s="197" customFormat="1" ht="12.75" x14ac:dyDescent="0.2"/>
    <row r="7686" s="197" customFormat="1" ht="12.75" x14ac:dyDescent="0.2"/>
    <row r="7687" s="197" customFormat="1" ht="12.75" x14ac:dyDescent="0.2"/>
    <row r="7688" s="197" customFormat="1" ht="12.75" x14ac:dyDescent="0.2"/>
    <row r="7689" s="197" customFormat="1" ht="12.75" x14ac:dyDescent="0.2"/>
    <row r="7690" s="197" customFormat="1" ht="12.75" x14ac:dyDescent="0.2"/>
    <row r="7691" s="197" customFormat="1" ht="12.75" x14ac:dyDescent="0.2"/>
    <row r="7692" s="197" customFormat="1" ht="12.75" x14ac:dyDescent="0.2"/>
    <row r="7693" s="197" customFormat="1" ht="12.75" x14ac:dyDescent="0.2"/>
    <row r="7694" s="197" customFormat="1" ht="12.75" x14ac:dyDescent="0.2"/>
    <row r="7695" s="197" customFormat="1" ht="12.75" x14ac:dyDescent="0.2"/>
    <row r="7696" s="197" customFormat="1" ht="12.75" x14ac:dyDescent="0.2"/>
    <row r="7697" s="197" customFormat="1" ht="12.75" x14ac:dyDescent="0.2"/>
    <row r="7698" s="197" customFormat="1" ht="12.75" x14ac:dyDescent="0.2"/>
    <row r="7699" s="197" customFormat="1" ht="12.75" x14ac:dyDescent="0.2"/>
    <row r="7700" s="197" customFormat="1" ht="12.75" x14ac:dyDescent="0.2"/>
    <row r="7701" s="197" customFormat="1" ht="12.75" x14ac:dyDescent="0.2"/>
    <row r="7702" s="197" customFormat="1" ht="12.75" x14ac:dyDescent="0.2"/>
    <row r="7703" s="197" customFormat="1" ht="12.75" x14ac:dyDescent="0.2"/>
    <row r="7704" s="197" customFormat="1" ht="12.75" x14ac:dyDescent="0.2"/>
    <row r="7705" s="197" customFormat="1" ht="12.75" x14ac:dyDescent="0.2"/>
    <row r="7706" s="197" customFormat="1" ht="12.75" x14ac:dyDescent="0.2"/>
    <row r="7707" s="197" customFormat="1" ht="12.75" x14ac:dyDescent="0.2"/>
    <row r="7708" s="197" customFormat="1" ht="12.75" x14ac:dyDescent="0.2"/>
    <row r="7709" s="197" customFormat="1" ht="12.75" x14ac:dyDescent="0.2"/>
    <row r="7710" s="197" customFormat="1" ht="12.75" x14ac:dyDescent="0.2"/>
    <row r="7711" s="197" customFormat="1" ht="12.75" x14ac:dyDescent="0.2"/>
    <row r="7712" s="197" customFormat="1" ht="12.75" x14ac:dyDescent="0.2"/>
    <row r="7713" s="197" customFormat="1" ht="12.75" x14ac:dyDescent="0.2"/>
    <row r="7714" s="197" customFormat="1" ht="12.75" x14ac:dyDescent="0.2"/>
    <row r="7715" s="197" customFormat="1" ht="12.75" x14ac:dyDescent="0.2"/>
    <row r="7716" s="197" customFormat="1" ht="12.75" x14ac:dyDescent="0.2"/>
    <row r="7717" s="197" customFormat="1" ht="12.75" x14ac:dyDescent="0.2"/>
    <row r="7718" s="197" customFormat="1" ht="12.75" x14ac:dyDescent="0.2"/>
    <row r="7719" s="197" customFormat="1" ht="12.75" x14ac:dyDescent="0.2"/>
    <row r="7720" s="197" customFormat="1" ht="12.75" x14ac:dyDescent="0.2"/>
    <row r="7721" s="197" customFormat="1" ht="12.75" x14ac:dyDescent="0.2"/>
    <row r="7722" s="197" customFormat="1" ht="12.75" x14ac:dyDescent="0.2"/>
    <row r="7723" s="197" customFormat="1" ht="12.75" x14ac:dyDescent="0.2"/>
    <row r="7724" s="197" customFormat="1" ht="12.75" x14ac:dyDescent="0.2"/>
    <row r="7725" s="197" customFormat="1" ht="12.75" x14ac:dyDescent="0.2"/>
    <row r="7726" s="197" customFormat="1" ht="12.75" x14ac:dyDescent="0.2"/>
    <row r="7727" s="197" customFormat="1" ht="12.75" x14ac:dyDescent="0.2"/>
    <row r="7728" s="197" customFormat="1" ht="12.75" x14ac:dyDescent="0.2"/>
    <row r="7729" s="197" customFormat="1" ht="12.75" x14ac:dyDescent="0.2"/>
    <row r="7730" s="197" customFormat="1" ht="12.75" x14ac:dyDescent="0.2"/>
    <row r="7731" s="197" customFormat="1" ht="12.75" x14ac:dyDescent="0.2"/>
    <row r="7732" s="197" customFormat="1" ht="12.75" x14ac:dyDescent="0.2"/>
    <row r="7733" s="197" customFormat="1" ht="12.75" x14ac:dyDescent="0.2"/>
    <row r="7734" s="197" customFormat="1" ht="12.75" x14ac:dyDescent="0.2"/>
    <row r="7735" s="197" customFormat="1" ht="12.75" x14ac:dyDescent="0.2"/>
    <row r="7736" s="197" customFormat="1" ht="12.75" x14ac:dyDescent="0.2"/>
    <row r="7737" s="197" customFormat="1" ht="12.75" x14ac:dyDescent="0.2"/>
    <row r="7738" s="197" customFormat="1" ht="12.75" x14ac:dyDescent="0.2"/>
    <row r="7739" s="197" customFormat="1" ht="12.75" x14ac:dyDescent="0.2"/>
    <row r="7740" s="197" customFormat="1" ht="12.75" x14ac:dyDescent="0.2"/>
    <row r="7741" s="197" customFormat="1" ht="12.75" x14ac:dyDescent="0.2"/>
    <row r="7742" s="197" customFormat="1" ht="12.75" x14ac:dyDescent="0.2"/>
    <row r="7743" s="197" customFormat="1" ht="12.75" x14ac:dyDescent="0.2"/>
    <row r="7744" s="197" customFormat="1" ht="12.75" x14ac:dyDescent="0.2"/>
    <row r="7745" s="197" customFormat="1" ht="12.75" x14ac:dyDescent="0.2"/>
    <row r="7746" s="197" customFormat="1" ht="12.75" x14ac:dyDescent="0.2"/>
    <row r="7747" s="197" customFormat="1" ht="12.75" x14ac:dyDescent="0.2"/>
    <row r="7748" s="197" customFormat="1" ht="12.75" x14ac:dyDescent="0.2"/>
    <row r="7749" s="197" customFormat="1" ht="12.75" x14ac:dyDescent="0.2"/>
    <row r="7750" s="197" customFormat="1" ht="12.75" x14ac:dyDescent="0.2"/>
    <row r="7751" s="197" customFormat="1" ht="12.75" x14ac:dyDescent="0.2"/>
    <row r="7752" s="197" customFormat="1" ht="12.75" x14ac:dyDescent="0.2"/>
    <row r="7753" s="197" customFormat="1" ht="12.75" x14ac:dyDescent="0.2"/>
    <row r="7754" s="197" customFormat="1" ht="12.75" x14ac:dyDescent="0.2"/>
    <row r="7755" s="197" customFormat="1" ht="12.75" x14ac:dyDescent="0.2"/>
    <row r="7756" s="197" customFormat="1" ht="12.75" x14ac:dyDescent="0.2"/>
    <row r="7757" s="197" customFormat="1" ht="12.75" x14ac:dyDescent="0.2"/>
    <row r="7758" s="197" customFormat="1" ht="12.75" x14ac:dyDescent="0.2"/>
    <row r="7759" s="197" customFormat="1" ht="12.75" x14ac:dyDescent="0.2"/>
    <row r="7760" s="197" customFormat="1" ht="12.75" x14ac:dyDescent="0.2"/>
    <row r="7761" s="197" customFormat="1" ht="12.75" x14ac:dyDescent="0.2"/>
    <row r="7762" s="197" customFormat="1" ht="12.75" x14ac:dyDescent="0.2"/>
    <row r="7763" s="197" customFormat="1" ht="12.75" x14ac:dyDescent="0.2"/>
    <row r="7764" s="197" customFormat="1" ht="12.75" x14ac:dyDescent="0.2"/>
    <row r="7765" s="197" customFormat="1" ht="12.75" x14ac:dyDescent="0.2"/>
    <row r="7766" s="197" customFormat="1" ht="12.75" x14ac:dyDescent="0.2"/>
    <row r="7767" s="197" customFormat="1" ht="12.75" x14ac:dyDescent="0.2"/>
    <row r="7768" s="197" customFormat="1" ht="12.75" x14ac:dyDescent="0.2"/>
    <row r="7769" s="197" customFormat="1" ht="12.75" x14ac:dyDescent="0.2"/>
    <row r="7770" s="197" customFormat="1" ht="12.75" x14ac:dyDescent="0.2"/>
    <row r="7771" s="197" customFormat="1" ht="12.75" x14ac:dyDescent="0.2"/>
    <row r="7772" s="197" customFormat="1" ht="12.75" x14ac:dyDescent="0.2"/>
    <row r="7773" s="197" customFormat="1" ht="12.75" x14ac:dyDescent="0.2"/>
    <row r="7774" s="197" customFormat="1" ht="12.75" x14ac:dyDescent="0.2"/>
    <row r="7775" s="197" customFormat="1" ht="12.75" x14ac:dyDescent="0.2"/>
    <row r="7776" s="197" customFormat="1" ht="12.75" x14ac:dyDescent="0.2"/>
    <row r="7777" s="197" customFormat="1" ht="12.75" x14ac:dyDescent="0.2"/>
    <row r="7778" s="197" customFormat="1" ht="12.75" x14ac:dyDescent="0.2"/>
    <row r="7779" s="197" customFormat="1" ht="12.75" x14ac:dyDescent="0.2"/>
    <row r="7780" s="197" customFormat="1" ht="12.75" x14ac:dyDescent="0.2"/>
    <row r="7781" s="197" customFormat="1" ht="12.75" x14ac:dyDescent="0.2"/>
    <row r="7782" s="197" customFormat="1" ht="12.75" x14ac:dyDescent="0.2"/>
    <row r="7783" s="197" customFormat="1" ht="12.75" x14ac:dyDescent="0.2"/>
    <row r="7784" s="197" customFormat="1" ht="12.75" x14ac:dyDescent="0.2"/>
    <row r="7785" s="197" customFormat="1" ht="12.75" x14ac:dyDescent="0.2"/>
    <row r="7786" s="197" customFormat="1" ht="12.75" x14ac:dyDescent="0.2"/>
    <row r="7787" s="197" customFormat="1" ht="12.75" x14ac:dyDescent="0.2"/>
    <row r="7788" s="197" customFormat="1" ht="12.75" x14ac:dyDescent="0.2"/>
    <row r="7789" s="197" customFormat="1" ht="12.75" x14ac:dyDescent="0.2"/>
    <row r="7790" s="197" customFormat="1" ht="12.75" x14ac:dyDescent="0.2"/>
    <row r="7791" s="197" customFormat="1" ht="12.75" x14ac:dyDescent="0.2"/>
    <row r="7792" s="197" customFormat="1" ht="12.75" x14ac:dyDescent="0.2"/>
    <row r="7793" s="197" customFormat="1" ht="12.75" x14ac:dyDescent="0.2"/>
    <row r="7794" s="197" customFormat="1" ht="12.75" x14ac:dyDescent="0.2"/>
    <row r="7795" s="197" customFormat="1" ht="12.75" x14ac:dyDescent="0.2"/>
    <row r="7796" s="197" customFormat="1" ht="12.75" x14ac:dyDescent="0.2"/>
    <row r="7797" s="197" customFormat="1" ht="12.75" x14ac:dyDescent="0.2"/>
    <row r="7798" s="197" customFormat="1" ht="12.75" x14ac:dyDescent="0.2"/>
    <row r="7799" s="197" customFormat="1" ht="12.75" x14ac:dyDescent="0.2"/>
    <row r="7800" s="197" customFormat="1" ht="12.75" x14ac:dyDescent="0.2"/>
    <row r="7801" s="197" customFormat="1" ht="12.75" x14ac:dyDescent="0.2"/>
    <row r="7802" s="197" customFormat="1" ht="12.75" x14ac:dyDescent="0.2"/>
    <row r="7803" s="197" customFormat="1" ht="12.75" x14ac:dyDescent="0.2"/>
    <row r="7804" s="197" customFormat="1" ht="12.75" x14ac:dyDescent="0.2"/>
    <row r="7805" s="197" customFormat="1" ht="12.75" x14ac:dyDescent="0.2"/>
    <row r="7806" s="197" customFormat="1" ht="12.75" x14ac:dyDescent="0.2"/>
    <row r="7807" s="197" customFormat="1" ht="12.75" x14ac:dyDescent="0.2"/>
    <row r="7808" s="197" customFormat="1" ht="12.75" x14ac:dyDescent="0.2"/>
    <row r="7809" s="197" customFormat="1" ht="12.75" x14ac:dyDescent="0.2"/>
    <row r="7810" s="197" customFormat="1" ht="12.75" x14ac:dyDescent="0.2"/>
    <row r="7811" s="197" customFormat="1" ht="12.75" x14ac:dyDescent="0.2"/>
    <row r="7812" s="197" customFormat="1" ht="12.75" x14ac:dyDescent="0.2"/>
    <row r="7813" s="197" customFormat="1" ht="12.75" x14ac:dyDescent="0.2"/>
    <row r="7814" s="197" customFormat="1" ht="12.75" x14ac:dyDescent="0.2"/>
    <row r="7815" s="197" customFormat="1" ht="12.75" x14ac:dyDescent="0.2"/>
    <row r="7816" s="197" customFormat="1" ht="12.75" x14ac:dyDescent="0.2"/>
    <row r="7817" s="197" customFormat="1" ht="12.75" x14ac:dyDescent="0.2"/>
    <row r="7818" s="197" customFormat="1" ht="12.75" x14ac:dyDescent="0.2"/>
    <row r="7819" s="197" customFormat="1" ht="12.75" x14ac:dyDescent="0.2"/>
    <row r="7820" s="197" customFormat="1" ht="12.75" x14ac:dyDescent="0.2"/>
    <row r="7821" s="197" customFormat="1" ht="12.75" x14ac:dyDescent="0.2"/>
    <row r="7822" s="197" customFormat="1" ht="12.75" x14ac:dyDescent="0.2"/>
    <row r="7823" s="197" customFormat="1" ht="12.75" x14ac:dyDescent="0.2"/>
    <row r="7824" s="197" customFormat="1" ht="12.75" x14ac:dyDescent="0.2"/>
    <row r="7825" s="197" customFormat="1" ht="12.75" x14ac:dyDescent="0.2"/>
    <row r="7826" s="197" customFormat="1" ht="12.75" x14ac:dyDescent="0.2"/>
    <row r="7827" s="197" customFormat="1" ht="12.75" x14ac:dyDescent="0.2"/>
    <row r="7828" s="197" customFormat="1" ht="12.75" x14ac:dyDescent="0.2"/>
    <row r="7829" s="197" customFormat="1" ht="12.75" x14ac:dyDescent="0.2"/>
    <row r="7830" s="197" customFormat="1" ht="12.75" x14ac:dyDescent="0.2"/>
    <row r="7831" s="197" customFormat="1" ht="12.75" x14ac:dyDescent="0.2"/>
    <row r="7832" s="197" customFormat="1" ht="12.75" x14ac:dyDescent="0.2"/>
    <row r="7833" s="197" customFormat="1" ht="12.75" x14ac:dyDescent="0.2"/>
    <row r="7834" s="197" customFormat="1" ht="12.75" x14ac:dyDescent="0.2"/>
    <row r="7835" s="197" customFormat="1" ht="12.75" x14ac:dyDescent="0.2"/>
    <row r="7836" s="197" customFormat="1" ht="12.75" x14ac:dyDescent="0.2"/>
    <row r="7837" s="197" customFormat="1" ht="12.75" x14ac:dyDescent="0.2"/>
    <row r="7838" s="197" customFormat="1" ht="12.75" x14ac:dyDescent="0.2"/>
    <row r="7839" s="197" customFormat="1" ht="12.75" x14ac:dyDescent="0.2"/>
    <row r="7840" s="197" customFormat="1" ht="12.75" x14ac:dyDescent="0.2"/>
    <row r="7841" s="197" customFormat="1" ht="12.75" x14ac:dyDescent="0.2"/>
    <row r="7842" s="197" customFormat="1" ht="12.75" x14ac:dyDescent="0.2"/>
    <row r="7843" s="197" customFormat="1" ht="12.75" x14ac:dyDescent="0.2"/>
    <row r="7844" s="197" customFormat="1" ht="12.75" x14ac:dyDescent="0.2"/>
    <row r="7845" s="197" customFormat="1" ht="12.75" x14ac:dyDescent="0.2"/>
    <row r="7846" s="197" customFormat="1" ht="12.75" x14ac:dyDescent="0.2"/>
    <row r="7847" s="197" customFormat="1" ht="12.75" x14ac:dyDescent="0.2"/>
    <row r="7848" s="197" customFormat="1" ht="12.75" x14ac:dyDescent="0.2"/>
    <row r="7849" s="197" customFormat="1" ht="12.75" x14ac:dyDescent="0.2"/>
    <row r="7850" s="197" customFormat="1" ht="12.75" x14ac:dyDescent="0.2"/>
    <row r="7851" s="197" customFormat="1" ht="12.75" x14ac:dyDescent="0.2"/>
    <row r="7852" s="197" customFormat="1" ht="12.75" x14ac:dyDescent="0.2"/>
    <row r="7853" s="197" customFormat="1" ht="12.75" x14ac:dyDescent="0.2"/>
    <row r="7854" s="197" customFormat="1" ht="12.75" x14ac:dyDescent="0.2"/>
    <row r="7855" s="197" customFormat="1" ht="12.75" x14ac:dyDescent="0.2"/>
    <row r="7856" s="197" customFormat="1" ht="12.75" x14ac:dyDescent="0.2"/>
    <row r="7857" s="197" customFormat="1" ht="12.75" x14ac:dyDescent="0.2"/>
    <row r="7858" s="197" customFormat="1" ht="12.75" x14ac:dyDescent="0.2"/>
    <row r="7859" s="197" customFormat="1" ht="12.75" x14ac:dyDescent="0.2"/>
    <row r="7860" s="197" customFormat="1" ht="12.75" x14ac:dyDescent="0.2"/>
    <row r="7861" s="197" customFormat="1" ht="12.75" x14ac:dyDescent="0.2"/>
    <row r="7862" s="197" customFormat="1" ht="12.75" x14ac:dyDescent="0.2"/>
    <row r="7863" s="197" customFormat="1" ht="12.75" x14ac:dyDescent="0.2"/>
    <row r="7864" s="197" customFormat="1" ht="12.75" x14ac:dyDescent="0.2"/>
    <row r="7865" s="197" customFormat="1" ht="12.75" x14ac:dyDescent="0.2"/>
    <row r="7866" s="197" customFormat="1" ht="12.75" x14ac:dyDescent="0.2"/>
    <row r="7867" s="197" customFormat="1" ht="12.75" x14ac:dyDescent="0.2"/>
    <row r="7868" s="197" customFormat="1" ht="12.75" x14ac:dyDescent="0.2"/>
    <row r="7869" s="197" customFormat="1" ht="12.75" x14ac:dyDescent="0.2"/>
    <row r="7870" s="197" customFormat="1" ht="12.75" x14ac:dyDescent="0.2"/>
    <row r="7871" s="197" customFormat="1" ht="12.75" x14ac:dyDescent="0.2"/>
    <row r="7872" s="197" customFormat="1" ht="12.75" x14ac:dyDescent="0.2"/>
    <row r="7873" s="197" customFormat="1" ht="12.75" x14ac:dyDescent="0.2"/>
    <row r="7874" s="197" customFormat="1" ht="12.75" x14ac:dyDescent="0.2"/>
    <row r="7875" s="197" customFormat="1" ht="12.75" x14ac:dyDescent="0.2"/>
    <row r="7876" s="197" customFormat="1" ht="12.75" x14ac:dyDescent="0.2"/>
    <row r="7877" s="197" customFormat="1" ht="12.75" x14ac:dyDescent="0.2"/>
    <row r="7878" s="197" customFormat="1" ht="12.75" x14ac:dyDescent="0.2"/>
    <row r="7879" s="197" customFormat="1" ht="12.75" x14ac:dyDescent="0.2"/>
    <row r="7880" s="197" customFormat="1" ht="12.75" x14ac:dyDescent="0.2"/>
    <row r="7881" s="197" customFormat="1" ht="12.75" x14ac:dyDescent="0.2"/>
    <row r="7882" s="197" customFormat="1" ht="12.75" x14ac:dyDescent="0.2"/>
    <row r="7883" s="197" customFormat="1" ht="12.75" x14ac:dyDescent="0.2"/>
    <row r="7884" s="197" customFormat="1" ht="12.75" x14ac:dyDescent="0.2"/>
    <row r="7885" s="197" customFormat="1" ht="12.75" x14ac:dyDescent="0.2"/>
    <row r="7886" s="197" customFormat="1" ht="12.75" x14ac:dyDescent="0.2"/>
    <row r="7887" s="197" customFormat="1" ht="12.75" x14ac:dyDescent="0.2"/>
    <row r="7888" s="197" customFormat="1" ht="12.75" x14ac:dyDescent="0.2"/>
    <row r="7889" s="197" customFormat="1" ht="12.75" x14ac:dyDescent="0.2"/>
    <row r="7890" s="197" customFormat="1" ht="12.75" x14ac:dyDescent="0.2"/>
    <row r="7891" s="197" customFormat="1" ht="12.75" x14ac:dyDescent="0.2"/>
    <row r="7892" s="197" customFormat="1" ht="12.75" x14ac:dyDescent="0.2"/>
    <row r="7893" s="197" customFormat="1" ht="12.75" x14ac:dyDescent="0.2"/>
    <row r="7894" s="197" customFormat="1" ht="12.75" x14ac:dyDescent="0.2"/>
    <row r="7895" s="197" customFormat="1" ht="12.75" x14ac:dyDescent="0.2"/>
    <row r="7896" s="197" customFormat="1" ht="12.75" x14ac:dyDescent="0.2"/>
    <row r="7897" s="197" customFormat="1" ht="12.75" x14ac:dyDescent="0.2"/>
    <row r="7898" s="197" customFormat="1" ht="12.75" x14ac:dyDescent="0.2"/>
    <row r="7899" s="197" customFormat="1" ht="12.75" x14ac:dyDescent="0.2"/>
    <row r="7900" s="197" customFormat="1" ht="12.75" x14ac:dyDescent="0.2"/>
    <row r="7901" s="197" customFormat="1" ht="12.75" x14ac:dyDescent="0.2"/>
    <row r="7902" s="197" customFormat="1" ht="12.75" x14ac:dyDescent="0.2"/>
    <row r="7903" s="197" customFormat="1" ht="12.75" x14ac:dyDescent="0.2"/>
    <row r="7904" s="197" customFormat="1" ht="12.75" x14ac:dyDescent="0.2"/>
    <row r="7905" s="197" customFormat="1" ht="12.75" x14ac:dyDescent="0.2"/>
    <row r="7906" s="197" customFormat="1" ht="12.75" x14ac:dyDescent="0.2"/>
    <row r="7907" s="197" customFormat="1" ht="12.75" x14ac:dyDescent="0.2"/>
    <row r="7908" s="197" customFormat="1" ht="12.75" x14ac:dyDescent="0.2"/>
    <row r="7909" s="197" customFormat="1" ht="12.75" x14ac:dyDescent="0.2"/>
    <row r="7910" s="197" customFormat="1" ht="12.75" x14ac:dyDescent="0.2"/>
    <row r="7911" s="197" customFormat="1" ht="12.75" x14ac:dyDescent="0.2"/>
    <row r="7912" s="197" customFormat="1" ht="12.75" x14ac:dyDescent="0.2"/>
    <row r="7913" s="197" customFormat="1" ht="12.75" x14ac:dyDescent="0.2"/>
    <row r="7914" s="197" customFormat="1" ht="12.75" x14ac:dyDescent="0.2"/>
    <row r="7915" s="197" customFormat="1" ht="12.75" x14ac:dyDescent="0.2"/>
    <row r="7916" s="197" customFormat="1" ht="12.75" x14ac:dyDescent="0.2"/>
    <row r="7917" s="197" customFormat="1" ht="12.75" x14ac:dyDescent="0.2"/>
    <row r="7918" s="197" customFormat="1" ht="12.75" x14ac:dyDescent="0.2"/>
    <row r="7919" s="197" customFormat="1" ht="12.75" x14ac:dyDescent="0.2"/>
    <row r="7920" s="197" customFormat="1" ht="12.75" x14ac:dyDescent="0.2"/>
    <row r="7921" s="197" customFormat="1" ht="12.75" x14ac:dyDescent="0.2"/>
    <row r="7922" s="197" customFormat="1" ht="12.75" x14ac:dyDescent="0.2"/>
    <row r="7923" s="197" customFormat="1" ht="12.75" x14ac:dyDescent="0.2"/>
    <row r="7924" s="197" customFormat="1" ht="12.75" x14ac:dyDescent="0.2"/>
    <row r="7925" s="197" customFormat="1" ht="12.75" x14ac:dyDescent="0.2"/>
    <row r="7926" s="197" customFormat="1" ht="12.75" x14ac:dyDescent="0.2"/>
    <row r="7927" s="197" customFormat="1" ht="12.75" x14ac:dyDescent="0.2"/>
    <row r="7928" s="197" customFormat="1" ht="12.75" x14ac:dyDescent="0.2"/>
    <row r="7929" s="197" customFormat="1" ht="12.75" x14ac:dyDescent="0.2"/>
    <row r="7930" s="197" customFormat="1" ht="12.75" x14ac:dyDescent="0.2"/>
    <row r="7931" s="197" customFormat="1" ht="12.75" x14ac:dyDescent="0.2"/>
    <row r="7932" s="197" customFormat="1" ht="12.75" x14ac:dyDescent="0.2"/>
    <row r="7933" s="197" customFormat="1" ht="12.75" x14ac:dyDescent="0.2"/>
    <row r="7934" s="197" customFormat="1" ht="12.75" x14ac:dyDescent="0.2"/>
    <row r="7935" s="197" customFormat="1" ht="12.75" x14ac:dyDescent="0.2"/>
    <row r="7936" s="197" customFormat="1" ht="12.75" x14ac:dyDescent="0.2"/>
    <row r="7937" s="197" customFormat="1" ht="12.75" x14ac:dyDescent="0.2"/>
    <row r="7938" s="197" customFormat="1" ht="12.75" x14ac:dyDescent="0.2"/>
    <row r="7939" s="197" customFormat="1" ht="12.75" x14ac:dyDescent="0.2"/>
    <row r="7940" s="197" customFormat="1" ht="12.75" x14ac:dyDescent="0.2"/>
    <row r="7941" s="197" customFormat="1" ht="12.75" x14ac:dyDescent="0.2"/>
    <row r="7942" s="197" customFormat="1" ht="12.75" x14ac:dyDescent="0.2"/>
    <row r="7943" s="197" customFormat="1" ht="12.75" x14ac:dyDescent="0.2"/>
    <row r="7944" s="197" customFormat="1" ht="12.75" x14ac:dyDescent="0.2"/>
    <row r="7945" s="197" customFormat="1" ht="12.75" x14ac:dyDescent="0.2"/>
    <row r="7946" s="197" customFormat="1" ht="12.75" x14ac:dyDescent="0.2"/>
    <row r="7947" s="197" customFormat="1" ht="12.75" x14ac:dyDescent="0.2"/>
    <row r="7948" s="197" customFormat="1" ht="12.75" x14ac:dyDescent="0.2"/>
    <row r="7949" s="197" customFormat="1" ht="12.75" x14ac:dyDescent="0.2"/>
    <row r="7950" s="197" customFormat="1" ht="12.75" x14ac:dyDescent="0.2"/>
    <row r="7951" s="197" customFormat="1" ht="12.75" x14ac:dyDescent="0.2"/>
    <row r="7952" s="197" customFormat="1" ht="12.75" x14ac:dyDescent="0.2"/>
    <row r="7953" s="197" customFormat="1" ht="12.75" x14ac:dyDescent="0.2"/>
    <row r="7954" s="197" customFormat="1" ht="12.75" x14ac:dyDescent="0.2"/>
    <row r="7955" s="197" customFormat="1" ht="12.75" x14ac:dyDescent="0.2"/>
    <row r="7956" s="197" customFormat="1" ht="12.75" x14ac:dyDescent="0.2"/>
    <row r="7957" s="197" customFormat="1" ht="12.75" x14ac:dyDescent="0.2"/>
    <row r="7958" s="197" customFormat="1" ht="12.75" x14ac:dyDescent="0.2"/>
    <row r="7959" s="197" customFormat="1" ht="12.75" x14ac:dyDescent="0.2"/>
    <row r="7960" s="197" customFormat="1" ht="12.75" x14ac:dyDescent="0.2"/>
    <row r="7961" s="197" customFormat="1" ht="12.75" x14ac:dyDescent="0.2"/>
    <row r="7962" s="197" customFormat="1" ht="12.75" x14ac:dyDescent="0.2"/>
    <row r="7963" s="197" customFormat="1" ht="12.75" x14ac:dyDescent="0.2"/>
    <row r="7964" s="197" customFormat="1" ht="12.75" x14ac:dyDescent="0.2"/>
    <row r="7965" s="197" customFormat="1" ht="12.75" x14ac:dyDescent="0.2"/>
    <row r="7966" s="197" customFormat="1" ht="12.75" x14ac:dyDescent="0.2"/>
    <row r="7967" s="197" customFormat="1" ht="12.75" x14ac:dyDescent="0.2"/>
    <row r="7968" s="197" customFormat="1" ht="12.75" x14ac:dyDescent="0.2"/>
    <row r="7969" s="197" customFormat="1" ht="12.75" x14ac:dyDescent="0.2"/>
    <row r="7970" s="197" customFormat="1" ht="12.75" x14ac:dyDescent="0.2"/>
    <row r="7971" s="197" customFormat="1" ht="12.75" x14ac:dyDescent="0.2"/>
    <row r="7972" s="197" customFormat="1" ht="12.75" x14ac:dyDescent="0.2"/>
    <row r="7973" s="197" customFormat="1" ht="12.75" x14ac:dyDescent="0.2"/>
    <row r="7974" s="197" customFormat="1" ht="12.75" x14ac:dyDescent="0.2"/>
    <row r="7975" s="197" customFormat="1" ht="12.75" x14ac:dyDescent="0.2"/>
    <row r="7976" s="197" customFormat="1" ht="12.75" x14ac:dyDescent="0.2"/>
    <row r="7977" s="197" customFormat="1" ht="12.75" x14ac:dyDescent="0.2"/>
    <row r="7978" s="197" customFormat="1" ht="12.75" x14ac:dyDescent="0.2"/>
    <row r="7979" s="197" customFormat="1" ht="12.75" x14ac:dyDescent="0.2"/>
    <row r="7980" s="197" customFormat="1" ht="12.75" x14ac:dyDescent="0.2"/>
    <row r="7981" s="197" customFormat="1" ht="12.75" x14ac:dyDescent="0.2"/>
    <row r="7982" s="197" customFormat="1" ht="12.75" x14ac:dyDescent="0.2"/>
    <row r="7983" s="197" customFormat="1" ht="12.75" x14ac:dyDescent="0.2"/>
    <row r="7984" s="197" customFormat="1" ht="12.75" x14ac:dyDescent="0.2"/>
    <row r="7985" s="197" customFormat="1" ht="12.75" x14ac:dyDescent="0.2"/>
    <row r="7986" s="197" customFormat="1" ht="12.75" x14ac:dyDescent="0.2"/>
    <row r="7987" s="197" customFormat="1" ht="12.75" x14ac:dyDescent="0.2"/>
    <row r="7988" s="197" customFormat="1" ht="12.75" x14ac:dyDescent="0.2"/>
    <row r="7989" s="197" customFormat="1" ht="12.75" x14ac:dyDescent="0.2"/>
    <row r="7990" s="197" customFormat="1" ht="12.75" x14ac:dyDescent="0.2"/>
    <row r="7991" s="197" customFormat="1" ht="12.75" x14ac:dyDescent="0.2"/>
    <row r="7992" s="197" customFormat="1" ht="12.75" x14ac:dyDescent="0.2"/>
    <row r="7993" s="197" customFormat="1" ht="12.75" x14ac:dyDescent="0.2"/>
    <row r="7994" s="197" customFormat="1" ht="12.75" x14ac:dyDescent="0.2"/>
    <row r="7995" s="197" customFormat="1" ht="12.75" x14ac:dyDescent="0.2"/>
    <row r="7996" s="197" customFormat="1" ht="12.75" x14ac:dyDescent="0.2"/>
    <row r="7997" s="197" customFormat="1" ht="12.75" x14ac:dyDescent="0.2"/>
    <row r="7998" s="197" customFormat="1" ht="12.75" x14ac:dyDescent="0.2"/>
    <row r="7999" s="197" customFormat="1" ht="12.75" x14ac:dyDescent="0.2"/>
    <row r="8000" s="197" customFormat="1" ht="12.75" x14ac:dyDescent="0.2"/>
    <row r="8001" s="197" customFormat="1" ht="12.75" x14ac:dyDescent="0.2"/>
    <row r="8002" s="197" customFormat="1" ht="12.75" x14ac:dyDescent="0.2"/>
    <row r="8003" s="197" customFormat="1" ht="12.75" x14ac:dyDescent="0.2"/>
    <row r="8004" s="197" customFormat="1" ht="12.75" x14ac:dyDescent="0.2"/>
    <row r="8005" s="197" customFormat="1" ht="12.75" x14ac:dyDescent="0.2"/>
    <row r="8006" s="197" customFormat="1" ht="12.75" x14ac:dyDescent="0.2"/>
    <row r="8007" s="197" customFormat="1" ht="12.75" x14ac:dyDescent="0.2"/>
    <row r="8008" s="197" customFormat="1" ht="12.75" x14ac:dyDescent="0.2"/>
    <row r="8009" s="197" customFormat="1" ht="12.75" x14ac:dyDescent="0.2"/>
    <row r="8010" s="197" customFormat="1" ht="12.75" x14ac:dyDescent="0.2"/>
    <row r="8011" s="197" customFormat="1" ht="12.75" x14ac:dyDescent="0.2"/>
    <row r="8012" s="197" customFormat="1" ht="12.75" x14ac:dyDescent="0.2"/>
    <row r="8013" s="197" customFormat="1" ht="12.75" x14ac:dyDescent="0.2"/>
    <row r="8014" s="197" customFormat="1" ht="12.75" x14ac:dyDescent="0.2"/>
    <row r="8015" s="197" customFormat="1" ht="12.75" x14ac:dyDescent="0.2"/>
    <row r="8016" s="197" customFormat="1" ht="12.75" x14ac:dyDescent="0.2"/>
    <row r="8017" s="197" customFormat="1" ht="12.75" x14ac:dyDescent="0.2"/>
    <row r="8018" s="197" customFormat="1" ht="12.75" x14ac:dyDescent="0.2"/>
    <row r="8019" s="197" customFormat="1" ht="12.75" x14ac:dyDescent="0.2"/>
    <row r="8020" s="197" customFormat="1" ht="12.75" x14ac:dyDescent="0.2"/>
    <row r="8021" s="197" customFormat="1" ht="12.75" x14ac:dyDescent="0.2"/>
    <row r="8022" s="197" customFormat="1" ht="12.75" x14ac:dyDescent="0.2"/>
    <row r="8023" s="197" customFormat="1" ht="12.75" x14ac:dyDescent="0.2"/>
    <row r="8024" s="197" customFormat="1" ht="12.75" x14ac:dyDescent="0.2"/>
    <row r="8025" s="197" customFormat="1" ht="12.75" x14ac:dyDescent="0.2"/>
    <row r="8026" s="197" customFormat="1" ht="12.75" x14ac:dyDescent="0.2"/>
    <row r="8027" s="197" customFormat="1" ht="12.75" x14ac:dyDescent="0.2"/>
    <row r="8028" s="197" customFormat="1" ht="12.75" x14ac:dyDescent="0.2"/>
    <row r="8029" s="197" customFormat="1" ht="12.75" x14ac:dyDescent="0.2"/>
    <row r="8030" s="197" customFormat="1" ht="12.75" x14ac:dyDescent="0.2"/>
    <row r="8031" s="197" customFormat="1" ht="12.75" x14ac:dyDescent="0.2"/>
    <row r="8032" s="197" customFormat="1" ht="12.75" x14ac:dyDescent="0.2"/>
    <row r="8033" s="197" customFormat="1" ht="12.75" x14ac:dyDescent="0.2"/>
    <row r="8034" s="197" customFormat="1" ht="12.75" x14ac:dyDescent="0.2"/>
    <row r="8035" s="197" customFormat="1" ht="12.75" x14ac:dyDescent="0.2"/>
    <row r="8036" s="197" customFormat="1" ht="12.75" x14ac:dyDescent="0.2"/>
    <row r="8037" s="197" customFormat="1" ht="12.75" x14ac:dyDescent="0.2"/>
    <row r="8038" s="197" customFormat="1" ht="12.75" x14ac:dyDescent="0.2"/>
    <row r="8039" s="197" customFormat="1" ht="12.75" x14ac:dyDescent="0.2"/>
    <row r="8040" s="197" customFormat="1" ht="12.75" x14ac:dyDescent="0.2"/>
    <row r="8041" s="197" customFormat="1" ht="12.75" x14ac:dyDescent="0.2"/>
    <row r="8042" s="197" customFormat="1" ht="12.75" x14ac:dyDescent="0.2"/>
    <row r="8043" s="197" customFormat="1" ht="12.75" x14ac:dyDescent="0.2"/>
    <row r="8044" s="197" customFormat="1" ht="12.75" x14ac:dyDescent="0.2"/>
    <row r="8045" s="197" customFormat="1" ht="12.75" x14ac:dyDescent="0.2"/>
    <row r="8046" s="197" customFormat="1" ht="12.75" x14ac:dyDescent="0.2"/>
    <row r="8047" s="197" customFormat="1" ht="12.75" x14ac:dyDescent="0.2"/>
    <row r="8048" s="197" customFormat="1" ht="12.75" x14ac:dyDescent="0.2"/>
    <row r="8049" s="197" customFormat="1" ht="12.75" x14ac:dyDescent="0.2"/>
    <row r="8050" s="197" customFormat="1" ht="12.75" x14ac:dyDescent="0.2"/>
    <row r="8051" s="197" customFormat="1" ht="12.75" x14ac:dyDescent="0.2"/>
    <row r="8052" s="197" customFormat="1" ht="12.75" x14ac:dyDescent="0.2"/>
    <row r="8053" s="197" customFormat="1" ht="12.75" x14ac:dyDescent="0.2"/>
    <row r="8054" s="197" customFormat="1" ht="12.75" x14ac:dyDescent="0.2"/>
    <row r="8055" s="197" customFormat="1" ht="12.75" x14ac:dyDescent="0.2"/>
    <row r="8056" s="197" customFormat="1" ht="12.75" x14ac:dyDescent="0.2"/>
    <row r="8057" s="197" customFormat="1" ht="12.75" x14ac:dyDescent="0.2"/>
    <row r="8058" s="197" customFormat="1" ht="12.75" x14ac:dyDescent="0.2"/>
    <row r="8059" s="197" customFormat="1" ht="12.75" x14ac:dyDescent="0.2"/>
    <row r="8060" s="197" customFormat="1" ht="12.75" x14ac:dyDescent="0.2"/>
    <row r="8061" s="197" customFormat="1" ht="12.75" x14ac:dyDescent="0.2"/>
    <row r="8062" s="197" customFormat="1" ht="12.75" x14ac:dyDescent="0.2"/>
    <row r="8063" s="197" customFormat="1" ht="12.75" x14ac:dyDescent="0.2"/>
    <row r="8064" s="197" customFormat="1" ht="12.75" x14ac:dyDescent="0.2"/>
    <row r="8065" s="197" customFormat="1" ht="12.75" x14ac:dyDescent="0.2"/>
    <row r="8066" s="197" customFormat="1" ht="12.75" x14ac:dyDescent="0.2"/>
    <row r="8067" s="197" customFormat="1" ht="12.75" x14ac:dyDescent="0.2"/>
    <row r="8068" s="197" customFormat="1" ht="12.75" x14ac:dyDescent="0.2"/>
    <row r="8069" s="197" customFormat="1" ht="12.75" x14ac:dyDescent="0.2"/>
    <row r="8070" s="197" customFormat="1" ht="12.75" x14ac:dyDescent="0.2"/>
    <row r="8071" s="197" customFormat="1" ht="12.75" x14ac:dyDescent="0.2"/>
    <row r="8072" s="197" customFormat="1" ht="12.75" x14ac:dyDescent="0.2"/>
    <row r="8073" s="197" customFormat="1" ht="12.75" x14ac:dyDescent="0.2"/>
    <row r="8074" s="197" customFormat="1" ht="12.75" x14ac:dyDescent="0.2"/>
    <row r="8075" s="197" customFormat="1" ht="12.75" x14ac:dyDescent="0.2"/>
    <row r="8076" s="197" customFormat="1" ht="12.75" x14ac:dyDescent="0.2"/>
    <row r="8077" s="197" customFormat="1" ht="12.75" x14ac:dyDescent="0.2"/>
    <row r="8078" s="197" customFormat="1" ht="12.75" x14ac:dyDescent="0.2"/>
    <row r="8079" s="197" customFormat="1" ht="12.75" x14ac:dyDescent="0.2"/>
    <row r="8080" s="197" customFormat="1" ht="12.75" x14ac:dyDescent="0.2"/>
    <row r="8081" s="197" customFormat="1" ht="12.75" x14ac:dyDescent="0.2"/>
    <row r="8082" s="197" customFormat="1" ht="12.75" x14ac:dyDescent="0.2"/>
    <row r="8083" s="197" customFormat="1" ht="12.75" x14ac:dyDescent="0.2"/>
    <row r="8084" s="197" customFormat="1" ht="12.75" x14ac:dyDescent="0.2"/>
    <row r="8085" s="197" customFormat="1" ht="12.75" x14ac:dyDescent="0.2"/>
    <row r="8086" s="197" customFormat="1" ht="12.75" x14ac:dyDescent="0.2"/>
    <row r="8087" s="197" customFormat="1" ht="12.75" x14ac:dyDescent="0.2"/>
    <row r="8088" s="197" customFormat="1" ht="12.75" x14ac:dyDescent="0.2"/>
    <row r="8089" s="197" customFormat="1" ht="12.75" x14ac:dyDescent="0.2"/>
    <row r="8090" s="197" customFormat="1" ht="12.75" x14ac:dyDescent="0.2"/>
    <row r="8091" s="197" customFormat="1" ht="12.75" x14ac:dyDescent="0.2"/>
    <row r="8092" s="197" customFormat="1" ht="12.75" x14ac:dyDescent="0.2"/>
    <row r="8093" s="197" customFormat="1" ht="12.75" x14ac:dyDescent="0.2"/>
    <row r="8094" s="197" customFormat="1" ht="12.75" x14ac:dyDescent="0.2"/>
    <row r="8095" s="197" customFormat="1" ht="12.75" x14ac:dyDescent="0.2"/>
    <row r="8096" s="197" customFormat="1" ht="12.75" x14ac:dyDescent="0.2"/>
    <row r="8097" s="197" customFormat="1" ht="12.75" x14ac:dyDescent="0.2"/>
    <row r="8098" s="197" customFormat="1" ht="12.75" x14ac:dyDescent="0.2"/>
    <row r="8099" s="197" customFormat="1" ht="12.75" x14ac:dyDescent="0.2"/>
    <row r="8100" s="197" customFormat="1" ht="12.75" x14ac:dyDescent="0.2"/>
    <row r="8101" s="197" customFormat="1" ht="12.75" x14ac:dyDescent="0.2"/>
    <row r="8102" s="197" customFormat="1" ht="12.75" x14ac:dyDescent="0.2"/>
    <row r="8103" s="197" customFormat="1" ht="12.75" x14ac:dyDescent="0.2"/>
    <row r="8104" s="197" customFormat="1" ht="12.75" x14ac:dyDescent="0.2"/>
    <row r="8105" s="197" customFormat="1" ht="12.75" x14ac:dyDescent="0.2"/>
    <row r="8106" s="197" customFormat="1" ht="12.75" x14ac:dyDescent="0.2"/>
    <row r="8107" s="197" customFormat="1" ht="12.75" x14ac:dyDescent="0.2"/>
    <row r="8108" s="197" customFormat="1" ht="12.75" x14ac:dyDescent="0.2"/>
    <row r="8109" s="197" customFormat="1" ht="12.75" x14ac:dyDescent="0.2"/>
    <row r="8110" s="197" customFormat="1" ht="12.75" x14ac:dyDescent="0.2"/>
    <row r="8111" s="197" customFormat="1" ht="12.75" x14ac:dyDescent="0.2"/>
    <row r="8112" s="197" customFormat="1" ht="12.75" x14ac:dyDescent="0.2"/>
    <row r="8113" s="197" customFormat="1" ht="12.75" x14ac:dyDescent="0.2"/>
    <row r="8114" s="197" customFormat="1" ht="12.75" x14ac:dyDescent="0.2"/>
    <row r="8115" s="197" customFormat="1" ht="12.75" x14ac:dyDescent="0.2"/>
    <row r="8116" s="197" customFormat="1" ht="12.75" x14ac:dyDescent="0.2"/>
    <row r="8117" s="197" customFormat="1" ht="12.75" x14ac:dyDescent="0.2"/>
    <row r="8118" s="197" customFormat="1" ht="12.75" x14ac:dyDescent="0.2"/>
    <row r="8119" s="197" customFormat="1" ht="12.75" x14ac:dyDescent="0.2"/>
    <row r="8120" s="197" customFormat="1" ht="12.75" x14ac:dyDescent="0.2"/>
    <row r="8121" s="197" customFormat="1" ht="12.75" x14ac:dyDescent="0.2"/>
    <row r="8122" s="197" customFormat="1" ht="12.75" x14ac:dyDescent="0.2"/>
    <row r="8123" s="197" customFormat="1" ht="12.75" x14ac:dyDescent="0.2"/>
    <row r="8124" s="197" customFormat="1" ht="12.75" x14ac:dyDescent="0.2"/>
    <row r="8125" s="197" customFormat="1" ht="12.75" x14ac:dyDescent="0.2"/>
    <row r="8126" s="197" customFormat="1" ht="12.75" x14ac:dyDescent="0.2"/>
    <row r="8127" s="197" customFormat="1" ht="12.75" x14ac:dyDescent="0.2"/>
    <row r="8128" s="197" customFormat="1" ht="12.75" x14ac:dyDescent="0.2"/>
    <row r="8129" s="197" customFormat="1" ht="12.75" x14ac:dyDescent="0.2"/>
    <row r="8130" s="197" customFormat="1" ht="12.75" x14ac:dyDescent="0.2"/>
    <row r="8131" s="197" customFormat="1" ht="12.75" x14ac:dyDescent="0.2"/>
    <row r="8132" s="197" customFormat="1" ht="12.75" x14ac:dyDescent="0.2"/>
    <row r="8133" s="197" customFormat="1" ht="12.75" x14ac:dyDescent="0.2"/>
    <row r="8134" s="197" customFormat="1" ht="12.75" x14ac:dyDescent="0.2"/>
    <row r="8135" s="197" customFormat="1" ht="12.75" x14ac:dyDescent="0.2"/>
    <row r="8136" s="197" customFormat="1" ht="12.75" x14ac:dyDescent="0.2"/>
    <row r="8137" s="197" customFormat="1" ht="12.75" x14ac:dyDescent="0.2"/>
    <row r="8138" s="197" customFormat="1" ht="12.75" x14ac:dyDescent="0.2"/>
    <row r="8139" s="197" customFormat="1" ht="12.75" x14ac:dyDescent="0.2"/>
    <row r="8140" s="197" customFormat="1" ht="12.75" x14ac:dyDescent="0.2"/>
    <row r="8141" s="197" customFormat="1" ht="12.75" x14ac:dyDescent="0.2"/>
    <row r="8142" s="197" customFormat="1" ht="12.75" x14ac:dyDescent="0.2"/>
    <row r="8143" s="197" customFormat="1" ht="12.75" x14ac:dyDescent="0.2"/>
    <row r="8144" s="197" customFormat="1" ht="12.75" x14ac:dyDescent="0.2"/>
    <row r="8145" s="197" customFormat="1" ht="12.75" x14ac:dyDescent="0.2"/>
    <row r="8146" s="197" customFormat="1" ht="12.75" x14ac:dyDescent="0.2"/>
    <row r="8147" s="197" customFormat="1" ht="12.75" x14ac:dyDescent="0.2"/>
    <row r="8148" s="197" customFormat="1" ht="12.75" x14ac:dyDescent="0.2"/>
    <row r="8149" s="197" customFormat="1" ht="12.75" x14ac:dyDescent="0.2"/>
    <row r="8150" s="197" customFormat="1" ht="12.75" x14ac:dyDescent="0.2"/>
    <row r="8151" s="197" customFormat="1" ht="12.75" x14ac:dyDescent="0.2"/>
    <row r="8152" s="197" customFormat="1" ht="12.75" x14ac:dyDescent="0.2"/>
    <row r="8153" s="197" customFormat="1" ht="12.75" x14ac:dyDescent="0.2"/>
    <row r="8154" s="197" customFormat="1" ht="12.75" x14ac:dyDescent="0.2"/>
    <row r="8155" s="197" customFormat="1" ht="12.75" x14ac:dyDescent="0.2"/>
    <row r="8156" s="197" customFormat="1" ht="12.75" x14ac:dyDescent="0.2"/>
    <row r="8157" s="197" customFormat="1" ht="12.75" x14ac:dyDescent="0.2"/>
    <row r="8158" s="197" customFormat="1" ht="12.75" x14ac:dyDescent="0.2"/>
    <row r="8159" s="197" customFormat="1" ht="12.75" x14ac:dyDescent="0.2"/>
    <row r="8160" s="197" customFormat="1" ht="12.75" x14ac:dyDescent="0.2"/>
    <row r="8161" s="197" customFormat="1" ht="12.75" x14ac:dyDescent="0.2"/>
    <row r="8162" s="197" customFormat="1" ht="12.75" x14ac:dyDescent="0.2"/>
    <row r="8163" s="197" customFormat="1" ht="12.75" x14ac:dyDescent="0.2"/>
    <row r="8164" s="197" customFormat="1" ht="12.75" x14ac:dyDescent="0.2"/>
    <row r="8165" s="197" customFormat="1" ht="12.75" x14ac:dyDescent="0.2"/>
    <row r="8166" s="197" customFormat="1" ht="12.75" x14ac:dyDescent="0.2"/>
    <row r="8167" s="197" customFormat="1" ht="12.75" x14ac:dyDescent="0.2"/>
    <row r="8168" s="197" customFormat="1" ht="12.75" x14ac:dyDescent="0.2"/>
    <row r="8169" s="197" customFormat="1" ht="12.75" x14ac:dyDescent="0.2"/>
    <row r="8170" s="197" customFormat="1" ht="12.75" x14ac:dyDescent="0.2"/>
    <row r="8171" s="197" customFormat="1" ht="12.75" x14ac:dyDescent="0.2"/>
    <row r="8172" s="197" customFormat="1" ht="12.75" x14ac:dyDescent="0.2"/>
    <row r="8173" s="197" customFormat="1" ht="12.75" x14ac:dyDescent="0.2"/>
    <row r="8174" s="197" customFormat="1" ht="12.75" x14ac:dyDescent="0.2"/>
    <row r="8175" s="197" customFormat="1" ht="12.75" x14ac:dyDescent="0.2"/>
    <row r="8176" s="197" customFormat="1" ht="12.75" x14ac:dyDescent="0.2"/>
    <row r="8177" s="197" customFormat="1" ht="12.75" x14ac:dyDescent="0.2"/>
    <row r="8178" s="197" customFormat="1" ht="12.75" x14ac:dyDescent="0.2"/>
    <row r="8179" s="197" customFormat="1" ht="12.75" x14ac:dyDescent="0.2"/>
    <row r="8180" s="197" customFormat="1" ht="12.75" x14ac:dyDescent="0.2"/>
    <row r="8181" s="197" customFormat="1" ht="12.75" x14ac:dyDescent="0.2"/>
    <row r="8182" s="197" customFormat="1" ht="12.75" x14ac:dyDescent="0.2"/>
    <row r="8183" s="197" customFormat="1" ht="12.75" x14ac:dyDescent="0.2"/>
    <row r="8184" s="197" customFormat="1" ht="12.75" x14ac:dyDescent="0.2"/>
    <row r="8185" s="197" customFormat="1" ht="12.75" x14ac:dyDescent="0.2"/>
    <row r="8186" s="197" customFormat="1" ht="12.75" x14ac:dyDescent="0.2"/>
    <row r="8187" s="197" customFormat="1" ht="12.75" x14ac:dyDescent="0.2"/>
    <row r="8188" s="197" customFormat="1" ht="12.75" x14ac:dyDescent="0.2"/>
    <row r="8189" s="197" customFormat="1" ht="12.75" x14ac:dyDescent="0.2"/>
    <row r="8190" s="197" customFormat="1" ht="12.75" x14ac:dyDescent="0.2"/>
    <row r="8191" s="197" customFormat="1" ht="12.75" x14ac:dyDescent="0.2"/>
    <row r="8192" s="197" customFormat="1" ht="12.75" x14ac:dyDescent="0.2"/>
    <row r="8193" s="197" customFormat="1" ht="12.75" x14ac:dyDescent="0.2"/>
    <row r="8194" s="197" customFormat="1" ht="12.75" x14ac:dyDescent="0.2"/>
    <row r="8195" s="197" customFormat="1" ht="12.75" x14ac:dyDescent="0.2"/>
    <row r="8196" s="197" customFormat="1" ht="12.75" x14ac:dyDescent="0.2"/>
    <row r="8197" s="197" customFormat="1" ht="12.75" x14ac:dyDescent="0.2"/>
    <row r="8198" s="197" customFormat="1" ht="12.75" x14ac:dyDescent="0.2"/>
    <row r="8199" s="197" customFormat="1" ht="12.75" x14ac:dyDescent="0.2"/>
    <row r="8200" s="197" customFormat="1" ht="12.75" x14ac:dyDescent="0.2"/>
    <row r="8201" s="197" customFormat="1" ht="12.75" x14ac:dyDescent="0.2"/>
    <row r="8202" s="197" customFormat="1" ht="12.75" x14ac:dyDescent="0.2"/>
    <row r="8203" s="197" customFormat="1" ht="12.75" x14ac:dyDescent="0.2"/>
    <row r="8204" s="197" customFormat="1" ht="12.75" x14ac:dyDescent="0.2"/>
    <row r="8205" s="197" customFormat="1" ht="12.75" x14ac:dyDescent="0.2"/>
    <row r="8206" s="197" customFormat="1" ht="12.75" x14ac:dyDescent="0.2"/>
    <row r="8207" s="197" customFormat="1" ht="12.75" x14ac:dyDescent="0.2"/>
    <row r="8208" s="197" customFormat="1" ht="12.75" x14ac:dyDescent="0.2"/>
    <row r="8209" s="197" customFormat="1" ht="12.75" x14ac:dyDescent="0.2"/>
    <row r="8210" s="197" customFormat="1" ht="12.75" x14ac:dyDescent="0.2"/>
    <row r="8211" s="197" customFormat="1" ht="12.75" x14ac:dyDescent="0.2"/>
    <row r="8212" s="197" customFormat="1" ht="12.75" x14ac:dyDescent="0.2"/>
    <row r="8213" s="197" customFormat="1" ht="12.75" x14ac:dyDescent="0.2"/>
    <row r="8214" s="197" customFormat="1" ht="12.75" x14ac:dyDescent="0.2"/>
    <row r="8215" s="197" customFormat="1" ht="12.75" x14ac:dyDescent="0.2"/>
    <row r="8216" s="197" customFormat="1" ht="12.75" x14ac:dyDescent="0.2"/>
    <row r="8217" s="197" customFormat="1" ht="12.75" x14ac:dyDescent="0.2"/>
    <row r="8218" s="197" customFormat="1" ht="12.75" x14ac:dyDescent="0.2"/>
    <row r="8219" s="197" customFormat="1" ht="12.75" x14ac:dyDescent="0.2"/>
    <row r="8220" s="197" customFormat="1" ht="12.75" x14ac:dyDescent="0.2"/>
    <row r="8221" s="197" customFormat="1" ht="12.75" x14ac:dyDescent="0.2"/>
    <row r="8222" s="197" customFormat="1" ht="12.75" x14ac:dyDescent="0.2"/>
    <row r="8223" s="197" customFormat="1" ht="12.75" x14ac:dyDescent="0.2"/>
    <row r="8224" s="197" customFormat="1" ht="12.75" x14ac:dyDescent="0.2"/>
    <row r="8225" s="197" customFormat="1" ht="12.75" x14ac:dyDescent="0.2"/>
    <row r="8226" s="197" customFormat="1" ht="12.75" x14ac:dyDescent="0.2"/>
    <row r="8227" s="197" customFormat="1" ht="12.75" x14ac:dyDescent="0.2"/>
    <row r="8228" s="197" customFormat="1" ht="12.75" x14ac:dyDescent="0.2"/>
    <row r="8229" s="197" customFormat="1" ht="12.75" x14ac:dyDescent="0.2"/>
    <row r="8230" s="197" customFormat="1" ht="12.75" x14ac:dyDescent="0.2"/>
    <row r="8231" s="197" customFormat="1" ht="12.75" x14ac:dyDescent="0.2"/>
    <row r="8232" s="197" customFormat="1" ht="12.75" x14ac:dyDescent="0.2"/>
    <row r="8233" s="197" customFormat="1" ht="12.75" x14ac:dyDescent="0.2"/>
    <row r="8234" s="197" customFormat="1" ht="12.75" x14ac:dyDescent="0.2"/>
    <row r="8235" s="197" customFormat="1" ht="12.75" x14ac:dyDescent="0.2"/>
    <row r="8236" s="197" customFormat="1" ht="12.75" x14ac:dyDescent="0.2"/>
    <row r="8237" s="197" customFormat="1" ht="12.75" x14ac:dyDescent="0.2"/>
    <row r="8238" s="197" customFormat="1" ht="12.75" x14ac:dyDescent="0.2"/>
    <row r="8239" s="197" customFormat="1" ht="12.75" x14ac:dyDescent="0.2"/>
    <row r="8240" s="197" customFormat="1" ht="12.75" x14ac:dyDescent="0.2"/>
    <row r="8241" s="197" customFormat="1" ht="12.75" x14ac:dyDescent="0.2"/>
    <row r="8242" s="197" customFormat="1" ht="12.75" x14ac:dyDescent="0.2"/>
    <row r="8243" s="197" customFormat="1" ht="12.75" x14ac:dyDescent="0.2"/>
    <row r="8244" s="197" customFormat="1" ht="12.75" x14ac:dyDescent="0.2"/>
    <row r="8245" s="197" customFormat="1" ht="12.75" x14ac:dyDescent="0.2"/>
    <row r="8246" s="197" customFormat="1" ht="12.75" x14ac:dyDescent="0.2"/>
    <row r="8247" s="197" customFormat="1" ht="12.75" x14ac:dyDescent="0.2"/>
    <row r="8248" s="197" customFormat="1" ht="12.75" x14ac:dyDescent="0.2"/>
    <row r="8249" s="197" customFormat="1" ht="12.75" x14ac:dyDescent="0.2"/>
    <row r="8250" s="197" customFormat="1" ht="12.75" x14ac:dyDescent="0.2"/>
    <row r="8251" s="197" customFormat="1" ht="12.75" x14ac:dyDescent="0.2"/>
    <row r="8252" s="197" customFormat="1" ht="12.75" x14ac:dyDescent="0.2"/>
    <row r="8253" s="197" customFormat="1" ht="12.75" x14ac:dyDescent="0.2"/>
    <row r="8254" s="197" customFormat="1" ht="12.75" x14ac:dyDescent="0.2"/>
    <row r="8255" s="197" customFormat="1" ht="12.75" x14ac:dyDescent="0.2"/>
    <row r="8256" s="197" customFormat="1" ht="12.75" x14ac:dyDescent="0.2"/>
    <row r="8257" s="197" customFormat="1" ht="12.75" x14ac:dyDescent="0.2"/>
    <row r="8258" s="197" customFormat="1" ht="12.75" x14ac:dyDescent="0.2"/>
    <row r="8259" s="197" customFormat="1" ht="12.75" x14ac:dyDescent="0.2"/>
    <row r="8260" s="197" customFormat="1" ht="12.75" x14ac:dyDescent="0.2"/>
    <row r="8261" s="197" customFormat="1" ht="12.75" x14ac:dyDescent="0.2"/>
    <row r="8262" s="197" customFormat="1" ht="12.75" x14ac:dyDescent="0.2"/>
    <row r="8263" s="197" customFormat="1" ht="12.75" x14ac:dyDescent="0.2"/>
    <row r="8264" s="197" customFormat="1" ht="12.75" x14ac:dyDescent="0.2"/>
    <row r="8265" s="197" customFormat="1" ht="12.75" x14ac:dyDescent="0.2"/>
    <row r="8266" s="197" customFormat="1" ht="12.75" x14ac:dyDescent="0.2"/>
    <row r="8267" s="197" customFormat="1" ht="12.75" x14ac:dyDescent="0.2"/>
    <row r="8268" s="197" customFormat="1" ht="12.75" x14ac:dyDescent="0.2"/>
    <row r="8269" s="197" customFormat="1" ht="12.75" x14ac:dyDescent="0.2"/>
    <row r="8270" s="197" customFormat="1" ht="12.75" x14ac:dyDescent="0.2"/>
    <row r="8271" s="197" customFormat="1" ht="12.75" x14ac:dyDescent="0.2"/>
    <row r="8272" s="197" customFormat="1" ht="12.75" x14ac:dyDescent="0.2"/>
    <row r="8273" s="197" customFormat="1" ht="12.75" x14ac:dyDescent="0.2"/>
    <row r="8274" s="197" customFormat="1" ht="12.75" x14ac:dyDescent="0.2"/>
    <row r="8275" s="197" customFormat="1" ht="12.75" x14ac:dyDescent="0.2"/>
    <row r="8276" s="197" customFormat="1" ht="12.75" x14ac:dyDescent="0.2"/>
    <row r="8277" s="197" customFormat="1" ht="12.75" x14ac:dyDescent="0.2"/>
    <row r="8278" s="197" customFormat="1" ht="12.75" x14ac:dyDescent="0.2"/>
    <row r="8279" s="197" customFormat="1" ht="12.75" x14ac:dyDescent="0.2"/>
    <row r="8280" s="197" customFormat="1" ht="12.75" x14ac:dyDescent="0.2"/>
    <row r="8281" s="197" customFormat="1" ht="12.75" x14ac:dyDescent="0.2"/>
    <row r="8282" s="197" customFormat="1" ht="12.75" x14ac:dyDescent="0.2"/>
    <row r="8283" s="197" customFormat="1" ht="12.75" x14ac:dyDescent="0.2"/>
    <row r="8284" s="197" customFormat="1" ht="12.75" x14ac:dyDescent="0.2"/>
    <row r="8285" s="197" customFormat="1" ht="12.75" x14ac:dyDescent="0.2"/>
    <row r="8286" s="197" customFormat="1" ht="12.75" x14ac:dyDescent="0.2"/>
    <row r="8287" s="197" customFormat="1" ht="12.75" x14ac:dyDescent="0.2"/>
    <row r="8288" s="197" customFormat="1" ht="12.75" x14ac:dyDescent="0.2"/>
    <row r="8289" s="197" customFormat="1" ht="12.75" x14ac:dyDescent="0.2"/>
    <row r="8290" s="197" customFormat="1" ht="12.75" x14ac:dyDescent="0.2"/>
    <row r="8291" s="197" customFormat="1" ht="12.75" x14ac:dyDescent="0.2"/>
    <row r="8292" s="197" customFormat="1" ht="12.75" x14ac:dyDescent="0.2"/>
    <row r="8293" s="197" customFormat="1" ht="12.75" x14ac:dyDescent="0.2"/>
    <row r="8294" s="197" customFormat="1" ht="12.75" x14ac:dyDescent="0.2"/>
    <row r="8295" s="197" customFormat="1" ht="12.75" x14ac:dyDescent="0.2"/>
    <row r="8296" s="197" customFormat="1" ht="12.75" x14ac:dyDescent="0.2"/>
    <row r="8297" s="197" customFormat="1" ht="12.75" x14ac:dyDescent="0.2"/>
    <row r="8298" s="197" customFormat="1" ht="12.75" x14ac:dyDescent="0.2"/>
    <row r="8299" s="197" customFormat="1" ht="12.75" x14ac:dyDescent="0.2"/>
    <row r="8300" s="197" customFormat="1" ht="12.75" x14ac:dyDescent="0.2"/>
    <row r="8301" s="197" customFormat="1" ht="12.75" x14ac:dyDescent="0.2"/>
    <row r="8302" s="197" customFormat="1" ht="12.75" x14ac:dyDescent="0.2"/>
    <row r="8303" s="197" customFormat="1" ht="12.75" x14ac:dyDescent="0.2"/>
    <row r="8304" s="197" customFormat="1" ht="12.75" x14ac:dyDescent="0.2"/>
    <row r="8305" s="197" customFormat="1" ht="12.75" x14ac:dyDescent="0.2"/>
    <row r="8306" s="197" customFormat="1" ht="12.75" x14ac:dyDescent="0.2"/>
    <row r="8307" s="197" customFormat="1" ht="12.75" x14ac:dyDescent="0.2"/>
    <row r="8308" s="197" customFormat="1" ht="12.75" x14ac:dyDescent="0.2"/>
    <row r="8309" s="197" customFormat="1" ht="12.75" x14ac:dyDescent="0.2"/>
    <row r="8310" s="197" customFormat="1" ht="12.75" x14ac:dyDescent="0.2"/>
    <row r="8311" s="197" customFormat="1" ht="12.75" x14ac:dyDescent="0.2"/>
    <row r="8312" s="197" customFormat="1" ht="12.75" x14ac:dyDescent="0.2"/>
    <row r="8313" s="197" customFormat="1" ht="12.75" x14ac:dyDescent="0.2"/>
    <row r="8314" s="197" customFormat="1" ht="12.75" x14ac:dyDescent="0.2"/>
    <row r="8315" s="197" customFormat="1" ht="12.75" x14ac:dyDescent="0.2"/>
    <row r="8316" s="197" customFormat="1" ht="12.75" x14ac:dyDescent="0.2"/>
    <row r="8317" s="197" customFormat="1" ht="12.75" x14ac:dyDescent="0.2"/>
    <row r="8318" s="197" customFormat="1" ht="12.75" x14ac:dyDescent="0.2"/>
    <row r="8319" s="197" customFormat="1" ht="12.75" x14ac:dyDescent="0.2"/>
    <row r="8320" s="197" customFormat="1" ht="12.75" x14ac:dyDescent="0.2"/>
    <row r="8321" s="197" customFormat="1" ht="12.75" x14ac:dyDescent="0.2"/>
    <row r="8322" s="197" customFormat="1" ht="12.75" x14ac:dyDescent="0.2"/>
    <row r="8323" s="197" customFormat="1" ht="12.75" x14ac:dyDescent="0.2"/>
    <row r="8324" s="197" customFormat="1" ht="12.75" x14ac:dyDescent="0.2"/>
    <row r="8325" s="197" customFormat="1" ht="12.75" x14ac:dyDescent="0.2"/>
    <row r="8326" s="197" customFormat="1" ht="12.75" x14ac:dyDescent="0.2"/>
    <row r="8327" s="197" customFormat="1" ht="12.75" x14ac:dyDescent="0.2"/>
    <row r="8328" s="197" customFormat="1" ht="12.75" x14ac:dyDescent="0.2"/>
    <row r="8329" s="197" customFormat="1" ht="12.75" x14ac:dyDescent="0.2"/>
    <row r="8330" s="197" customFormat="1" ht="12.75" x14ac:dyDescent="0.2"/>
    <row r="8331" s="197" customFormat="1" ht="12.75" x14ac:dyDescent="0.2"/>
    <row r="8332" s="197" customFormat="1" ht="12.75" x14ac:dyDescent="0.2"/>
    <row r="8333" s="197" customFormat="1" ht="12.75" x14ac:dyDescent="0.2"/>
    <row r="8334" s="197" customFormat="1" ht="12.75" x14ac:dyDescent="0.2"/>
    <row r="8335" s="197" customFormat="1" ht="12.75" x14ac:dyDescent="0.2"/>
    <row r="8336" s="197" customFormat="1" ht="12.75" x14ac:dyDescent="0.2"/>
    <row r="8337" s="197" customFormat="1" ht="12.75" x14ac:dyDescent="0.2"/>
    <row r="8338" s="197" customFormat="1" ht="12.75" x14ac:dyDescent="0.2"/>
    <row r="8339" s="197" customFormat="1" ht="12.75" x14ac:dyDescent="0.2"/>
    <row r="8340" s="197" customFormat="1" ht="12.75" x14ac:dyDescent="0.2"/>
    <row r="8341" s="197" customFormat="1" ht="12.75" x14ac:dyDescent="0.2"/>
    <row r="8342" s="197" customFormat="1" ht="12.75" x14ac:dyDescent="0.2"/>
    <row r="8343" s="197" customFormat="1" ht="12.75" x14ac:dyDescent="0.2"/>
    <row r="8344" s="197" customFormat="1" ht="12.75" x14ac:dyDescent="0.2"/>
    <row r="8345" s="197" customFormat="1" ht="12.75" x14ac:dyDescent="0.2"/>
    <row r="8346" s="197" customFormat="1" ht="12.75" x14ac:dyDescent="0.2"/>
    <row r="8347" s="197" customFormat="1" ht="12.75" x14ac:dyDescent="0.2"/>
    <row r="8348" s="197" customFormat="1" ht="12.75" x14ac:dyDescent="0.2"/>
    <row r="8349" s="197" customFormat="1" ht="12.75" x14ac:dyDescent="0.2"/>
    <row r="8350" s="197" customFormat="1" ht="12.75" x14ac:dyDescent="0.2"/>
    <row r="8351" s="197" customFormat="1" ht="12.75" x14ac:dyDescent="0.2"/>
    <row r="8352" s="197" customFormat="1" ht="12.75" x14ac:dyDescent="0.2"/>
    <row r="8353" s="197" customFormat="1" ht="12.75" x14ac:dyDescent="0.2"/>
    <row r="8354" s="197" customFormat="1" ht="12.75" x14ac:dyDescent="0.2"/>
    <row r="8355" s="197" customFormat="1" ht="12.75" x14ac:dyDescent="0.2"/>
    <row r="8356" s="197" customFormat="1" ht="12.75" x14ac:dyDescent="0.2"/>
    <row r="8357" s="197" customFormat="1" ht="12.75" x14ac:dyDescent="0.2"/>
    <row r="8358" s="197" customFormat="1" ht="12.75" x14ac:dyDescent="0.2"/>
    <row r="8359" s="197" customFormat="1" ht="12.75" x14ac:dyDescent="0.2"/>
    <row r="8360" s="197" customFormat="1" ht="12.75" x14ac:dyDescent="0.2"/>
    <row r="8361" s="197" customFormat="1" ht="12.75" x14ac:dyDescent="0.2"/>
    <row r="8362" s="197" customFormat="1" ht="12.75" x14ac:dyDescent="0.2"/>
    <row r="8363" s="197" customFormat="1" ht="12.75" x14ac:dyDescent="0.2"/>
    <row r="8364" s="197" customFormat="1" ht="12.75" x14ac:dyDescent="0.2"/>
    <row r="8365" s="197" customFormat="1" ht="12.75" x14ac:dyDescent="0.2"/>
    <row r="8366" s="197" customFormat="1" ht="12.75" x14ac:dyDescent="0.2"/>
    <row r="8367" s="197" customFormat="1" ht="12.75" x14ac:dyDescent="0.2"/>
    <row r="8368" s="197" customFormat="1" ht="12.75" x14ac:dyDescent="0.2"/>
    <row r="8369" s="197" customFormat="1" ht="12.75" x14ac:dyDescent="0.2"/>
    <row r="8370" s="197" customFormat="1" ht="12.75" x14ac:dyDescent="0.2"/>
    <row r="8371" s="197" customFormat="1" ht="12.75" x14ac:dyDescent="0.2"/>
    <row r="8372" s="197" customFormat="1" ht="12.75" x14ac:dyDescent="0.2"/>
    <row r="8373" s="197" customFormat="1" ht="12.75" x14ac:dyDescent="0.2"/>
    <row r="8374" s="197" customFormat="1" ht="12.75" x14ac:dyDescent="0.2"/>
    <row r="8375" s="197" customFormat="1" ht="12.75" x14ac:dyDescent="0.2"/>
    <row r="8376" s="197" customFormat="1" ht="12.75" x14ac:dyDescent="0.2"/>
    <row r="8377" s="197" customFormat="1" ht="12.75" x14ac:dyDescent="0.2"/>
    <row r="8378" s="197" customFormat="1" ht="12.75" x14ac:dyDescent="0.2"/>
    <row r="8379" s="197" customFormat="1" ht="12.75" x14ac:dyDescent="0.2"/>
    <row r="8380" s="197" customFormat="1" ht="12.75" x14ac:dyDescent="0.2"/>
    <row r="8381" s="197" customFormat="1" ht="12.75" x14ac:dyDescent="0.2"/>
    <row r="8382" s="197" customFormat="1" ht="12.75" x14ac:dyDescent="0.2"/>
    <row r="8383" s="197" customFormat="1" ht="12.75" x14ac:dyDescent="0.2"/>
    <row r="8384" s="197" customFormat="1" ht="12.75" x14ac:dyDescent="0.2"/>
    <row r="8385" s="197" customFormat="1" ht="12.75" x14ac:dyDescent="0.2"/>
    <row r="8386" s="197" customFormat="1" ht="12.75" x14ac:dyDescent="0.2"/>
    <row r="8387" s="197" customFormat="1" ht="12.75" x14ac:dyDescent="0.2"/>
    <row r="8388" s="197" customFormat="1" ht="12.75" x14ac:dyDescent="0.2"/>
    <row r="8389" s="197" customFormat="1" ht="12.75" x14ac:dyDescent="0.2"/>
    <row r="8390" s="197" customFormat="1" ht="12.75" x14ac:dyDescent="0.2"/>
    <row r="8391" s="197" customFormat="1" ht="12.75" x14ac:dyDescent="0.2"/>
    <row r="8392" s="197" customFormat="1" ht="12.75" x14ac:dyDescent="0.2"/>
    <row r="8393" s="197" customFormat="1" ht="12.75" x14ac:dyDescent="0.2"/>
    <row r="8394" s="197" customFormat="1" ht="12.75" x14ac:dyDescent="0.2"/>
    <row r="8395" s="197" customFormat="1" ht="12.75" x14ac:dyDescent="0.2"/>
    <row r="8396" s="197" customFormat="1" ht="12.75" x14ac:dyDescent="0.2"/>
    <row r="8397" s="197" customFormat="1" ht="12.75" x14ac:dyDescent="0.2"/>
    <row r="8398" s="197" customFormat="1" ht="12.75" x14ac:dyDescent="0.2"/>
    <row r="8399" s="197" customFormat="1" ht="12.75" x14ac:dyDescent="0.2"/>
    <row r="8400" s="197" customFormat="1" ht="12.75" x14ac:dyDescent="0.2"/>
    <row r="8401" s="197" customFormat="1" ht="12.75" x14ac:dyDescent="0.2"/>
    <row r="8402" s="197" customFormat="1" ht="12.75" x14ac:dyDescent="0.2"/>
    <row r="8403" s="197" customFormat="1" ht="12.75" x14ac:dyDescent="0.2"/>
    <row r="8404" s="197" customFormat="1" ht="12.75" x14ac:dyDescent="0.2"/>
    <row r="8405" s="197" customFormat="1" ht="12.75" x14ac:dyDescent="0.2"/>
    <row r="8406" s="197" customFormat="1" ht="12.75" x14ac:dyDescent="0.2"/>
    <row r="8407" s="197" customFormat="1" ht="12.75" x14ac:dyDescent="0.2"/>
    <row r="8408" s="197" customFormat="1" ht="12.75" x14ac:dyDescent="0.2"/>
    <row r="8409" s="197" customFormat="1" ht="12.75" x14ac:dyDescent="0.2"/>
    <row r="8410" s="197" customFormat="1" ht="12.75" x14ac:dyDescent="0.2"/>
    <row r="8411" s="197" customFormat="1" ht="12.75" x14ac:dyDescent="0.2"/>
    <row r="8412" s="197" customFormat="1" ht="12.75" x14ac:dyDescent="0.2"/>
    <row r="8413" s="197" customFormat="1" ht="12.75" x14ac:dyDescent="0.2"/>
    <row r="8414" s="197" customFormat="1" ht="12.75" x14ac:dyDescent="0.2"/>
    <row r="8415" s="197" customFormat="1" ht="12.75" x14ac:dyDescent="0.2"/>
    <row r="8416" s="197" customFormat="1" ht="12.75" x14ac:dyDescent="0.2"/>
    <row r="8417" s="197" customFormat="1" ht="12.75" x14ac:dyDescent="0.2"/>
    <row r="8418" s="197" customFormat="1" ht="12.75" x14ac:dyDescent="0.2"/>
    <row r="8419" s="197" customFormat="1" ht="12.75" x14ac:dyDescent="0.2"/>
    <row r="8420" s="197" customFormat="1" ht="12.75" x14ac:dyDescent="0.2"/>
    <row r="8421" s="197" customFormat="1" ht="12.75" x14ac:dyDescent="0.2"/>
    <row r="8422" s="197" customFormat="1" ht="12.75" x14ac:dyDescent="0.2"/>
    <row r="8423" s="197" customFormat="1" ht="12.75" x14ac:dyDescent="0.2"/>
    <row r="8424" s="197" customFormat="1" ht="12.75" x14ac:dyDescent="0.2"/>
    <row r="8425" s="197" customFormat="1" ht="12.75" x14ac:dyDescent="0.2"/>
    <row r="8426" s="197" customFormat="1" ht="12.75" x14ac:dyDescent="0.2"/>
    <row r="8427" s="197" customFormat="1" ht="12.75" x14ac:dyDescent="0.2"/>
    <row r="8428" s="197" customFormat="1" ht="12.75" x14ac:dyDescent="0.2"/>
    <row r="8429" s="197" customFormat="1" ht="12.75" x14ac:dyDescent="0.2"/>
    <row r="8430" s="197" customFormat="1" ht="12.75" x14ac:dyDescent="0.2"/>
    <row r="8431" s="197" customFormat="1" ht="12.75" x14ac:dyDescent="0.2"/>
    <row r="8432" s="197" customFormat="1" ht="12.75" x14ac:dyDescent="0.2"/>
    <row r="8433" s="197" customFormat="1" ht="12.75" x14ac:dyDescent="0.2"/>
    <row r="8434" s="197" customFormat="1" ht="12.75" x14ac:dyDescent="0.2"/>
    <row r="8435" s="197" customFormat="1" ht="12.75" x14ac:dyDescent="0.2"/>
    <row r="8436" s="197" customFormat="1" ht="12.75" x14ac:dyDescent="0.2"/>
    <row r="8437" s="197" customFormat="1" ht="12.75" x14ac:dyDescent="0.2"/>
    <row r="8438" s="197" customFormat="1" ht="12.75" x14ac:dyDescent="0.2"/>
    <row r="8439" s="197" customFormat="1" ht="12.75" x14ac:dyDescent="0.2"/>
    <row r="8440" s="197" customFormat="1" ht="12.75" x14ac:dyDescent="0.2"/>
    <row r="8441" s="197" customFormat="1" ht="12.75" x14ac:dyDescent="0.2"/>
    <row r="8442" s="197" customFormat="1" ht="12.75" x14ac:dyDescent="0.2"/>
    <row r="8443" s="197" customFormat="1" ht="12.75" x14ac:dyDescent="0.2"/>
    <row r="8444" s="197" customFormat="1" ht="12.75" x14ac:dyDescent="0.2"/>
    <row r="8445" s="197" customFormat="1" ht="12.75" x14ac:dyDescent="0.2"/>
    <row r="8446" s="197" customFormat="1" ht="12.75" x14ac:dyDescent="0.2"/>
    <row r="8447" s="197" customFormat="1" ht="12.75" x14ac:dyDescent="0.2"/>
    <row r="8448" s="197" customFormat="1" ht="12.75" x14ac:dyDescent="0.2"/>
    <row r="8449" s="197" customFormat="1" ht="12.75" x14ac:dyDescent="0.2"/>
    <row r="8450" s="197" customFormat="1" ht="12.75" x14ac:dyDescent="0.2"/>
    <row r="8451" s="197" customFormat="1" ht="12.75" x14ac:dyDescent="0.2"/>
    <row r="8452" s="197" customFormat="1" ht="12.75" x14ac:dyDescent="0.2"/>
    <row r="8453" s="197" customFormat="1" ht="12.75" x14ac:dyDescent="0.2"/>
    <row r="8454" s="197" customFormat="1" ht="12.75" x14ac:dyDescent="0.2"/>
    <row r="8455" s="197" customFormat="1" ht="12.75" x14ac:dyDescent="0.2"/>
    <row r="8456" s="197" customFormat="1" ht="12.75" x14ac:dyDescent="0.2"/>
    <row r="8457" s="197" customFormat="1" ht="12.75" x14ac:dyDescent="0.2"/>
    <row r="8458" s="197" customFormat="1" ht="12.75" x14ac:dyDescent="0.2"/>
    <row r="8459" s="197" customFormat="1" ht="12.75" x14ac:dyDescent="0.2"/>
    <row r="8460" s="197" customFormat="1" ht="12.75" x14ac:dyDescent="0.2"/>
    <row r="8461" s="197" customFormat="1" ht="12.75" x14ac:dyDescent="0.2"/>
    <row r="8462" s="197" customFormat="1" ht="12.75" x14ac:dyDescent="0.2"/>
    <row r="8463" s="197" customFormat="1" ht="12.75" x14ac:dyDescent="0.2"/>
    <row r="8464" s="197" customFormat="1" ht="12.75" x14ac:dyDescent="0.2"/>
    <row r="8465" s="197" customFormat="1" ht="12.75" x14ac:dyDescent="0.2"/>
    <row r="8466" s="197" customFormat="1" ht="12.75" x14ac:dyDescent="0.2"/>
    <row r="8467" s="197" customFormat="1" ht="12.75" x14ac:dyDescent="0.2"/>
    <row r="8468" s="197" customFormat="1" ht="12.75" x14ac:dyDescent="0.2"/>
    <row r="8469" s="197" customFormat="1" ht="12.75" x14ac:dyDescent="0.2"/>
    <row r="8470" s="197" customFormat="1" ht="12.75" x14ac:dyDescent="0.2"/>
    <row r="8471" s="197" customFormat="1" ht="12.75" x14ac:dyDescent="0.2"/>
    <row r="8472" s="197" customFormat="1" ht="12.75" x14ac:dyDescent="0.2"/>
    <row r="8473" s="197" customFormat="1" ht="12.75" x14ac:dyDescent="0.2"/>
    <row r="8474" s="197" customFormat="1" ht="12.75" x14ac:dyDescent="0.2"/>
    <row r="8475" s="197" customFormat="1" ht="12.75" x14ac:dyDescent="0.2"/>
    <row r="8476" s="197" customFormat="1" ht="12.75" x14ac:dyDescent="0.2"/>
    <row r="8477" s="197" customFormat="1" ht="12.75" x14ac:dyDescent="0.2"/>
    <row r="8478" s="197" customFormat="1" ht="12.75" x14ac:dyDescent="0.2"/>
    <row r="8479" s="197" customFormat="1" ht="12.75" x14ac:dyDescent="0.2"/>
    <row r="8480" s="197" customFormat="1" ht="12.75" x14ac:dyDescent="0.2"/>
    <row r="8481" s="197" customFormat="1" ht="12.75" x14ac:dyDescent="0.2"/>
    <row r="8482" s="197" customFormat="1" ht="12.75" x14ac:dyDescent="0.2"/>
    <row r="8483" s="197" customFormat="1" ht="12.75" x14ac:dyDescent="0.2"/>
    <row r="8484" s="197" customFormat="1" ht="12.75" x14ac:dyDescent="0.2"/>
    <row r="8485" s="197" customFormat="1" ht="12.75" x14ac:dyDescent="0.2"/>
    <row r="8486" s="197" customFormat="1" ht="12.75" x14ac:dyDescent="0.2"/>
    <row r="8487" s="197" customFormat="1" ht="12.75" x14ac:dyDescent="0.2"/>
    <row r="8488" s="197" customFormat="1" ht="12.75" x14ac:dyDescent="0.2"/>
    <row r="8489" s="197" customFormat="1" ht="12.75" x14ac:dyDescent="0.2"/>
    <row r="8490" s="197" customFormat="1" ht="12.75" x14ac:dyDescent="0.2"/>
    <row r="8491" s="197" customFormat="1" ht="12.75" x14ac:dyDescent="0.2"/>
    <row r="8492" s="197" customFormat="1" ht="12.75" x14ac:dyDescent="0.2"/>
    <row r="8493" s="197" customFormat="1" ht="12.75" x14ac:dyDescent="0.2"/>
    <row r="8494" s="197" customFormat="1" ht="12.75" x14ac:dyDescent="0.2"/>
    <row r="8495" s="197" customFormat="1" ht="12.75" x14ac:dyDescent="0.2"/>
    <row r="8496" s="197" customFormat="1" ht="12.75" x14ac:dyDescent="0.2"/>
    <row r="8497" s="197" customFormat="1" ht="12.75" x14ac:dyDescent="0.2"/>
    <row r="8498" s="197" customFormat="1" ht="12.75" x14ac:dyDescent="0.2"/>
    <row r="8499" s="197" customFormat="1" ht="12.75" x14ac:dyDescent="0.2"/>
    <row r="8500" s="197" customFormat="1" ht="12.75" x14ac:dyDescent="0.2"/>
    <row r="8501" s="197" customFormat="1" ht="12.75" x14ac:dyDescent="0.2"/>
    <row r="8502" s="197" customFormat="1" ht="12.75" x14ac:dyDescent="0.2"/>
    <row r="8503" s="197" customFormat="1" ht="12.75" x14ac:dyDescent="0.2"/>
    <row r="8504" s="197" customFormat="1" ht="12.75" x14ac:dyDescent="0.2"/>
    <row r="8505" s="197" customFormat="1" ht="12.75" x14ac:dyDescent="0.2"/>
    <row r="8506" s="197" customFormat="1" ht="12.75" x14ac:dyDescent="0.2"/>
    <row r="8507" s="197" customFormat="1" ht="12.75" x14ac:dyDescent="0.2"/>
    <row r="8508" s="197" customFormat="1" ht="12.75" x14ac:dyDescent="0.2"/>
    <row r="8509" s="197" customFormat="1" ht="12.75" x14ac:dyDescent="0.2"/>
    <row r="8510" s="197" customFormat="1" ht="12.75" x14ac:dyDescent="0.2"/>
    <row r="8511" s="197" customFormat="1" ht="12.75" x14ac:dyDescent="0.2"/>
    <row r="8512" s="197" customFormat="1" ht="12.75" x14ac:dyDescent="0.2"/>
    <row r="8513" s="197" customFormat="1" ht="12.75" x14ac:dyDescent="0.2"/>
    <row r="8514" s="197" customFormat="1" ht="12.75" x14ac:dyDescent="0.2"/>
    <row r="8515" s="197" customFormat="1" ht="12.75" x14ac:dyDescent="0.2"/>
    <row r="8516" s="197" customFormat="1" ht="12.75" x14ac:dyDescent="0.2"/>
    <row r="8517" s="197" customFormat="1" ht="12.75" x14ac:dyDescent="0.2"/>
    <row r="8518" s="197" customFormat="1" ht="12.75" x14ac:dyDescent="0.2"/>
    <row r="8519" s="197" customFormat="1" ht="12.75" x14ac:dyDescent="0.2"/>
    <row r="8520" s="197" customFormat="1" ht="12.75" x14ac:dyDescent="0.2"/>
    <row r="8521" s="197" customFormat="1" ht="12.75" x14ac:dyDescent="0.2"/>
    <row r="8522" s="197" customFormat="1" ht="12.75" x14ac:dyDescent="0.2"/>
    <row r="8523" s="197" customFormat="1" ht="12.75" x14ac:dyDescent="0.2"/>
    <row r="8524" s="197" customFormat="1" ht="12.75" x14ac:dyDescent="0.2"/>
    <row r="8525" s="197" customFormat="1" ht="12.75" x14ac:dyDescent="0.2"/>
    <row r="8526" s="197" customFormat="1" ht="12.75" x14ac:dyDescent="0.2"/>
    <row r="8527" s="197" customFormat="1" ht="12.75" x14ac:dyDescent="0.2"/>
    <row r="8528" s="197" customFormat="1" ht="12.75" x14ac:dyDescent="0.2"/>
    <row r="8529" s="197" customFormat="1" ht="12.75" x14ac:dyDescent="0.2"/>
    <row r="8530" s="197" customFormat="1" ht="12.75" x14ac:dyDescent="0.2"/>
    <row r="8531" s="197" customFormat="1" ht="12.75" x14ac:dyDescent="0.2"/>
    <row r="8532" s="197" customFormat="1" ht="12.75" x14ac:dyDescent="0.2"/>
    <row r="8533" s="197" customFormat="1" ht="12.75" x14ac:dyDescent="0.2"/>
    <row r="8534" s="197" customFormat="1" ht="12.75" x14ac:dyDescent="0.2"/>
    <row r="8535" s="197" customFormat="1" ht="12.75" x14ac:dyDescent="0.2"/>
    <row r="8536" s="197" customFormat="1" ht="12.75" x14ac:dyDescent="0.2"/>
    <row r="8537" s="197" customFormat="1" ht="12.75" x14ac:dyDescent="0.2"/>
    <row r="8538" s="197" customFormat="1" ht="12.75" x14ac:dyDescent="0.2"/>
    <row r="8539" s="197" customFormat="1" ht="12.75" x14ac:dyDescent="0.2"/>
    <row r="8540" s="197" customFormat="1" ht="12.75" x14ac:dyDescent="0.2"/>
    <row r="8541" s="197" customFormat="1" ht="12.75" x14ac:dyDescent="0.2"/>
    <row r="8542" s="197" customFormat="1" ht="12.75" x14ac:dyDescent="0.2"/>
    <row r="8543" s="197" customFormat="1" ht="12.75" x14ac:dyDescent="0.2"/>
    <row r="8544" s="197" customFormat="1" ht="12.75" x14ac:dyDescent="0.2"/>
    <row r="8545" s="197" customFormat="1" ht="12.75" x14ac:dyDescent="0.2"/>
    <row r="8546" s="197" customFormat="1" ht="12.75" x14ac:dyDescent="0.2"/>
    <row r="8547" s="197" customFormat="1" ht="12.75" x14ac:dyDescent="0.2"/>
    <row r="8548" s="197" customFormat="1" ht="12.75" x14ac:dyDescent="0.2"/>
    <row r="8549" s="197" customFormat="1" ht="12.75" x14ac:dyDescent="0.2"/>
    <row r="8550" s="197" customFormat="1" ht="12.75" x14ac:dyDescent="0.2"/>
    <row r="8551" s="197" customFormat="1" ht="12.75" x14ac:dyDescent="0.2"/>
    <row r="8552" s="197" customFormat="1" ht="12.75" x14ac:dyDescent="0.2"/>
    <row r="8553" s="197" customFormat="1" ht="12.75" x14ac:dyDescent="0.2"/>
    <row r="8554" s="197" customFormat="1" ht="12.75" x14ac:dyDescent="0.2"/>
    <row r="8555" s="197" customFormat="1" ht="12.75" x14ac:dyDescent="0.2"/>
    <row r="8556" s="197" customFormat="1" ht="12.75" x14ac:dyDescent="0.2"/>
    <row r="8557" s="197" customFormat="1" ht="12.75" x14ac:dyDescent="0.2"/>
    <row r="8558" s="197" customFormat="1" ht="12.75" x14ac:dyDescent="0.2"/>
    <row r="8559" s="197" customFormat="1" ht="12.75" x14ac:dyDescent="0.2"/>
    <row r="8560" s="197" customFormat="1" ht="12.75" x14ac:dyDescent="0.2"/>
    <row r="8561" s="197" customFormat="1" ht="12.75" x14ac:dyDescent="0.2"/>
    <row r="8562" s="197" customFormat="1" ht="12.75" x14ac:dyDescent="0.2"/>
    <row r="8563" s="197" customFormat="1" ht="12.75" x14ac:dyDescent="0.2"/>
    <row r="8564" s="197" customFormat="1" ht="12.75" x14ac:dyDescent="0.2"/>
    <row r="8565" s="197" customFormat="1" ht="12.75" x14ac:dyDescent="0.2"/>
    <row r="8566" s="197" customFormat="1" ht="12.75" x14ac:dyDescent="0.2"/>
    <row r="8567" s="197" customFormat="1" ht="12.75" x14ac:dyDescent="0.2"/>
    <row r="8568" s="197" customFormat="1" ht="12.75" x14ac:dyDescent="0.2"/>
    <row r="8569" s="197" customFormat="1" ht="12.75" x14ac:dyDescent="0.2"/>
    <row r="8570" s="197" customFormat="1" ht="12.75" x14ac:dyDescent="0.2"/>
    <row r="8571" s="197" customFormat="1" ht="12.75" x14ac:dyDescent="0.2"/>
    <row r="8572" s="197" customFormat="1" ht="12.75" x14ac:dyDescent="0.2"/>
    <row r="8573" s="197" customFormat="1" ht="12.75" x14ac:dyDescent="0.2"/>
    <row r="8574" s="197" customFormat="1" ht="12.75" x14ac:dyDescent="0.2"/>
    <row r="8575" s="197" customFormat="1" ht="12.75" x14ac:dyDescent="0.2"/>
    <row r="8576" s="197" customFormat="1" ht="12.75" x14ac:dyDescent="0.2"/>
    <row r="8577" s="197" customFormat="1" ht="12.75" x14ac:dyDescent="0.2"/>
    <row r="8578" s="197" customFormat="1" ht="12.75" x14ac:dyDescent="0.2"/>
    <row r="8579" s="197" customFormat="1" ht="12.75" x14ac:dyDescent="0.2"/>
    <row r="8580" s="197" customFormat="1" ht="12.75" x14ac:dyDescent="0.2"/>
    <row r="8581" s="197" customFormat="1" ht="12.75" x14ac:dyDescent="0.2"/>
    <row r="8582" s="197" customFormat="1" ht="12.75" x14ac:dyDescent="0.2"/>
    <row r="8583" s="197" customFormat="1" ht="12.75" x14ac:dyDescent="0.2"/>
    <row r="8584" s="197" customFormat="1" ht="12.75" x14ac:dyDescent="0.2"/>
    <row r="8585" s="197" customFormat="1" ht="12.75" x14ac:dyDescent="0.2"/>
    <row r="8586" s="197" customFormat="1" ht="12.75" x14ac:dyDescent="0.2"/>
    <row r="8587" s="197" customFormat="1" ht="12.75" x14ac:dyDescent="0.2"/>
    <row r="8588" s="197" customFormat="1" ht="12.75" x14ac:dyDescent="0.2"/>
    <row r="8589" s="197" customFormat="1" ht="12.75" x14ac:dyDescent="0.2"/>
    <row r="8590" s="197" customFormat="1" ht="12.75" x14ac:dyDescent="0.2"/>
    <row r="8591" s="197" customFormat="1" ht="12.75" x14ac:dyDescent="0.2"/>
    <row r="8592" s="197" customFormat="1" ht="12.75" x14ac:dyDescent="0.2"/>
    <row r="8593" s="197" customFormat="1" ht="12.75" x14ac:dyDescent="0.2"/>
    <row r="8594" s="197" customFormat="1" ht="12.75" x14ac:dyDescent="0.2"/>
    <row r="8595" s="197" customFormat="1" ht="12.75" x14ac:dyDescent="0.2"/>
    <row r="8596" s="197" customFormat="1" ht="12.75" x14ac:dyDescent="0.2"/>
    <row r="8597" s="197" customFormat="1" ht="12.75" x14ac:dyDescent="0.2"/>
    <row r="8598" s="197" customFormat="1" ht="12.75" x14ac:dyDescent="0.2"/>
    <row r="8599" s="197" customFormat="1" ht="12.75" x14ac:dyDescent="0.2"/>
    <row r="8600" s="197" customFormat="1" ht="12.75" x14ac:dyDescent="0.2"/>
    <row r="8601" s="197" customFormat="1" ht="12.75" x14ac:dyDescent="0.2"/>
    <row r="8602" s="197" customFormat="1" ht="12.75" x14ac:dyDescent="0.2"/>
    <row r="8603" s="197" customFormat="1" ht="12.75" x14ac:dyDescent="0.2"/>
    <row r="8604" s="197" customFormat="1" ht="12.75" x14ac:dyDescent="0.2"/>
    <row r="8605" s="197" customFormat="1" ht="12.75" x14ac:dyDescent="0.2"/>
    <row r="8606" s="197" customFormat="1" ht="12.75" x14ac:dyDescent="0.2"/>
    <row r="8607" s="197" customFormat="1" ht="12.75" x14ac:dyDescent="0.2"/>
    <row r="8608" s="197" customFormat="1" ht="12.75" x14ac:dyDescent="0.2"/>
    <row r="8609" s="197" customFormat="1" ht="12.75" x14ac:dyDescent="0.2"/>
    <row r="8610" s="197" customFormat="1" ht="12.75" x14ac:dyDescent="0.2"/>
    <row r="8611" s="197" customFormat="1" ht="12.75" x14ac:dyDescent="0.2"/>
    <row r="8612" s="197" customFormat="1" ht="12.75" x14ac:dyDescent="0.2"/>
    <row r="8613" s="197" customFormat="1" ht="12.75" x14ac:dyDescent="0.2"/>
    <row r="8614" s="197" customFormat="1" ht="12.75" x14ac:dyDescent="0.2"/>
    <row r="8615" s="197" customFormat="1" ht="12.75" x14ac:dyDescent="0.2"/>
    <row r="8616" s="197" customFormat="1" ht="12.75" x14ac:dyDescent="0.2"/>
    <row r="8617" s="197" customFormat="1" ht="12.75" x14ac:dyDescent="0.2"/>
    <row r="8618" s="197" customFormat="1" ht="12.75" x14ac:dyDescent="0.2"/>
    <row r="8619" s="197" customFormat="1" ht="12.75" x14ac:dyDescent="0.2"/>
    <row r="8620" s="197" customFormat="1" ht="12.75" x14ac:dyDescent="0.2"/>
    <row r="8621" s="197" customFormat="1" ht="12.75" x14ac:dyDescent="0.2"/>
    <row r="8622" s="197" customFormat="1" ht="12.75" x14ac:dyDescent="0.2"/>
    <row r="8623" s="197" customFormat="1" ht="12.75" x14ac:dyDescent="0.2"/>
    <row r="8624" s="197" customFormat="1" ht="12.75" x14ac:dyDescent="0.2"/>
    <row r="8625" s="197" customFormat="1" ht="12.75" x14ac:dyDescent="0.2"/>
    <row r="8626" s="197" customFormat="1" ht="12.75" x14ac:dyDescent="0.2"/>
    <row r="8627" s="197" customFormat="1" ht="12.75" x14ac:dyDescent="0.2"/>
    <row r="8628" s="197" customFormat="1" ht="12.75" x14ac:dyDescent="0.2"/>
    <row r="8629" s="197" customFormat="1" ht="12.75" x14ac:dyDescent="0.2"/>
    <row r="8630" s="197" customFormat="1" ht="12.75" x14ac:dyDescent="0.2"/>
    <row r="8631" s="197" customFormat="1" ht="12.75" x14ac:dyDescent="0.2"/>
    <row r="8632" s="197" customFormat="1" ht="12.75" x14ac:dyDescent="0.2"/>
    <row r="8633" s="197" customFormat="1" ht="12.75" x14ac:dyDescent="0.2"/>
    <row r="8634" s="197" customFormat="1" ht="12.75" x14ac:dyDescent="0.2"/>
    <row r="8635" s="197" customFormat="1" ht="12.75" x14ac:dyDescent="0.2"/>
    <row r="8636" s="197" customFormat="1" ht="12.75" x14ac:dyDescent="0.2"/>
    <row r="8637" s="197" customFormat="1" ht="12.75" x14ac:dyDescent="0.2"/>
    <row r="8638" s="197" customFormat="1" ht="12.75" x14ac:dyDescent="0.2"/>
    <row r="8639" s="197" customFormat="1" ht="12.75" x14ac:dyDescent="0.2"/>
    <row r="8640" s="197" customFormat="1" ht="12.75" x14ac:dyDescent="0.2"/>
    <row r="8641" s="197" customFormat="1" ht="12.75" x14ac:dyDescent="0.2"/>
    <row r="8642" s="197" customFormat="1" ht="12.75" x14ac:dyDescent="0.2"/>
    <row r="8643" s="197" customFormat="1" ht="12.75" x14ac:dyDescent="0.2"/>
    <row r="8644" s="197" customFormat="1" ht="12.75" x14ac:dyDescent="0.2"/>
    <row r="8645" s="197" customFormat="1" ht="12.75" x14ac:dyDescent="0.2"/>
    <row r="8646" s="197" customFormat="1" ht="12.75" x14ac:dyDescent="0.2"/>
    <row r="8647" s="197" customFormat="1" ht="12.75" x14ac:dyDescent="0.2"/>
    <row r="8648" s="197" customFormat="1" ht="12.75" x14ac:dyDescent="0.2"/>
    <row r="8649" s="197" customFormat="1" ht="12.75" x14ac:dyDescent="0.2"/>
    <row r="8650" s="197" customFormat="1" ht="12.75" x14ac:dyDescent="0.2"/>
    <row r="8651" s="197" customFormat="1" ht="12.75" x14ac:dyDescent="0.2"/>
    <row r="8652" s="197" customFormat="1" ht="12.75" x14ac:dyDescent="0.2"/>
    <row r="8653" s="197" customFormat="1" ht="12.75" x14ac:dyDescent="0.2"/>
    <row r="8654" s="197" customFormat="1" ht="12.75" x14ac:dyDescent="0.2"/>
    <row r="8655" s="197" customFormat="1" ht="12.75" x14ac:dyDescent="0.2"/>
    <row r="8656" s="197" customFormat="1" ht="12.75" x14ac:dyDescent="0.2"/>
    <row r="8657" s="197" customFormat="1" ht="12.75" x14ac:dyDescent="0.2"/>
    <row r="8658" s="197" customFormat="1" ht="12.75" x14ac:dyDescent="0.2"/>
    <row r="8659" s="197" customFormat="1" ht="12.75" x14ac:dyDescent="0.2"/>
    <row r="8660" s="197" customFormat="1" ht="12.75" x14ac:dyDescent="0.2"/>
    <row r="8661" s="197" customFormat="1" ht="12.75" x14ac:dyDescent="0.2"/>
    <row r="8662" s="197" customFormat="1" ht="12.75" x14ac:dyDescent="0.2"/>
    <row r="8663" s="197" customFormat="1" ht="12.75" x14ac:dyDescent="0.2"/>
    <row r="8664" s="197" customFormat="1" ht="12.75" x14ac:dyDescent="0.2"/>
    <row r="8665" s="197" customFormat="1" ht="12.75" x14ac:dyDescent="0.2"/>
    <row r="8666" s="197" customFormat="1" ht="12.75" x14ac:dyDescent="0.2"/>
    <row r="8667" s="197" customFormat="1" ht="12.75" x14ac:dyDescent="0.2"/>
    <row r="8668" s="197" customFormat="1" ht="12.75" x14ac:dyDescent="0.2"/>
    <row r="8669" s="197" customFormat="1" ht="12.75" x14ac:dyDescent="0.2"/>
    <row r="8670" s="197" customFormat="1" ht="12.75" x14ac:dyDescent="0.2"/>
    <row r="8671" s="197" customFormat="1" ht="12.75" x14ac:dyDescent="0.2"/>
    <row r="8672" s="197" customFormat="1" ht="12.75" x14ac:dyDescent="0.2"/>
    <row r="8673" s="197" customFormat="1" ht="12.75" x14ac:dyDescent="0.2"/>
    <row r="8674" s="197" customFormat="1" ht="12.75" x14ac:dyDescent="0.2"/>
    <row r="8675" s="197" customFormat="1" ht="12.75" x14ac:dyDescent="0.2"/>
    <row r="8676" s="197" customFormat="1" ht="12.75" x14ac:dyDescent="0.2"/>
    <row r="8677" s="197" customFormat="1" ht="12.75" x14ac:dyDescent="0.2"/>
    <row r="8678" s="197" customFormat="1" ht="12.75" x14ac:dyDescent="0.2"/>
    <row r="8679" s="197" customFormat="1" ht="12.75" x14ac:dyDescent="0.2"/>
    <row r="8680" s="197" customFormat="1" ht="12.75" x14ac:dyDescent="0.2"/>
    <row r="8681" s="197" customFormat="1" ht="12.75" x14ac:dyDescent="0.2"/>
    <row r="8682" s="197" customFormat="1" ht="12.75" x14ac:dyDescent="0.2"/>
    <row r="8683" s="197" customFormat="1" ht="12.75" x14ac:dyDescent="0.2"/>
    <row r="8684" s="197" customFormat="1" ht="12.75" x14ac:dyDescent="0.2"/>
    <row r="8685" s="197" customFormat="1" ht="12.75" x14ac:dyDescent="0.2"/>
    <row r="8686" s="197" customFormat="1" ht="12.75" x14ac:dyDescent="0.2"/>
    <row r="8687" s="197" customFormat="1" ht="12.75" x14ac:dyDescent="0.2"/>
    <row r="8688" s="197" customFormat="1" ht="12.75" x14ac:dyDescent="0.2"/>
    <row r="8689" s="197" customFormat="1" ht="12.75" x14ac:dyDescent="0.2"/>
    <row r="8690" s="197" customFormat="1" ht="12.75" x14ac:dyDescent="0.2"/>
    <row r="8691" s="197" customFormat="1" ht="12.75" x14ac:dyDescent="0.2"/>
    <row r="8692" s="197" customFormat="1" ht="12.75" x14ac:dyDescent="0.2"/>
    <row r="8693" s="197" customFormat="1" ht="12.75" x14ac:dyDescent="0.2"/>
    <row r="8694" s="197" customFormat="1" ht="12.75" x14ac:dyDescent="0.2"/>
    <row r="8695" s="197" customFormat="1" ht="12.75" x14ac:dyDescent="0.2"/>
    <row r="8696" s="197" customFormat="1" ht="12.75" x14ac:dyDescent="0.2"/>
    <row r="8697" s="197" customFormat="1" ht="12.75" x14ac:dyDescent="0.2"/>
    <row r="8698" s="197" customFormat="1" ht="12.75" x14ac:dyDescent="0.2"/>
    <row r="8699" s="197" customFormat="1" ht="12.75" x14ac:dyDescent="0.2"/>
    <row r="8700" s="197" customFormat="1" ht="12.75" x14ac:dyDescent="0.2"/>
    <row r="8701" s="197" customFormat="1" ht="12.75" x14ac:dyDescent="0.2"/>
    <row r="8702" s="197" customFormat="1" ht="12.75" x14ac:dyDescent="0.2"/>
    <row r="8703" s="197" customFormat="1" ht="12.75" x14ac:dyDescent="0.2"/>
    <row r="8704" s="197" customFormat="1" ht="12.75" x14ac:dyDescent="0.2"/>
    <row r="8705" s="197" customFormat="1" ht="12.75" x14ac:dyDescent="0.2"/>
    <row r="8706" s="197" customFormat="1" ht="12.75" x14ac:dyDescent="0.2"/>
    <row r="8707" s="197" customFormat="1" ht="12.75" x14ac:dyDescent="0.2"/>
    <row r="8708" s="197" customFormat="1" ht="12.75" x14ac:dyDescent="0.2"/>
    <row r="8709" s="197" customFormat="1" ht="12.75" x14ac:dyDescent="0.2"/>
    <row r="8710" s="197" customFormat="1" ht="12.75" x14ac:dyDescent="0.2"/>
    <row r="8711" s="197" customFormat="1" ht="12.75" x14ac:dyDescent="0.2"/>
    <row r="8712" s="197" customFormat="1" ht="12.75" x14ac:dyDescent="0.2"/>
    <row r="8713" s="197" customFormat="1" ht="12.75" x14ac:dyDescent="0.2"/>
    <row r="8714" s="197" customFormat="1" ht="12.75" x14ac:dyDescent="0.2"/>
    <row r="8715" s="197" customFormat="1" ht="12.75" x14ac:dyDescent="0.2"/>
    <row r="8716" s="197" customFormat="1" ht="12.75" x14ac:dyDescent="0.2"/>
    <row r="8717" s="197" customFormat="1" ht="12.75" x14ac:dyDescent="0.2"/>
    <row r="8718" s="197" customFormat="1" ht="12.75" x14ac:dyDescent="0.2"/>
    <row r="8719" s="197" customFormat="1" ht="12.75" x14ac:dyDescent="0.2"/>
    <row r="8720" s="197" customFormat="1" ht="12.75" x14ac:dyDescent="0.2"/>
    <row r="8721" s="197" customFormat="1" ht="12.75" x14ac:dyDescent="0.2"/>
    <row r="8722" s="197" customFormat="1" ht="12.75" x14ac:dyDescent="0.2"/>
    <row r="8723" s="197" customFormat="1" ht="12.75" x14ac:dyDescent="0.2"/>
    <row r="8724" s="197" customFormat="1" ht="12.75" x14ac:dyDescent="0.2"/>
    <row r="8725" s="197" customFormat="1" ht="12.75" x14ac:dyDescent="0.2"/>
    <row r="8726" s="197" customFormat="1" ht="12.75" x14ac:dyDescent="0.2"/>
    <row r="8727" s="197" customFormat="1" ht="12.75" x14ac:dyDescent="0.2"/>
    <row r="8728" s="197" customFormat="1" ht="12.75" x14ac:dyDescent="0.2"/>
    <row r="8729" s="197" customFormat="1" ht="12.75" x14ac:dyDescent="0.2"/>
    <row r="8730" s="197" customFormat="1" ht="12.75" x14ac:dyDescent="0.2"/>
    <row r="8731" s="197" customFormat="1" ht="12.75" x14ac:dyDescent="0.2"/>
    <row r="8732" s="197" customFormat="1" ht="12.75" x14ac:dyDescent="0.2"/>
    <row r="8733" s="197" customFormat="1" ht="12.75" x14ac:dyDescent="0.2"/>
    <row r="8734" s="197" customFormat="1" ht="12.75" x14ac:dyDescent="0.2"/>
    <row r="8735" s="197" customFormat="1" ht="12.75" x14ac:dyDescent="0.2"/>
    <row r="8736" s="197" customFormat="1" ht="12.75" x14ac:dyDescent="0.2"/>
    <row r="8737" s="197" customFormat="1" ht="12.75" x14ac:dyDescent="0.2"/>
    <row r="8738" s="197" customFormat="1" ht="12.75" x14ac:dyDescent="0.2"/>
    <row r="8739" s="197" customFormat="1" ht="12.75" x14ac:dyDescent="0.2"/>
    <row r="8740" s="197" customFormat="1" ht="12.75" x14ac:dyDescent="0.2"/>
    <row r="8741" s="197" customFormat="1" ht="12.75" x14ac:dyDescent="0.2"/>
    <row r="8742" s="197" customFormat="1" ht="12.75" x14ac:dyDescent="0.2"/>
    <row r="8743" s="197" customFormat="1" ht="12.75" x14ac:dyDescent="0.2"/>
    <row r="8744" s="197" customFormat="1" ht="12.75" x14ac:dyDescent="0.2"/>
    <row r="8745" s="197" customFormat="1" ht="12.75" x14ac:dyDescent="0.2"/>
    <row r="8746" s="197" customFormat="1" ht="12.75" x14ac:dyDescent="0.2"/>
    <row r="8747" s="197" customFormat="1" ht="12.75" x14ac:dyDescent="0.2"/>
    <row r="8748" s="197" customFormat="1" ht="12.75" x14ac:dyDescent="0.2"/>
    <row r="8749" s="197" customFormat="1" ht="12.75" x14ac:dyDescent="0.2"/>
    <row r="8750" s="197" customFormat="1" ht="12.75" x14ac:dyDescent="0.2"/>
    <row r="8751" s="197" customFormat="1" ht="12.75" x14ac:dyDescent="0.2"/>
    <row r="8752" s="197" customFormat="1" ht="12.75" x14ac:dyDescent="0.2"/>
    <row r="8753" s="197" customFormat="1" ht="12.75" x14ac:dyDescent="0.2"/>
    <row r="8754" s="197" customFormat="1" ht="12.75" x14ac:dyDescent="0.2"/>
    <row r="8755" s="197" customFormat="1" ht="12.75" x14ac:dyDescent="0.2"/>
    <row r="8756" s="197" customFormat="1" ht="12.75" x14ac:dyDescent="0.2"/>
    <row r="8757" s="197" customFormat="1" ht="12.75" x14ac:dyDescent="0.2"/>
    <row r="8758" s="197" customFormat="1" ht="12.75" x14ac:dyDescent="0.2"/>
    <row r="8759" s="197" customFormat="1" ht="12.75" x14ac:dyDescent="0.2"/>
    <row r="8760" s="197" customFormat="1" ht="12.75" x14ac:dyDescent="0.2"/>
    <row r="8761" s="197" customFormat="1" ht="12.75" x14ac:dyDescent="0.2"/>
    <row r="8762" s="197" customFormat="1" ht="12.75" x14ac:dyDescent="0.2"/>
    <row r="8763" s="197" customFormat="1" ht="12.75" x14ac:dyDescent="0.2"/>
    <row r="8764" s="197" customFormat="1" ht="12.75" x14ac:dyDescent="0.2"/>
    <row r="8765" s="197" customFormat="1" ht="12.75" x14ac:dyDescent="0.2"/>
    <row r="8766" s="197" customFormat="1" ht="12.75" x14ac:dyDescent="0.2"/>
    <row r="8767" s="197" customFormat="1" ht="12.75" x14ac:dyDescent="0.2"/>
    <row r="8768" s="197" customFormat="1" ht="12.75" x14ac:dyDescent="0.2"/>
    <row r="8769" s="197" customFormat="1" ht="12.75" x14ac:dyDescent="0.2"/>
    <row r="8770" s="197" customFormat="1" ht="12.75" x14ac:dyDescent="0.2"/>
    <row r="8771" s="197" customFormat="1" ht="12.75" x14ac:dyDescent="0.2"/>
    <row r="8772" s="197" customFormat="1" ht="12.75" x14ac:dyDescent="0.2"/>
    <row r="8773" s="197" customFormat="1" ht="12.75" x14ac:dyDescent="0.2"/>
    <row r="8774" s="197" customFormat="1" ht="12.75" x14ac:dyDescent="0.2"/>
    <row r="8775" s="197" customFormat="1" ht="12.75" x14ac:dyDescent="0.2"/>
    <row r="8776" s="197" customFormat="1" ht="12.75" x14ac:dyDescent="0.2"/>
    <row r="8777" s="197" customFormat="1" ht="12.75" x14ac:dyDescent="0.2"/>
    <row r="8778" s="197" customFormat="1" ht="12.75" x14ac:dyDescent="0.2"/>
    <row r="8779" s="197" customFormat="1" ht="12.75" x14ac:dyDescent="0.2"/>
    <row r="8780" s="197" customFormat="1" ht="12.75" x14ac:dyDescent="0.2"/>
    <row r="8781" s="197" customFormat="1" ht="12.75" x14ac:dyDescent="0.2"/>
    <row r="8782" s="197" customFormat="1" ht="12.75" x14ac:dyDescent="0.2"/>
    <row r="8783" s="197" customFormat="1" ht="12.75" x14ac:dyDescent="0.2"/>
    <row r="8784" s="197" customFormat="1" ht="12.75" x14ac:dyDescent="0.2"/>
    <row r="8785" s="197" customFormat="1" ht="12.75" x14ac:dyDescent="0.2"/>
    <row r="8786" s="197" customFormat="1" ht="12.75" x14ac:dyDescent="0.2"/>
    <row r="8787" s="197" customFormat="1" ht="12.75" x14ac:dyDescent="0.2"/>
    <row r="8788" s="197" customFormat="1" ht="12.75" x14ac:dyDescent="0.2"/>
    <row r="8789" s="197" customFormat="1" ht="12.75" x14ac:dyDescent="0.2"/>
    <row r="8790" s="197" customFormat="1" ht="12.75" x14ac:dyDescent="0.2"/>
    <row r="8791" s="197" customFormat="1" ht="12.75" x14ac:dyDescent="0.2"/>
    <row r="8792" s="197" customFormat="1" ht="12.75" x14ac:dyDescent="0.2"/>
    <row r="8793" s="197" customFormat="1" ht="12.75" x14ac:dyDescent="0.2"/>
    <row r="8794" s="197" customFormat="1" ht="12.75" x14ac:dyDescent="0.2"/>
    <row r="8795" s="197" customFormat="1" ht="12.75" x14ac:dyDescent="0.2"/>
    <row r="8796" s="197" customFormat="1" ht="12.75" x14ac:dyDescent="0.2"/>
    <row r="8797" s="197" customFormat="1" ht="12.75" x14ac:dyDescent="0.2"/>
    <row r="8798" s="197" customFormat="1" ht="12.75" x14ac:dyDescent="0.2"/>
    <row r="8799" s="197" customFormat="1" ht="12.75" x14ac:dyDescent="0.2"/>
    <row r="8800" s="197" customFormat="1" ht="12.75" x14ac:dyDescent="0.2"/>
    <row r="8801" s="197" customFormat="1" ht="12.75" x14ac:dyDescent="0.2"/>
    <row r="8802" s="197" customFormat="1" ht="12.75" x14ac:dyDescent="0.2"/>
    <row r="8803" s="197" customFormat="1" ht="12.75" x14ac:dyDescent="0.2"/>
    <row r="8804" s="197" customFormat="1" ht="12.75" x14ac:dyDescent="0.2"/>
    <row r="8805" s="197" customFormat="1" ht="12.75" x14ac:dyDescent="0.2"/>
    <row r="8806" s="197" customFormat="1" ht="12.75" x14ac:dyDescent="0.2"/>
    <row r="8807" s="197" customFormat="1" ht="12.75" x14ac:dyDescent="0.2"/>
    <row r="8808" s="197" customFormat="1" ht="12.75" x14ac:dyDescent="0.2"/>
    <row r="8809" s="197" customFormat="1" ht="12.75" x14ac:dyDescent="0.2"/>
    <row r="8810" s="197" customFormat="1" ht="12.75" x14ac:dyDescent="0.2"/>
    <row r="8811" s="197" customFormat="1" ht="12.75" x14ac:dyDescent="0.2"/>
    <row r="8812" s="197" customFormat="1" ht="12.75" x14ac:dyDescent="0.2"/>
    <row r="8813" s="197" customFormat="1" ht="12.75" x14ac:dyDescent="0.2"/>
    <row r="8814" s="197" customFormat="1" ht="12.75" x14ac:dyDescent="0.2"/>
    <row r="8815" s="197" customFormat="1" ht="12.75" x14ac:dyDescent="0.2"/>
    <row r="8816" s="197" customFormat="1" ht="12.75" x14ac:dyDescent="0.2"/>
    <row r="8817" s="197" customFormat="1" ht="12.75" x14ac:dyDescent="0.2"/>
    <row r="8818" s="197" customFormat="1" ht="12.75" x14ac:dyDescent="0.2"/>
    <row r="8819" s="197" customFormat="1" ht="12.75" x14ac:dyDescent="0.2"/>
    <row r="8820" s="197" customFormat="1" ht="12.75" x14ac:dyDescent="0.2"/>
    <row r="8821" s="197" customFormat="1" ht="12.75" x14ac:dyDescent="0.2"/>
    <row r="8822" s="197" customFormat="1" ht="12.75" x14ac:dyDescent="0.2"/>
    <row r="8823" s="197" customFormat="1" ht="12.75" x14ac:dyDescent="0.2"/>
    <row r="8824" s="197" customFormat="1" ht="12.75" x14ac:dyDescent="0.2"/>
    <row r="8825" s="197" customFormat="1" ht="12.75" x14ac:dyDescent="0.2"/>
    <row r="8826" s="197" customFormat="1" ht="12.75" x14ac:dyDescent="0.2"/>
    <row r="8827" s="197" customFormat="1" ht="12.75" x14ac:dyDescent="0.2"/>
    <row r="8828" s="197" customFormat="1" ht="12.75" x14ac:dyDescent="0.2"/>
    <row r="8829" s="197" customFormat="1" ht="12.75" x14ac:dyDescent="0.2"/>
    <row r="8830" s="197" customFormat="1" ht="12.75" x14ac:dyDescent="0.2"/>
    <row r="8831" s="197" customFormat="1" ht="12.75" x14ac:dyDescent="0.2"/>
    <row r="8832" s="197" customFormat="1" ht="12.75" x14ac:dyDescent="0.2"/>
    <row r="8833" s="197" customFormat="1" ht="12.75" x14ac:dyDescent="0.2"/>
    <row r="8834" s="197" customFormat="1" ht="12.75" x14ac:dyDescent="0.2"/>
    <row r="8835" s="197" customFormat="1" ht="12.75" x14ac:dyDescent="0.2"/>
    <row r="8836" s="197" customFormat="1" ht="12.75" x14ac:dyDescent="0.2"/>
    <row r="8837" s="197" customFormat="1" ht="12.75" x14ac:dyDescent="0.2"/>
    <row r="8838" s="197" customFormat="1" ht="12.75" x14ac:dyDescent="0.2"/>
    <row r="8839" s="197" customFormat="1" ht="12.75" x14ac:dyDescent="0.2"/>
    <row r="8840" s="197" customFormat="1" ht="12.75" x14ac:dyDescent="0.2"/>
    <row r="8841" s="197" customFormat="1" ht="12.75" x14ac:dyDescent="0.2"/>
    <row r="8842" s="197" customFormat="1" ht="12.75" x14ac:dyDescent="0.2"/>
    <row r="8843" s="197" customFormat="1" ht="12.75" x14ac:dyDescent="0.2"/>
    <row r="8844" s="197" customFormat="1" ht="12.75" x14ac:dyDescent="0.2"/>
    <row r="8845" s="197" customFormat="1" ht="12.75" x14ac:dyDescent="0.2"/>
    <row r="8846" s="197" customFormat="1" ht="12.75" x14ac:dyDescent="0.2"/>
    <row r="8847" s="197" customFormat="1" ht="12.75" x14ac:dyDescent="0.2"/>
    <row r="8848" s="197" customFormat="1" ht="12.75" x14ac:dyDescent="0.2"/>
    <row r="8849" s="197" customFormat="1" ht="12.75" x14ac:dyDescent="0.2"/>
    <row r="8850" s="197" customFormat="1" ht="12.75" x14ac:dyDescent="0.2"/>
    <row r="8851" s="197" customFormat="1" ht="12.75" x14ac:dyDescent="0.2"/>
    <row r="8852" s="197" customFormat="1" ht="12.75" x14ac:dyDescent="0.2"/>
    <row r="8853" s="197" customFormat="1" ht="12.75" x14ac:dyDescent="0.2"/>
    <row r="8854" s="197" customFormat="1" ht="12.75" x14ac:dyDescent="0.2"/>
    <row r="8855" s="197" customFormat="1" ht="12.75" x14ac:dyDescent="0.2"/>
    <row r="8856" s="197" customFormat="1" ht="12.75" x14ac:dyDescent="0.2"/>
    <row r="8857" s="197" customFormat="1" ht="12.75" x14ac:dyDescent="0.2"/>
    <row r="8858" s="197" customFormat="1" ht="12.75" x14ac:dyDescent="0.2"/>
    <row r="8859" s="197" customFormat="1" ht="12.75" x14ac:dyDescent="0.2"/>
    <row r="8860" s="197" customFormat="1" ht="12.75" x14ac:dyDescent="0.2"/>
    <row r="8861" s="197" customFormat="1" ht="12.75" x14ac:dyDescent="0.2"/>
    <row r="8862" s="197" customFormat="1" ht="12.75" x14ac:dyDescent="0.2"/>
    <row r="8863" s="197" customFormat="1" ht="12.75" x14ac:dyDescent="0.2"/>
    <row r="8864" s="197" customFormat="1" ht="12.75" x14ac:dyDescent="0.2"/>
    <row r="8865" s="197" customFormat="1" ht="12.75" x14ac:dyDescent="0.2"/>
    <row r="8866" s="197" customFormat="1" ht="12.75" x14ac:dyDescent="0.2"/>
    <row r="8867" s="197" customFormat="1" ht="12.75" x14ac:dyDescent="0.2"/>
    <row r="8868" s="197" customFormat="1" ht="12.75" x14ac:dyDescent="0.2"/>
    <row r="8869" s="197" customFormat="1" ht="12.75" x14ac:dyDescent="0.2"/>
    <row r="8870" s="197" customFormat="1" ht="12.75" x14ac:dyDescent="0.2"/>
    <row r="8871" s="197" customFormat="1" ht="12.75" x14ac:dyDescent="0.2"/>
    <row r="8872" s="197" customFormat="1" ht="12.75" x14ac:dyDescent="0.2"/>
    <row r="8873" s="197" customFormat="1" ht="12.75" x14ac:dyDescent="0.2"/>
    <row r="8874" s="197" customFormat="1" ht="12.75" x14ac:dyDescent="0.2"/>
    <row r="8875" s="197" customFormat="1" ht="12.75" x14ac:dyDescent="0.2"/>
    <row r="8876" s="197" customFormat="1" ht="12.75" x14ac:dyDescent="0.2"/>
    <row r="8877" s="197" customFormat="1" ht="12.75" x14ac:dyDescent="0.2"/>
    <row r="8878" s="197" customFormat="1" ht="12.75" x14ac:dyDescent="0.2"/>
    <row r="8879" s="197" customFormat="1" ht="12.75" x14ac:dyDescent="0.2"/>
    <row r="8880" s="197" customFormat="1" ht="12.75" x14ac:dyDescent="0.2"/>
    <row r="8881" s="197" customFormat="1" ht="12.75" x14ac:dyDescent="0.2"/>
    <row r="8882" s="197" customFormat="1" ht="12.75" x14ac:dyDescent="0.2"/>
    <row r="8883" s="197" customFormat="1" ht="12.75" x14ac:dyDescent="0.2"/>
    <row r="8884" s="197" customFormat="1" ht="12.75" x14ac:dyDescent="0.2"/>
    <row r="8885" s="197" customFormat="1" ht="12.75" x14ac:dyDescent="0.2"/>
    <row r="8886" s="197" customFormat="1" ht="12.75" x14ac:dyDescent="0.2"/>
    <row r="8887" s="197" customFormat="1" ht="12.75" x14ac:dyDescent="0.2"/>
    <row r="8888" s="197" customFormat="1" ht="12.75" x14ac:dyDescent="0.2"/>
    <row r="8889" s="197" customFormat="1" ht="12.75" x14ac:dyDescent="0.2"/>
    <row r="8890" s="197" customFormat="1" ht="12.75" x14ac:dyDescent="0.2"/>
    <row r="8891" s="197" customFormat="1" ht="12.75" x14ac:dyDescent="0.2"/>
    <row r="8892" s="197" customFormat="1" ht="12.75" x14ac:dyDescent="0.2"/>
    <row r="8893" s="197" customFormat="1" ht="12.75" x14ac:dyDescent="0.2"/>
    <row r="8894" s="197" customFormat="1" ht="12.75" x14ac:dyDescent="0.2"/>
    <row r="8895" s="197" customFormat="1" ht="12.75" x14ac:dyDescent="0.2"/>
    <row r="8896" s="197" customFormat="1" ht="12.75" x14ac:dyDescent="0.2"/>
    <row r="8897" s="197" customFormat="1" ht="12.75" x14ac:dyDescent="0.2"/>
    <row r="8898" s="197" customFormat="1" ht="12.75" x14ac:dyDescent="0.2"/>
    <row r="8899" s="197" customFormat="1" ht="12.75" x14ac:dyDescent="0.2"/>
    <row r="8900" s="197" customFormat="1" ht="12.75" x14ac:dyDescent="0.2"/>
    <row r="8901" s="197" customFormat="1" ht="12.75" x14ac:dyDescent="0.2"/>
    <row r="8902" s="197" customFormat="1" ht="12.75" x14ac:dyDescent="0.2"/>
    <row r="8903" s="197" customFormat="1" ht="12.75" x14ac:dyDescent="0.2"/>
    <row r="8904" s="197" customFormat="1" ht="12.75" x14ac:dyDescent="0.2"/>
    <row r="8905" s="197" customFormat="1" ht="12.75" x14ac:dyDescent="0.2"/>
    <row r="8906" s="197" customFormat="1" ht="12.75" x14ac:dyDescent="0.2"/>
    <row r="8907" s="197" customFormat="1" ht="12.75" x14ac:dyDescent="0.2"/>
    <row r="8908" s="197" customFormat="1" ht="12.75" x14ac:dyDescent="0.2"/>
    <row r="8909" s="197" customFormat="1" ht="12.75" x14ac:dyDescent="0.2"/>
    <row r="8910" s="197" customFormat="1" ht="12.75" x14ac:dyDescent="0.2"/>
    <row r="8911" s="197" customFormat="1" ht="12.75" x14ac:dyDescent="0.2"/>
    <row r="8912" s="197" customFormat="1" ht="12.75" x14ac:dyDescent="0.2"/>
    <row r="8913" s="197" customFormat="1" ht="12.75" x14ac:dyDescent="0.2"/>
    <row r="8914" s="197" customFormat="1" ht="12.75" x14ac:dyDescent="0.2"/>
    <row r="8915" s="197" customFormat="1" ht="12.75" x14ac:dyDescent="0.2"/>
    <row r="8916" s="197" customFormat="1" ht="12.75" x14ac:dyDescent="0.2"/>
    <row r="8917" s="197" customFormat="1" ht="12.75" x14ac:dyDescent="0.2"/>
    <row r="8918" s="197" customFormat="1" ht="12.75" x14ac:dyDescent="0.2"/>
    <row r="8919" s="197" customFormat="1" ht="12.75" x14ac:dyDescent="0.2"/>
    <row r="8920" s="197" customFormat="1" ht="12.75" x14ac:dyDescent="0.2"/>
    <row r="8921" s="197" customFormat="1" ht="12.75" x14ac:dyDescent="0.2"/>
    <row r="8922" s="197" customFormat="1" ht="12.75" x14ac:dyDescent="0.2"/>
    <row r="8923" s="197" customFormat="1" ht="12.75" x14ac:dyDescent="0.2"/>
    <row r="8924" s="197" customFormat="1" ht="12.75" x14ac:dyDescent="0.2"/>
    <row r="8925" s="197" customFormat="1" ht="12.75" x14ac:dyDescent="0.2"/>
    <row r="8926" s="197" customFormat="1" ht="12.75" x14ac:dyDescent="0.2"/>
    <row r="8927" s="197" customFormat="1" ht="12.75" x14ac:dyDescent="0.2"/>
    <row r="8928" s="197" customFormat="1" ht="12.75" x14ac:dyDescent="0.2"/>
    <row r="8929" s="197" customFormat="1" ht="12.75" x14ac:dyDescent="0.2"/>
    <row r="8930" s="197" customFormat="1" ht="12.75" x14ac:dyDescent="0.2"/>
    <row r="8931" s="197" customFormat="1" ht="12.75" x14ac:dyDescent="0.2"/>
    <row r="8932" s="197" customFormat="1" ht="12.75" x14ac:dyDescent="0.2"/>
    <row r="8933" s="197" customFormat="1" ht="12.75" x14ac:dyDescent="0.2"/>
    <row r="8934" s="197" customFormat="1" ht="12.75" x14ac:dyDescent="0.2"/>
    <row r="8935" s="197" customFormat="1" ht="12.75" x14ac:dyDescent="0.2"/>
    <row r="8936" s="197" customFormat="1" ht="12.75" x14ac:dyDescent="0.2"/>
    <row r="8937" s="197" customFormat="1" ht="12.75" x14ac:dyDescent="0.2"/>
    <row r="8938" s="197" customFormat="1" ht="12.75" x14ac:dyDescent="0.2"/>
    <row r="8939" s="197" customFormat="1" ht="12.75" x14ac:dyDescent="0.2"/>
    <row r="8940" s="197" customFormat="1" ht="12.75" x14ac:dyDescent="0.2"/>
    <row r="8941" s="197" customFormat="1" ht="12.75" x14ac:dyDescent="0.2"/>
    <row r="8942" s="197" customFormat="1" ht="12.75" x14ac:dyDescent="0.2"/>
    <row r="8943" s="197" customFormat="1" ht="12.75" x14ac:dyDescent="0.2"/>
    <row r="8944" s="197" customFormat="1" ht="12.75" x14ac:dyDescent="0.2"/>
    <row r="8945" s="197" customFormat="1" ht="12.75" x14ac:dyDescent="0.2"/>
    <row r="8946" s="197" customFormat="1" ht="12.75" x14ac:dyDescent="0.2"/>
    <row r="8947" s="197" customFormat="1" ht="12.75" x14ac:dyDescent="0.2"/>
    <row r="8948" s="197" customFormat="1" ht="12.75" x14ac:dyDescent="0.2"/>
    <row r="8949" s="197" customFormat="1" ht="12.75" x14ac:dyDescent="0.2"/>
    <row r="8950" s="197" customFormat="1" ht="12.75" x14ac:dyDescent="0.2"/>
    <row r="8951" s="197" customFormat="1" ht="12.75" x14ac:dyDescent="0.2"/>
    <row r="8952" s="197" customFormat="1" ht="12.75" x14ac:dyDescent="0.2"/>
    <row r="8953" s="197" customFormat="1" ht="12.75" x14ac:dyDescent="0.2"/>
    <row r="8954" s="197" customFormat="1" ht="12.75" x14ac:dyDescent="0.2"/>
    <row r="8955" s="197" customFormat="1" ht="12.75" x14ac:dyDescent="0.2"/>
    <row r="8956" s="197" customFormat="1" ht="12.75" x14ac:dyDescent="0.2"/>
    <row r="8957" s="197" customFormat="1" ht="12.75" x14ac:dyDescent="0.2"/>
    <row r="8958" s="197" customFormat="1" ht="12.75" x14ac:dyDescent="0.2"/>
    <row r="8959" s="197" customFormat="1" ht="12.75" x14ac:dyDescent="0.2"/>
    <row r="8960" s="197" customFormat="1" ht="12.75" x14ac:dyDescent="0.2"/>
    <row r="8961" s="197" customFormat="1" ht="12.75" x14ac:dyDescent="0.2"/>
    <row r="8962" s="197" customFormat="1" ht="12.75" x14ac:dyDescent="0.2"/>
    <row r="8963" s="197" customFormat="1" ht="12.75" x14ac:dyDescent="0.2"/>
    <row r="8964" s="197" customFormat="1" ht="12.75" x14ac:dyDescent="0.2"/>
    <row r="8965" s="197" customFormat="1" ht="12.75" x14ac:dyDescent="0.2"/>
    <row r="8966" s="197" customFormat="1" ht="12.75" x14ac:dyDescent="0.2"/>
    <row r="8967" s="197" customFormat="1" ht="12.75" x14ac:dyDescent="0.2"/>
    <row r="8968" s="197" customFormat="1" ht="12.75" x14ac:dyDescent="0.2"/>
    <row r="8969" s="197" customFormat="1" ht="12.75" x14ac:dyDescent="0.2"/>
    <row r="8970" s="197" customFormat="1" ht="12.75" x14ac:dyDescent="0.2"/>
    <row r="8971" s="197" customFormat="1" ht="12.75" x14ac:dyDescent="0.2"/>
    <row r="8972" s="197" customFormat="1" ht="12.75" x14ac:dyDescent="0.2"/>
    <row r="8973" s="197" customFormat="1" ht="12.75" x14ac:dyDescent="0.2"/>
    <row r="8974" s="197" customFormat="1" ht="12.75" x14ac:dyDescent="0.2"/>
    <row r="8975" s="197" customFormat="1" ht="12.75" x14ac:dyDescent="0.2"/>
    <row r="8976" s="197" customFormat="1" ht="12.75" x14ac:dyDescent="0.2"/>
    <row r="8977" s="197" customFormat="1" ht="12.75" x14ac:dyDescent="0.2"/>
    <row r="8978" s="197" customFormat="1" ht="12.75" x14ac:dyDescent="0.2"/>
    <row r="8979" s="197" customFormat="1" ht="12.75" x14ac:dyDescent="0.2"/>
    <row r="8980" s="197" customFormat="1" ht="12.75" x14ac:dyDescent="0.2"/>
    <row r="8981" s="197" customFormat="1" ht="12.75" x14ac:dyDescent="0.2"/>
    <row r="8982" s="197" customFormat="1" ht="12.75" x14ac:dyDescent="0.2"/>
    <row r="8983" s="197" customFormat="1" ht="12.75" x14ac:dyDescent="0.2"/>
    <row r="8984" s="197" customFormat="1" ht="12.75" x14ac:dyDescent="0.2"/>
    <row r="8985" s="197" customFormat="1" ht="12.75" x14ac:dyDescent="0.2"/>
    <row r="8986" s="197" customFormat="1" ht="12.75" x14ac:dyDescent="0.2"/>
    <row r="8987" s="197" customFormat="1" ht="12.75" x14ac:dyDescent="0.2"/>
    <row r="8988" s="197" customFormat="1" ht="12.75" x14ac:dyDescent="0.2"/>
    <row r="8989" s="197" customFormat="1" ht="12.75" x14ac:dyDescent="0.2"/>
    <row r="8990" s="197" customFormat="1" ht="12.75" x14ac:dyDescent="0.2"/>
    <row r="8991" s="197" customFormat="1" ht="12.75" x14ac:dyDescent="0.2"/>
    <row r="8992" s="197" customFormat="1" ht="12.75" x14ac:dyDescent="0.2"/>
    <row r="8993" s="197" customFormat="1" ht="12.75" x14ac:dyDescent="0.2"/>
    <row r="8994" s="197" customFormat="1" ht="12.75" x14ac:dyDescent="0.2"/>
    <row r="8995" s="197" customFormat="1" ht="12.75" x14ac:dyDescent="0.2"/>
    <row r="8996" s="197" customFormat="1" ht="12.75" x14ac:dyDescent="0.2"/>
    <row r="8997" s="197" customFormat="1" ht="12.75" x14ac:dyDescent="0.2"/>
    <row r="8998" s="197" customFormat="1" ht="12.75" x14ac:dyDescent="0.2"/>
    <row r="8999" s="197" customFormat="1" ht="12.75" x14ac:dyDescent="0.2"/>
    <row r="9000" s="197" customFormat="1" ht="12.75" x14ac:dyDescent="0.2"/>
    <row r="9001" s="197" customFormat="1" ht="12.75" x14ac:dyDescent="0.2"/>
    <row r="9002" s="197" customFormat="1" ht="12.75" x14ac:dyDescent="0.2"/>
    <row r="9003" s="197" customFormat="1" ht="12.75" x14ac:dyDescent="0.2"/>
    <row r="9004" s="197" customFormat="1" ht="12.75" x14ac:dyDescent="0.2"/>
    <row r="9005" s="197" customFormat="1" ht="12.75" x14ac:dyDescent="0.2"/>
    <row r="9006" s="197" customFormat="1" ht="12.75" x14ac:dyDescent="0.2"/>
    <row r="9007" s="197" customFormat="1" ht="12.75" x14ac:dyDescent="0.2"/>
    <row r="9008" s="197" customFormat="1" ht="12.75" x14ac:dyDescent="0.2"/>
    <row r="9009" s="197" customFormat="1" ht="12.75" x14ac:dyDescent="0.2"/>
    <row r="9010" s="197" customFormat="1" ht="12.75" x14ac:dyDescent="0.2"/>
    <row r="9011" s="197" customFormat="1" ht="12.75" x14ac:dyDescent="0.2"/>
    <row r="9012" s="197" customFormat="1" ht="12.75" x14ac:dyDescent="0.2"/>
    <row r="9013" s="197" customFormat="1" ht="12.75" x14ac:dyDescent="0.2"/>
    <row r="9014" s="197" customFormat="1" ht="12.75" x14ac:dyDescent="0.2"/>
    <row r="9015" s="197" customFormat="1" ht="12.75" x14ac:dyDescent="0.2"/>
    <row r="9016" s="197" customFormat="1" ht="12.75" x14ac:dyDescent="0.2"/>
    <row r="9017" s="197" customFormat="1" ht="12.75" x14ac:dyDescent="0.2"/>
    <row r="9018" s="197" customFormat="1" ht="12.75" x14ac:dyDescent="0.2"/>
    <row r="9019" s="197" customFormat="1" ht="12.75" x14ac:dyDescent="0.2"/>
    <row r="9020" s="197" customFormat="1" ht="12.75" x14ac:dyDescent="0.2"/>
    <row r="9021" s="197" customFormat="1" ht="12.75" x14ac:dyDescent="0.2"/>
    <row r="9022" s="197" customFormat="1" ht="12.75" x14ac:dyDescent="0.2"/>
    <row r="9023" s="197" customFormat="1" ht="12.75" x14ac:dyDescent="0.2"/>
    <row r="9024" s="197" customFormat="1" ht="12.75" x14ac:dyDescent="0.2"/>
    <row r="9025" s="197" customFormat="1" ht="12.75" x14ac:dyDescent="0.2"/>
    <row r="9026" s="197" customFormat="1" ht="12.75" x14ac:dyDescent="0.2"/>
    <row r="9027" s="197" customFormat="1" ht="12.75" x14ac:dyDescent="0.2"/>
    <row r="9028" s="197" customFormat="1" ht="12.75" x14ac:dyDescent="0.2"/>
    <row r="9029" s="197" customFormat="1" ht="12.75" x14ac:dyDescent="0.2"/>
    <row r="9030" s="197" customFormat="1" ht="12.75" x14ac:dyDescent="0.2"/>
    <row r="9031" s="197" customFormat="1" ht="12.75" x14ac:dyDescent="0.2"/>
    <row r="9032" s="197" customFormat="1" ht="12.75" x14ac:dyDescent="0.2"/>
    <row r="9033" s="197" customFormat="1" ht="12.75" x14ac:dyDescent="0.2"/>
    <row r="9034" s="197" customFormat="1" ht="12.75" x14ac:dyDescent="0.2"/>
    <row r="9035" s="197" customFormat="1" ht="12.75" x14ac:dyDescent="0.2"/>
    <row r="9036" s="197" customFormat="1" ht="12.75" x14ac:dyDescent="0.2"/>
    <row r="9037" s="197" customFormat="1" ht="12.75" x14ac:dyDescent="0.2"/>
    <row r="9038" s="197" customFormat="1" ht="12.75" x14ac:dyDescent="0.2"/>
    <row r="9039" s="197" customFormat="1" ht="12.75" x14ac:dyDescent="0.2"/>
    <row r="9040" s="197" customFormat="1" ht="12.75" x14ac:dyDescent="0.2"/>
    <row r="9041" s="197" customFormat="1" ht="12.75" x14ac:dyDescent="0.2"/>
    <row r="9042" s="197" customFormat="1" ht="12.75" x14ac:dyDescent="0.2"/>
    <row r="9043" s="197" customFormat="1" ht="12.75" x14ac:dyDescent="0.2"/>
    <row r="9044" s="197" customFormat="1" ht="12.75" x14ac:dyDescent="0.2"/>
    <row r="9045" s="197" customFormat="1" ht="12.75" x14ac:dyDescent="0.2"/>
    <row r="9046" s="197" customFormat="1" ht="12.75" x14ac:dyDescent="0.2"/>
    <row r="9047" s="197" customFormat="1" ht="12.75" x14ac:dyDescent="0.2"/>
    <row r="9048" s="197" customFormat="1" ht="12.75" x14ac:dyDescent="0.2"/>
    <row r="9049" s="197" customFormat="1" ht="12.75" x14ac:dyDescent="0.2"/>
    <row r="9050" s="197" customFormat="1" ht="12.75" x14ac:dyDescent="0.2"/>
    <row r="9051" s="197" customFormat="1" ht="12.75" x14ac:dyDescent="0.2"/>
    <row r="9052" s="197" customFormat="1" ht="12.75" x14ac:dyDescent="0.2"/>
    <row r="9053" s="197" customFormat="1" ht="12.75" x14ac:dyDescent="0.2"/>
    <row r="9054" s="197" customFormat="1" ht="12.75" x14ac:dyDescent="0.2"/>
    <row r="9055" s="197" customFormat="1" ht="12.75" x14ac:dyDescent="0.2"/>
    <row r="9056" s="197" customFormat="1" ht="12.75" x14ac:dyDescent="0.2"/>
    <row r="9057" s="197" customFormat="1" ht="12.75" x14ac:dyDescent="0.2"/>
    <row r="9058" s="197" customFormat="1" ht="12.75" x14ac:dyDescent="0.2"/>
    <row r="9059" s="197" customFormat="1" ht="12.75" x14ac:dyDescent="0.2"/>
    <row r="9060" s="197" customFormat="1" ht="12.75" x14ac:dyDescent="0.2"/>
    <row r="9061" s="197" customFormat="1" ht="12.75" x14ac:dyDescent="0.2"/>
    <row r="9062" s="197" customFormat="1" ht="12.75" x14ac:dyDescent="0.2"/>
    <row r="9063" s="197" customFormat="1" ht="12.75" x14ac:dyDescent="0.2"/>
    <row r="9064" s="197" customFormat="1" ht="12.75" x14ac:dyDescent="0.2"/>
    <row r="9065" s="197" customFormat="1" ht="12.75" x14ac:dyDescent="0.2"/>
    <row r="9066" s="197" customFormat="1" ht="12.75" x14ac:dyDescent="0.2"/>
    <row r="9067" s="197" customFormat="1" ht="12.75" x14ac:dyDescent="0.2"/>
    <row r="9068" s="197" customFormat="1" ht="12.75" x14ac:dyDescent="0.2"/>
    <row r="9069" s="197" customFormat="1" ht="12.75" x14ac:dyDescent="0.2"/>
    <row r="9070" s="197" customFormat="1" ht="12.75" x14ac:dyDescent="0.2"/>
    <row r="9071" s="197" customFormat="1" ht="12.75" x14ac:dyDescent="0.2"/>
    <row r="9072" s="197" customFormat="1" ht="12.75" x14ac:dyDescent="0.2"/>
    <row r="9073" s="197" customFormat="1" ht="12.75" x14ac:dyDescent="0.2"/>
    <row r="9074" s="197" customFormat="1" ht="12.75" x14ac:dyDescent="0.2"/>
    <row r="9075" s="197" customFormat="1" ht="12.75" x14ac:dyDescent="0.2"/>
    <row r="9076" s="197" customFormat="1" ht="12.75" x14ac:dyDescent="0.2"/>
    <row r="9077" s="197" customFormat="1" ht="12.75" x14ac:dyDescent="0.2"/>
    <row r="9078" s="197" customFormat="1" ht="12.75" x14ac:dyDescent="0.2"/>
    <row r="9079" s="197" customFormat="1" ht="12.75" x14ac:dyDescent="0.2"/>
    <row r="9080" s="197" customFormat="1" ht="12.75" x14ac:dyDescent="0.2"/>
    <row r="9081" s="197" customFormat="1" ht="12.75" x14ac:dyDescent="0.2"/>
    <row r="9082" s="197" customFormat="1" ht="12.75" x14ac:dyDescent="0.2"/>
    <row r="9083" s="197" customFormat="1" ht="12.75" x14ac:dyDescent="0.2"/>
    <row r="9084" s="197" customFormat="1" ht="12.75" x14ac:dyDescent="0.2"/>
    <row r="9085" s="197" customFormat="1" ht="12.75" x14ac:dyDescent="0.2"/>
    <row r="9086" s="197" customFormat="1" ht="12.75" x14ac:dyDescent="0.2"/>
    <row r="9087" s="197" customFormat="1" ht="12.75" x14ac:dyDescent="0.2"/>
    <row r="9088" s="197" customFormat="1" ht="12.75" x14ac:dyDescent="0.2"/>
    <row r="9089" s="197" customFormat="1" ht="12.75" x14ac:dyDescent="0.2"/>
    <row r="9090" s="197" customFormat="1" ht="12.75" x14ac:dyDescent="0.2"/>
    <row r="9091" s="197" customFormat="1" ht="12.75" x14ac:dyDescent="0.2"/>
    <row r="9092" s="197" customFormat="1" ht="12.75" x14ac:dyDescent="0.2"/>
    <row r="9093" s="197" customFormat="1" ht="12.75" x14ac:dyDescent="0.2"/>
    <row r="9094" s="197" customFormat="1" ht="12.75" x14ac:dyDescent="0.2"/>
    <row r="9095" s="197" customFormat="1" ht="12.75" x14ac:dyDescent="0.2"/>
    <row r="9096" s="197" customFormat="1" ht="12.75" x14ac:dyDescent="0.2"/>
    <row r="9097" s="197" customFormat="1" ht="12.75" x14ac:dyDescent="0.2"/>
    <row r="9098" s="197" customFormat="1" ht="12.75" x14ac:dyDescent="0.2"/>
    <row r="9099" s="197" customFormat="1" ht="12.75" x14ac:dyDescent="0.2"/>
    <row r="9100" s="197" customFormat="1" ht="12.75" x14ac:dyDescent="0.2"/>
    <row r="9101" s="197" customFormat="1" ht="12.75" x14ac:dyDescent="0.2"/>
    <row r="9102" s="197" customFormat="1" ht="12.75" x14ac:dyDescent="0.2"/>
    <row r="9103" s="197" customFormat="1" ht="12.75" x14ac:dyDescent="0.2"/>
    <row r="9104" s="197" customFormat="1" ht="12.75" x14ac:dyDescent="0.2"/>
    <row r="9105" s="197" customFormat="1" ht="12.75" x14ac:dyDescent="0.2"/>
    <row r="9106" s="197" customFormat="1" ht="12.75" x14ac:dyDescent="0.2"/>
    <row r="9107" s="197" customFormat="1" ht="12.75" x14ac:dyDescent="0.2"/>
    <row r="9108" s="197" customFormat="1" ht="12.75" x14ac:dyDescent="0.2"/>
    <row r="9109" s="197" customFormat="1" ht="12.75" x14ac:dyDescent="0.2"/>
    <row r="9110" s="197" customFormat="1" ht="12.75" x14ac:dyDescent="0.2"/>
    <row r="9111" s="197" customFormat="1" ht="12.75" x14ac:dyDescent="0.2"/>
    <row r="9112" s="197" customFormat="1" ht="12.75" x14ac:dyDescent="0.2"/>
    <row r="9113" s="197" customFormat="1" ht="12.75" x14ac:dyDescent="0.2"/>
    <row r="9114" s="197" customFormat="1" ht="12.75" x14ac:dyDescent="0.2"/>
    <row r="9115" s="197" customFormat="1" ht="12.75" x14ac:dyDescent="0.2"/>
    <row r="9116" s="197" customFormat="1" ht="12.75" x14ac:dyDescent="0.2"/>
    <row r="9117" s="197" customFormat="1" ht="12.75" x14ac:dyDescent="0.2"/>
    <row r="9118" s="197" customFormat="1" ht="12.75" x14ac:dyDescent="0.2"/>
    <row r="9119" s="197" customFormat="1" ht="12.75" x14ac:dyDescent="0.2"/>
    <row r="9120" s="197" customFormat="1" ht="12.75" x14ac:dyDescent="0.2"/>
    <row r="9121" s="197" customFormat="1" ht="12.75" x14ac:dyDescent="0.2"/>
    <row r="9122" s="197" customFormat="1" ht="12.75" x14ac:dyDescent="0.2"/>
    <row r="9123" s="197" customFormat="1" ht="12.75" x14ac:dyDescent="0.2"/>
    <row r="9124" s="197" customFormat="1" ht="12.75" x14ac:dyDescent="0.2"/>
    <row r="9125" s="197" customFormat="1" ht="12.75" x14ac:dyDescent="0.2"/>
    <row r="9126" s="197" customFormat="1" ht="12.75" x14ac:dyDescent="0.2"/>
    <row r="9127" s="197" customFormat="1" ht="12.75" x14ac:dyDescent="0.2"/>
    <row r="9128" s="197" customFormat="1" ht="12.75" x14ac:dyDescent="0.2"/>
    <row r="9129" s="197" customFormat="1" ht="12.75" x14ac:dyDescent="0.2"/>
    <row r="9130" s="197" customFormat="1" ht="12.75" x14ac:dyDescent="0.2"/>
    <row r="9131" s="197" customFormat="1" ht="12.75" x14ac:dyDescent="0.2"/>
    <row r="9132" s="197" customFormat="1" ht="12.75" x14ac:dyDescent="0.2"/>
    <row r="9133" s="197" customFormat="1" ht="12.75" x14ac:dyDescent="0.2"/>
    <row r="9134" s="197" customFormat="1" ht="12.75" x14ac:dyDescent="0.2"/>
    <row r="9135" s="197" customFormat="1" ht="12.75" x14ac:dyDescent="0.2"/>
    <row r="9136" s="197" customFormat="1" ht="12.75" x14ac:dyDescent="0.2"/>
    <row r="9137" s="197" customFormat="1" ht="12.75" x14ac:dyDescent="0.2"/>
    <row r="9138" s="197" customFormat="1" ht="12.75" x14ac:dyDescent="0.2"/>
    <row r="9139" s="197" customFormat="1" ht="12.75" x14ac:dyDescent="0.2"/>
    <row r="9140" s="197" customFormat="1" ht="12.75" x14ac:dyDescent="0.2"/>
    <row r="9141" s="197" customFormat="1" ht="12.75" x14ac:dyDescent="0.2"/>
    <row r="9142" s="197" customFormat="1" ht="12.75" x14ac:dyDescent="0.2"/>
    <row r="9143" s="197" customFormat="1" ht="12.75" x14ac:dyDescent="0.2"/>
    <row r="9144" s="197" customFormat="1" ht="12.75" x14ac:dyDescent="0.2"/>
    <row r="9145" s="197" customFormat="1" ht="12.75" x14ac:dyDescent="0.2"/>
    <row r="9146" s="197" customFormat="1" ht="12.75" x14ac:dyDescent="0.2"/>
    <row r="9147" s="197" customFormat="1" ht="12.75" x14ac:dyDescent="0.2"/>
    <row r="9148" s="197" customFormat="1" ht="12.75" x14ac:dyDescent="0.2"/>
    <row r="9149" s="197" customFormat="1" ht="12.75" x14ac:dyDescent="0.2"/>
    <row r="9150" s="197" customFormat="1" ht="12.75" x14ac:dyDescent="0.2"/>
    <row r="9151" s="197" customFormat="1" ht="12.75" x14ac:dyDescent="0.2"/>
    <row r="9152" s="197" customFormat="1" ht="12.75" x14ac:dyDescent="0.2"/>
    <row r="9153" s="197" customFormat="1" ht="12.75" x14ac:dyDescent="0.2"/>
    <row r="9154" s="197" customFormat="1" ht="12.75" x14ac:dyDescent="0.2"/>
    <row r="9155" s="197" customFormat="1" ht="12.75" x14ac:dyDescent="0.2"/>
    <row r="9156" s="197" customFormat="1" ht="12.75" x14ac:dyDescent="0.2"/>
    <row r="9157" s="197" customFormat="1" ht="12.75" x14ac:dyDescent="0.2"/>
    <row r="9158" s="197" customFormat="1" ht="12.75" x14ac:dyDescent="0.2"/>
    <row r="9159" s="197" customFormat="1" ht="12.75" x14ac:dyDescent="0.2"/>
    <row r="9160" s="197" customFormat="1" ht="12.75" x14ac:dyDescent="0.2"/>
    <row r="9161" s="197" customFormat="1" ht="12.75" x14ac:dyDescent="0.2"/>
    <row r="9162" s="197" customFormat="1" ht="12.75" x14ac:dyDescent="0.2"/>
    <row r="9163" s="197" customFormat="1" ht="12.75" x14ac:dyDescent="0.2"/>
    <row r="9164" s="197" customFormat="1" ht="12.75" x14ac:dyDescent="0.2"/>
    <row r="9165" s="197" customFormat="1" ht="12.75" x14ac:dyDescent="0.2"/>
    <row r="9166" s="197" customFormat="1" ht="12.75" x14ac:dyDescent="0.2"/>
    <row r="9167" s="197" customFormat="1" ht="12.75" x14ac:dyDescent="0.2"/>
    <row r="9168" s="197" customFormat="1" ht="12.75" x14ac:dyDescent="0.2"/>
    <row r="9169" s="197" customFormat="1" ht="12.75" x14ac:dyDescent="0.2"/>
    <row r="9170" s="197" customFormat="1" ht="12.75" x14ac:dyDescent="0.2"/>
    <row r="9171" s="197" customFormat="1" ht="12.75" x14ac:dyDescent="0.2"/>
    <row r="9172" s="197" customFormat="1" ht="12.75" x14ac:dyDescent="0.2"/>
    <row r="9173" s="197" customFormat="1" ht="12.75" x14ac:dyDescent="0.2"/>
    <row r="9174" s="197" customFormat="1" ht="12.75" x14ac:dyDescent="0.2"/>
    <row r="9175" s="197" customFormat="1" ht="12.75" x14ac:dyDescent="0.2"/>
    <row r="9176" s="197" customFormat="1" ht="12.75" x14ac:dyDescent="0.2"/>
    <row r="9177" s="197" customFormat="1" ht="12.75" x14ac:dyDescent="0.2"/>
    <row r="9178" s="197" customFormat="1" ht="12.75" x14ac:dyDescent="0.2"/>
    <row r="9179" s="197" customFormat="1" ht="12.75" x14ac:dyDescent="0.2"/>
    <row r="9180" s="197" customFormat="1" ht="12.75" x14ac:dyDescent="0.2"/>
    <row r="9181" s="197" customFormat="1" ht="12.75" x14ac:dyDescent="0.2"/>
    <row r="9182" s="197" customFormat="1" ht="12.75" x14ac:dyDescent="0.2"/>
    <row r="9183" s="197" customFormat="1" ht="12.75" x14ac:dyDescent="0.2"/>
    <row r="9184" s="197" customFormat="1" ht="12.75" x14ac:dyDescent="0.2"/>
    <row r="9185" s="197" customFormat="1" ht="12.75" x14ac:dyDescent="0.2"/>
    <row r="9186" s="197" customFormat="1" ht="12.75" x14ac:dyDescent="0.2"/>
    <row r="9187" s="197" customFormat="1" ht="12.75" x14ac:dyDescent="0.2"/>
    <row r="9188" s="197" customFormat="1" ht="12.75" x14ac:dyDescent="0.2"/>
    <row r="9189" s="197" customFormat="1" ht="12.75" x14ac:dyDescent="0.2"/>
    <row r="9190" s="197" customFormat="1" ht="12.75" x14ac:dyDescent="0.2"/>
    <row r="9191" s="197" customFormat="1" ht="12.75" x14ac:dyDescent="0.2"/>
    <row r="9192" s="197" customFormat="1" ht="12.75" x14ac:dyDescent="0.2"/>
    <row r="9193" s="197" customFormat="1" ht="12.75" x14ac:dyDescent="0.2"/>
    <row r="9194" s="197" customFormat="1" ht="12.75" x14ac:dyDescent="0.2"/>
    <row r="9195" s="197" customFormat="1" ht="12.75" x14ac:dyDescent="0.2"/>
    <row r="9196" s="197" customFormat="1" ht="12.75" x14ac:dyDescent="0.2"/>
    <row r="9197" s="197" customFormat="1" ht="12.75" x14ac:dyDescent="0.2"/>
    <row r="9198" s="197" customFormat="1" ht="12.75" x14ac:dyDescent="0.2"/>
    <row r="9199" s="197" customFormat="1" ht="12.75" x14ac:dyDescent="0.2"/>
    <row r="9200" s="197" customFormat="1" ht="12.75" x14ac:dyDescent="0.2"/>
    <row r="9201" s="197" customFormat="1" ht="12.75" x14ac:dyDescent="0.2"/>
    <row r="9202" s="197" customFormat="1" ht="12.75" x14ac:dyDescent="0.2"/>
    <row r="9203" s="197" customFormat="1" ht="12.75" x14ac:dyDescent="0.2"/>
    <row r="9204" s="197" customFormat="1" ht="12.75" x14ac:dyDescent="0.2"/>
    <row r="9205" s="197" customFormat="1" ht="12.75" x14ac:dyDescent="0.2"/>
    <row r="9206" s="197" customFormat="1" ht="12.75" x14ac:dyDescent="0.2"/>
    <row r="9207" s="197" customFormat="1" ht="12.75" x14ac:dyDescent="0.2"/>
    <row r="9208" s="197" customFormat="1" ht="12.75" x14ac:dyDescent="0.2"/>
    <row r="9209" s="197" customFormat="1" ht="12.75" x14ac:dyDescent="0.2"/>
    <row r="9210" s="197" customFormat="1" ht="12.75" x14ac:dyDescent="0.2"/>
    <row r="9211" s="197" customFormat="1" ht="12.75" x14ac:dyDescent="0.2"/>
    <row r="9212" s="197" customFormat="1" ht="12.75" x14ac:dyDescent="0.2"/>
    <row r="9213" s="197" customFormat="1" ht="12.75" x14ac:dyDescent="0.2"/>
    <row r="9214" s="197" customFormat="1" ht="12.75" x14ac:dyDescent="0.2"/>
    <row r="9215" s="197" customFormat="1" ht="12.75" x14ac:dyDescent="0.2"/>
    <row r="9216" s="197" customFormat="1" ht="12.75" x14ac:dyDescent="0.2"/>
    <row r="9217" s="197" customFormat="1" ht="12.75" x14ac:dyDescent="0.2"/>
    <row r="9218" s="197" customFormat="1" ht="12.75" x14ac:dyDescent="0.2"/>
    <row r="9219" s="197" customFormat="1" ht="12.75" x14ac:dyDescent="0.2"/>
    <row r="9220" s="197" customFormat="1" ht="12.75" x14ac:dyDescent="0.2"/>
    <row r="9221" s="197" customFormat="1" ht="12.75" x14ac:dyDescent="0.2"/>
    <row r="9222" s="197" customFormat="1" ht="12.75" x14ac:dyDescent="0.2"/>
    <row r="9223" s="197" customFormat="1" ht="12.75" x14ac:dyDescent="0.2"/>
    <row r="9224" s="197" customFormat="1" ht="12.75" x14ac:dyDescent="0.2"/>
    <row r="9225" s="197" customFormat="1" ht="12.75" x14ac:dyDescent="0.2"/>
    <row r="9226" s="197" customFormat="1" ht="12.75" x14ac:dyDescent="0.2"/>
    <row r="9227" s="197" customFormat="1" ht="12.75" x14ac:dyDescent="0.2"/>
    <row r="9228" s="197" customFormat="1" ht="12.75" x14ac:dyDescent="0.2"/>
    <row r="9229" s="197" customFormat="1" ht="12.75" x14ac:dyDescent="0.2"/>
    <row r="9230" s="197" customFormat="1" ht="12.75" x14ac:dyDescent="0.2"/>
    <row r="9231" s="197" customFormat="1" ht="12.75" x14ac:dyDescent="0.2"/>
    <row r="9232" s="197" customFormat="1" ht="12.75" x14ac:dyDescent="0.2"/>
    <row r="9233" s="197" customFormat="1" ht="12.75" x14ac:dyDescent="0.2"/>
    <row r="9234" s="197" customFormat="1" ht="12.75" x14ac:dyDescent="0.2"/>
    <row r="9235" s="197" customFormat="1" ht="12.75" x14ac:dyDescent="0.2"/>
    <row r="9236" s="197" customFormat="1" ht="12.75" x14ac:dyDescent="0.2"/>
    <row r="9237" s="197" customFormat="1" ht="12.75" x14ac:dyDescent="0.2"/>
    <row r="9238" s="197" customFormat="1" ht="12.75" x14ac:dyDescent="0.2"/>
    <row r="9239" s="197" customFormat="1" ht="12.75" x14ac:dyDescent="0.2"/>
    <row r="9240" s="197" customFormat="1" ht="12.75" x14ac:dyDescent="0.2"/>
    <row r="9241" s="197" customFormat="1" ht="12.75" x14ac:dyDescent="0.2"/>
    <row r="9242" s="197" customFormat="1" ht="12.75" x14ac:dyDescent="0.2"/>
    <row r="9243" s="197" customFormat="1" ht="12.75" x14ac:dyDescent="0.2"/>
    <row r="9244" s="197" customFormat="1" ht="12.75" x14ac:dyDescent="0.2"/>
    <row r="9245" s="197" customFormat="1" ht="12.75" x14ac:dyDescent="0.2"/>
    <row r="9246" s="197" customFormat="1" ht="12.75" x14ac:dyDescent="0.2"/>
    <row r="9247" s="197" customFormat="1" ht="12.75" x14ac:dyDescent="0.2"/>
    <row r="9248" s="197" customFormat="1" ht="12.75" x14ac:dyDescent="0.2"/>
    <row r="9249" s="197" customFormat="1" ht="12.75" x14ac:dyDescent="0.2"/>
    <row r="9250" s="197" customFormat="1" ht="12.75" x14ac:dyDescent="0.2"/>
    <row r="9251" s="197" customFormat="1" ht="12.75" x14ac:dyDescent="0.2"/>
    <row r="9252" s="197" customFormat="1" ht="12.75" x14ac:dyDescent="0.2"/>
    <row r="9253" s="197" customFormat="1" ht="12.75" x14ac:dyDescent="0.2"/>
    <row r="9254" s="197" customFormat="1" ht="12.75" x14ac:dyDescent="0.2"/>
    <row r="9255" s="197" customFormat="1" ht="12.75" x14ac:dyDescent="0.2"/>
    <row r="9256" s="197" customFormat="1" ht="12.75" x14ac:dyDescent="0.2"/>
    <row r="9257" s="197" customFormat="1" ht="12.75" x14ac:dyDescent="0.2"/>
    <row r="9258" s="197" customFormat="1" ht="12.75" x14ac:dyDescent="0.2"/>
    <row r="9259" s="197" customFormat="1" ht="12.75" x14ac:dyDescent="0.2"/>
    <row r="9260" s="197" customFormat="1" ht="12.75" x14ac:dyDescent="0.2"/>
    <row r="9261" s="197" customFormat="1" ht="12.75" x14ac:dyDescent="0.2"/>
    <row r="9262" s="197" customFormat="1" ht="12.75" x14ac:dyDescent="0.2"/>
    <row r="9263" s="197" customFormat="1" ht="12.75" x14ac:dyDescent="0.2"/>
    <row r="9264" s="197" customFormat="1" ht="12.75" x14ac:dyDescent="0.2"/>
    <row r="9265" s="197" customFormat="1" ht="12.75" x14ac:dyDescent="0.2"/>
    <row r="9266" s="197" customFormat="1" ht="12.75" x14ac:dyDescent="0.2"/>
    <row r="9267" s="197" customFormat="1" ht="12.75" x14ac:dyDescent="0.2"/>
    <row r="9268" s="197" customFormat="1" ht="12.75" x14ac:dyDescent="0.2"/>
    <row r="9269" s="197" customFormat="1" ht="12.75" x14ac:dyDescent="0.2"/>
    <row r="9270" s="197" customFormat="1" ht="12.75" x14ac:dyDescent="0.2"/>
    <row r="9271" s="197" customFormat="1" ht="12.75" x14ac:dyDescent="0.2"/>
    <row r="9272" s="197" customFormat="1" ht="12.75" x14ac:dyDescent="0.2"/>
    <row r="9273" s="197" customFormat="1" ht="12.75" x14ac:dyDescent="0.2"/>
    <row r="9274" s="197" customFormat="1" ht="12.75" x14ac:dyDescent="0.2"/>
    <row r="9275" s="197" customFormat="1" ht="12.75" x14ac:dyDescent="0.2"/>
    <row r="9276" s="197" customFormat="1" ht="12.75" x14ac:dyDescent="0.2"/>
    <row r="9277" s="197" customFormat="1" ht="12.75" x14ac:dyDescent="0.2"/>
    <row r="9278" s="197" customFormat="1" ht="12.75" x14ac:dyDescent="0.2"/>
    <row r="9279" s="197" customFormat="1" ht="12.75" x14ac:dyDescent="0.2"/>
    <row r="9280" s="197" customFormat="1" ht="12.75" x14ac:dyDescent="0.2"/>
    <row r="9281" s="197" customFormat="1" ht="12.75" x14ac:dyDescent="0.2"/>
    <row r="9282" s="197" customFormat="1" ht="12.75" x14ac:dyDescent="0.2"/>
    <row r="9283" s="197" customFormat="1" ht="12.75" x14ac:dyDescent="0.2"/>
    <row r="9284" s="197" customFormat="1" ht="12.75" x14ac:dyDescent="0.2"/>
    <row r="9285" s="197" customFormat="1" ht="12.75" x14ac:dyDescent="0.2"/>
    <row r="9286" s="197" customFormat="1" ht="12.75" x14ac:dyDescent="0.2"/>
    <row r="9287" s="197" customFormat="1" ht="12.75" x14ac:dyDescent="0.2"/>
    <row r="9288" s="197" customFormat="1" ht="12.75" x14ac:dyDescent="0.2"/>
    <row r="9289" s="197" customFormat="1" ht="12.75" x14ac:dyDescent="0.2"/>
    <row r="9290" s="197" customFormat="1" ht="12.75" x14ac:dyDescent="0.2"/>
    <row r="9291" s="197" customFormat="1" ht="12.75" x14ac:dyDescent="0.2"/>
    <row r="9292" s="197" customFormat="1" ht="12.75" x14ac:dyDescent="0.2"/>
    <row r="9293" s="197" customFormat="1" ht="12.75" x14ac:dyDescent="0.2"/>
    <row r="9294" s="197" customFormat="1" ht="12.75" x14ac:dyDescent="0.2"/>
    <row r="9295" s="197" customFormat="1" ht="12.75" x14ac:dyDescent="0.2"/>
    <row r="9296" s="197" customFormat="1" ht="12.75" x14ac:dyDescent="0.2"/>
    <row r="9297" s="197" customFormat="1" ht="12.75" x14ac:dyDescent="0.2"/>
    <row r="9298" s="197" customFormat="1" ht="12.75" x14ac:dyDescent="0.2"/>
    <row r="9299" s="197" customFormat="1" ht="12.75" x14ac:dyDescent="0.2"/>
    <row r="9300" s="197" customFormat="1" ht="12.75" x14ac:dyDescent="0.2"/>
    <row r="9301" s="197" customFormat="1" ht="12.75" x14ac:dyDescent="0.2"/>
    <row r="9302" s="197" customFormat="1" ht="12.75" x14ac:dyDescent="0.2"/>
    <row r="9303" s="197" customFormat="1" ht="12.75" x14ac:dyDescent="0.2"/>
    <row r="9304" s="197" customFormat="1" ht="12.75" x14ac:dyDescent="0.2"/>
    <row r="9305" s="197" customFormat="1" ht="12.75" x14ac:dyDescent="0.2"/>
    <row r="9306" s="197" customFormat="1" ht="12.75" x14ac:dyDescent="0.2"/>
    <row r="9307" s="197" customFormat="1" ht="12.75" x14ac:dyDescent="0.2"/>
    <row r="9308" s="197" customFormat="1" ht="12.75" x14ac:dyDescent="0.2"/>
    <row r="9309" s="197" customFormat="1" ht="12.75" x14ac:dyDescent="0.2"/>
    <row r="9310" s="197" customFormat="1" ht="12.75" x14ac:dyDescent="0.2"/>
    <row r="9311" s="197" customFormat="1" ht="12.75" x14ac:dyDescent="0.2"/>
    <row r="9312" s="197" customFormat="1" ht="12.75" x14ac:dyDescent="0.2"/>
    <row r="9313" s="197" customFormat="1" ht="12.75" x14ac:dyDescent="0.2"/>
    <row r="9314" s="197" customFormat="1" ht="12.75" x14ac:dyDescent="0.2"/>
    <row r="9315" s="197" customFormat="1" ht="12.75" x14ac:dyDescent="0.2"/>
    <row r="9316" s="197" customFormat="1" ht="12.75" x14ac:dyDescent="0.2"/>
    <row r="9317" s="197" customFormat="1" ht="12.75" x14ac:dyDescent="0.2"/>
    <row r="9318" s="197" customFormat="1" ht="12.75" x14ac:dyDescent="0.2"/>
    <row r="9319" s="197" customFormat="1" ht="12.75" x14ac:dyDescent="0.2"/>
    <row r="9320" s="197" customFormat="1" ht="12.75" x14ac:dyDescent="0.2"/>
    <row r="9321" s="197" customFormat="1" ht="12.75" x14ac:dyDescent="0.2"/>
    <row r="9322" s="197" customFormat="1" ht="12.75" x14ac:dyDescent="0.2"/>
    <row r="9323" s="197" customFormat="1" ht="12.75" x14ac:dyDescent="0.2"/>
    <row r="9324" s="197" customFormat="1" ht="12.75" x14ac:dyDescent="0.2"/>
    <row r="9325" s="197" customFormat="1" ht="12.75" x14ac:dyDescent="0.2"/>
    <row r="9326" s="197" customFormat="1" ht="12.75" x14ac:dyDescent="0.2"/>
    <row r="9327" s="197" customFormat="1" ht="12.75" x14ac:dyDescent="0.2"/>
    <row r="9328" s="197" customFormat="1" ht="12.75" x14ac:dyDescent="0.2"/>
    <row r="9329" s="197" customFormat="1" ht="12.75" x14ac:dyDescent="0.2"/>
    <row r="9330" s="197" customFormat="1" ht="12.75" x14ac:dyDescent="0.2"/>
    <row r="9331" s="197" customFormat="1" ht="12.75" x14ac:dyDescent="0.2"/>
    <row r="9332" s="197" customFormat="1" ht="12.75" x14ac:dyDescent="0.2"/>
    <row r="9333" s="197" customFormat="1" ht="12.75" x14ac:dyDescent="0.2"/>
    <row r="9334" s="197" customFormat="1" ht="12.75" x14ac:dyDescent="0.2"/>
    <row r="9335" s="197" customFormat="1" ht="12.75" x14ac:dyDescent="0.2"/>
    <row r="9336" s="197" customFormat="1" ht="12.75" x14ac:dyDescent="0.2"/>
    <row r="9337" s="197" customFormat="1" ht="12.75" x14ac:dyDescent="0.2"/>
    <row r="9338" s="197" customFormat="1" ht="12.75" x14ac:dyDescent="0.2"/>
    <row r="9339" s="197" customFormat="1" ht="12.75" x14ac:dyDescent="0.2"/>
    <row r="9340" s="197" customFormat="1" ht="12.75" x14ac:dyDescent="0.2"/>
    <row r="9341" s="197" customFormat="1" ht="12.75" x14ac:dyDescent="0.2"/>
    <row r="9342" s="197" customFormat="1" ht="12.75" x14ac:dyDescent="0.2"/>
    <row r="9343" s="197" customFormat="1" ht="12.75" x14ac:dyDescent="0.2"/>
    <row r="9344" s="197" customFormat="1" ht="12.75" x14ac:dyDescent="0.2"/>
    <row r="9345" s="197" customFormat="1" ht="12.75" x14ac:dyDescent="0.2"/>
    <row r="9346" s="197" customFormat="1" ht="12.75" x14ac:dyDescent="0.2"/>
    <row r="9347" s="197" customFormat="1" ht="12.75" x14ac:dyDescent="0.2"/>
    <row r="9348" s="197" customFormat="1" ht="12.75" x14ac:dyDescent="0.2"/>
    <row r="9349" s="197" customFormat="1" ht="12.75" x14ac:dyDescent="0.2"/>
    <row r="9350" s="197" customFormat="1" ht="12.75" x14ac:dyDescent="0.2"/>
    <row r="9351" s="197" customFormat="1" ht="12.75" x14ac:dyDescent="0.2"/>
    <row r="9352" s="197" customFormat="1" ht="12.75" x14ac:dyDescent="0.2"/>
    <row r="9353" s="197" customFormat="1" ht="12.75" x14ac:dyDescent="0.2"/>
    <row r="9354" s="197" customFormat="1" ht="12.75" x14ac:dyDescent="0.2"/>
    <row r="9355" s="197" customFormat="1" ht="12.75" x14ac:dyDescent="0.2"/>
    <row r="9356" s="197" customFormat="1" ht="12.75" x14ac:dyDescent="0.2"/>
    <row r="9357" s="197" customFormat="1" ht="12.75" x14ac:dyDescent="0.2"/>
    <row r="9358" s="197" customFormat="1" ht="12.75" x14ac:dyDescent="0.2"/>
    <row r="9359" s="197" customFormat="1" ht="12.75" x14ac:dyDescent="0.2"/>
    <row r="9360" s="197" customFormat="1" ht="12.75" x14ac:dyDescent="0.2"/>
    <row r="9361" s="197" customFormat="1" ht="12.75" x14ac:dyDescent="0.2"/>
    <row r="9362" s="197" customFormat="1" ht="12.75" x14ac:dyDescent="0.2"/>
    <row r="9363" s="197" customFormat="1" ht="12.75" x14ac:dyDescent="0.2"/>
    <row r="9364" s="197" customFormat="1" ht="12.75" x14ac:dyDescent="0.2"/>
    <row r="9365" s="197" customFormat="1" ht="12.75" x14ac:dyDescent="0.2"/>
    <row r="9366" s="197" customFormat="1" ht="12.75" x14ac:dyDescent="0.2"/>
    <row r="9367" s="197" customFormat="1" ht="12.75" x14ac:dyDescent="0.2"/>
    <row r="9368" s="197" customFormat="1" ht="12.75" x14ac:dyDescent="0.2"/>
    <row r="9369" s="197" customFormat="1" ht="12.75" x14ac:dyDescent="0.2"/>
    <row r="9370" s="197" customFormat="1" ht="12.75" x14ac:dyDescent="0.2"/>
    <row r="9371" s="197" customFormat="1" ht="12.75" x14ac:dyDescent="0.2"/>
    <row r="9372" s="197" customFormat="1" ht="12.75" x14ac:dyDescent="0.2"/>
    <row r="9373" s="197" customFormat="1" ht="12.75" x14ac:dyDescent="0.2"/>
    <row r="9374" s="197" customFormat="1" ht="12.75" x14ac:dyDescent="0.2"/>
    <row r="9375" s="197" customFormat="1" ht="12.75" x14ac:dyDescent="0.2"/>
    <row r="9376" s="197" customFormat="1" ht="12.75" x14ac:dyDescent="0.2"/>
    <row r="9377" s="197" customFormat="1" ht="12.75" x14ac:dyDescent="0.2"/>
    <row r="9378" s="197" customFormat="1" ht="12.75" x14ac:dyDescent="0.2"/>
    <row r="9379" s="197" customFormat="1" ht="12.75" x14ac:dyDescent="0.2"/>
    <row r="9380" s="197" customFormat="1" ht="12.75" x14ac:dyDescent="0.2"/>
    <row r="9381" s="197" customFormat="1" ht="12.75" x14ac:dyDescent="0.2"/>
    <row r="9382" s="197" customFormat="1" ht="12.75" x14ac:dyDescent="0.2"/>
    <row r="9383" s="197" customFormat="1" ht="12.75" x14ac:dyDescent="0.2"/>
    <row r="9384" s="197" customFormat="1" ht="12.75" x14ac:dyDescent="0.2"/>
    <row r="9385" s="197" customFormat="1" ht="12.75" x14ac:dyDescent="0.2"/>
    <row r="9386" s="197" customFormat="1" ht="12.75" x14ac:dyDescent="0.2"/>
    <row r="9387" s="197" customFormat="1" ht="12.75" x14ac:dyDescent="0.2"/>
    <row r="9388" s="197" customFormat="1" ht="12.75" x14ac:dyDescent="0.2"/>
    <row r="9389" s="197" customFormat="1" ht="12.75" x14ac:dyDescent="0.2"/>
    <row r="9390" s="197" customFormat="1" ht="12.75" x14ac:dyDescent="0.2"/>
    <row r="9391" s="197" customFormat="1" ht="12.75" x14ac:dyDescent="0.2"/>
    <row r="9392" s="197" customFormat="1" ht="12.75" x14ac:dyDescent="0.2"/>
    <row r="9393" s="197" customFormat="1" ht="12.75" x14ac:dyDescent="0.2"/>
    <row r="9394" s="197" customFormat="1" ht="12.75" x14ac:dyDescent="0.2"/>
    <row r="9395" s="197" customFormat="1" ht="12.75" x14ac:dyDescent="0.2"/>
    <row r="9396" s="197" customFormat="1" ht="12.75" x14ac:dyDescent="0.2"/>
    <row r="9397" s="197" customFormat="1" ht="12.75" x14ac:dyDescent="0.2"/>
    <row r="9398" s="197" customFormat="1" ht="12.75" x14ac:dyDescent="0.2"/>
    <row r="9399" s="197" customFormat="1" ht="12.75" x14ac:dyDescent="0.2"/>
    <row r="9400" s="197" customFormat="1" ht="12.75" x14ac:dyDescent="0.2"/>
    <row r="9401" s="197" customFormat="1" ht="12.75" x14ac:dyDescent="0.2"/>
    <row r="9402" s="197" customFormat="1" ht="12.75" x14ac:dyDescent="0.2"/>
    <row r="9403" s="197" customFormat="1" ht="12.75" x14ac:dyDescent="0.2"/>
    <row r="9404" s="197" customFormat="1" ht="12.75" x14ac:dyDescent="0.2"/>
    <row r="9405" s="197" customFormat="1" ht="12.75" x14ac:dyDescent="0.2"/>
    <row r="9406" s="197" customFormat="1" ht="12.75" x14ac:dyDescent="0.2"/>
    <row r="9407" s="197" customFormat="1" ht="12.75" x14ac:dyDescent="0.2"/>
    <row r="9408" s="197" customFormat="1" ht="12.75" x14ac:dyDescent="0.2"/>
    <row r="9409" s="197" customFormat="1" ht="12.75" x14ac:dyDescent="0.2"/>
    <row r="9410" s="197" customFormat="1" ht="12.75" x14ac:dyDescent="0.2"/>
    <row r="9411" s="197" customFormat="1" ht="12.75" x14ac:dyDescent="0.2"/>
    <row r="9412" s="197" customFormat="1" ht="12.75" x14ac:dyDescent="0.2"/>
    <row r="9413" s="197" customFormat="1" ht="12.75" x14ac:dyDescent="0.2"/>
    <row r="9414" s="197" customFormat="1" ht="12.75" x14ac:dyDescent="0.2"/>
    <row r="9415" s="197" customFormat="1" ht="12.75" x14ac:dyDescent="0.2"/>
    <row r="9416" s="197" customFormat="1" ht="12.75" x14ac:dyDescent="0.2"/>
    <row r="9417" s="197" customFormat="1" ht="12.75" x14ac:dyDescent="0.2"/>
    <row r="9418" s="197" customFormat="1" ht="12.75" x14ac:dyDescent="0.2"/>
    <row r="9419" s="197" customFormat="1" ht="12.75" x14ac:dyDescent="0.2"/>
    <row r="9420" s="197" customFormat="1" ht="12.75" x14ac:dyDescent="0.2"/>
    <row r="9421" s="197" customFormat="1" ht="12.75" x14ac:dyDescent="0.2"/>
    <row r="9422" s="197" customFormat="1" ht="12.75" x14ac:dyDescent="0.2"/>
    <row r="9423" s="197" customFormat="1" ht="12.75" x14ac:dyDescent="0.2"/>
    <row r="9424" s="197" customFormat="1" ht="12.75" x14ac:dyDescent="0.2"/>
    <row r="9425" s="197" customFormat="1" ht="12.75" x14ac:dyDescent="0.2"/>
    <row r="9426" s="197" customFormat="1" ht="12.75" x14ac:dyDescent="0.2"/>
    <row r="9427" s="197" customFormat="1" ht="12.75" x14ac:dyDescent="0.2"/>
    <row r="9428" s="197" customFormat="1" ht="12.75" x14ac:dyDescent="0.2"/>
    <row r="9429" s="197" customFormat="1" ht="12.75" x14ac:dyDescent="0.2"/>
    <row r="9430" s="197" customFormat="1" ht="12.75" x14ac:dyDescent="0.2"/>
    <row r="9431" s="197" customFormat="1" ht="12.75" x14ac:dyDescent="0.2"/>
    <row r="9432" s="197" customFormat="1" ht="12.75" x14ac:dyDescent="0.2"/>
    <row r="9433" s="197" customFormat="1" ht="12.75" x14ac:dyDescent="0.2"/>
    <row r="9434" s="197" customFormat="1" ht="12.75" x14ac:dyDescent="0.2"/>
    <row r="9435" s="197" customFormat="1" ht="12.75" x14ac:dyDescent="0.2"/>
    <row r="9436" s="197" customFormat="1" ht="12.75" x14ac:dyDescent="0.2"/>
    <row r="9437" s="197" customFormat="1" ht="12.75" x14ac:dyDescent="0.2"/>
    <row r="9438" s="197" customFormat="1" ht="12.75" x14ac:dyDescent="0.2"/>
    <row r="9439" s="197" customFormat="1" ht="12.75" x14ac:dyDescent="0.2"/>
    <row r="9440" s="197" customFormat="1" ht="12.75" x14ac:dyDescent="0.2"/>
    <row r="9441" s="197" customFormat="1" ht="12.75" x14ac:dyDescent="0.2"/>
    <row r="9442" s="197" customFormat="1" ht="12.75" x14ac:dyDescent="0.2"/>
    <row r="9443" s="197" customFormat="1" ht="12.75" x14ac:dyDescent="0.2"/>
    <row r="9444" s="197" customFormat="1" ht="12.75" x14ac:dyDescent="0.2"/>
    <row r="9445" s="197" customFormat="1" ht="12.75" x14ac:dyDescent="0.2"/>
    <row r="9446" s="197" customFormat="1" ht="12.75" x14ac:dyDescent="0.2"/>
    <row r="9447" s="197" customFormat="1" ht="12.75" x14ac:dyDescent="0.2"/>
    <row r="9448" s="197" customFormat="1" ht="12.75" x14ac:dyDescent="0.2"/>
    <row r="9449" s="197" customFormat="1" ht="12.75" x14ac:dyDescent="0.2"/>
    <row r="9450" s="197" customFormat="1" ht="12.75" x14ac:dyDescent="0.2"/>
    <row r="9451" s="197" customFormat="1" ht="12.75" x14ac:dyDescent="0.2"/>
    <row r="9452" s="197" customFormat="1" ht="12.75" x14ac:dyDescent="0.2"/>
    <row r="9453" s="197" customFormat="1" ht="12.75" x14ac:dyDescent="0.2"/>
    <row r="9454" s="197" customFormat="1" ht="12.75" x14ac:dyDescent="0.2"/>
    <row r="9455" s="197" customFormat="1" ht="12.75" x14ac:dyDescent="0.2"/>
    <row r="9456" s="197" customFormat="1" ht="12.75" x14ac:dyDescent="0.2"/>
    <row r="9457" s="197" customFormat="1" ht="12.75" x14ac:dyDescent="0.2"/>
    <row r="9458" s="197" customFormat="1" ht="12.75" x14ac:dyDescent="0.2"/>
    <row r="9459" s="197" customFormat="1" ht="12.75" x14ac:dyDescent="0.2"/>
    <row r="9460" s="197" customFormat="1" ht="12.75" x14ac:dyDescent="0.2"/>
    <row r="9461" s="197" customFormat="1" ht="12.75" x14ac:dyDescent="0.2"/>
    <row r="9462" s="197" customFormat="1" ht="12.75" x14ac:dyDescent="0.2"/>
    <row r="9463" s="197" customFormat="1" ht="12.75" x14ac:dyDescent="0.2"/>
    <row r="9464" s="197" customFormat="1" ht="12.75" x14ac:dyDescent="0.2"/>
    <row r="9465" s="197" customFormat="1" ht="12.75" x14ac:dyDescent="0.2"/>
    <row r="9466" s="197" customFormat="1" ht="12.75" x14ac:dyDescent="0.2"/>
    <row r="9467" s="197" customFormat="1" ht="12.75" x14ac:dyDescent="0.2"/>
    <row r="9468" s="197" customFormat="1" ht="12.75" x14ac:dyDescent="0.2"/>
    <row r="9469" s="197" customFormat="1" ht="12.75" x14ac:dyDescent="0.2"/>
    <row r="9470" s="197" customFormat="1" ht="12.75" x14ac:dyDescent="0.2"/>
    <row r="9471" s="197" customFormat="1" ht="12.75" x14ac:dyDescent="0.2"/>
    <row r="9472" s="197" customFormat="1" ht="12.75" x14ac:dyDescent="0.2"/>
    <row r="9473" s="197" customFormat="1" ht="12.75" x14ac:dyDescent="0.2"/>
    <row r="9474" s="197" customFormat="1" ht="12.75" x14ac:dyDescent="0.2"/>
    <row r="9475" s="197" customFormat="1" ht="12.75" x14ac:dyDescent="0.2"/>
    <row r="9476" s="197" customFormat="1" ht="12.75" x14ac:dyDescent="0.2"/>
    <row r="9477" s="197" customFormat="1" ht="12.75" x14ac:dyDescent="0.2"/>
    <row r="9478" s="197" customFormat="1" ht="12.75" x14ac:dyDescent="0.2"/>
    <row r="9479" s="197" customFormat="1" ht="12.75" x14ac:dyDescent="0.2"/>
    <row r="9480" s="197" customFormat="1" ht="12.75" x14ac:dyDescent="0.2"/>
    <row r="9481" s="197" customFormat="1" ht="12.75" x14ac:dyDescent="0.2"/>
    <row r="9482" s="197" customFormat="1" ht="12.75" x14ac:dyDescent="0.2"/>
    <row r="9483" s="197" customFormat="1" ht="12.75" x14ac:dyDescent="0.2"/>
    <row r="9484" s="197" customFormat="1" ht="12.75" x14ac:dyDescent="0.2"/>
    <row r="9485" s="197" customFormat="1" ht="12.75" x14ac:dyDescent="0.2"/>
    <row r="9486" s="197" customFormat="1" ht="12.75" x14ac:dyDescent="0.2"/>
    <row r="9487" s="197" customFormat="1" ht="12.75" x14ac:dyDescent="0.2"/>
    <row r="9488" s="197" customFormat="1" ht="12.75" x14ac:dyDescent="0.2"/>
    <row r="9489" s="197" customFormat="1" ht="12.75" x14ac:dyDescent="0.2"/>
    <row r="9490" s="197" customFormat="1" ht="12.75" x14ac:dyDescent="0.2"/>
    <row r="9491" s="197" customFormat="1" ht="12.75" x14ac:dyDescent="0.2"/>
    <row r="9492" s="197" customFormat="1" ht="12.75" x14ac:dyDescent="0.2"/>
    <row r="9493" s="197" customFormat="1" ht="12.75" x14ac:dyDescent="0.2"/>
    <row r="9494" s="197" customFormat="1" ht="12.75" x14ac:dyDescent="0.2"/>
    <row r="9495" s="197" customFormat="1" ht="12.75" x14ac:dyDescent="0.2"/>
    <row r="9496" s="197" customFormat="1" ht="12.75" x14ac:dyDescent="0.2"/>
    <row r="9497" s="197" customFormat="1" ht="12.75" x14ac:dyDescent="0.2"/>
    <row r="9498" s="197" customFormat="1" ht="12.75" x14ac:dyDescent="0.2"/>
    <row r="9499" s="197" customFormat="1" ht="12.75" x14ac:dyDescent="0.2"/>
    <row r="9500" s="197" customFormat="1" ht="12.75" x14ac:dyDescent="0.2"/>
    <row r="9501" s="197" customFormat="1" ht="12.75" x14ac:dyDescent="0.2"/>
    <row r="9502" s="197" customFormat="1" ht="12.75" x14ac:dyDescent="0.2"/>
    <row r="9503" s="197" customFormat="1" ht="12.75" x14ac:dyDescent="0.2"/>
    <row r="9504" s="197" customFormat="1" ht="12.75" x14ac:dyDescent="0.2"/>
    <row r="9505" s="197" customFormat="1" ht="12.75" x14ac:dyDescent="0.2"/>
    <row r="9506" s="197" customFormat="1" ht="12.75" x14ac:dyDescent="0.2"/>
    <row r="9507" s="197" customFormat="1" ht="12.75" x14ac:dyDescent="0.2"/>
    <row r="9508" s="197" customFormat="1" ht="12.75" x14ac:dyDescent="0.2"/>
    <row r="9509" s="197" customFormat="1" ht="12.75" x14ac:dyDescent="0.2"/>
    <row r="9510" s="197" customFormat="1" ht="12.75" x14ac:dyDescent="0.2"/>
    <row r="9511" s="197" customFormat="1" ht="12.75" x14ac:dyDescent="0.2"/>
    <row r="9512" s="197" customFormat="1" ht="12.75" x14ac:dyDescent="0.2"/>
    <row r="9513" s="197" customFormat="1" ht="12.75" x14ac:dyDescent="0.2"/>
    <row r="9514" s="197" customFormat="1" ht="12.75" x14ac:dyDescent="0.2"/>
    <row r="9515" s="197" customFormat="1" ht="12.75" x14ac:dyDescent="0.2"/>
    <row r="9516" s="197" customFormat="1" ht="12.75" x14ac:dyDescent="0.2"/>
    <row r="9517" s="197" customFormat="1" ht="12.75" x14ac:dyDescent="0.2"/>
    <row r="9518" s="197" customFormat="1" ht="12.75" x14ac:dyDescent="0.2"/>
    <row r="9519" s="197" customFormat="1" ht="12.75" x14ac:dyDescent="0.2"/>
    <row r="9520" s="197" customFormat="1" ht="12.75" x14ac:dyDescent="0.2"/>
    <row r="9521" s="197" customFormat="1" ht="12.75" x14ac:dyDescent="0.2"/>
    <row r="9522" s="197" customFormat="1" ht="12.75" x14ac:dyDescent="0.2"/>
    <row r="9523" s="197" customFormat="1" ht="12.75" x14ac:dyDescent="0.2"/>
    <row r="9524" s="197" customFormat="1" ht="12.75" x14ac:dyDescent="0.2"/>
    <row r="9525" s="197" customFormat="1" ht="12.75" x14ac:dyDescent="0.2"/>
    <row r="9526" s="197" customFormat="1" ht="12.75" x14ac:dyDescent="0.2"/>
    <row r="9527" s="197" customFormat="1" ht="12.75" x14ac:dyDescent="0.2"/>
    <row r="9528" s="197" customFormat="1" ht="12.75" x14ac:dyDescent="0.2"/>
    <row r="9529" s="197" customFormat="1" ht="12.75" x14ac:dyDescent="0.2"/>
    <row r="9530" s="197" customFormat="1" ht="12.75" x14ac:dyDescent="0.2"/>
    <row r="9531" s="197" customFormat="1" ht="12.75" x14ac:dyDescent="0.2"/>
    <row r="9532" s="197" customFormat="1" ht="12.75" x14ac:dyDescent="0.2"/>
    <row r="9533" s="197" customFormat="1" ht="12.75" x14ac:dyDescent="0.2"/>
    <row r="9534" s="197" customFormat="1" ht="12.75" x14ac:dyDescent="0.2"/>
    <row r="9535" s="197" customFormat="1" ht="12.75" x14ac:dyDescent="0.2"/>
    <row r="9536" s="197" customFormat="1" ht="12.75" x14ac:dyDescent="0.2"/>
    <row r="9537" s="197" customFormat="1" ht="12.75" x14ac:dyDescent="0.2"/>
    <row r="9538" s="197" customFormat="1" ht="12.75" x14ac:dyDescent="0.2"/>
    <row r="9539" s="197" customFormat="1" ht="12.75" x14ac:dyDescent="0.2"/>
    <row r="9540" s="197" customFormat="1" ht="12.75" x14ac:dyDescent="0.2"/>
    <row r="9541" s="197" customFormat="1" ht="12.75" x14ac:dyDescent="0.2"/>
    <row r="9542" s="197" customFormat="1" ht="12.75" x14ac:dyDescent="0.2"/>
    <row r="9543" s="197" customFormat="1" ht="12.75" x14ac:dyDescent="0.2"/>
    <row r="9544" s="197" customFormat="1" ht="12.75" x14ac:dyDescent="0.2"/>
    <row r="9545" s="197" customFormat="1" ht="12.75" x14ac:dyDescent="0.2"/>
    <row r="9546" s="197" customFormat="1" ht="12.75" x14ac:dyDescent="0.2"/>
    <row r="9547" s="197" customFormat="1" ht="12.75" x14ac:dyDescent="0.2"/>
    <row r="9548" s="197" customFormat="1" ht="12.75" x14ac:dyDescent="0.2"/>
    <row r="9549" s="197" customFormat="1" ht="12.75" x14ac:dyDescent="0.2"/>
    <row r="9550" s="197" customFormat="1" ht="12.75" x14ac:dyDescent="0.2"/>
    <row r="9551" s="197" customFormat="1" ht="12.75" x14ac:dyDescent="0.2"/>
    <row r="9552" s="197" customFormat="1" ht="12.75" x14ac:dyDescent="0.2"/>
    <row r="9553" s="197" customFormat="1" ht="12.75" x14ac:dyDescent="0.2"/>
    <row r="9554" s="197" customFormat="1" ht="12.75" x14ac:dyDescent="0.2"/>
    <row r="9555" s="197" customFormat="1" ht="12.75" x14ac:dyDescent="0.2"/>
    <row r="9556" s="197" customFormat="1" ht="12.75" x14ac:dyDescent="0.2"/>
    <row r="9557" s="197" customFormat="1" ht="12.75" x14ac:dyDescent="0.2"/>
    <row r="9558" s="197" customFormat="1" ht="12.75" x14ac:dyDescent="0.2"/>
    <row r="9559" s="197" customFormat="1" ht="12.75" x14ac:dyDescent="0.2"/>
    <row r="9560" s="197" customFormat="1" ht="12.75" x14ac:dyDescent="0.2"/>
    <row r="9561" s="197" customFormat="1" ht="12.75" x14ac:dyDescent="0.2"/>
    <row r="9562" s="197" customFormat="1" ht="12.75" x14ac:dyDescent="0.2"/>
    <row r="9563" s="197" customFormat="1" ht="12.75" x14ac:dyDescent="0.2"/>
    <row r="9564" s="197" customFormat="1" ht="12.75" x14ac:dyDescent="0.2"/>
    <row r="9565" s="197" customFormat="1" ht="12.75" x14ac:dyDescent="0.2"/>
    <row r="9566" s="197" customFormat="1" ht="12.75" x14ac:dyDescent="0.2"/>
    <row r="9567" s="197" customFormat="1" ht="12.75" x14ac:dyDescent="0.2"/>
    <row r="9568" s="197" customFormat="1" ht="12.75" x14ac:dyDescent="0.2"/>
    <row r="9569" s="197" customFormat="1" ht="12.75" x14ac:dyDescent="0.2"/>
    <row r="9570" s="197" customFormat="1" ht="12.75" x14ac:dyDescent="0.2"/>
    <row r="9571" s="197" customFormat="1" ht="12.75" x14ac:dyDescent="0.2"/>
    <row r="9572" s="197" customFormat="1" ht="12.75" x14ac:dyDescent="0.2"/>
    <row r="9573" s="197" customFormat="1" ht="12.75" x14ac:dyDescent="0.2"/>
    <row r="9574" s="197" customFormat="1" ht="12.75" x14ac:dyDescent="0.2"/>
    <row r="9575" s="197" customFormat="1" ht="12.75" x14ac:dyDescent="0.2"/>
    <row r="9576" s="197" customFormat="1" ht="12.75" x14ac:dyDescent="0.2"/>
    <row r="9577" s="197" customFormat="1" ht="12.75" x14ac:dyDescent="0.2"/>
    <row r="9578" s="197" customFormat="1" ht="12.75" x14ac:dyDescent="0.2"/>
    <row r="9579" s="197" customFormat="1" ht="12.75" x14ac:dyDescent="0.2"/>
    <row r="9580" s="197" customFormat="1" ht="12.75" x14ac:dyDescent="0.2"/>
    <row r="9581" s="197" customFormat="1" ht="12.75" x14ac:dyDescent="0.2"/>
    <row r="9582" s="197" customFormat="1" ht="12.75" x14ac:dyDescent="0.2"/>
    <row r="9583" s="197" customFormat="1" ht="12.75" x14ac:dyDescent="0.2"/>
    <row r="9584" s="197" customFormat="1" ht="12.75" x14ac:dyDescent="0.2"/>
    <row r="9585" s="197" customFormat="1" ht="12.75" x14ac:dyDescent="0.2"/>
    <row r="9586" s="197" customFormat="1" ht="12.75" x14ac:dyDescent="0.2"/>
    <row r="9587" s="197" customFormat="1" ht="12.75" x14ac:dyDescent="0.2"/>
    <row r="9588" s="197" customFormat="1" ht="12.75" x14ac:dyDescent="0.2"/>
    <row r="9589" s="197" customFormat="1" ht="12.75" x14ac:dyDescent="0.2"/>
    <row r="9590" s="197" customFormat="1" ht="12.75" x14ac:dyDescent="0.2"/>
    <row r="9591" s="197" customFormat="1" ht="12.75" x14ac:dyDescent="0.2"/>
    <row r="9592" s="197" customFormat="1" ht="12.75" x14ac:dyDescent="0.2"/>
    <row r="9593" s="197" customFormat="1" ht="12.75" x14ac:dyDescent="0.2"/>
    <row r="9594" s="197" customFormat="1" ht="12.75" x14ac:dyDescent="0.2"/>
    <row r="9595" s="197" customFormat="1" ht="12.75" x14ac:dyDescent="0.2"/>
    <row r="9596" s="197" customFormat="1" ht="12.75" x14ac:dyDescent="0.2"/>
    <row r="9597" s="197" customFormat="1" ht="12.75" x14ac:dyDescent="0.2"/>
    <row r="9598" s="197" customFormat="1" ht="12.75" x14ac:dyDescent="0.2"/>
    <row r="9599" s="197" customFormat="1" ht="12.75" x14ac:dyDescent="0.2"/>
    <row r="9600" s="197" customFormat="1" ht="12.75" x14ac:dyDescent="0.2"/>
    <row r="9601" s="197" customFormat="1" ht="12.75" x14ac:dyDescent="0.2"/>
    <row r="9602" s="197" customFormat="1" ht="12.75" x14ac:dyDescent="0.2"/>
    <row r="9603" s="197" customFormat="1" ht="12.75" x14ac:dyDescent="0.2"/>
    <row r="9604" s="197" customFormat="1" ht="12.75" x14ac:dyDescent="0.2"/>
    <row r="9605" s="197" customFormat="1" ht="12.75" x14ac:dyDescent="0.2"/>
    <row r="9606" s="197" customFormat="1" ht="12.75" x14ac:dyDescent="0.2"/>
    <row r="9607" s="197" customFormat="1" ht="12.75" x14ac:dyDescent="0.2"/>
    <row r="9608" s="197" customFormat="1" ht="12.75" x14ac:dyDescent="0.2"/>
    <row r="9609" s="197" customFormat="1" ht="12.75" x14ac:dyDescent="0.2"/>
    <row r="9610" s="197" customFormat="1" ht="12.75" x14ac:dyDescent="0.2"/>
    <row r="9611" s="197" customFormat="1" ht="12.75" x14ac:dyDescent="0.2"/>
    <row r="9612" s="197" customFormat="1" ht="12.75" x14ac:dyDescent="0.2"/>
    <row r="9613" s="197" customFormat="1" ht="12.75" x14ac:dyDescent="0.2"/>
    <row r="9614" s="197" customFormat="1" ht="12.75" x14ac:dyDescent="0.2"/>
    <row r="9615" s="197" customFormat="1" ht="12.75" x14ac:dyDescent="0.2"/>
    <row r="9616" s="197" customFormat="1" ht="12.75" x14ac:dyDescent="0.2"/>
    <row r="9617" s="197" customFormat="1" ht="12.75" x14ac:dyDescent="0.2"/>
    <row r="9618" s="197" customFormat="1" ht="12.75" x14ac:dyDescent="0.2"/>
    <row r="9619" s="197" customFormat="1" ht="12.75" x14ac:dyDescent="0.2"/>
    <row r="9620" s="197" customFormat="1" ht="12.75" x14ac:dyDescent="0.2"/>
    <row r="9621" s="197" customFormat="1" ht="12.75" x14ac:dyDescent="0.2"/>
    <row r="9622" s="197" customFormat="1" ht="12.75" x14ac:dyDescent="0.2"/>
    <row r="9623" s="197" customFormat="1" ht="12.75" x14ac:dyDescent="0.2"/>
    <row r="9624" s="197" customFormat="1" ht="12.75" x14ac:dyDescent="0.2"/>
    <row r="9625" s="197" customFormat="1" ht="12.75" x14ac:dyDescent="0.2"/>
    <row r="9626" s="197" customFormat="1" ht="12.75" x14ac:dyDescent="0.2"/>
    <row r="9627" s="197" customFormat="1" ht="12.75" x14ac:dyDescent="0.2"/>
    <row r="9628" s="197" customFormat="1" ht="12.75" x14ac:dyDescent="0.2"/>
    <row r="9629" s="197" customFormat="1" ht="12.75" x14ac:dyDescent="0.2"/>
    <row r="9630" s="197" customFormat="1" ht="12.75" x14ac:dyDescent="0.2"/>
    <row r="9631" s="197" customFormat="1" ht="12.75" x14ac:dyDescent="0.2"/>
    <row r="9632" s="197" customFormat="1" ht="12.75" x14ac:dyDescent="0.2"/>
    <row r="9633" s="197" customFormat="1" ht="12.75" x14ac:dyDescent="0.2"/>
    <row r="9634" s="197" customFormat="1" ht="12.75" x14ac:dyDescent="0.2"/>
    <row r="9635" s="197" customFormat="1" ht="12.75" x14ac:dyDescent="0.2"/>
    <row r="9636" s="197" customFormat="1" ht="12.75" x14ac:dyDescent="0.2"/>
    <row r="9637" s="197" customFormat="1" ht="12.75" x14ac:dyDescent="0.2"/>
    <row r="9638" s="197" customFormat="1" ht="12.75" x14ac:dyDescent="0.2"/>
    <row r="9639" s="197" customFormat="1" ht="12.75" x14ac:dyDescent="0.2"/>
    <row r="9640" s="197" customFormat="1" ht="12.75" x14ac:dyDescent="0.2"/>
    <row r="9641" s="197" customFormat="1" ht="12.75" x14ac:dyDescent="0.2"/>
    <row r="9642" s="197" customFormat="1" ht="12.75" x14ac:dyDescent="0.2"/>
    <row r="9643" s="197" customFormat="1" ht="12.75" x14ac:dyDescent="0.2"/>
    <row r="9644" s="197" customFormat="1" ht="12.75" x14ac:dyDescent="0.2"/>
    <row r="9645" s="197" customFormat="1" ht="12.75" x14ac:dyDescent="0.2"/>
    <row r="9646" s="197" customFormat="1" ht="12.75" x14ac:dyDescent="0.2"/>
    <row r="9647" s="197" customFormat="1" ht="12.75" x14ac:dyDescent="0.2"/>
    <row r="9648" s="197" customFormat="1" ht="12.75" x14ac:dyDescent="0.2"/>
    <row r="9649" s="197" customFormat="1" ht="12.75" x14ac:dyDescent="0.2"/>
    <row r="9650" s="197" customFormat="1" ht="12.75" x14ac:dyDescent="0.2"/>
    <row r="9651" s="197" customFormat="1" ht="12.75" x14ac:dyDescent="0.2"/>
    <row r="9652" s="197" customFormat="1" ht="12.75" x14ac:dyDescent="0.2"/>
    <row r="9653" s="197" customFormat="1" ht="12.75" x14ac:dyDescent="0.2"/>
    <row r="9654" s="197" customFormat="1" ht="12.75" x14ac:dyDescent="0.2"/>
    <row r="9655" s="197" customFormat="1" ht="12.75" x14ac:dyDescent="0.2"/>
    <row r="9656" s="197" customFormat="1" ht="12.75" x14ac:dyDescent="0.2"/>
    <row r="9657" s="197" customFormat="1" ht="12.75" x14ac:dyDescent="0.2"/>
    <row r="9658" s="197" customFormat="1" ht="12.75" x14ac:dyDescent="0.2"/>
    <row r="9659" s="197" customFormat="1" ht="12.75" x14ac:dyDescent="0.2"/>
    <row r="9660" s="197" customFormat="1" ht="12.75" x14ac:dyDescent="0.2"/>
    <row r="9661" s="197" customFormat="1" ht="12.75" x14ac:dyDescent="0.2"/>
    <row r="9662" s="197" customFormat="1" ht="12.75" x14ac:dyDescent="0.2"/>
    <row r="9663" s="197" customFormat="1" ht="12.75" x14ac:dyDescent="0.2"/>
    <row r="9664" s="197" customFormat="1" ht="12.75" x14ac:dyDescent="0.2"/>
    <row r="9665" s="197" customFormat="1" ht="12.75" x14ac:dyDescent="0.2"/>
    <row r="9666" s="197" customFormat="1" ht="12.75" x14ac:dyDescent="0.2"/>
    <row r="9667" s="197" customFormat="1" ht="12.75" x14ac:dyDescent="0.2"/>
    <row r="9668" s="197" customFormat="1" ht="12.75" x14ac:dyDescent="0.2"/>
    <row r="9669" s="197" customFormat="1" ht="12.75" x14ac:dyDescent="0.2"/>
    <row r="9670" s="197" customFormat="1" ht="12.75" x14ac:dyDescent="0.2"/>
    <row r="9671" s="197" customFormat="1" ht="12.75" x14ac:dyDescent="0.2"/>
    <row r="9672" s="197" customFormat="1" ht="12.75" x14ac:dyDescent="0.2"/>
    <row r="9673" s="197" customFormat="1" ht="12.75" x14ac:dyDescent="0.2"/>
    <row r="9674" s="197" customFormat="1" ht="12.75" x14ac:dyDescent="0.2"/>
    <row r="9675" s="197" customFormat="1" ht="12.75" x14ac:dyDescent="0.2"/>
    <row r="9676" s="197" customFormat="1" ht="12.75" x14ac:dyDescent="0.2"/>
    <row r="9677" s="197" customFormat="1" ht="12.75" x14ac:dyDescent="0.2"/>
    <row r="9678" s="197" customFormat="1" ht="12.75" x14ac:dyDescent="0.2"/>
    <row r="9679" s="197" customFormat="1" ht="12.75" x14ac:dyDescent="0.2"/>
    <row r="9680" s="197" customFormat="1" ht="12.75" x14ac:dyDescent="0.2"/>
    <row r="9681" s="197" customFormat="1" ht="12.75" x14ac:dyDescent="0.2"/>
    <row r="9682" s="197" customFormat="1" ht="12.75" x14ac:dyDescent="0.2"/>
    <row r="9683" s="197" customFormat="1" ht="12.75" x14ac:dyDescent="0.2"/>
    <row r="9684" s="197" customFormat="1" ht="12.75" x14ac:dyDescent="0.2"/>
    <row r="9685" s="197" customFormat="1" ht="12.75" x14ac:dyDescent="0.2"/>
    <row r="9686" s="197" customFormat="1" ht="12.75" x14ac:dyDescent="0.2"/>
    <row r="9687" s="197" customFormat="1" ht="12.75" x14ac:dyDescent="0.2"/>
    <row r="9688" s="197" customFormat="1" ht="12.75" x14ac:dyDescent="0.2"/>
    <row r="9689" s="197" customFormat="1" ht="12.75" x14ac:dyDescent="0.2"/>
    <row r="9690" s="197" customFormat="1" ht="12.75" x14ac:dyDescent="0.2"/>
    <row r="9691" s="197" customFormat="1" ht="12.75" x14ac:dyDescent="0.2"/>
    <row r="9692" s="197" customFormat="1" ht="12.75" x14ac:dyDescent="0.2"/>
    <row r="9693" s="197" customFormat="1" ht="12.75" x14ac:dyDescent="0.2"/>
    <row r="9694" s="197" customFormat="1" ht="12.75" x14ac:dyDescent="0.2"/>
    <row r="9695" s="197" customFormat="1" ht="12.75" x14ac:dyDescent="0.2"/>
    <row r="9696" s="197" customFormat="1" ht="12.75" x14ac:dyDescent="0.2"/>
    <row r="9697" s="197" customFormat="1" ht="12.75" x14ac:dyDescent="0.2"/>
    <row r="9698" s="197" customFormat="1" ht="12.75" x14ac:dyDescent="0.2"/>
    <row r="9699" s="197" customFormat="1" ht="12.75" x14ac:dyDescent="0.2"/>
    <row r="9700" s="197" customFormat="1" ht="12.75" x14ac:dyDescent="0.2"/>
    <row r="9701" s="197" customFormat="1" ht="12.75" x14ac:dyDescent="0.2"/>
    <row r="9702" s="197" customFormat="1" ht="12.75" x14ac:dyDescent="0.2"/>
    <row r="9703" s="197" customFormat="1" ht="12.75" x14ac:dyDescent="0.2"/>
    <row r="9704" s="197" customFormat="1" ht="12.75" x14ac:dyDescent="0.2"/>
    <row r="9705" s="197" customFormat="1" ht="12.75" x14ac:dyDescent="0.2"/>
    <row r="9706" s="197" customFormat="1" ht="12.75" x14ac:dyDescent="0.2"/>
    <row r="9707" s="197" customFormat="1" ht="12.75" x14ac:dyDescent="0.2"/>
    <row r="9708" s="197" customFormat="1" ht="12.75" x14ac:dyDescent="0.2"/>
    <row r="9709" s="197" customFormat="1" ht="12.75" x14ac:dyDescent="0.2"/>
    <row r="9710" s="197" customFormat="1" ht="12.75" x14ac:dyDescent="0.2"/>
    <row r="9711" s="197" customFormat="1" ht="12.75" x14ac:dyDescent="0.2"/>
    <row r="9712" s="197" customFormat="1" ht="12.75" x14ac:dyDescent="0.2"/>
    <row r="9713" s="197" customFormat="1" ht="12.75" x14ac:dyDescent="0.2"/>
    <row r="9714" s="197" customFormat="1" ht="12.75" x14ac:dyDescent="0.2"/>
    <row r="9715" s="197" customFormat="1" ht="12.75" x14ac:dyDescent="0.2"/>
    <row r="9716" s="197" customFormat="1" ht="12.75" x14ac:dyDescent="0.2"/>
    <row r="9717" s="197" customFormat="1" ht="12.75" x14ac:dyDescent="0.2"/>
    <row r="9718" s="197" customFormat="1" ht="12.75" x14ac:dyDescent="0.2"/>
    <row r="9719" s="197" customFormat="1" ht="12.75" x14ac:dyDescent="0.2"/>
    <row r="9720" s="197" customFormat="1" ht="12.75" x14ac:dyDescent="0.2"/>
    <row r="9721" s="197" customFormat="1" ht="12.75" x14ac:dyDescent="0.2"/>
    <row r="9722" s="197" customFormat="1" ht="12.75" x14ac:dyDescent="0.2"/>
    <row r="9723" s="197" customFormat="1" ht="12.75" x14ac:dyDescent="0.2"/>
    <row r="9724" s="197" customFormat="1" ht="12.75" x14ac:dyDescent="0.2"/>
    <row r="9725" s="197" customFormat="1" ht="12.75" x14ac:dyDescent="0.2"/>
    <row r="9726" s="197" customFormat="1" ht="12.75" x14ac:dyDescent="0.2"/>
    <row r="9727" s="197" customFormat="1" ht="12.75" x14ac:dyDescent="0.2"/>
    <row r="9728" s="197" customFormat="1" ht="12.75" x14ac:dyDescent="0.2"/>
    <row r="9729" s="197" customFormat="1" ht="12.75" x14ac:dyDescent="0.2"/>
    <row r="9730" s="197" customFormat="1" ht="12.75" x14ac:dyDescent="0.2"/>
    <row r="9731" s="197" customFormat="1" ht="12.75" x14ac:dyDescent="0.2"/>
    <row r="9732" s="197" customFormat="1" ht="12.75" x14ac:dyDescent="0.2"/>
    <row r="9733" s="197" customFormat="1" ht="12.75" x14ac:dyDescent="0.2"/>
    <row r="9734" s="197" customFormat="1" ht="12.75" x14ac:dyDescent="0.2"/>
    <row r="9735" s="197" customFormat="1" ht="12.75" x14ac:dyDescent="0.2"/>
    <row r="9736" s="197" customFormat="1" ht="12.75" x14ac:dyDescent="0.2"/>
    <row r="9737" s="197" customFormat="1" ht="12.75" x14ac:dyDescent="0.2"/>
    <row r="9738" s="197" customFormat="1" ht="12.75" x14ac:dyDescent="0.2"/>
    <row r="9739" s="197" customFormat="1" ht="12.75" x14ac:dyDescent="0.2"/>
    <row r="9740" s="197" customFormat="1" ht="12.75" x14ac:dyDescent="0.2"/>
    <row r="9741" s="197" customFormat="1" ht="12.75" x14ac:dyDescent="0.2"/>
    <row r="9742" s="197" customFormat="1" ht="12.75" x14ac:dyDescent="0.2"/>
    <row r="9743" s="197" customFormat="1" ht="12.75" x14ac:dyDescent="0.2"/>
    <row r="9744" s="197" customFormat="1" ht="12.75" x14ac:dyDescent="0.2"/>
    <row r="9745" s="197" customFormat="1" ht="12.75" x14ac:dyDescent="0.2"/>
    <row r="9746" s="197" customFormat="1" ht="12.75" x14ac:dyDescent="0.2"/>
    <row r="9747" s="197" customFormat="1" ht="12.75" x14ac:dyDescent="0.2"/>
    <row r="9748" s="197" customFormat="1" ht="12.75" x14ac:dyDescent="0.2"/>
    <row r="9749" s="197" customFormat="1" ht="12.75" x14ac:dyDescent="0.2"/>
    <row r="9750" s="197" customFormat="1" ht="12.75" x14ac:dyDescent="0.2"/>
    <row r="9751" s="197" customFormat="1" ht="12.75" x14ac:dyDescent="0.2"/>
    <row r="9752" s="197" customFormat="1" ht="12.75" x14ac:dyDescent="0.2"/>
    <row r="9753" s="197" customFormat="1" ht="12.75" x14ac:dyDescent="0.2"/>
    <row r="9754" s="197" customFormat="1" ht="12.75" x14ac:dyDescent="0.2"/>
    <row r="9755" s="197" customFormat="1" ht="12.75" x14ac:dyDescent="0.2"/>
    <row r="9756" s="197" customFormat="1" ht="12.75" x14ac:dyDescent="0.2"/>
    <row r="9757" s="197" customFormat="1" ht="12.75" x14ac:dyDescent="0.2"/>
    <row r="9758" s="197" customFormat="1" ht="12.75" x14ac:dyDescent="0.2"/>
    <row r="9759" s="197" customFormat="1" ht="12.75" x14ac:dyDescent="0.2"/>
    <row r="9760" s="197" customFormat="1" ht="12.75" x14ac:dyDescent="0.2"/>
    <row r="9761" s="197" customFormat="1" ht="12.75" x14ac:dyDescent="0.2"/>
    <row r="9762" s="197" customFormat="1" ht="12.75" x14ac:dyDescent="0.2"/>
    <row r="9763" s="197" customFormat="1" ht="12.75" x14ac:dyDescent="0.2"/>
    <row r="9764" s="197" customFormat="1" ht="12.75" x14ac:dyDescent="0.2"/>
    <row r="9765" s="197" customFormat="1" ht="12.75" x14ac:dyDescent="0.2"/>
    <row r="9766" s="197" customFormat="1" ht="12.75" x14ac:dyDescent="0.2"/>
    <row r="9767" s="197" customFormat="1" ht="12.75" x14ac:dyDescent="0.2"/>
    <row r="9768" s="197" customFormat="1" ht="12.75" x14ac:dyDescent="0.2"/>
    <row r="9769" s="197" customFormat="1" ht="12.75" x14ac:dyDescent="0.2"/>
    <row r="9770" s="197" customFormat="1" ht="12.75" x14ac:dyDescent="0.2"/>
    <row r="9771" s="197" customFormat="1" ht="12.75" x14ac:dyDescent="0.2"/>
    <row r="9772" s="197" customFormat="1" ht="12.75" x14ac:dyDescent="0.2"/>
    <row r="9773" s="197" customFormat="1" ht="12.75" x14ac:dyDescent="0.2"/>
    <row r="9774" s="197" customFormat="1" ht="12.75" x14ac:dyDescent="0.2"/>
    <row r="9775" s="197" customFormat="1" ht="12.75" x14ac:dyDescent="0.2"/>
    <row r="9776" s="197" customFormat="1" ht="12.75" x14ac:dyDescent="0.2"/>
    <row r="9777" s="197" customFormat="1" ht="12.75" x14ac:dyDescent="0.2"/>
    <row r="9778" s="197" customFormat="1" ht="12.75" x14ac:dyDescent="0.2"/>
    <row r="9779" s="197" customFormat="1" ht="12.75" x14ac:dyDescent="0.2"/>
    <row r="9780" s="197" customFormat="1" ht="12.75" x14ac:dyDescent="0.2"/>
    <row r="9781" s="197" customFormat="1" ht="12.75" x14ac:dyDescent="0.2"/>
    <row r="9782" s="197" customFormat="1" ht="12.75" x14ac:dyDescent="0.2"/>
    <row r="9783" s="197" customFormat="1" ht="12.75" x14ac:dyDescent="0.2"/>
    <row r="9784" s="197" customFormat="1" ht="12.75" x14ac:dyDescent="0.2"/>
    <row r="9785" s="197" customFormat="1" ht="12.75" x14ac:dyDescent="0.2"/>
    <row r="9786" s="197" customFormat="1" ht="12.75" x14ac:dyDescent="0.2"/>
    <row r="9787" s="197" customFormat="1" ht="12.75" x14ac:dyDescent="0.2"/>
    <row r="9788" s="197" customFormat="1" ht="12.75" x14ac:dyDescent="0.2"/>
    <row r="9789" s="197" customFormat="1" ht="12.75" x14ac:dyDescent="0.2"/>
    <row r="9790" s="197" customFormat="1" ht="12.75" x14ac:dyDescent="0.2"/>
    <row r="9791" s="197" customFormat="1" ht="12.75" x14ac:dyDescent="0.2"/>
    <row r="9792" s="197" customFormat="1" ht="12.75" x14ac:dyDescent="0.2"/>
    <row r="9793" s="197" customFormat="1" ht="12.75" x14ac:dyDescent="0.2"/>
    <row r="9794" s="197" customFormat="1" ht="12.75" x14ac:dyDescent="0.2"/>
    <row r="9795" s="197" customFormat="1" ht="12.75" x14ac:dyDescent="0.2"/>
    <row r="9796" s="197" customFormat="1" ht="12.75" x14ac:dyDescent="0.2"/>
    <row r="9797" s="197" customFormat="1" ht="12.75" x14ac:dyDescent="0.2"/>
    <row r="9798" s="197" customFormat="1" ht="12.75" x14ac:dyDescent="0.2"/>
    <row r="9799" s="197" customFormat="1" ht="12.75" x14ac:dyDescent="0.2"/>
    <row r="9800" s="197" customFormat="1" ht="12.75" x14ac:dyDescent="0.2"/>
    <row r="9801" s="197" customFormat="1" ht="12.75" x14ac:dyDescent="0.2"/>
    <row r="9802" s="197" customFormat="1" ht="12.75" x14ac:dyDescent="0.2"/>
    <row r="9803" s="197" customFormat="1" ht="12.75" x14ac:dyDescent="0.2"/>
    <row r="9804" s="197" customFormat="1" ht="12.75" x14ac:dyDescent="0.2"/>
    <row r="9805" s="197" customFormat="1" ht="12.75" x14ac:dyDescent="0.2"/>
    <row r="9806" s="197" customFormat="1" ht="12.75" x14ac:dyDescent="0.2"/>
    <row r="9807" s="197" customFormat="1" ht="12.75" x14ac:dyDescent="0.2"/>
    <row r="9808" s="197" customFormat="1" ht="12.75" x14ac:dyDescent="0.2"/>
    <row r="9809" s="197" customFormat="1" ht="12.75" x14ac:dyDescent="0.2"/>
    <row r="9810" s="197" customFormat="1" ht="12.75" x14ac:dyDescent="0.2"/>
    <row r="9811" s="197" customFormat="1" ht="12.75" x14ac:dyDescent="0.2"/>
    <row r="9812" s="197" customFormat="1" ht="12.75" x14ac:dyDescent="0.2"/>
    <row r="9813" s="197" customFormat="1" ht="12.75" x14ac:dyDescent="0.2"/>
    <row r="9814" s="197" customFormat="1" ht="12.75" x14ac:dyDescent="0.2"/>
    <row r="9815" s="197" customFormat="1" ht="12.75" x14ac:dyDescent="0.2"/>
    <row r="9816" s="197" customFormat="1" ht="12.75" x14ac:dyDescent="0.2"/>
    <row r="9817" s="197" customFormat="1" ht="12.75" x14ac:dyDescent="0.2"/>
    <row r="9818" s="197" customFormat="1" ht="12.75" x14ac:dyDescent="0.2"/>
    <row r="9819" s="197" customFormat="1" ht="12.75" x14ac:dyDescent="0.2"/>
    <row r="9820" s="197" customFormat="1" ht="12.75" x14ac:dyDescent="0.2"/>
    <row r="9821" s="197" customFormat="1" ht="12.75" x14ac:dyDescent="0.2"/>
    <row r="9822" s="197" customFormat="1" ht="12.75" x14ac:dyDescent="0.2"/>
    <row r="9823" s="197" customFormat="1" ht="12.75" x14ac:dyDescent="0.2"/>
    <row r="9824" s="197" customFormat="1" ht="12.75" x14ac:dyDescent="0.2"/>
    <row r="9825" s="197" customFormat="1" ht="12.75" x14ac:dyDescent="0.2"/>
    <row r="9826" s="197" customFormat="1" ht="12.75" x14ac:dyDescent="0.2"/>
    <row r="9827" s="197" customFormat="1" ht="12.75" x14ac:dyDescent="0.2"/>
    <row r="9828" s="197" customFormat="1" ht="12.75" x14ac:dyDescent="0.2"/>
    <row r="9829" s="197" customFormat="1" ht="12.75" x14ac:dyDescent="0.2"/>
    <row r="9830" s="197" customFormat="1" ht="12.75" x14ac:dyDescent="0.2"/>
    <row r="9831" s="197" customFormat="1" ht="12.75" x14ac:dyDescent="0.2"/>
    <row r="9832" s="197" customFormat="1" ht="12.75" x14ac:dyDescent="0.2"/>
    <row r="9833" s="197" customFormat="1" ht="12.75" x14ac:dyDescent="0.2"/>
    <row r="9834" s="197" customFormat="1" ht="12.75" x14ac:dyDescent="0.2"/>
    <row r="9835" s="197" customFormat="1" ht="12.75" x14ac:dyDescent="0.2"/>
    <row r="9836" s="197" customFormat="1" ht="12.75" x14ac:dyDescent="0.2"/>
    <row r="9837" s="197" customFormat="1" ht="12.75" x14ac:dyDescent="0.2"/>
    <row r="9838" s="197" customFormat="1" ht="12.75" x14ac:dyDescent="0.2"/>
    <row r="9839" s="197" customFormat="1" ht="12.75" x14ac:dyDescent="0.2"/>
    <row r="9840" s="197" customFormat="1" ht="12.75" x14ac:dyDescent="0.2"/>
    <row r="9841" s="197" customFormat="1" ht="12.75" x14ac:dyDescent="0.2"/>
    <row r="9842" s="197" customFormat="1" ht="12.75" x14ac:dyDescent="0.2"/>
    <row r="9843" s="197" customFormat="1" ht="12.75" x14ac:dyDescent="0.2"/>
    <row r="9844" s="197" customFormat="1" ht="12.75" x14ac:dyDescent="0.2"/>
    <row r="9845" s="197" customFormat="1" ht="12.75" x14ac:dyDescent="0.2"/>
    <row r="9846" s="197" customFormat="1" ht="12.75" x14ac:dyDescent="0.2"/>
    <row r="9847" s="197" customFormat="1" ht="12.75" x14ac:dyDescent="0.2"/>
    <row r="9848" s="197" customFormat="1" ht="12.75" x14ac:dyDescent="0.2"/>
    <row r="9849" s="197" customFormat="1" ht="12.75" x14ac:dyDescent="0.2"/>
    <row r="9850" s="197" customFormat="1" ht="12.75" x14ac:dyDescent="0.2"/>
    <row r="9851" s="197" customFormat="1" ht="12.75" x14ac:dyDescent="0.2"/>
    <row r="9852" s="197" customFormat="1" ht="12.75" x14ac:dyDescent="0.2"/>
    <row r="9853" s="197" customFormat="1" ht="12.75" x14ac:dyDescent="0.2"/>
    <row r="9854" s="197" customFormat="1" ht="12.75" x14ac:dyDescent="0.2"/>
    <row r="9855" s="197" customFormat="1" ht="12.75" x14ac:dyDescent="0.2"/>
    <row r="9856" s="197" customFormat="1" ht="12.75" x14ac:dyDescent="0.2"/>
    <row r="9857" s="197" customFormat="1" ht="12.75" x14ac:dyDescent="0.2"/>
    <row r="9858" s="197" customFormat="1" ht="12.75" x14ac:dyDescent="0.2"/>
    <row r="9859" s="197" customFormat="1" ht="12.75" x14ac:dyDescent="0.2"/>
    <row r="9860" s="197" customFormat="1" ht="12.75" x14ac:dyDescent="0.2"/>
    <row r="9861" s="197" customFormat="1" ht="12.75" x14ac:dyDescent="0.2"/>
    <row r="9862" s="197" customFormat="1" ht="12.75" x14ac:dyDescent="0.2"/>
    <row r="9863" s="197" customFormat="1" ht="12.75" x14ac:dyDescent="0.2"/>
    <row r="9864" s="197" customFormat="1" ht="12.75" x14ac:dyDescent="0.2"/>
    <row r="9865" s="197" customFormat="1" ht="12.75" x14ac:dyDescent="0.2"/>
    <row r="9866" s="197" customFormat="1" ht="12.75" x14ac:dyDescent="0.2"/>
    <row r="9867" s="197" customFormat="1" ht="12.75" x14ac:dyDescent="0.2"/>
    <row r="9868" s="197" customFormat="1" ht="12.75" x14ac:dyDescent="0.2"/>
    <row r="9869" s="197" customFormat="1" ht="12.75" x14ac:dyDescent="0.2"/>
    <row r="9870" s="197" customFormat="1" ht="12.75" x14ac:dyDescent="0.2"/>
    <row r="9871" s="197" customFormat="1" ht="12.75" x14ac:dyDescent="0.2"/>
    <row r="9872" s="197" customFormat="1" ht="12.75" x14ac:dyDescent="0.2"/>
    <row r="9873" s="197" customFormat="1" ht="12.75" x14ac:dyDescent="0.2"/>
    <row r="9874" s="197" customFormat="1" ht="12.75" x14ac:dyDescent="0.2"/>
    <row r="9875" s="197" customFormat="1" ht="12.75" x14ac:dyDescent="0.2"/>
    <row r="9876" s="197" customFormat="1" ht="12.75" x14ac:dyDescent="0.2"/>
    <row r="9877" s="197" customFormat="1" ht="12.75" x14ac:dyDescent="0.2"/>
    <row r="9878" s="197" customFormat="1" ht="12.75" x14ac:dyDescent="0.2"/>
    <row r="9879" s="197" customFormat="1" ht="12.75" x14ac:dyDescent="0.2"/>
    <row r="9880" s="197" customFormat="1" ht="12.75" x14ac:dyDescent="0.2"/>
    <row r="9881" s="197" customFormat="1" ht="12.75" x14ac:dyDescent="0.2"/>
    <row r="9882" s="197" customFormat="1" ht="12.75" x14ac:dyDescent="0.2"/>
    <row r="9883" s="197" customFormat="1" ht="12.75" x14ac:dyDescent="0.2"/>
    <row r="9884" s="197" customFormat="1" ht="12.75" x14ac:dyDescent="0.2"/>
    <row r="9885" s="197" customFormat="1" ht="12.75" x14ac:dyDescent="0.2"/>
    <row r="9886" s="197" customFormat="1" ht="12.75" x14ac:dyDescent="0.2"/>
    <row r="9887" s="197" customFormat="1" ht="12.75" x14ac:dyDescent="0.2"/>
    <row r="9888" s="197" customFormat="1" ht="12.75" x14ac:dyDescent="0.2"/>
    <row r="9889" s="197" customFormat="1" ht="12.75" x14ac:dyDescent="0.2"/>
    <row r="9890" s="197" customFormat="1" ht="12.75" x14ac:dyDescent="0.2"/>
    <row r="9891" s="197" customFormat="1" ht="12.75" x14ac:dyDescent="0.2"/>
    <row r="9892" s="197" customFormat="1" ht="12.75" x14ac:dyDescent="0.2"/>
    <row r="9893" s="197" customFormat="1" ht="12.75" x14ac:dyDescent="0.2"/>
    <row r="9894" s="197" customFormat="1" ht="12.75" x14ac:dyDescent="0.2"/>
    <row r="9895" s="197" customFormat="1" ht="12.75" x14ac:dyDescent="0.2"/>
    <row r="9896" s="197" customFormat="1" ht="12.75" x14ac:dyDescent="0.2"/>
    <row r="9897" s="197" customFormat="1" ht="12.75" x14ac:dyDescent="0.2"/>
    <row r="9898" s="197" customFormat="1" ht="12.75" x14ac:dyDescent="0.2"/>
    <row r="9899" s="197" customFormat="1" ht="12.75" x14ac:dyDescent="0.2"/>
    <row r="9900" s="197" customFormat="1" ht="12.75" x14ac:dyDescent="0.2"/>
    <row r="9901" s="197" customFormat="1" ht="12.75" x14ac:dyDescent="0.2"/>
    <row r="9902" s="197" customFormat="1" ht="12.75" x14ac:dyDescent="0.2"/>
    <row r="9903" s="197" customFormat="1" ht="12.75" x14ac:dyDescent="0.2"/>
    <row r="9904" s="197" customFormat="1" ht="12.75" x14ac:dyDescent="0.2"/>
    <row r="9905" s="197" customFormat="1" ht="12.75" x14ac:dyDescent="0.2"/>
    <row r="9906" s="197" customFormat="1" ht="12.75" x14ac:dyDescent="0.2"/>
    <row r="9907" s="197" customFormat="1" ht="12.75" x14ac:dyDescent="0.2"/>
    <row r="9908" s="197" customFormat="1" ht="12.75" x14ac:dyDescent="0.2"/>
    <row r="9909" s="197" customFormat="1" ht="12.75" x14ac:dyDescent="0.2"/>
    <row r="9910" s="197" customFormat="1" ht="12.75" x14ac:dyDescent="0.2"/>
    <row r="9911" s="197" customFormat="1" ht="12.75" x14ac:dyDescent="0.2"/>
    <row r="9912" s="197" customFormat="1" ht="12.75" x14ac:dyDescent="0.2"/>
    <row r="9913" s="197" customFormat="1" ht="12.75" x14ac:dyDescent="0.2"/>
    <row r="9914" s="197" customFormat="1" ht="12.75" x14ac:dyDescent="0.2"/>
    <row r="9915" s="197" customFormat="1" ht="12.75" x14ac:dyDescent="0.2"/>
    <row r="9916" s="197" customFormat="1" ht="12.75" x14ac:dyDescent="0.2"/>
    <row r="9917" s="197" customFormat="1" ht="12.75" x14ac:dyDescent="0.2"/>
    <row r="9918" s="197" customFormat="1" ht="12.75" x14ac:dyDescent="0.2"/>
    <row r="9919" s="197" customFormat="1" ht="12.75" x14ac:dyDescent="0.2"/>
    <row r="9920" s="197" customFormat="1" ht="12.75" x14ac:dyDescent="0.2"/>
    <row r="9921" s="197" customFormat="1" ht="12.75" x14ac:dyDescent="0.2"/>
    <row r="9922" s="197" customFormat="1" ht="12.75" x14ac:dyDescent="0.2"/>
    <row r="9923" s="197" customFormat="1" ht="12.75" x14ac:dyDescent="0.2"/>
    <row r="9924" s="197" customFormat="1" ht="12.75" x14ac:dyDescent="0.2"/>
    <row r="9925" s="197" customFormat="1" ht="12.75" x14ac:dyDescent="0.2"/>
    <row r="9926" s="197" customFormat="1" ht="12.75" x14ac:dyDescent="0.2"/>
    <row r="9927" s="197" customFormat="1" ht="12.75" x14ac:dyDescent="0.2"/>
    <row r="9928" s="197" customFormat="1" ht="12.75" x14ac:dyDescent="0.2"/>
    <row r="9929" s="197" customFormat="1" ht="12.75" x14ac:dyDescent="0.2"/>
    <row r="9930" s="197" customFormat="1" ht="12.75" x14ac:dyDescent="0.2"/>
    <row r="9931" s="197" customFormat="1" ht="12.75" x14ac:dyDescent="0.2"/>
    <row r="9932" s="197" customFormat="1" ht="12.75" x14ac:dyDescent="0.2"/>
    <row r="9933" s="197" customFormat="1" ht="12.75" x14ac:dyDescent="0.2"/>
    <row r="9934" s="197" customFormat="1" ht="12.75" x14ac:dyDescent="0.2"/>
    <row r="9935" s="197" customFormat="1" ht="12.75" x14ac:dyDescent="0.2"/>
    <row r="9936" s="197" customFormat="1" ht="12.75" x14ac:dyDescent="0.2"/>
    <row r="9937" s="197" customFormat="1" ht="12.75" x14ac:dyDescent="0.2"/>
    <row r="9938" s="197" customFormat="1" ht="12.75" x14ac:dyDescent="0.2"/>
    <row r="9939" s="197" customFormat="1" ht="12.75" x14ac:dyDescent="0.2"/>
    <row r="9940" s="197" customFormat="1" ht="12.75" x14ac:dyDescent="0.2"/>
    <row r="9941" s="197" customFormat="1" ht="12.75" x14ac:dyDescent="0.2"/>
    <row r="9942" s="197" customFormat="1" ht="12.75" x14ac:dyDescent="0.2"/>
    <row r="9943" s="197" customFormat="1" ht="12.75" x14ac:dyDescent="0.2"/>
    <row r="9944" s="197" customFormat="1" ht="12.75" x14ac:dyDescent="0.2"/>
    <row r="9945" s="197" customFormat="1" ht="12.75" x14ac:dyDescent="0.2"/>
    <row r="9946" s="197" customFormat="1" ht="12.75" x14ac:dyDescent="0.2"/>
    <row r="9947" s="197" customFormat="1" ht="12.75" x14ac:dyDescent="0.2"/>
    <row r="9948" s="197" customFormat="1" ht="12.75" x14ac:dyDescent="0.2"/>
    <row r="9949" s="197" customFormat="1" ht="12.75" x14ac:dyDescent="0.2"/>
    <row r="9950" s="197" customFormat="1" ht="12.75" x14ac:dyDescent="0.2"/>
    <row r="9951" s="197" customFormat="1" ht="12.75" x14ac:dyDescent="0.2"/>
    <row r="9952" s="197" customFormat="1" ht="12.75" x14ac:dyDescent="0.2"/>
    <row r="9953" s="197" customFormat="1" ht="12.75" x14ac:dyDescent="0.2"/>
    <row r="9954" s="197" customFormat="1" ht="12.75" x14ac:dyDescent="0.2"/>
    <row r="9955" s="197" customFormat="1" ht="12.75" x14ac:dyDescent="0.2"/>
    <row r="9956" s="197" customFormat="1" ht="12.75" x14ac:dyDescent="0.2"/>
    <row r="9957" s="197" customFormat="1" ht="12.75" x14ac:dyDescent="0.2"/>
    <row r="9958" s="197" customFormat="1" ht="12.75" x14ac:dyDescent="0.2"/>
    <row r="9959" s="197" customFormat="1" ht="12.75" x14ac:dyDescent="0.2"/>
    <row r="9960" s="197" customFormat="1" ht="12.75" x14ac:dyDescent="0.2"/>
    <row r="9961" s="197" customFormat="1" ht="12.75" x14ac:dyDescent="0.2"/>
    <row r="9962" s="197" customFormat="1" ht="12.75" x14ac:dyDescent="0.2"/>
    <row r="9963" s="197" customFormat="1" ht="12.75" x14ac:dyDescent="0.2"/>
    <row r="9964" s="197" customFormat="1" ht="12.75" x14ac:dyDescent="0.2"/>
    <row r="9965" s="197" customFormat="1" ht="12.75" x14ac:dyDescent="0.2"/>
    <row r="9966" s="197" customFormat="1" ht="12.75" x14ac:dyDescent="0.2"/>
    <row r="9967" s="197" customFormat="1" ht="12.75" x14ac:dyDescent="0.2"/>
    <row r="9968" s="197" customFormat="1" ht="12.75" x14ac:dyDescent="0.2"/>
    <row r="9969" s="197" customFormat="1" ht="12.75" x14ac:dyDescent="0.2"/>
    <row r="9970" s="197" customFormat="1" ht="12.75" x14ac:dyDescent="0.2"/>
    <row r="9971" s="197" customFormat="1" ht="12.75" x14ac:dyDescent="0.2"/>
    <row r="9972" s="197" customFormat="1" ht="12.75" x14ac:dyDescent="0.2"/>
    <row r="9973" s="197" customFormat="1" ht="12.75" x14ac:dyDescent="0.2"/>
    <row r="9974" s="197" customFormat="1" ht="12.75" x14ac:dyDescent="0.2"/>
    <row r="9975" s="197" customFormat="1" ht="12.75" x14ac:dyDescent="0.2"/>
    <row r="9976" s="197" customFormat="1" ht="12.75" x14ac:dyDescent="0.2"/>
    <row r="9977" s="197" customFormat="1" ht="12.75" x14ac:dyDescent="0.2"/>
    <row r="9978" s="197" customFormat="1" ht="12.75" x14ac:dyDescent="0.2"/>
    <row r="9979" s="197" customFormat="1" ht="12.75" x14ac:dyDescent="0.2"/>
    <row r="9980" s="197" customFormat="1" ht="12.75" x14ac:dyDescent="0.2"/>
    <row r="9981" s="197" customFormat="1" ht="12.75" x14ac:dyDescent="0.2"/>
    <row r="9982" s="197" customFormat="1" ht="12.75" x14ac:dyDescent="0.2"/>
    <row r="9983" s="197" customFormat="1" ht="12.75" x14ac:dyDescent="0.2"/>
    <row r="9984" s="197" customFormat="1" ht="12.75" x14ac:dyDescent="0.2"/>
    <row r="9985" s="197" customFormat="1" ht="12.75" x14ac:dyDescent="0.2"/>
    <row r="9986" s="197" customFormat="1" ht="12.75" x14ac:dyDescent="0.2"/>
    <row r="9987" s="197" customFormat="1" ht="12.75" x14ac:dyDescent="0.2"/>
    <row r="9988" s="197" customFormat="1" ht="12.75" x14ac:dyDescent="0.2"/>
    <row r="9989" s="197" customFormat="1" ht="12.75" x14ac:dyDescent="0.2"/>
    <row r="9990" s="197" customFormat="1" ht="12.75" x14ac:dyDescent="0.2"/>
    <row r="9991" s="197" customFormat="1" ht="12.75" x14ac:dyDescent="0.2"/>
    <row r="9992" s="197" customFormat="1" ht="12.75" x14ac:dyDescent="0.2"/>
    <row r="9993" s="197" customFormat="1" ht="12.75" x14ac:dyDescent="0.2"/>
    <row r="9994" s="197" customFormat="1" ht="12.75" x14ac:dyDescent="0.2"/>
    <row r="9995" s="197" customFormat="1" ht="12.75" x14ac:dyDescent="0.2"/>
    <row r="9996" s="197" customFormat="1" ht="12.75" x14ac:dyDescent="0.2"/>
    <row r="9997" s="197" customFormat="1" ht="12.75" x14ac:dyDescent="0.2"/>
    <row r="9998" s="197" customFormat="1" ht="12.75" x14ac:dyDescent="0.2"/>
    <row r="9999" s="197" customFormat="1" ht="12.75" x14ac:dyDescent="0.2"/>
    <row r="10000" s="197" customFormat="1" ht="12.75" x14ac:dyDescent="0.2"/>
    <row r="10001" s="197" customFormat="1" ht="12.75" x14ac:dyDescent="0.2"/>
    <row r="10002" s="197" customFormat="1" ht="12.75" x14ac:dyDescent="0.2"/>
    <row r="10003" s="197" customFormat="1" ht="12.75" x14ac:dyDescent="0.2"/>
    <row r="10004" s="197" customFormat="1" ht="12.75" x14ac:dyDescent="0.2"/>
    <row r="10005" s="197" customFormat="1" ht="12.75" x14ac:dyDescent="0.2"/>
    <row r="10006" s="197" customFormat="1" ht="12.75" x14ac:dyDescent="0.2"/>
    <row r="10007" s="197" customFormat="1" ht="12.75" x14ac:dyDescent="0.2"/>
    <row r="10008" s="197" customFormat="1" ht="12.75" x14ac:dyDescent="0.2"/>
    <row r="10009" s="197" customFormat="1" ht="12.75" x14ac:dyDescent="0.2"/>
    <row r="10010" s="197" customFormat="1" ht="12.75" x14ac:dyDescent="0.2"/>
    <row r="10011" s="197" customFormat="1" ht="12.75" x14ac:dyDescent="0.2"/>
    <row r="10012" s="197" customFormat="1" ht="12.75" x14ac:dyDescent="0.2"/>
    <row r="10013" s="197" customFormat="1" ht="12.75" x14ac:dyDescent="0.2"/>
    <row r="10014" s="197" customFormat="1" ht="12.75" x14ac:dyDescent="0.2"/>
    <row r="10015" s="197" customFormat="1" ht="12.75" x14ac:dyDescent="0.2"/>
    <row r="10016" s="197" customFormat="1" ht="12.75" x14ac:dyDescent="0.2"/>
    <row r="10017" s="197" customFormat="1" ht="12.75" x14ac:dyDescent="0.2"/>
    <row r="10018" s="197" customFormat="1" ht="12.75" x14ac:dyDescent="0.2"/>
    <row r="10019" s="197" customFormat="1" ht="12.75" x14ac:dyDescent="0.2"/>
    <row r="10020" s="197" customFormat="1" ht="12.75" x14ac:dyDescent="0.2"/>
    <row r="10021" s="197" customFormat="1" ht="12.75" x14ac:dyDescent="0.2"/>
    <row r="10022" s="197" customFormat="1" ht="12.75" x14ac:dyDescent="0.2"/>
    <row r="10023" s="197" customFormat="1" ht="12.75" x14ac:dyDescent="0.2"/>
    <row r="10024" s="197" customFormat="1" ht="12.75" x14ac:dyDescent="0.2"/>
    <row r="10025" s="197" customFormat="1" ht="12.75" x14ac:dyDescent="0.2"/>
    <row r="10026" s="197" customFormat="1" ht="12.75" x14ac:dyDescent="0.2"/>
    <row r="10027" s="197" customFormat="1" ht="12.75" x14ac:dyDescent="0.2"/>
    <row r="10028" s="197" customFormat="1" ht="12.75" x14ac:dyDescent="0.2"/>
    <row r="10029" s="197" customFormat="1" ht="12.75" x14ac:dyDescent="0.2"/>
    <row r="10030" s="197" customFormat="1" ht="12.75" x14ac:dyDescent="0.2"/>
    <row r="10031" s="197" customFormat="1" ht="12.75" x14ac:dyDescent="0.2"/>
    <row r="10032" s="197" customFormat="1" ht="12.75" x14ac:dyDescent="0.2"/>
    <row r="10033" s="197" customFormat="1" ht="12.75" x14ac:dyDescent="0.2"/>
    <row r="10034" s="197" customFormat="1" ht="12.75" x14ac:dyDescent="0.2"/>
    <row r="10035" s="197" customFormat="1" ht="12.75" x14ac:dyDescent="0.2"/>
    <row r="10036" s="197" customFormat="1" ht="12.75" x14ac:dyDescent="0.2"/>
    <row r="10037" s="197" customFormat="1" ht="12.75" x14ac:dyDescent="0.2"/>
    <row r="10038" s="197" customFormat="1" ht="12.75" x14ac:dyDescent="0.2"/>
    <row r="10039" s="197" customFormat="1" ht="12.75" x14ac:dyDescent="0.2"/>
    <row r="10040" s="197" customFormat="1" ht="12.75" x14ac:dyDescent="0.2"/>
    <row r="10041" s="197" customFormat="1" ht="12.75" x14ac:dyDescent="0.2"/>
    <row r="10042" s="197" customFormat="1" ht="12.75" x14ac:dyDescent="0.2"/>
    <row r="10043" s="197" customFormat="1" ht="12.75" x14ac:dyDescent="0.2"/>
    <row r="10044" s="197" customFormat="1" ht="12.75" x14ac:dyDescent="0.2"/>
    <row r="10045" s="197" customFormat="1" ht="12.75" x14ac:dyDescent="0.2"/>
    <row r="10046" s="197" customFormat="1" ht="12.75" x14ac:dyDescent="0.2"/>
    <row r="10047" s="197" customFormat="1" ht="12.75" x14ac:dyDescent="0.2"/>
    <row r="10048" s="197" customFormat="1" ht="12.75" x14ac:dyDescent="0.2"/>
    <row r="10049" s="197" customFormat="1" ht="12.75" x14ac:dyDescent="0.2"/>
    <row r="10050" s="197" customFormat="1" ht="12.75" x14ac:dyDescent="0.2"/>
    <row r="10051" s="197" customFormat="1" ht="12.75" x14ac:dyDescent="0.2"/>
    <row r="10052" s="197" customFormat="1" ht="12.75" x14ac:dyDescent="0.2"/>
    <row r="10053" s="197" customFormat="1" ht="12.75" x14ac:dyDescent="0.2"/>
    <row r="10054" s="197" customFormat="1" ht="12.75" x14ac:dyDescent="0.2"/>
    <row r="10055" s="197" customFormat="1" ht="12.75" x14ac:dyDescent="0.2"/>
    <row r="10056" s="197" customFormat="1" ht="12.75" x14ac:dyDescent="0.2"/>
    <row r="10057" s="197" customFormat="1" ht="12.75" x14ac:dyDescent="0.2"/>
    <row r="10058" s="197" customFormat="1" ht="12.75" x14ac:dyDescent="0.2"/>
    <row r="10059" s="197" customFormat="1" ht="12.75" x14ac:dyDescent="0.2"/>
    <row r="10060" s="197" customFormat="1" ht="12.75" x14ac:dyDescent="0.2"/>
    <row r="10061" s="197" customFormat="1" ht="12.75" x14ac:dyDescent="0.2"/>
    <row r="10062" s="197" customFormat="1" ht="12.75" x14ac:dyDescent="0.2"/>
    <row r="10063" s="197" customFormat="1" ht="12.75" x14ac:dyDescent="0.2"/>
    <row r="10064" s="197" customFormat="1" ht="12.75" x14ac:dyDescent="0.2"/>
    <row r="10065" s="197" customFormat="1" ht="12.75" x14ac:dyDescent="0.2"/>
    <row r="10066" s="197" customFormat="1" ht="12.75" x14ac:dyDescent="0.2"/>
    <row r="10067" s="197" customFormat="1" ht="12.75" x14ac:dyDescent="0.2"/>
    <row r="10068" s="197" customFormat="1" ht="12.75" x14ac:dyDescent="0.2"/>
    <row r="10069" s="197" customFormat="1" ht="12.75" x14ac:dyDescent="0.2"/>
    <row r="10070" s="197" customFormat="1" ht="12.75" x14ac:dyDescent="0.2"/>
    <row r="10071" s="197" customFormat="1" ht="12.75" x14ac:dyDescent="0.2"/>
    <row r="10072" s="197" customFormat="1" ht="12.75" x14ac:dyDescent="0.2"/>
    <row r="10073" s="197" customFormat="1" ht="12.75" x14ac:dyDescent="0.2"/>
    <row r="10074" s="197" customFormat="1" ht="12.75" x14ac:dyDescent="0.2"/>
    <row r="10075" s="197" customFormat="1" ht="12.75" x14ac:dyDescent="0.2"/>
    <row r="10076" s="197" customFormat="1" ht="12.75" x14ac:dyDescent="0.2"/>
    <row r="10077" s="197" customFormat="1" ht="12.75" x14ac:dyDescent="0.2"/>
    <row r="10078" s="197" customFormat="1" ht="12.75" x14ac:dyDescent="0.2"/>
    <row r="10079" s="197" customFormat="1" ht="12.75" x14ac:dyDescent="0.2"/>
    <row r="10080" s="197" customFormat="1" ht="12.75" x14ac:dyDescent="0.2"/>
    <row r="10081" s="197" customFormat="1" ht="12.75" x14ac:dyDescent="0.2"/>
    <row r="10082" s="197" customFormat="1" ht="12.75" x14ac:dyDescent="0.2"/>
    <row r="10083" s="197" customFormat="1" ht="12.75" x14ac:dyDescent="0.2"/>
    <row r="10084" s="197" customFormat="1" ht="12.75" x14ac:dyDescent="0.2"/>
    <row r="10085" s="197" customFormat="1" ht="12.75" x14ac:dyDescent="0.2"/>
    <row r="10086" s="197" customFormat="1" ht="12.75" x14ac:dyDescent="0.2"/>
    <row r="10087" s="197" customFormat="1" ht="12.75" x14ac:dyDescent="0.2"/>
    <row r="10088" s="197" customFormat="1" ht="12.75" x14ac:dyDescent="0.2"/>
    <row r="10089" s="197" customFormat="1" ht="12.75" x14ac:dyDescent="0.2"/>
    <row r="10090" s="197" customFormat="1" ht="12.75" x14ac:dyDescent="0.2"/>
    <row r="10091" s="197" customFormat="1" ht="12.75" x14ac:dyDescent="0.2"/>
    <row r="10092" s="197" customFormat="1" ht="12.75" x14ac:dyDescent="0.2"/>
    <row r="10093" s="197" customFormat="1" ht="12.75" x14ac:dyDescent="0.2"/>
    <row r="10094" s="197" customFormat="1" ht="12.75" x14ac:dyDescent="0.2"/>
    <row r="10095" s="197" customFormat="1" ht="12.75" x14ac:dyDescent="0.2"/>
    <row r="10096" s="197" customFormat="1" ht="12.75" x14ac:dyDescent="0.2"/>
    <row r="10097" s="197" customFormat="1" ht="12.75" x14ac:dyDescent="0.2"/>
    <row r="10098" s="197" customFormat="1" ht="12.75" x14ac:dyDescent="0.2"/>
    <row r="10099" s="197" customFormat="1" ht="12.75" x14ac:dyDescent="0.2"/>
    <row r="10100" s="197" customFormat="1" ht="12.75" x14ac:dyDescent="0.2"/>
    <row r="10101" s="197" customFormat="1" ht="12.75" x14ac:dyDescent="0.2"/>
    <row r="10102" s="197" customFormat="1" ht="12.75" x14ac:dyDescent="0.2"/>
    <row r="10103" s="197" customFormat="1" ht="12.75" x14ac:dyDescent="0.2"/>
    <row r="10104" s="197" customFormat="1" ht="12.75" x14ac:dyDescent="0.2"/>
    <row r="10105" s="197" customFormat="1" ht="12.75" x14ac:dyDescent="0.2"/>
    <row r="10106" s="197" customFormat="1" ht="12.75" x14ac:dyDescent="0.2"/>
    <row r="10107" s="197" customFormat="1" ht="12.75" x14ac:dyDescent="0.2"/>
    <row r="10108" s="197" customFormat="1" ht="12.75" x14ac:dyDescent="0.2"/>
    <row r="10109" s="197" customFormat="1" ht="12.75" x14ac:dyDescent="0.2"/>
    <row r="10110" s="197" customFormat="1" ht="12.75" x14ac:dyDescent="0.2"/>
    <row r="10111" s="197" customFormat="1" ht="12.75" x14ac:dyDescent="0.2"/>
    <row r="10112" s="197" customFormat="1" ht="12.75" x14ac:dyDescent="0.2"/>
    <row r="10113" s="197" customFormat="1" ht="12.75" x14ac:dyDescent="0.2"/>
    <row r="10114" s="197" customFormat="1" ht="12.75" x14ac:dyDescent="0.2"/>
    <row r="10115" s="197" customFormat="1" ht="12.75" x14ac:dyDescent="0.2"/>
    <row r="10116" s="197" customFormat="1" ht="12.75" x14ac:dyDescent="0.2"/>
    <row r="10117" s="197" customFormat="1" ht="12.75" x14ac:dyDescent="0.2"/>
    <row r="10118" s="197" customFormat="1" ht="12.75" x14ac:dyDescent="0.2"/>
    <row r="10119" s="197" customFormat="1" ht="12.75" x14ac:dyDescent="0.2"/>
    <row r="10120" s="197" customFormat="1" ht="12.75" x14ac:dyDescent="0.2"/>
    <row r="10121" s="197" customFormat="1" ht="12.75" x14ac:dyDescent="0.2"/>
    <row r="10122" s="197" customFormat="1" ht="12.75" x14ac:dyDescent="0.2"/>
    <row r="10123" s="197" customFormat="1" ht="12.75" x14ac:dyDescent="0.2"/>
    <row r="10124" s="197" customFormat="1" ht="12.75" x14ac:dyDescent="0.2"/>
    <row r="10125" s="197" customFormat="1" ht="12.75" x14ac:dyDescent="0.2"/>
    <row r="10126" s="197" customFormat="1" ht="12.75" x14ac:dyDescent="0.2"/>
    <row r="10127" s="197" customFormat="1" ht="12.75" x14ac:dyDescent="0.2"/>
    <row r="10128" s="197" customFormat="1" ht="12.75" x14ac:dyDescent="0.2"/>
    <row r="10129" s="197" customFormat="1" ht="12.75" x14ac:dyDescent="0.2"/>
    <row r="10130" s="197" customFormat="1" ht="12.75" x14ac:dyDescent="0.2"/>
    <row r="10131" s="197" customFormat="1" ht="12.75" x14ac:dyDescent="0.2"/>
    <row r="10132" s="197" customFormat="1" ht="12.75" x14ac:dyDescent="0.2"/>
    <row r="10133" s="197" customFormat="1" ht="12.75" x14ac:dyDescent="0.2"/>
    <row r="10134" s="197" customFormat="1" ht="12.75" x14ac:dyDescent="0.2"/>
    <row r="10135" s="197" customFormat="1" ht="12.75" x14ac:dyDescent="0.2"/>
    <row r="10136" s="197" customFormat="1" ht="12.75" x14ac:dyDescent="0.2"/>
    <row r="10137" s="197" customFormat="1" ht="12.75" x14ac:dyDescent="0.2"/>
    <row r="10138" s="197" customFormat="1" ht="12.75" x14ac:dyDescent="0.2"/>
    <row r="10139" s="197" customFormat="1" ht="12.75" x14ac:dyDescent="0.2"/>
    <row r="10140" s="197" customFormat="1" ht="12.75" x14ac:dyDescent="0.2"/>
    <row r="10141" s="197" customFormat="1" ht="12.75" x14ac:dyDescent="0.2"/>
    <row r="10142" s="197" customFormat="1" ht="12.75" x14ac:dyDescent="0.2"/>
    <row r="10143" s="197" customFormat="1" ht="12.75" x14ac:dyDescent="0.2"/>
    <row r="10144" s="197" customFormat="1" ht="12.75" x14ac:dyDescent="0.2"/>
    <row r="10145" s="197" customFormat="1" ht="12.75" x14ac:dyDescent="0.2"/>
    <row r="10146" s="197" customFormat="1" ht="12.75" x14ac:dyDescent="0.2"/>
    <row r="10147" s="197" customFormat="1" ht="12.75" x14ac:dyDescent="0.2"/>
    <row r="10148" s="197" customFormat="1" ht="12.75" x14ac:dyDescent="0.2"/>
    <row r="10149" s="197" customFormat="1" ht="12.75" x14ac:dyDescent="0.2"/>
    <row r="10150" s="197" customFormat="1" ht="12.75" x14ac:dyDescent="0.2"/>
    <row r="10151" s="197" customFormat="1" ht="12.75" x14ac:dyDescent="0.2"/>
    <row r="10152" s="197" customFormat="1" ht="12.75" x14ac:dyDescent="0.2"/>
    <row r="10153" s="197" customFormat="1" ht="12.75" x14ac:dyDescent="0.2"/>
    <row r="10154" s="197" customFormat="1" ht="12.75" x14ac:dyDescent="0.2"/>
    <row r="10155" s="197" customFormat="1" ht="12.75" x14ac:dyDescent="0.2"/>
    <row r="10156" s="197" customFormat="1" ht="12.75" x14ac:dyDescent="0.2"/>
    <row r="10157" s="197" customFormat="1" ht="12.75" x14ac:dyDescent="0.2"/>
    <row r="10158" s="197" customFormat="1" ht="12.75" x14ac:dyDescent="0.2"/>
    <row r="10159" s="197" customFormat="1" ht="12.75" x14ac:dyDescent="0.2"/>
    <row r="10160" s="197" customFormat="1" ht="12.75" x14ac:dyDescent="0.2"/>
    <row r="10161" s="197" customFormat="1" ht="12.75" x14ac:dyDescent="0.2"/>
    <row r="10162" s="197" customFormat="1" ht="12.75" x14ac:dyDescent="0.2"/>
    <row r="10163" s="197" customFormat="1" ht="12.75" x14ac:dyDescent="0.2"/>
    <row r="10164" s="197" customFormat="1" ht="12.75" x14ac:dyDescent="0.2"/>
    <row r="10165" s="197" customFormat="1" ht="12.75" x14ac:dyDescent="0.2"/>
    <row r="10166" s="197" customFormat="1" ht="12.75" x14ac:dyDescent="0.2"/>
    <row r="10167" s="197" customFormat="1" ht="12.75" x14ac:dyDescent="0.2"/>
    <row r="10168" s="197" customFormat="1" ht="12.75" x14ac:dyDescent="0.2"/>
    <row r="10169" s="197" customFormat="1" ht="12.75" x14ac:dyDescent="0.2"/>
    <row r="10170" s="197" customFormat="1" ht="12.75" x14ac:dyDescent="0.2"/>
    <row r="10171" s="197" customFormat="1" ht="12.75" x14ac:dyDescent="0.2"/>
    <row r="10172" s="197" customFormat="1" ht="12.75" x14ac:dyDescent="0.2"/>
    <row r="10173" s="197" customFormat="1" ht="12.75" x14ac:dyDescent="0.2"/>
    <row r="10174" s="197" customFormat="1" ht="12.75" x14ac:dyDescent="0.2"/>
    <row r="10175" s="197" customFormat="1" ht="12.75" x14ac:dyDescent="0.2"/>
    <row r="10176" s="197" customFormat="1" ht="12.75" x14ac:dyDescent="0.2"/>
    <row r="10177" s="197" customFormat="1" ht="12.75" x14ac:dyDescent="0.2"/>
    <row r="10178" s="197" customFormat="1" ht="12.75" x14ac:dyDescent="0.2"/>
    <row r="10179" s="197" customFormat="1" ht="12.75" x14ac:dyDescent="0.2"/>
    <row r="10180" s="197" customFormat="1" ht="12.75" x14ac:dyDescent="0.2"/>
    <row r="10181" s="197" customFormat="1" ht="12.75" x14ac:dyDescent="0.2"/>
    <row r="10182" s="197" customFormat="1" ht="12.75" x14ac:dyDescent="0.2"/>
    <row r="10183" s="197" customFormat="1" ht="12.75" x14ac:dyDescent="0.2"/>
    <row r="10184" s="197" customFormat="1" ht="12.75" x14ac:dyDescent="0.2"/>
    <row r="10185" s="197" customFormat="1" ht="12.75" x14ac:dyDescent="0.2"/>
    <row r="10186" s="197" customFormat="1" ht="12.75" x14ac:dyDescent="0.2"/>
    <row r="10187" s="197" customFormat="1" ht="12.75" x14ac:dyDescent="0.2"/>
    <row r="10188" s="197" customFormat="1" ht="12.75" x14ac:dyDescent="0.2"/>
    <row r="10189" s="197" customFormat="1" ht="12.75" x14ac:dyDescent="0.2"/>
    <row r="10190" s="197" customFormat="1" ht="12.75" x14ac:dyDescent="0.2"/>
    <row r="10191" s="197" customFormat="1" ht="12.75" x14ac:dyDescent="0.2"/>
    <row r="10192" s="197" customFormat="1" ht="12.75" x14ac:dyDescent="0.2"/>
    <row r="10193" s="197" customFormat="1" ht="12.75" x14ac:dyDescent="0.2"/>
    <row r="10194" s="197" customFormat="1" ht="12.75" x14ac:dyDescent="0.2"/>
    <row r="10195" s="197" customFormat="1" ht="12.75" x14ac:dyDescent="0.2"/>
    <row r="10196" s="197" customFormat="1" ht="12.75" x14ac:dyDescent="0.2"/>
    <row r="10197" s="197" customFormat="1" ht="12.75" x14ac:dyDescent="0.2"/>
    <row r="10198" s="197" customFormat="1" ht="12.75" x14ac:dyDescent="0.2"/>
    <row r="10199" s="197" customFormat="1" ht="12.75" x14ac:dyDescent="0.2"/>
    <row r="10200" s="197" customFormat="1" ht="12.75" x14ac:dyDescent="0.2"/>
    <row r="10201" s="197" customFormat="1" ht="12.75" x14ac:dyDescent="0.2"/>
    <row r="10202" s="197" customFormat="1" ht="12.75" x14ac:dyDescent="0.2"/>
    <row r="10203" s="197" customFormat="1" ht="12.75" x14ac:dyDescent="0.2"/>
    <row r="10204" s="197" customFormat="1" ht="12.75" x14ac:dyDescent="0.2"/>
    <row r="10205" s="197" customFormat="1" ht="12.75" x14ac:dyDescent="0.2"/>
    <row r="10206" s="197" customFormat="1" ht="12.75" x14ac:dyDescent="0.2"/>
    <row r="10207" s="197" customFormat="1" ht="12.75" x14ac:dyDescent="0.2"/>
    <row r="10208" s="197" customFormat="1" ht="12.75" x14ac:dyDescent="0.2"/>
    <row r="10209" s="197" customFormat="1" ht="12.75" x14ac:dyDescent="0.2"/>
    <row r="10210" s="197" customFormat="1" ht="12.75" x14ac:dyDescent="0.2"/>
    <row r="10211" s="197" customFormat="1" ht="12.75" x14ac:dyDescent="0.2"/>
    <row r="10212" s="197" customFormat="1" ht="12.75" x14ac:dyDescent="0.2"/>
    <row r="10213" s="197" customFormat="1" ht="12.75" x14ac:dyDescent="0.2"/>
    <row r="10214" s="197" customFormat="1" ht="12.75" x14ac:dyDescent="0.2"/>
    <row r="10215" s="197" customFormat="1" ht="12.75" x14ac:dyDescent="0.2"/>
    <row r="10216" s="197" customFormat="1" ht="12.75" x14ac:dyDescent="0.2"/>
    <row r="10217" s="197" customFormat="1" ht="12.75" x14ac:dyDescent="0.2"/>
    <row r="10218" s="197" customFormat="1" ht="12.75" x14ac:dyDescent="0.2"/>
    <row r="10219" s="197" customFormat="1" ht="12.75" x14ac:dyDescent="0.2"/>
    <row r="10220" s="197" customFormat="1" ht="12.75" x14ac:dyDescent="0.2"/>
    <row r="10221" s="197" customFormat="1" ht="12.75" x14ac:dyDescent="0.2"/>
    <row r="10222" s="197" customFormat="1" ht="12.75" x14ac:dyDescent="0.2"/>
    <row r="10223" s="197" customFormat="1" ht="12.75" x14ac:dyDescent="0.2"/>
    <row r="10224" s="197" customFormat="1" ht="12.75" x14ac:dyDescent="0.2"/>
    <row r="10225" s="197" customFormat="1" ht="12.75" x14ac:dyDescent="0.2"/>
    <row r="10226" s="197" customFormat="1" ht="12.75" x14ac:dyDescent="0.2"/>
    <row r="10227" s="197" customFormat="1" ht="12.75" x14ac:dyDescent="0.2"/>
    <row r="10228" s="197" customFormat="1" ht="12.75" x14ac:dyDescent="0.2"/>
    <row r="10229" s="197" customFormat="1" ht="12.75" x14ac:dyDescent="0.2"/>
    <row r="10230" s="197" customFormat="1" ht="12.75" x14ac:dyDescent="0.2"/>
    <row r="10231" s="197" customFormat="1" ht="12.75" x14ac:dyDescent="0.2"/>
    <row r="10232" s="197" customFormat="1" ht="12.75" x14ac:dyDescent="0.2"/>
    <row r="10233" s="197" customFormat="1" ht="12.75" x14ac:dyDescent="0.2"/>
    <row r="10234" s="197" customFormat="1" ht="12.75" x14ac:dyDescent="0.2"/>
    <row r="10235" s="197" customFormat="1" ht="12.75" x14ac:dyDescent="0.2"/>
    <row r="10236" s="197" customFormat="1" ht="12.75" x14ac:dyDescent="0.2"/>
    <row r="10237" s="197" customFormat="1" ht="12.75" x14ac:dyDescent="0.2"/>
    <row r="10238" s="197" customFormat="1" ht="12.75" x14ac:dyDescent="0.2"/>
    <row r="10239" s="197" customFormat="1" ht="12.75" x14ac:dyDescent="0.2"/>
    <row r="10240" s="197" customFormat="1" ht="12.75" x14ac:dyDescent="0.2"/>
    <row r="10241" s="197" customFormat="1" ht="12.75" x14ac:dyDescent="0.2"/>
    <row r="10242" s="197" customFormat="1" ht="12.75" x14ac:dyDescent="0.2"/>
    <row r="10243" s="197" customFormat="1" ht="12.75" x14ac:dyDescent="0.2"/>
    <row r="10244" s="197" customFormat="1" ht="12.75" x14ac:dyDescent="0.2"/>
    <row r="10245" s="197" customFormat="1" ht="12.75" x14ac:dyDescent="0.2"/>
    <row r="10246" s="197" customFormat="1" ht="12.75" x14ac:dyDescent="0.2"/>
    <row r="10247" s="197" customFormat="1" ht="12.75" x14ac:dyDescent="0.2"/>
    <row r="10248" s="197" customFormat="1" ht="12.75" x14ac:dyDescent="0.2"/>
    <row r="10249" s="197" customFormat="1" ht="12.75" x14ac:dyDescent="0.2"/>
    <row r="10250" s="197" customFormat="1" ht="12.75" x14ac:dyDescent="0.2"/>
    <row r="10251" s="197" customFormat="1" ht="12.75" x14ac:dyDescent="0.2"/>
    <row r="10252" s="197" customFormat="1" ht="12.75" x14ac:dyDescent="0.2"/>
    <row r="10253" s="197" customFormat="1" ht="12.75" x14ac:dyDescent="0.2"/>
    <row r="10254" s="197" customFormat="1" ht="12.75" x14ac:dyDescent="0.2"/>
    <row r="10255" s="197" customFormat="1" ht="12.75" x14ac:dyDescent="0.2"/>
    <row r="10256" s="197" customFormat="1" ht="12.75" x14ac:dyDescent="0.2"/>
    <row r="10257" s="197" customFormat="1" ht="12.75" x14ac:dyDescent="0.2"/>
    <row r="10258" s="197" customFormat="1" ht="12.75" x14ac:dyDescent="0.2"/>
    <row r="10259" s="197" customFormat="1" ht="12.75" x14ac:dyDescent="0.2"/>
    <row r="10260" s="197" customFormat="1" ht="12.75" x14ac:dyDescent="0.2"/>
    <row r="10261" s="197" customFormat="1" ht="12.75" x14ac:dyDescent="0.2"/>
    <row r="10262" s="197" customFormat="1" ht="12.75" x14ac:dyDescent="0.2"/>
    <row r="10263" s="197" customFormat="1" ht="12.75" x14ac:dyDescent="0.2"/>
    <row r="10264" s="197" customFormat="1" ht="12.75" x14ac:dyDescent="0.2"/>
    <row r="10265" s="197" customFormat="1" ht="12.75" x14ac:dyDescent="0.2"/>
    <row r="10266" s="197" customFormat="1" ht="12.75" x14ac:dyDescent="0.2"/>
    <row r="10267" s="197" customFormat="1" ht="12.75" x14ac:dyDescent="0.2"/>
    <row r="10268" s="197" customFormat="1" ht="12.75" x14ac:dyDescent="0.2"/>
    <row r="10269" s="197" customFormat="1" ht="12.75" x14ac:dyDescent="0.2"/>
    <row r="10270" s="197" customFormat="1" ht="12.75" x14ac:dyDescent="0.2"/>
    <row r="10271" s="197" customFormat="1" ht="12.75" x14ac:dyDescent="0.2"/>
    <row r="10272" s="197" customFormat="1" ht="12.75" x14ac:dyDescent="0.2"/>
    <row r="10273" s="197" customFormat="1" ht="12.75" x14ac:dyDescent="0.2"/>
    <row r="10274" s="197" customFormat="1" ht="12.75" x14ac:dyDescent="0.2"/>
    <row r="10275" s="197" customFormat="1" ht="12.75" x14ac:dyDescent="0.2"/>
    <row r="10276" s="197" customFormat="1" ht="12.75" x14ac:dyDescent="0.2"/>
    <row r="10277" s="197" customFormat="1" ht="12.75" x14ac:dyDescent="0.2"/>
    <row r="10278" s="197" customFormat="1" ht="12.75" x14ac:dyDescent="0.2"/>
    <row r="10279" s="197" customFormat="1" ht="12.75" x14ac:dyDescent="0.2"/>
    <row r="10280" s="197" customFormat="1" ht="12.75" x14ac:dyDescent="0.2"/>
    <row r="10281" s="197" customFormat="1" ht="12.75" x14ac:dyDescent="0.2"/>
    <row r="10282" s="197" customFormat="1" ht="12.75" x14ac:dyDescent="0.2"/>
    <row r="10283" s="197" customFormat="1" ht="12.75" x14ac:dyDescent="0.2"/>
    <row r="10284" s="197" customFormat="1" ht="12.75" x14ac:dyDescent="0.2"/>
    <row r="10285" s="197" customFormat="1" ht="12.75" x14ac:dyDescent="0.2"/>
    <row r="10286" s="197" customFormat="1" ht="12.75" x14ac:dyDescent="0.2"/>
    <row r="10287" s="197" customFormat="1" ht="12.75" x14ac:dyDescent="0.2"/>
    <row r="10288" s="197" customFormat="1" ht="12.75" x14ac:dyDescent="0.2"/>
    <row r="10289" s="197" customFormat="1" ht="12.75" x14ac:dyDescent="0.2"/>
    <row r="10290" s="197" customFormat="1" ht="12.75" x14ac:dyDescent="0.2"/>
    <row r="10291" s="197" customFormat="1" ht="12.75" x14ac:dyDescent="0.2"/>
    <row r="10292" s="197" customFormat="1" ht="12.75" x14ac:dyDescent="0.2"/>
    <row r="10293" s="197" customFormat="1" ht="12.75" x14ac:dyDescent="0.2"/>
    <row r="10294" s="197" customFormat="1" ht="12.75" x14ac:dyDescent="0.2"/>
    <row r="10295" s="197" customFormat="1" ht="12.75" x14ac:dyDescent="0.2"/>
    <row r="10296" s="197" customFormat="1" ht="12.75" x14ac:dyDescent="0.2"/>
    <row r="10297" s="197" customFormat="1" ht="12.75" x14ac:dyDescent="0.2"/>
    <row r="10298" s="197" customFormat="1" ht="12.75" x14ac:dyDescent="0.2"/>
    <row r="10299" s="197" customFormat="1" ht="12.75" x14ac:dyDescent="0.2"/>
    <row r="10300" s="197" customFormat="1" ht="12.75" x14ac:dyDescent="0.2"/>
    <row r="10301" s="197" customFormat="1" ht="12.75" x14ac:dyDescent="0.2"/>
    <row r="10302" s="197" customFormat="1" ht="12.75" x14ac:dyDescent="0.2"/>
    <row r="10303" s="197" customFormat="1" ht="12.75" x14ac:dyDescent="0.2"/>
    <row r="10304" s="197" customFormat="1" ht="12.75" x14ac:dyDescent="0.2"/>
    <row r="10305" s="197" customFormat="1" ht="12.75" x14ac:dyDescent="0.2"/>
    <row r="10306" s="197" customFormat="1" ht="12.75" x14ac:dyDescent="0.2"/>
    <row r="10307" s="197" customFormat="1" ht="12.75" x14ac:dyDescent="0.2"/>
    <row r="10308" s="197" customFormat="1" ht="12.75" x14ac:dyDescent="0.2"/>
    <row r="10309" s="197" customFormat="1" ht="12.75" x14ac:dyDescent="0.2"/>
    <row r="10310" s="197" customFormat="1" ht="12.75" x14ac:dyDescent="0.2"/>
    <row r="10311" s="197" customFormat="1" ht="12.75" x14ac:dyDescent="0.2"/>
    <row r="10312" s="197" customFormat="1" ht="12.75" x14ac:dyDescent="0.2"/>
    <row r="10313" s="197" customFormat="1" ht="12.75" x14ac:dyDescent="0.2"/>
    <row r="10314" s="197" customFormat="1" ht="12.75" x14ac:dyDescent="0.2"/>
    <row r="10315" s="197" customFormat="1" ht="12.75" x14ac:dyDescent="0.2"/>
    <row r="10316" s="197" customFormat="1" ht="12.75" x14ac:dyDescent="0.2"/>
    <row r="10317" s="197" customFormat="1" ht="12.75" x14ac:dyDescent="0.2"/>
    <row r="10318" s="197" customFormat="1" ht="12.75" x14ac:dyDescent="0.2"/>
    <row r="10319" s="197" customFormat="1" ht="12.75" x14ac:dyDescent="0.2"/>
    <row r="10320" s="197" customFormat="1" ht="12.75" x14ac:dyDescent="0.2"/>
    <row r="10321" s="197" customFormat="1" ht="12.75" x14ac:dyDescent="0.2"/>
    <row r="10322" s="197" customFormat="1" ht="12.75" x14ac:dyDescent="0.2"/>
    <row r="10323" s="197" customFormat="1" ht="12.75" x14ac:dyDescent="0.2"/>
    <row r="10324" s="197" customFormat="1" ht="12.75" x14ac:dyDescent="0.2"/>
    <row r="10325" s="197" customFormat="1" ht="12.75" x14ac:dyDescent="0.2"/>
    <row r="10326" s="197" customFormat="1" ht="12.75" x14ac:dyDescent="0.2"/>
    <row r="10327" s="197" customFormat="1" ht="12.75" x14ac:dyDescent="0.2"/>
    <row r="10328" s="197" customFormat="1" ht="12.75" x14ac:dyDescent="0.2"/>
    <row r="10329" s="197" customFormat="1" ht="12.75" x14ac:dyDescent="0.2"/>
    <row r="10330" s="197" customFormat="1" ht="12.75" x14ac:dyDescent="0.2"/>
    <row r="10331" s="197" customFormat="1" ht="12.75" x14ac:dyDescent="0.2"/>
    <row r="10332" s="197" customFormat="1" ht="12.75" x14ac:dyDescent="0.2"/>
    <row r="10333" s="197" customFormat="1" ht="12.75" x14ac:dyDescent="0.2"/>
    <row r="10334" s="197" customFormat="1" ht="12.75" x14ac:dyDescent="0.2"/>
    <row r="10335" s="197" customFormat="1" ht="12.75" x14ac:dyDescent="0.2"/>
    <row r="10336" s="197" customFormat="1" ht="12.75" x14ac:dyDescent="0.2"/>
    <row r="10337" s="197" customFormat="1" ht="12.75" x14ac:dyDescent="0.2"/>
    <row r="10338" s="197" customFormat="1" ht="12.75" x14ac:dyDescent="0.2"/>
    <row r="10339" s="197" customFormat="1" ht="12.75" x14ac:dyDescent="0.2"/>
    <row r="10340" s="197" customFormat="1" ht="12.75" x14ac:dyDescent="0.2"/>
    <row r="10341" s="197" customFormat="1" ht="12.75" x14ac:dyDescent="0.2"/>
    <row r="10342" s="197" customFormat="1" ht="12.75" x14ac:dyDescent="0.2"/>
    <row r="10343" s="197" customFormat="1" ht="12.75" x14ac:dyDescent="0.2"/>
    <row r="10344" s="197" customFormat="1" ht="12.75" x14ac:dyDescent="0.2"/>
    <row r="10345" s="197" customFormat="1" ht="12.75" x14ac:dyDescent="0.2"/>
    <row r="10346" s="197" customFormat="1" ht="12.75" x14ac:dyDescent="0.2"/>
    <row r="10347" s="197" customFormat="1" ht="12.75" x14ac:dyDescent="0.2"/>
    <row r="10348" s="197" customFormat="1" ht="12.75" x14ac:dyDescent="0.2"/>
    <row r="10349" s="197" customFormat="1" ht="12.75" x14ac:dyDescent="0.2"/>
    <row r="10350" s="197" customFormat="1" ht="12.75" x14ac:dyDescent="0.2"/>
    <row r="10351" s="197" customFormat="1" ht="12.75" x14ac:dyDescent="0.2"/>
    <row r="10352" s="197" customFormat="1" ht="12.75" x14ac:dyDescent="0.2"/>
    <row r="10353" s="197" customFormat="1" ht="12.75" x14ac:dyDescent="0.2"/>
    <row r="10354" s="197" customFormat="1" ht="12.75" x14ac:dyDescent="0.2"/>
    <row r="10355" s="197" customFormat="1" ht="12.75" x14ac:dyDescent="0.2"/>
    <row r="10356" s="197" customFormat="1" ht="12.75" x14ac:dyDescent="0.2"/>
    <row r="10357" s="197" customFormat="1" ht="12.75" x14ac:dyDescent="0.2"/>
    <row r="10358" s="197" customFormat="1" ht="12.75" x14ac:dyDescent="0.2"/>
    <row r="10359" s="197" customFormat="1" ht="12.75" x14ac:dyDescent="0.2"/>
    <row r="10360" s="197" customFormat="1" ht="12.75" x14ac:dyDescent="0.2"/>
    <row r="10361" s="197" customFormat="1" ht="12.75" x14ac:dyDescent="0.2"/>
    <row r="10362" s="197" customFormat="1" ht="12.75" x14ac:dyDescent="0.2"/>
    <row r="10363" s="197" customFormat="1" ht="12.75" x14ac:dyDescent="0.2"/>
    <row r="10364" s="197" customFormat="1" ht="12.75" x14ac:dyDescent="0.2"/>
    <row r="10365" s="197" customFormat="1" ht="12.75" x14ac:dyDescent="0.2"/>
    <row r="10366" s="197" customFormat="1" ht="12.75" x14ac:dyDescent="0.2"/>
    <row r="10367" s="197" customFormat="1" ht="12.75" x14ac:dyDescent="0.2"/>
    <row r="10368" s="197" customFormat="1" ht="12.75" x14ac:dyDescent="0.2"/>
    <row r="10369" s="197" customFormat="1" ht="12.75" x14ac:dyDescent="0.2"/>
    <row r="10370" s="197" customFormat="1" ht="12.75" x14ac:dyDescent="0.2"/>
    <row r="10371" s="197" customFormat="1" ht="12.75" x14ac:dyDescent="0.2"/>
    <row r="10372" s="197" customFormat="1" ht="12.75" x14ac:dyDescent="0.2"/>
    <row r="10373" s="197" customFormat="1" ht="12.75" x14ac:dyDescent="0.2"/>
    <row r="10374" s="197" customFormat="1" ht="12.75" x14ac:dyDescent="0.2"/>
    <row r="10375" s="197" customFormat="1" ht="12.75" x14ac:dyDescent="0.2"/>
    <row r="10376" s="197" customFormat="1" ht="12.75" x14ac:dyDescent="0.2"/>
    <row r="10377" s="197" customFormat="1" ht="12.75" x14ac:dyDescent="0.2"/>
    <row r="10378" s="197" customFormat="1" ht="12.75" x14ac:dyDescent="0.2"/>
    <row r="10379" s="197" customFormat="1" ht="12.75" x14ac:dyDescent="0.2"/>
    <row r="10380" s="197" customFormat="1" ht="12.75" x14ac:dyDescent="0.2"/>
    <row r="10381" s="197" customFormat="1" ht="12.75" x14ac:dyDescent="0.2"/>
    <row r="10382" s="197" customFormat="1" ht="12.75" x14ac:dyDescent="0.2"/>
    <row r="10383" s="197" customFormat="1" ht="12.75" x14ac:dyDescent="0.2"/>
    <row r="10384" s="197" customFormat="1" ht="12.75" x14ac:dyDescent="0.2"/>
    <row r="10385" s="197" customFormat="1" ht="12.75" x14ac:dyDescent="0.2"/>
    <row r="10386" s="197" customFormat="1" ht="12.75" x14ac:dyDescent="0.2"/>
    <row r="10387" s="197" customFormat="1" ht="12.75" x14ac:dyDescent="0.2"/>
    <row r="10388" s="197" customFormat="1" ht="12.75" x14ac:dyDescent="0.2"/>
    <row r="10389" s="197" customFormat="1" ht="12.75" x14ac:dyDescent="0.2"/>
    <row r="10390" s="197" customFormat="1" ht="12.75" x14ac:dyDescent="0.2"/>
    <row r="10391" s="197" customFormat="1" ht="12.75" x14ac:dyDescent="0.2"/>
    <row r="10392" s="197" customFormat="1" ht="12.75" x14ac:dyDescent="0.2"/>
    <row r="10393" s="197" customFormat="1" ht="12.75" x14ac:dyDescent="0.2"/>
    <row r="10394" s="197" customFormat="1" ht="12.75" x14ac:dyDescent="0.2"/>
    <row r="10395" s="197" customFormat="1" ht="12.75" x14ac:dyDescent="0.2"/>
    <row r="10396" s="197" customFormat="1" ht="12.75" x14ac:dyDescent="0.2"/>
    <row r="10397" s="197" customFormat="1" ht="12.75" x14ac:dyDescent="0.2"/>
    <row r="10398" s="197" customFormat="1" ht="12.75" x14ac:dyDescent="0.2"/>
    <row r="10399" s="197" customFormat="1" ht="12.75" x14ac:dyDescent="0.2"/>
    <row r="10400" s="197" customFormat="1" ht="12.75" x14ac:dyDescent="0.2"/>
    <row r="10401" s="197" customFormat="1" ht="12.75" x14ac:dyDescent="0.2"/>
    <row r="10402" s="197" customFormat="1" ht="12.75" x14ac:dyDescent="0.2"/>
    <row r="10403" s="197" customFormat="1" ht="12.75" x14ac:dyDescent="0.2"/>
    <row r="10404" s="197" customFormat="1" ht="12.75" x14ac:dyDescent="0.2"/>
    <row r="10405" s="197" customFormat="1" ht="12.75" x14ac:dyDescent="0.2"/>
    <row r="10406" s="197" customFormat="1" ht="12.75" x14ac:dyDescent="0.2"/>
    <row r="10407" s="197" customFormat="1" ht="12.75" x14ac:dyDescent="0.2"/>
    <row r="10408" s="197" customFormat="1" ht="12.75" x14ac:dyDescent="0.2"/>
    <row r="10409" s="197" customFormat="1" ht="12.75" x14ac:dyDescent="0.2"/>
    <row r="10410" s="197" customFormat="1" ht="12.75" x14ac:dyDescent="0.2"/>
    <row r="10411" s="197" customFormat="1" ht="12.75" x14ac:dyDescent="0.2"/>
    <row r="10412" s="197" customFormat="1" ht="12.75" x14ac:dyDescent="0.2"/>
    <row r="10413" s="197" customFormat="1" ht="12.75" x14ac:dyDescent="0.2"/>
    <row r="10414" s="197" customFormat="1" ht="12.75" x14ac:dyDescent="0.2"/>
    <row r="10415" s="197" customFormat="1" ht="12.75" x14ac:dyDescent="0.2"/>
    <row r="10416" s="197" customFormat="1" ht="12.75" x14ac:dyDescent="0.2"/>
    <row r="10417" s="197" customFormat="1" ht="12.75" x14ac:dyDescent="0.2"/>
    <row r="10418" s="197" customFormat="1" ht="12.75" x14ac:dyDescent="0.2"/>
    <row r="10419" s="197" customFormat="1" ht="12.75" x14ac:dyDescent="0.2"/>
    <row r="10420" s="197" customFormat="1" ht="12.75" x14ac:dyDescent="0.2"/>
    <row r="10421" s="197" customFormat="1" ht="12.75" x14ac:dyDescent="0.2"/>
    <row r="10422" s="197" customFormat="1" ht="12.75" x14ac:dyDescent="0.2"/>
    <row r="10423" s="197" customFormat="1" ht="12.75" x14ac:dyDescent="0.2"/>
    <row r="10424" s="197" customFormat="1" ht="12.75" x14ac:dyDescent="0.2"/>
    <row r="10425" s="197" customFormat="1" ht="12.75" x14ac:dyDescent="0.2"/>
    <row r="10426" s="197" customFormat="1" ht="12.75" x14ac:dyDescent="0.2"/>
    <row r="10427" s="197" customFormat="1" ht="12.75" x14ac:dyDescent="0.2"/>
    <row r="10428" s="197" customFormat="1" ht="12.75" x14ac:dyDescent="0.2"/>
    <row r="10429" s="197" customFormat="1" ht="12.75" x14ac:dyDescent="0.2"/>
    <row r="10430" s="197" customFormat="1" ht="12.75" x14ac:dyDescent="0.2"/>
    <row r="10431" s="197" customFormat="1" ht="12.75" x14ac:dyDescent="0.2"/>
    <row r="10432" s="197" customFormat="1" ht="12.75" x14ac:dyDescent="0.2"/>
    <row r="10433" s="197" customFormat="1" ht="12.75" x14ac:dyDescent="0.2"/>
    <row r="10434" s="197" customFormat="1" ht="12.75" x14ac:dyDescent="0.2"/>
    <row r="10435" s="197" customFormat="1" ht="12.75" x14ac:dyDescent="0.2"/>
    <row r="10436" s="197" customFormat="1" ht="12.75" x14ac:dyDescent="0.2"/>
    <row r="10437" s="197" customFormat="1" ht="12.75" x14ac:dyDescent="0.2"/>
    <row r="10438" s="197" customFormat="1" ht="12.75" x14ac:dyDescent="0.2"/>
    <row r="10439" s="197" customFormat="1" ht="12.75" x14ac:dyDescent="0.2"/>
    <row r="10440" s="197" customFormat="1" ht="12.75" x14ac:dyDescent="0.2"/>
    <row r="10441" s="197" customFormat="1" ht="12.75" x14ac:dyDescent="0.2"/>
    <row r="10442" s="197" customFormat="1" ht="12.75" x14ac:dyDescent="0.2"/>
    <row r="10443" s="197" customFormat="1" ht="12.75" x14ac:dyDescent="0.2"/>
    <row r="10444" s="197" customFormat="1" ht="12.75" x14ac:dyDescent="0.2"/>
    <row r="10445" s="197" customFormat="1" ht="12.75" x14ac:dyDescent="0.2"/>
    <row r="10446" s="197" customFormat="1" ht="12.75" x14ac:dyDescent="0.2"/>
    <row r="10447" s="197" customFormat="1" ht="12.75" x14ac:dyDescent="0.2"/>
    <row r="10448" s="197" customFormat="1" ht="12.75" x14ac:dyDescent="0.2"/>
    <row r="10449" s="197" customFormat="1" ht="12.75" x14ac:dyDescent="0.2"/>
    <row r="10450" s="197" customFormat="1" ht="12.75" x14ac:dyDescent="0.2"/>
    <row r="10451" s="197" customFormat="1" ht="12.75" x14ac:dyDescent="0.2"/>
    <row r="10452" s="197" customFormat="1" ht="12.75" x14ac:dyDescent="0.2"/>
    <row r="10453" s="197" customFormat="1" ht="12.75" x14ac:dyDescent="0.2"/>
    <row r="10454" s="197" customFormat="1" ht="12.75" x14ac:dyDescent="0.2"/>
    <row r="10455" s="197" customFormat="1" ht="12.75" x14ac:dyDescent="0.2"/>
    <row r="10456" s="197" customFormat="1" ht="12.75" x14ac:dyDescent="0.2"/>
    <row r="10457" s="197" customFormat="1" ht="12.75" x14ac:dyDescent="0.2"/>
    <row r="10458" s="197" customFormat="1" ht="12.75" x14ac:dyDescent="0.2"/>
    <row r="10459" s="197" customFormat="1" ht="12.75" x14ac:dyDescent="0.2"/>
    <row r="10460" s="197" customFormat="1" ht="12.75" x14ac:dyDescent="0.2"/>
    <row r="10461" s="197" customFormat="1" ht="12.75" x14ac:dyDescent="0.2"/>
    <row r="10462" s="197" customFormat="1" ht="12.75" x14ac:dyDescent="0.2"/>
    <row r="10463" s="197" customFormat="1" ht="12.75" x14ac:dyDescent="0.2"/>
    <row r="10464" s="197" customFormat="1" ht="12.75" x14ac:dyDescent="0.2"/>
    <row r="10465" s="197" customFormat="1" ht="12.75" x14ac:dyDescent="0.2"/>
    <row r="10466" s="197" customFormat="1" ht="12.75" x14ac:dyDescent="0.2"/>
    <row r="10467" s="197" customFormat="1" ht="12.75" x14ac:dyDescent="0.2"/>
    <row r="10468" s="197" customFormat="1" ht="12.75" x14ac:dyDescent="0.2"/>
    <row r="10469" s="197" customFormat="1" ht="12.75" x14ac:dyDescent="0.2"/>
    <row r="10470" s="197" customFormat="1" ht="12.75" x14ac:dyDescent="0.2"/>
    <row r="10471" s="197" customFormat="1" ht="12.75" x14ac:dyDescent="0.2"/>
    <row r="10472" s="197" customFormat="1" ht="12.75" x14ac:dyDescent="0.2"/>
    <row r="10473" s="197" customFormat="1" ht="12.75" x14ac:dyDescent="0.2"/>
    <row r="10474" s="197" customFormat="1" ht="12.75" x14ac:dyDescent="0.2"/>
    <row r="10475" s="197" customFormat="1" ht="12.75" x14ac:dyDescent="0.2"/>
    <row r="10476" s="197" customFormat="1" ht="12.75" x14ac:dyDescent="0.2"/>
    <row r="10477" s="197" customFormat="1" ht="12.75" x14ac:dyDescent="0.2"/>
    <row r="10478" s="197" customFormat="1" ht="12.75" x14ac:dyDescent="0.2"/>
    <row r="10479" s="197" customFormat="1" ht="12.75" x14ac:dyDescent="0.2"/>
    <row r="10480" s="197" customFormat="1" ht="12.75" x14ac:dyDescent="0.2"/>
    <row r="10481" s="197" customFormat="1" ht="12.75" x14ac:dyDescent="0.2"/>
    <row r="10482" s="197" customFormat="1" ht="12.75" x14ac:dyDescent="0.2"/>
    <row r="10483" s="197" customFormat="1" ht="12.75" x14ac:dyDescent="0.2"/>
    <row r="10484" s="197" customFormat="1" ht="12.75" x14ac:dyDescent="0.2"/>
    <row r="10485" s="197" customFormat="1" ht="12.75" x14ac:dyDescent="0.2"/>
    <row r="10486" s="197" customFormat="1" ht="12.75" x14ac:dyDescent="0.2"/>
    <row r="10487" s="197" customFormat="1" ht="12.75" x14ac:dyDescent="0.2"/>
    <row r="10488" s="197" customFormat="1" ht="12.75" x14ac:dyDescent="0.2"/>
    <row r="10489" s="197" customFormat="1" ht="12.75" x14ac:dyDescent="0.2"/>
    <row r="10490" s="197" customFormat="1" ht="12.75" x14ac:dyDescent="0.2"/>
    <row r="10491" s="197" customFormat="1" ht="12.75" x14ac:dyDescent="0.2"/>
    <row r="10492" s="197" customFormat="1" ht="12.75" x14ac:dyDescent="0.2"/>
    <row r="10493" s="197" customFormat="1" ht="12.75" x14ac:dyDescent="0.2"/>
    <row r="10494" s="197" customFormat="1" ht="12.75" x14ac:dyDescent="0.2"/>
    <row r="10495" s="197" customFormat="1" ht="12.75" x14ac:dyDescent="0.2"/>
    <row r="10496" s="197" customFormat="1" ht="12.75" x14ac:dyDescent="0.2"/>
    <row r="10497" s="197" customFormat="1" ht="12.75" x14ac:dyDescent="0.2"/>
    <row r="10498" s="197" customFormat="1" ht="12.75" x14ac:dyDescent="0.2"/>
    <row r="10499" s="197" customFormat="1" ht="12.75" x14ac:dyDescent="0.2"/>
    <row r="10500" s="197" customFormat="1" ht="12.75" x14ac:dyDescent="0.2"/>
    <row r="10501" s="197" customFormat="1" ht="12.75" x14ac:dyDescent="0.2"/>
    <row r="10502" s="197" customFormat="1" ht="12.75" x14ac:dyDescent="0.2"/>
    <row r="10503" s="197" customFormat="1" ht="12.75" x14ac:dyDescent="0.2"/>
    <row r="10504" s="197" customFormat="1" ht="12.75" x14ac:dyDescent="0.2"/>
    <row r="10505" s="197" customFormat="1" ht="12.75" x14ac:dyDescent="0.2"/>
    <row r="10506" s="197" customFormat="1" ht="12.75" x14ac:dyDescent="0.2"/>
    <row r="10507" s="197" customFormat="1" ht="12.75" x14ac:dyDescent="0.2"/>
    <row r="10508" s="197" customFormat="1" ht="12.75" x14ac:dyDescent="0.2"/>
    <row r="10509" s="197" customFormat="1" ht="12.75" x14ac:dyDescent="0.2"/>
    <row r="10510" s="197" customFormat="1" ht="12.75" x14ac:dyDescent="0.2"/>
    <row r="10511" s="197" customFormat="1" ht="12.75" x14ac:dyDescent="0.2"/>
    <row r="10512" s="197" customFormat="1" ht="12.75" x14ac:dyDescent="0.2"/>
    <row r="10513" s="197" customFormat="1" ht="12.75" x14ac:dyDescent="0.2"/>
    <row r="10514" s="197" customFormat="1" ht="12.75" x14ac:dyDescent="0.2"/>
    <row r="10515" s="197" customFormat="1" ht="12.75" x14ac:dyDescent="0.2"/>
    <row r="10516" s="197" customFormat="1" ht="12.75" x14ac:dyDescent="0.2"/>
    <row r="10517" s="197" customFormat="1" ht="12.75" x14ac:dyDescent="0.2"/>
    <row r="10518" s="197" customFormat="1" ht="12.75" x14ac:dyDescent="0.2"/>
    <row r="10519" s="197" customFormat="1" ht="12.75" x14ac:dyDescent="0.2"/>
    <row r="10520" s="197" customFormat="1" ht="12.75" x14ac:dyDescent="0.2"/>
    <row r="10521" s="197" customFormat="1" ht="12.75" x14ac:dyDescent="0.2"/>
    <row r="10522" s="197" customFormat="1" ht="12.75" x14ac:dyDescent="0.2"/>
    <row r="10523" s="197" customFormat="1" ht="12.75" x14ac:dyDescent="0.2"/>
    <row r="10524" s="197" customFormat="1" ht="12.75" x14ac:dyDescent="0.2"/>
    <row r="10525" s="197" customFormat="1" ht="12.75" x14ac:dyDescent="0.2"/>
    <row r="10526" s="197" customFormat="1" ht="12.75" x14ac:dyDescent="0.2"/>
    <row r="10527" s="197" customFormat="1" ht="12.75" x14ac:dyDescent="0.2"/>
    <row r="10528" s="197" customFormat="1" ht="12.75" x14ac:dyDescent="0.2"/>
    <row r="10529" s="197" customFormat="1" ht="12.75" x14ac:dyDescent="0.2"/>
    <row r="10530" s="197" customFormat="1" ht="12.75" x14ac:dyDescent="0.2"/>
    <row r="10531" s="197" customFormat="1" ht="12.75" x14ac:dyDescent="0.2"/>
    <row r="10532" s="197" customFormat="1" ht="12.75" x14ac:dyDescent="0.2"/>
    <row r="10533" s="197" customFormat="1" ht="12.75" x14ac:dyDescent="0.2"/>
    <row r="10534" s="197" customFormat="1" ht="12.75" x14ac:dyDescent="0.2"/>
    <row r="10535" s="197" customFormat="1" ht="12.75" x14ac:dyDescent="0.2"/>
    <row r="10536" s="197" customFormat="1" ht="12.75" x14ac:dyDescent="0.2"/>
    <row r="10537" s="197" customFormat="1" ht="12.75" x14ac:dyDescent="0.2"/>
    <row r="10538" s="197" customFormat="1" ht="12.75" x14ac:dyDescent="0.2"/>
    <row r="10539" s="197" customFormat="1" ht="12.75" x14ac:dyDescent="0.2"/>
    <row r="10540" s="197" customFormat="1" ht="12.75" x14ac:dyDescent="0.2"/>
    <row r="10541" s="197" customFormat="1" ht="12.75" x14ac:dyDescent="0.2"/>
    <row r="10542" s="197" customFormat="1" ht="12.75" x14ac:dyDescent="0.2"/>
    <row r="10543" s="197" customFormat="1" ht="12.75" x14ac:dyDescent="0.2"/>
    <row r="10544" s="197" customFormat="1" ht="12.75" x14ac:dyDescent="0.2"/>
    <row r="10545" s="197" customFormat="1" ht="12.75" x14ac:dyDescent="0.2"/>
    <row r="10546" s="197" customFormat="1" ht="12.75" x14ac:dyDescent="0.2"/>
    <row r="10547" s="197" customFormat="1" ht="12.75" x14ac:dyDescent="0.2"/>
    <row r="10548" s="197" customFormat="1" ht="12.75" x14ac:dyDescent="0.2"/>
    <row r="10549" s="197" customFormat="1" ht="12.75" x14ac:dyDescent="0.2"/>
    <row r="10550" s="197" customFormat="1" ht="12.75" x14ac:dyDescent="0.2"/>
    <row r="10551" s="197" customFormat="1" ht="12.75" x14ac:dyDescent="0.2"/>
    <row r="10552" s="197" customFormat="1" ht="12.75" x14ac:dyDescent="0.2"/>
    <row r="10553" s="197" customFormat="1" ht="12.75" x14ac:dyDescent="0.2"/>
    <row r="10554" s="197" customFormat="1" ht="12.75" x14ac:dyDescent="0.2"/>
    <row r="10555" s="197" customFormat="1" ht="12.75" x14ac:dyDescent="0.2"/>
    <row r="10556" s="197" customFormat="1" ht="12.75" x14ac:dyDescent="0.2"/>
    <row r="10557" s="197" customFormat="1" ht="12.75" x14ac:dyDescent="0.2"/>
    <row r="10558" s="197" customFormat="1" ht="12.75" x14ac:dyDescent="0.2"/>
    <row r="10559" s="197" customFormat="1" ht="12.75" x14ac:dyDescent="0.2"/>
    <row r="10560" s="197" customFormat="1" ht="12.75" x14ac:dyDescent="0.2"/>
    <row r="10561" s="197" customFormat="1" ht="12.75" x14ac:dyDescent="0.2"/>
    <row r="10562" s="197" customFormat="1" ht="12.75" x14ac:dyDescent="0.2"/>
    <row r="10563" s="197" customFormat="1" ht="12.75" x14ac:dyDescent="0.2"/>
    <row r="10564" s="197" customFormat="1" ht="12.75" x14ac:dyDescent="0.2"/>
    <row r="10565" s="197" customFormat="1" ht="12.75" x14ac:dyDescent="0.2"/>
    <row r="10566" s="197" customFormat="1" ht="12.75" x14ac:dyDescent="0.2"/>
    <row r="10567" s="197" customFormat="1" ht="12.75" x14ac:dyDescent="0.2"/>
    <row r="10568" s="197" customFormat="1" ht="12.75" x14ac:dyDescent="0.2"/>
    <row r="10569" s="197" customFormat="1" ht="12.75" x14ac:dyDescent="0.2"/>
    <row r="10570" s="197" customFormat="1" ht="12.75" x14ac:dyDescent="0.2"/>
    <row r="10571" s="197" customFormat="1" ht="12.75" x14ac:dyDescent="0.2"/>
    <row r="10572" s="197" customFormat="1" ht="12.75" x14ac:dyDescent="0.2"/>
    <row r="10573" s="197" customFormat="1" ht="12.75" x14ac:dyDescent="0.2"/>
    <row r="10574" s="197" customFormat="1" ht="12.75" x14ac:dyDescent="0.2"/>
    <row r="10575" s="197" customFormat="1" ht="12.75" x14ac:dyDescent="0.2"/>
    <row r="10576" s="197" customFormat="1" ht="12.75" x14ac:dyDescent="0.2"/>
    <row r="10577" s="197" customFormat="1" ht="12.75" x14ac:dyDescent="0.2"/>
    <row r="10578" s="197" customFormat="1" ht="12.75" x14ac:dyDescent="0.2"/>
    <row r="10579" s="197" customFormat="1" ht="12.75" x14ac:dyDescent="0.2"/>
    <row r="10580" s="197" customFormat="1" ht="12.75" x14ac:dyDescent="0.2"/>
    <row r="10581" s="197" customFormat="1" ht="12.75" x14ac:dyDescent="0.2"/>
    <row r="10582" s="197" customFormat="1" ht="12.75" x14ac:dyDescent="0.2"/>
    <row r="10583" s="197" customFormat="1" ht="12.75" x14ac:dyDescent="0.2"/>
    <row r="10584" s="197" customFormat="1" ht="12.75" x14ac:dyDescent="0.2"/>
    <row r="10585" s="197" customFormat="1" ht="12.75" x14ac:dyDescent="0.2"/>
    <row r="10586" s="197" customFormat="1" ht="12.75" x14ac:dyDescent="0.2"/>
    <row r="10587" s="197" customFormat="1" ht="12.75" x14ac:dyDescent="0.2"/>
    <row r="10588" s="197" customFormat="1" ht="12.75" x14ac:dyDescent="0.2"/>
    <row r="10589" s="197" customFormat="1" ht="12.75" x14ac:dyDescent="0.2"/>
    <row r="10590" s="197" customFormat="1" ht="12.75" x14ac:dyDescent="0.2"/>
    <row r="10591" s="197" customFormat="1" ht="12.75" x14ac:dyDescent="0.2"/>
    <row r="10592" s="197" customFormat="1" ht="12.75" x14ac:dyDescent="0.2"/>
    <row r="10593" s="197" customFormat="1" ht="12.75" x14ac:dyDescent="0.2"/>
    <row r="10594" s="197" customFormat="1" ht="12.75" x14ac:dyDescent="0.2"/>
    <row r="10595" s="197" customFormat="1" ht="12.75" x14ac:dyDescent="0.2"/>
    <row r="10596" s="197" customFormat="1" ht="12.75" x14ac:dyDescent="0.2"/>
    <row r="10597" s="197" customFormat="1" ht="12.75" x14ac:dyDescent="0.2"/>
    <row r="10598" s="197" customFormat="1" ht="12.75" x14ac:dyDescent="0.2"/>
    <row r="10599" s="197" customFormat="1" ht="12.75" x14ac:dyDescent="0.2"/>
    <row r="10600" s="197" customFormat="1" ht="12.75" x14ac:dyDescent="0.2"/>
    <row r="10601" s="197" customFormat="1" ht="12.75" x14ac:dyDescent="0.2"/>
    <row r="10602" s="197" customFormat="1" ht="12.75" x14ac:dyDescent="0.2"/>
    <row r="10603" s="197" customFormat="1" ht="12.75" x14ac:dyDescent="0.2"/>
    <row r="10604" s="197" customFormat="1" ht="12.75" x14ac:dyDescent="0.2"/>
    <row r="10605" s="197" customFormat="1" ht="12.75" x14ac:dyDescent="0.2"/>
    <row r="10606" s="197" customFormat="1" ht="12.75" x14ac:dyDescent="0.2"/>
    <row r="10607" s="197" customFormat="1" ht="12.75" x14ac:dyDescent="0.2"/>
    <row r="10608" s="197" customFormat="1" ht="12.75" x14ac:dyDescent="0.2"/>
    <row r="10609" s="197" customFormat="1" ht="12.75" x14ac:dyDescent="0.2"/>
    <row r="10610" s="197" customFormat="1" ht="12.75" x14ac:dyDescent="0.2"/>
    <row r="10611" s="197" customFormat="1" ht="12.75" x14ac:dyDescent="0.2"/>
    <row r="10612" s="197" customFormat="1" ht="12.75" x14ac:dyDescent="0.2"/>
    <row r="10613" s="197" customFormat="1" ht="12.75" x14ac:dyDescent="0.2"/>
    <row r="10614" s="197" customFormat="1" ht="12.75" x14ac:dyDescent="0.2"/>
    <row r="10615" s="197" customFormat="1" ht="12.75" x14ac:dyDescent="0.2"/>
    <row r="10616" s="197" customFormat="1" ht="12.75" x14ac:dyDescent="0.2"/>
    <row r="10617" s="197" customFormat="1" ht="12.75" x14ac:dyDescent="0.2"/>
    <row r="10618" s="197" customFormat="1" ht="12.75" x14ac:dyDescent="0.2"/>
    <row r="10619" s="197" customFormat="1" ht="12.75" x14ac:dyDescent="0.2"/>
    <row r="10620" s="197" customFormat="1" ht="12.75" x14ac:dyDescent="0.2"/>
    <row r="10621" s="197" customFormat="1" ht="12.75" x14ac:dyDescent="0.2"/>
    <row r="10622" s="197" customFormat="1" ht="12.75" x14ac:dyDescent="0.2"/>
    <row r="10623" s="197" customFormat="1" ht="12.75" x14ac:dyDescent="0.2"/>
    <row r="10624" s="197" customFormat="1" ht="12.75" x14ac:dyDescent="0.2"/>
    <row r="10625" s="197" customFormat="1" ht="12.75" x14ac:dyDescent="0.2"/>
    <row r="10626" s="197" customFormat="1" ht="12.75" x14ac:dyDescent="0.2"/>
    <row r="10627" s="197" customFormat="1" ht="12.75" x14ac:dyDescent="0.2"/>
    <row r="10628" s="197" customFormat="1" ht="12.75" x14ac:dyDescent="0.2"/>
    <row r="10629" s="197" customFormat="1" ht="12.75" x14ac:dyDescent="0.2"/>
    <row r="10630" s="197" customFormat="1" ht="12.75" x14ac:dyDescent="0.2"/>
    <row r="10631" s="197" customFormat="1" ht="12.75" x14ac:dyDescent="0.2"/>
    <row r="10632" s="197" customFormat="1" ht="12.75" x14ac:dyDescent="0.2"/>
    <row r="10633" s="197" customFormat="1" ht="12.75" x14ac:dyDescent="0.2"/>
    <row r="10634" s="197" customFormat="1" ht="12.75" x14ac:dyDescent="0.2"/>
    <row r="10635" s="197" customFormat="1" ht="12.75" x14ac:dyDescent="0.2"/>
    <row r="10636" s="197" customFormat="1" ht="12.75" x14ac:dyDescent="0.2"/>
    <row r="10637" s="197" customFormat="1" ht="12.75" x14ac:dyDescent="0.2"/>
    <row r="10638" s="197" customFormat="1" ht="12.75" x14ac:dyDescent="0.2"/>
    <row r="10639" s="197" customFormat="1" ht="12.75" x14ac:dyDescent="0.2"/>
    <row r="10640" s="197" customFormat="1" ht="12.75" x14ac:dyDescent="0.2"/>
    <row r="10641" s="197" customFormat="1" ht="12.75" x14ac:dyDescent="0.2"/>
    <row r="10642" s="197" customFormat="1" ht="12.75" x14ac:dyDescent="0.2"/>
    <row r="10643" s="197" customFormat="1" ht="12.75" x14ac:dyDescent="0.2"/>
    <row r="10644" s="197" customFormat="1" ht="12.75" x14ac:dyDescent="0.2"/>
    <row r="10645" s="197" customFormat="1" ht="12.75" x14ac:dyDescent="0.2"/>
    <row r="10646" s="197" customFormat="1" ht="12.75" x14ac:dyDescent="0.2"/>
    <row r="10647" s="197" customFormat="1" ht="12.75" x14ac:dyDescent="0.2"/>
    <row r="10648" s="197" customFormat="1" ht="12.75" x14ac:dyDescent="0.2"/>
    <row r="10649" s="197" customFormat="1" ht="12.75" x14ac:dyDescent="0.2"/>
    <row r="10650" s="197" customFormat="1" ht="12.75" x14ac:dyDescent="0.2"/>
    <row r="10651" s="197" customFormat="1" ht="12.75" x14ac:dyDescent="0.2"/>
    <row r="10652" s="197" customFormat="1" ht="12.75" x14ac:dyDescent="0.2"/>
    <row r="10653" s="197" customFormat="1" ht="12.75" x14ac:dyDescent="0.2"/>
    <row r="10654" s="197" customFormat="1" ht="12.75" x14ac:dyDescent="0.2"/>
    <row r="10655" s="197" customFormat="1" ht="12.75" x14ac:dyDescent="0.2"/>
    <row r="10656" s="197" customFormat="1" ht="12.75" x14ac:dyDescent="0.2"/>
    <row r="10657" s="197" customFormat="1" ht="12.75" x14ac:dyDescent="0.2"/>
    <row r="10658" s="197" customFormat="1" ht="12.75" x14ac:dyDescent="0.2"/>
    <row r="10659" s="197" customFormat="1" ht="12.75" x14ac:dyDescent="0.2"/>
    <row r="10660" s="197" customFormat="1" ht="12.75" x14ac:dyDescent="0.2"/>
    <row r="10661" s="197" customFormat="1" ht="12.75" x14ac:dyDescent="0.2"/>
    <row r="10662" s="197" customFormat="1" ht="12.75" x14ac:dyDescent="0.2"/>
    <row r="10663" s="197" customFormat="1" ht="12.75" x14ac:dyDescent="0.2"/>
    <row r="10664" s="197" customFormat="1" ht="12.75" x14ac:dyDescent="0.2"/>
    <row r="10665" s="197" customFormat="1" ht="12.75" x14ac:dyDescent="0.2"/>
    <row r="10666" s="197" customFormat="1" ht="12.75" x14ac:dyDescent="0.2"/>
    <row r="10667" s="197" customFormat="1" ht="12.75" x14ac:dyDescent="0.2"/>
    <row r="10668" s="197" customFormat="1" ht="12.75" x14ac:dyDescent="0.2"/>
    <row r="10669" s="197" customFormat="1" ht="12.75" x14ac:dyDescent="0.2"/>
    <row r="10670" s="197" customFormat="1" ht="12.75" x14ac:dyDescent="0.2"/>
    <row r="10671" s="197" customFormat="1" ht="12.75" x14ac:dyDescent="0.2"/>
    <row r="10672" s="197" customFormat="1" ht="12.75" x14ac:dyDescent="0.2"/>
    <row r="10673" s="197" customFormat="1" ht="12.75" x14ac:dyDescent="0.2"/>
    <row r="10674" s="197" customFormat="1" ht="12.75" x14ac:dyDescent="0.2"/>
    <row r="10675" s="197" customFormat="1" ht="12.75" x14ac:dyDescent="0.2"/>
    <row r="10676" s="197" customFormat="1" ht="12.75" x14ac:dyDescent="0.2"/>
    <row r="10677" s="197" customFormat="1" ht="12.75" x14ac:dyDescent="0.2"/>
    <row r="10678" s="197" customFormat="1" ht="12.75" x14ac:dyDescent="0.2"/>
    <row r="10679" s="197" customFormat="1" ht="12.75" x14ac:dyDescent="0.2"/>
    <row r="10680" s="197" customFormat="1" ht="12.75" x14ac:dyDescent="0.2"/>
    <row r="10681" s="197" customFormat="1" ht="12.75" x14ac:dyDescent="0.2"/>
    <row r="10682" s="197" customFormat="1" ht="12.75" x14ac:dyDescent="0.2"/>
    <row r="10683" s="197" customFormat="1" ht="12.75" x14ac:dyDescent="0.2"/>
    <row r="10684" s="197" customFormat="1" ht="12.75" x14ac:dyDescent="0.2"/>
    <row r="10685" s="197" customFormat="1" ht="12.75" x14ac:dyDescent="0.2"/>
    <row r="10686" s="197" customFormat="1" ht="12.75" x14ac:dyDescent="0.2"/>
    <row r="10687" s="197" customFormat="1" ht="12.75" x14ac:dyDescent="0.2"/>
    <row r="10688" s="197" customFormat="1" ht="12.75" x14ac:dyDescent="0.2"/>
    <row r="10689" s="197" customFormat="1" ht="12.75" x14ac:dyDescent="0.2"/>
    <row r="10690" s="197" customFormat="1" ht="12.75" x14ac:dyDescent="0.2"/>
    <row r="10691" s="197" customFormat="1" ht="12.75" x14ac:dyDescent="0.2"/>
    <row r="10692" s="197" customFormat="1" ht="12.75" x14ac:dyDescent="0.2"/>
    <row r="10693" s="197" customFormat="1" ht="12.75" x14ac:dyDescent="0.2"/>
    <row r="10694" s="197" customFormat="1" ht="12.75" x14ac:dyDescent="0.2"/>
    <row r="10695" s="197" customFormat="1" ht="12.75" x14ac:dyDescent="0.2"/>
    <row r="10696" s="197" customFormat="1" ht="12.75" x14ac:dyDescent="0.2"/>
    <row r="10697" s="197" customFormat="1" ht="12.75" x14ac:dyDescent="0.2"/>
    <row r="10698" s="197" customFormat="1" ht="12.75" x14ac:dyDescent="0.2"/>
    <row r="10699" s="197" customFormat="1" ht="12.75" x14ac:dyDescent="0.2"/>
    <row r="10700" s="197" customFormat="1" ht="12.75" x14ac:dyDescent="0.2"/>
    <row r="10701" s="197" customFormat="1" ht="12.75" x14ac:dyDescent="0.2"/>
    <row r="10702" s="197" customFormat="1" ht="12.75" x14ac:dyDescent="0.2"/>
    <row r="10703" s="197" customFormat="1" ht="12.75" x14ac:dyDescent="0.2"/>
    <row r="10704" s="197" customFormat="1" ht="12.75" x14ac:dyDescent="0.2"/>
    <row r="10705" s="197" customFormat="1" ht="12.75" x14ac:dyDescent="0.2"/>
    <row r="10706" s="197" customFormat="1" ht="12.75" x14ac:dyDescent="0.2"/>
    <row r="10707" s="197" customFormat="1" ht="12.75" x14ac:dyDescent="0.2"/>
    <row r="10708" s="197" customFormat="1" ht="12.75" x14ac:dyDescent="0.2"/>
    <row r="10709" s="197" customFormat="1" ht="12.75" x14ac:dyDescent="0.2"/>
    <row r="10710" s="197" customFormat="1" ht="12.75" x14ac:dyDescent="0.2"/>
    <row r="10711" s="197" customFormat="1" ht="12.75" x14ac:dyDescent="0.2"/>
    <row r="10712" s="197" customFormat="1" ht="12.75" x14ac:dyDescent="0.2"/>
    <row r="10713" s="197" customFormat="1" ht="12.75" x14ac:dyDescent="0.2"/>
    <row r="10714" s="197" customFormat="1" ht="12.75" x14ac:dyDescent="0.2"/>
    <row r="10715" s="197" customFormat="1" ht="12.75" x14ac:dyDescent="0.2"/>
    <row r="10716" s="197" customFormat="1" ht="12.75" x14ac:dyDescent="0.2"/>
    <row r="10717" s="197" customFormat="1" ht="12.75" x14ac:dyDescent="0.2"/>
    <row r="10718" s="197" customFormat="1" ht="12.75" x14ac:dyDescent="0.2"/>
    <row r="10719" s="197" customFormat="1" ht="12.75" x14ac:dyDescent="0.2"/>
    <row r="10720" s="197" customFormat="1" ht="12.75" x14ac:dyDescent="0.2"/>
    <row r="10721" s="197" customFormat="1" ht="12.75" x14ac:dyDescent="0.2"/>
    <row r="10722" s="197" customFormat="1" ht="12.75" x14ac:dyDescent="0.2"/>
    <row r="10723" s="197" customFormat="1" ht="12.75" x14ac:dyDescent="0.2"/>
    <row r="10724" s="197" customFormat="1" ht="12.75" x14ac:dyDescent="0.2"/>
    <row r="10725" s="197" customFormat="1" ht="12.75" x14ac:dyDescent="0.2"/>
    <row r="10726" s="197" customFormat="1" ht="12.75" x14ac:dyDescent="0.2"/>
    <row r="10727" s="197" customFormat="1" ht="12.75" x14ac:dyDescent="0.2"/>
    <row r="10728" s="197" customFormat="1" ht="12.75" x14ac:dyDescent="0.2"/>
    <row r="10729" s="197" customFormat="1" ht="12.75" x14ac:dyDescent="0.2"/>
    <row r="10730" s="197" customFormat="1" ht="12.75" x14ac:dyDescent="0.2"/>
    <row r="10731" s="197" customFormat="1" ht="12.75" x14ac:dyDescent="0.2"/>
    <row r="10732" s="197" customFormat="1" ht="12.75" x14ac:dyDescent="0.2"/>
    <row r="10733" s="197" customFormat="1" ht="12.75" x14ac:dyDescent="0.2"/>
    <row r="10734" s="197" customFormat="1" ht="12.75" x14ac:dyDescent="0.2"/>
    <row r="10735" s="197" customFormat="1" ht="12.75" x14ac:dyDescent="0.2"/>
    <row r="10736" s="197" customFormat="1" ht="12.75" x14ac:dyDescent="0.2"/>
    <row r="10737" s="197" customFormat="1" ht="12.75" x14ac:dyDescent="0.2"/>
    <row r="10738" s="197" customFormat="1" ht="12.75" x14ac:dyDescent="0.2"/>
    <row r="10739" s="197" customFormat="1" ht="12.75" x14ac:dyDescent="0.2"/>
    <row r="10740" s="197" customFormat="1" ht="12.75" x14ac:dyDescent="0.2"/>
    <row r="10741" s="197" customFormat="1" ht="12.75" x14ac:dyDescent="0.2"/>
    <row r="10742" s="197" customFormat="1" ht="12.75" x14ac:dyDescent="0.2"/>
    <row r="10743" s="197" customFormat="1" ht="12.75" x14ac:dyDescent="0.2"/>
    <row r="10744" s="197" customFormat="1" ht="12.75" x14ac:dyDescent="0.2"/>
    <row r="10745" s="197" customFormat="1" ht="12.75" x14ac:dyDescent="0.2"/>
    <row r="10746" s="197" customFormat="1" ht="12.75" x14ac:dyDescent="0.2"/>
    <row r="10747" s="197" customFormat="1" ht="12.75" x14ac:dyDescent="0.2"/>
    <row r="10748" s="197" customFormat="1" ht="12.75" x14ac:dyDescent="0.2"/>
    <row r="10749" s="197" customFormat="1" ht="12.75" x14ac:dyDescent="0.2"/>
    <row r="10750" s="197" customFormat="1" ht="12.75" x14ac:dyDescent="0.2"/>
    <row r="10751" s="197" customFormat="1" ht="12.75" x14ac:dyDescent="0.2"/>
    <row r="10752" s="197" customFormat="1" ht="12.75" x14ac:dyDescent="0.2"/>
    <row r="10753" s="197" customFormat="1" ht="12.75" x14ac:dyDescent="0.2"/>
    <row r="10754" s="197" customFormat="1" ht="12.75" x14ac:dyDescent="0.2"/>
    <row r="10755" s="197" customFormat="1" ht="12.75" x14ac:dyDescent="0.2"/>
    <row r="10756" s="197" customFormat="1" ht="12.75" x14ac:dyDescent="0.2"/>
    <row r="10757" s="197" customFormat="1" ht="12.75" x14ac:dyDescent="0.2"/>
    <row r="10758" s="197" customFormat="1" ht="12.75" x14ac:dyDescent="0.2"/>
    <row r="10759" s="197" customFormat="1" ht="12.75" x14ac:dyDescent="0.2"/>
    <row r="10760" s="197" customFormat="1" ht="12.75" x14ac:dyDescent="0.2"/>
    <row r="10761" s="197" customFormat="1" ht="12.75" x14ac:dyDescent="0.2"/>
    <row r="10762" s="197" customFormat="1" ht="12.75" x14ac:dyDescent="0.2"/>
    <row r="10763" s="197" customFormat="1" ht="12.75" x14ac:dyDescent="0.2"/>
    <row r="10764" s="197" customFormat="1" ht="12.75" x14ac:dyDescent="0.2"/>
    <row r="10765" s="197" customFormat="1" ht="12.75" x14ac:dyDescent="0.2"/>
    <row r="10766" s="197" customFormat="1" ht="12.75" x14ac:dyDescent="0.2"/>
    <row r="10767" s="197" customFormat="1" ht="12.75" x14ac:dyDescent="0.2"/>
    <row r="10768" s="197" customFormat="1" ht="12.75" x14ac:dyDescent="0.2"/>
    <row r="10769" s="197" customFormat="1" ht="12.75" x14ac:dyDescent="0.2"/>
    <row r="10770" s="197" customFormat="1" ht="12.75" x14ac:dyDescent="0.2"/>
    <row r="10771" s="197" customFormat="1" ht="12.75" x14ac:dyDescent="0.2"/>
    <row r="10772" s="197" customFormat="1" ht="12.75" x14ac:dyDescent="0.2"/>
    <row r="10773" s="197" customFormat="1" ht="12.75" x14ac:dyDescent="0.2"/>
    <row r="10774" s="197" customFormat="1" ht="12.75" x14ac:dyDescent="0.2"/>
    <row r="10775" s="197" customFormat="1" ht="12.75" x14ac:dyDescent="0.2"/>
    <row r="10776" s="197" customFormat="1" ht="12.75" x14ac:dyDescent="0.2"/>
    <row r="10777" s="197" customFormat="1" ht="12.75" x14ac:dyDescent="0.2"/>
    <row r="10778" s="197" customFormat="1" ht="12.75" x14ac:dyDescent="0.2"/>
    <row r="10779" s="197" customFormat="1" ht="12.75" x14ac:dyDescent="0.2"/>
    <row r="10780" s="197" customFormat="1" ht="12.75" x14ac:dyDescent="0.2"/>
    <row r="10781" s="197" customFormat="1" ht="12.75" x14ac:dyDescent="0.2"/>
    <row r="10782" s="197" customFormat="1" ht="12.75" x14ac:dyDescent="0.2"/>
    <row r="10783" s="197" customFormat="1" ht="12.75" x14ac:dyDescent="0.2"/>
    <row r="10784" s="197" customFormat="1" ht="12.75" x14ac:dyDescent="0.2"/>
    <row r="10785" s="197" customFormat="1" ht="12.75" x14ac:dyDescent="0.2"/>
    <row r="10786" s="197" customFormat="1" ht="12.75" x14ac:dyDescent="0.2"/>
    <row r="10787" s="197" customFormat="1" ht="12.75" x14ac:dyDescent="0.2"/>
    <row r="10788" s="197" customFormat="1" ht="12.75" x14ac:dyDescent="0.2"/>
    <row r="10789" s="197" customFormat="1" ht="12.75" x14ac:dyDescent="0.2"/>
    <row r="10790" s="197" customFormat="1" ht="12.75" x14ac:dyDescent="0.2"/>
    <row r="10791" s="197" customFormat="1" ht="12.75" x14ac:dyDescent="0.2"/>
    <row r="10792" s="197" customFormat="1" ht="12.75" x14ac:dyDescent="0.2"/>
    <row r="10793" s="197" customFormat="1" ht="12.75" x14ac:dyDescent="0.2"/>
    <row r="10794" s="197" customFormat="1" ht="12.75" x14ac:dyDescent="0.2"/>
    <row r="10795" s="197" customFormat="1" ht="12.75" x14ac:dyDescent="0.2"/>
    <row r="10796" s="197" customFormat="1" ht="12.75" x14ac:dyDescent="0.2"/>
    <row r="10797" s="197" customFormat="1" ht="12.75" x14ac:dyDescent="0.2"/>
    <row r="10798" s="197" customFormat="1" ht="12.75" x14ac:dyDescent="0.2"/>
    <row r="10799" s="197" customFormat="1" ht="12.75" x14ac:dyDescent="0.2"/>
    <row r="10800" s="197" customFormat="1" ht="12.75" x14ac:dyDescent="0.2"/>
    <row r="10801" s="197" customFormat="1" ht="12.75" x14ac:dyDescent="0.2"/>
    <row r="10802" s="197" customFormat="1" ht="12.75" x14ac:dyDescent="0.2"/>
    <row r="10803" s="197" customFormat="1" ht="12.75" x14ac:dyDescent="0.2"/>
    <row r="10804" s="197" customFormat="1" ht="12.75" x14ac:dyDescent="0.2"/>
    <row r="10805" s="197" customFormat="1" ht="12.75" x14ac:dyDescent="0.2"/>
    <row r="10806" s="197" customFormat="1" ht="12.75" x14ac:dyDescent="0.2"/>
    <row r="10807" s="197" customFormat="1" ht="12.75" x14ac:dyDescent="0.2"/>
    <row r="10808" s="197" customFormat="1" ht="12.75" x14ac:dyDescent="0.2"/>
    <row r="10809" s="197" customFormat="1" ht="12.75" x14ac:dyDescent="0.2"/>
    <row r="10810" s="197" customFormat="1" ht="12.75" x14ac:dyDescent="0.2"/>
    <row r="10811" s="197" customFormat="1" ht="12.75" x14ac:dyDescent="0.2"/>
    <row r="10812" s="197" customFormat="1" ht="12.75" x14ac:dyDescent="0.2"/>
    <row r="10813" s="197" customFormat="1" ht="12.75" x14ac:dyDescent="0.2"/>
    <row r="10814" s="197" customFormat="1" ht="12.75" x14ac:dyDescent="0.2"/>
    <row r="10815" s="197" customFormat="1" ht="12.75" x14ac:dyDescent="0.2"/>
    <row r="10816" s="197" customFormat="1" ht="12.75" x14ac:dyDescent="0.2"/>
    <row r="10817" s="197" customFormat="1" ht="12.75" x14ac:dyDescent="0.2"/>
    <row r="10818" s="197" customFormat="1" ht="12.75" x14ac:dyDescent="0.2"/>
    <row r="10819" s="197" customFormat="1" ht="12.75" x14ac:dyDescent="0.2"/>
    <row r="10820" s="197" customFormat="1" ht="12.75" x14ac:dyDescent="0.2"/>
    <row r="10821" s="197" customFormat="1" ht="12.75" x14ac:dyDescent="0.2"/>
    <row r="10822" s="197" customFormat="1" ht="12.75" x14ac:dyDescent="0.2"/>
    <row r="10823" s="197" customFormat="1" ht="12.75" x14ac:dyDescent="0.2"/>
    <row r="10824" s="197" customFormat="1" ht="12.75" x14ac:dyDescent="0.2"/>
    <row r="10825" s="197" customFormat="1" ht="12.75" x14ac:dyDescent="0.2"/>
    <row r="10826" s="197" customFormat="1" ht="12.75" x14ac:dyDescent="0.2"/>
    <row r="10827" s="197" customFormat="1" ht="12.75" x14ac:dyDescent="0.2"/>
    <row r="10828" s="197" customFormat="1" ht="12.75" x14ac:dyDescent="0.2"/>
    <row r="10829" s="197" customFormat="1" ht="12.75" x14ac:dyDescent="0.2"/>
    <row r="10830" s="197" customFormat="1" ht="12.75" x14ac:dyDescent="0.2"/>
    <row r="10831" s="197" customFormat="1" ht="12.75" x14ac:dyDescent="0.2"/>
    <row r="10832" s="197" customFormat="1" ht="12.75" x14ac:dyDescent="0.2"/>
    <row r="10833" s="197" customFormat="1" ht="12.75" x14ac:dyDescent="0.2"/>
    <row r="10834" s="197" customFormat="1" ht="12.75" x14ac:dyDescent="0.2"/>
    <row r="10835" s="197" customFormat="1" ht="12.75" x14ac:dyDescent="0.2"/>
    <row r="10836" s="197" customFormat="1" ht="12.75" x14ac:dyDescent="0.2"/>
    <row r="10837" s="197" customFormat="1" ht="12.75" x14ac:dyDescent="0.2"/>
    <row r="10838" s="197" customFormat="1" ht="12.75" x14ac:dyDescent="0.2"/>
    <row r="10839" s="197" customFormat="1" ht="12.75" x14ac:dyDescent="0.2"/>
    <row r="10840" s="197" customFormat="1" ht="12.75" x14ac:dyDescent="0.2"/>
    <row r="10841" s="197" customFormat="1" ht="12.75" x14ac:dyDescent="0.2"/>
    <row r="10842" s="197" customFormat="1" ht="12.75" x14ac:dyDescent="0.2"/>
    <row r="10843" s="197" customFormat="1" ht="12.75" x14ac:dyDescent="0.2"/>
    <row r="10844" s="197" customFormat="1" ht="12.75" x14ac:dyDescent="0.2"/>
    <row r="10845" s="197" customFormat="1" ht="12.75" x14ac:dyDescent="0.2"/>
    <row r="10846" s="197" customFormat="1" ht="12.75" x14ac:dyDescent="0.2"/>
    <row r="10847" s="197" customFormat="1" ht="12.75" x14ac:dyDescent="0.2"/>
    <row r="10848" s="197" customFormat="1" ht="12.75" x14ac:dyDescent="0.2"/>
    <row r="10849" s="197" customFormat="1" ht="12.75" x14ac:dyDescent="0.2"/>
    <row r="10850" s="197" customFormat="1" ht="12.75" x14ac:dyDescent="0.2"/>
    <row r="10851" s="197" customFormat="1" ht="12.75" x14ac:dyDescent="0.2"/>
    <row r="10852" s="197" customFormat="1" ht="12.75" x14ac:dyDescent="0.2"/>
    <row r="10853" s="197" customFormat="1" ht="12.75" x14ac:dyDescent="0.2"/>
    <row r="10854" s="197" customFormat="1" ht="12.75" x14ac:dyDescent="0.2"/>
    <row r="10855" s="197" customFormat="1" ht="12.75" x14ac:dyDescent="0.2"/>
    <row r="10856" s="197" customFormat="1" ht="12.75" x14ac:dyDescent="0.2"/>
    <row r="10857" s="197" customFormat="1" ht="12.75" x14ac:dyDescent="0.2"/>
    <row r="10858" s="197" customFormat="1" ht="12.75" x14ac:dyDescent="0.2"/>
    <row r="10859" s="197" customFormat="1" ht="12.75" x14ac:dyDescent="0.2"/>
    <row r="10860" s="197" customFormat="1" ht="12.75" x14ac:dyDescent="0.2"/>
    <row r="10861" s="197" customFormat="1" ht="12.75" x14ac:dyDescent="0.2"/>
    <row r="10862" s="197" customFormat="1" ht="12.75" x14ac:dyDescent="0.2"/>
    <row r="10863" s="197" customFormat="1" ht="12.75" x14ac:dyDescent="0.2"/>
    <row r="10864" s="197" customFormat="1" ht="12.75" x14ac:dyDescent="0.2"/>
    <row r="10865" s="197" customFormat="1" ht="12.75" x14ac:dyDescent="0.2"/>
    <row r="10866" s="197" customFormat="1" ht="12.75" x14ac:dyDescent="0.2"/>
    <row r="10867" s="197" customFormat="1" ht="12.75" x14ac:dyDescent="0.2"/>
    <row r="10868" s="197" customFormat="1" ht="12.75" x14ac:dyDescent="0.2"/>
    <row r="10869" s="197" customFormat="1" ht="12.75" x14ac:dyDescent="0.2"/>
    <row r="10870" s="197" customFormat="1" ht="12.75" x14ac:dyDescent="0.2"/>
    <row r="10871" s="197" customFormat="1" ht="12.75" x14ac:dyDescent="0.2"/>
    <row r="10872" s="197" customFormat="1" ht="12.75" x14ac:dyDescent="0.2"/>
    <row r="10873" s="197" customFormat="1" ht="12.75" x14ac:dyDescent="0.2"/>
    <row r="10874" s="197" customFormat="1" ht="12.75" x14ac:dyDescent="0.2"/>
    <row r="10875" s="197" customFormat="1" ht="12.75" x14ac:dyDescent="0.2"/>
    <row r="10876" s="197" customFormat="1" ht="12.75" x14ac:dyDescent="0.2"/>
    <row r="10877" s="197" customFormat="1" ht="12.75" x14ac:dyDescent="0.2"/>
    <row r="10878" s="197" customFormat="1" ht="12.75" x14ac:dyDescent="0.2"/>
    <row r="10879" s="197" customFormat="1" ht="12.75" x14ac:dyDescent="0.2"/>
    <row r="10880" s="197" customFormat="1" ht="12.75" x14ac:dyDescent="0.2"/>
    <row r="10881" s="197" customFormat="1" ht="12.75" x14ac:dyDescent="0.2"/>
    <row r="10882" s="197" customFormat="1" ht="12.75" x14ac:dyDescent="0.2"/>
    <row r="10883" s="197" customFormat="1" ht="12.75" x14ac:dyDescent="0.2"/>
    <row r="10884" s="197" customFormat="1" ht="12.75" x14ac:dyDescent="0.2"/>
    <row r="10885" s="197" customFormat="1" ht="12.75" x14ac:dyDescent="0.2"/>
    <row r="10886" s="197" customFormat="1" ht="12.75" x14ac:dyDescent="0.2"/>
    <row r="10887" s="197" customFormat="1" ht="12.75" x14ac:dyDescent="0.2"/>
    <row r="10888" s="197" customFormat="1" ht="12.75" x14ac:dyDescent="0.2"/>
    <row r="10889" s="197" customFormat="1" ht="12.75" x14ac:dyDescent="0.2"/>
    <row r="10890" s="197" customFormat="1" ht="12.75" x14ac:dyDescent="0.2"/>
    <row r="10891" s="197" customFormat="1" ht="12.75" x14ac:dyDescent="0.2"/>
    <row r="10892" s="197" customFormat="1" ht="12.75" x14ac:dyDescent="0.2"/>
    <row r="10893" s="197" customFormat="1" ht="12.75" x14ac:dyDescent="0.2"/>
    <row r="10894" s="197" customFormat="1" ht="12.75" x14ac:dyDescent="0.2"/>
    <row r="10895" s="197" customFormat="1" ht="12.75" x14ac:dyDescent="0.2"/>
    <row r="10896" s="197" customFormat="1" ht="12.75" x14ac:dyDescent="0.2"/>
    <row r="10897" s="197" customFormat="1" ht="12.75" x14ac:dyDescent="0.2"/>
    <row r="10898" s="197" customFormat="1" ht="12.75" x14ac:dyDescent="0.2"/>
    <row r="10899" s="197" customFormat="1" ht="12.75" x14ac:dyDescent="0.2"/>
    <row r="10900" s="197" customFormat="1" ht="12.75" x14ac:dyDescent="0.2"/>
    <row r="10901" s="197" customFormat="1" ht="12.75" x14ac:dyDescent="0.2"/>
    <row r="10902" s="197" customFormat="1" ht="12.75" x14ac:dyDescent="0.2"/>
    <row r="10903" s="197" customFormat="1" ht="12.75" x14ac:dyDescent="0.2"/>
    <row r="10904" s="197" customFormat="1" ht="12.75" x14ac:dyDescent="0.2"/>
    <row r="10905" s="197" customFormat="1" ht="12.75" x14ac:dyDescent="0.2"/>
    <row r="10906" s="197" customFormat="1" ht="12.75" x14ac:dyDescent="0.2"/>
    <row r="10907" s="197" customFormat="1" ht="12.75" x14ac:dyDescent="0.2"/>
    <row r="10908" s="197" customFormat="1" ht="12.75" x14ac:dyDescent="0.2"/>
    <row r="10909" s="197" customFormat="1" ht="12.75" x14ac:dyDescent="0.2"/>
    <row r="10910" s="197" customFormat="1" ht="12.75" x14ac:dyDescent="0.2"/>
    <row r="10911" s="197" customFormat="1" ht="12.75" x14ac:dyDescent="0.2"/>
    <row r="10912" s="197" customFormat="1" ht="12.75" x14ac:dyDescent="0.2"/>
    <row r="10913" s="197" customFormat="1" ht="12.75" x14ac:dyDescent="0.2"/>
    <row r="10914" s="197" customFormat="1" ht="12.75" x14ac:dyDescent="0.2"/>
    <row r="10915" s="197" customFormat="1" ht="12.75" x14ac:dyDescent="0.2"/>
    <row r="10916" s="197" customFormat="1" ht="12.75" x14ac:dyDescent="0.2"/>
    <row r="10917" s="197" customFormat="1" ht="12.75" x14ac:dyDescent="0.2"/>
    <row r="10918" s="197" customFormat="1" ht="12.75" x14ac:dyDescent="0.2"/>
    <row r="10919" s="197" customFormat="1" ht="12.75" x14ac:dyDescent="0.2"/>
    <row r="10920" s="197" customFormat="1" ht="12.75" x14ac:dyDescent="0.2"/>
    <row r="10921" s="197" customFormat="1" ht="12.75" x14ac:dyDescent="0.2"/>
    <row r="10922" s="197" customFormat="1" ht="12.75" x14ac:dyDescent="0.2"/>
    <row r="10923" s="197" customFormat="1" ht="12.75" x14ac:dyDescent="0.2"/>
    <row r="10924" s="197" customFormat="1" ht="12.75" x14ac:dyDescent="0.2"/>
    <row r="10925" s="197" customFormat="1" ht="12.75" x14ac:dyDescent="0.2"/>
    <row r="10926" s="197" customFormat="1" ht="12.75" x14ac:dyDescent="0.2"/>
    <row r="10927" s="197" customFormat="1" ht="12.75" x14ac:dyDescent="0.2"/>
    <row r="10928" s="197" customFormat="1" ht="12.75" x14ac:dyDescent="0.2"/>
    <row r="10929" s="197" customFormat="1" ht="12.75" x14ac:dyDescent="0.2"/>
    <row r="10930" s="197" customFormat="1" ht="12.75" x14ac:dyDescent="0.2"/>
    <row r="10931" s="197" customFormat="1" ht="12.75" x14ac:dyDescent="0.2"/>
    <row r="10932" s="197" customFormat="1" ht="12.75" x14ac:dyDescent="0.2"/>
    <row r="10933" s="197" customFormat="1" ht="12.75" x14ac:dyDescent="0.2"/>
    <row r="10934" s="197" customFormat="1" ht="12.75" x14ac:dyDescent="0.2"/>
    <row r="10935" s="197" customFormat="1" ht="12.75" x14ac:dyDescent="0.2"/>
    <row r="10936" s="197" customFormat="1" ht="12.75" x14ac:dyDescent="0.2"/>
    <row r="10937" s="197" customFormat="1" ht="12.75" x14ac:dyDescent="0.2"/>
    <row r="10938" s="197" customFormat="1" ht="12.75" x14ac:dyDescent="0.2"/>
    <row r="10939" s="197" customFormat="1" ht="12.75" x14ac:dyDescent="0.2"/>
    <row r="10940" s="197" customFormat="1" ht="12.75" x14ac:dyDescent="0.2"/>
    <row r="10941" s="197" customFormat="1" ht="12.75" x14ac:dyDescent="0.2"/>
    <row r="10942" s="197" customFormat="1" ht="12.75" x14ac:dyDescent="0.2"/>
    <row r="10943" s="197" customFormat="1" ht="12.75" x14ac:dyDescent="0.2"/>
    <row r="10944" s="197" customFormat="1" ht="12.75" x14ac:dyDescent="0.2"/>
    <row r="10945" s="197" customFormat="1" ht="12.75" x14ac:dyDescent="0.2"/>
    <row r="10946" s="197" customFormat="1" ht="12.75" x14ac:dyDescent="0.2"/>
    <row r="10947" s="197" customFormat="1" ht="12.75" x14ac:dyDescent="0.2"/>
    <row r="10948" s="197" customFormat="1" ht="12.75" x14ac:dyDescent="0.2"/>
    <row r="10949" s="197" customFormat="1" ht="12.75" x14ac:dyDescent="0.2"/>
    <row r="10950" s="197" customFormat="1" ht="12.75" x14ac:dyDescent="0.2"/>
    <row r="10951" s="197" customFormat="1" ht="12.75" x14ac:dyDescent="0.2"/>
    <row r="10952" s="197" customFormat="1" ht="12.75" x14ac:dyDescent="0.2"/>
    <row r="10953" s="197" customFormat="1" ht="12.75" x14ac:dyDescent="0.2"/>
    <row r="10954" s="197" customFormat="1" ht="12.75" x14ac:dyDescent="0.2"/>
    <row r="10955" s="197" customFormat="1" ht="12.75" x14ac:dyDescent="0.2"/>
    <row r="10956" s="197" customFormat="1" ht="12.75" x14ac:dyDescent="0.2"/>
    <row r="10957" s="197" customFormat="1" ht="12.75" x14ac:dyDescent="0.2"/>
    <row r="10958" s="197" customFormat="1" ht="12.75" x14ac:dyDescent="0.2"/>
    <row r="10959" s="197" customFormat="1" ht="12.75" x14ac:dyDescent="0.2"/>
    <row r="10960" s="197" customFormat="1" ht="12.75" x14ac:dyDescent="0.2"/>
    <row r="10961" s="197" customFormat="1" ht="12.75" x14ac:dyDescent="0.2"/>
    <row r="10962" s="197" customFormat="1" ht="12.75" x14ac:dyDescent="0.2"/>
    <row r="10963" s="197" customFormat="1" ht="12.75" x14ac:dyDescent="0.2"/>
    <row r="10964" s="197" customFormat="1" ht="12.75" x14ac:dyDescent="0.2"/>
    <row r="10965" s="197" customFormat="1" ht="12.75" x14ac:dyDescent="0.2"/>
    <row r="10966" s="197" customFormat="1" ht="12.75" x14ac:dyDescent="0.2"/>
    <row r="10967" s="197" customFormat="1" ht="12.75" x14ac:dyDescent="0.2"/>
    <row r="10968" s="197" customFormat="1" ht="12.75" x14ac:dyDescent="0.2"/>
    <row r="10969" s="197" customFormat="1" ht="12.75" x14ac:dyDescent="0.2"/>
    <row r="10970" s="197" customFormat="1" ht="12.75" x14ac:dyDescent="0.2"/>
    <row r="10971" s="197" customFormat="1" ht="12.75" x14ac:dyDescent="0.2"/>
    <row r="10972" s="197" customFormat="1" ht="12.75" x14ac:dyDescent="0.2"/>
    <row r="10973" s="197" customFormat="1" ht="12.75" x14ac:dyDescent="0.2"/>
    <row r="10974" s="197" customFormat="1" ht="12.75" x14ac:dyDescent="0.2"/>
    <row r="10975" s="197" customFormat="1" ht="12.75" x14ac:dyDescent="0.2"/>
    <row r="10976" s="197" customFormat="1" ht="12.75" x14ac:dyDescent="0.2"/>
    <row r="10977" s="197" customFormat="1" ht="12.75" x14ac:dyDescent="0.2"/>
    <row r="10978" s="197" customFormat="1" ht="12.75" x14ac:dyDescent="0.2"/>
    <row r="10979" s="197" customFormat="1" ht="12.75" x14ac:dyDescent="0.2"/>
    <row r="10980" s="197" customFormat="1" ht="12.75" x14ac:dyDescent="0.2"/>
    <row r="10981" s="197" customFormat="1" ht="12.75" x14ac:dyDescent="0.2"/>
    <row r="10982" s="197" customFormat="1" ht="12.75" x14ac:dyDescent="0.2"/>
    <row r="10983" s="197" customFormat="1" ht="12.75" x14ac:dyDescent="0.2"/>
    <row r="10984" s="197" customFormat="1" ht="12.75" x14ac:dyDescent="0.2"/>
    <row r="10985" s="197" customFormat="1" ht="12.75" x14ac:dyDescent="0.2"/>
    <row r="10986" s="197" customFormat="1" ht="12.75" x14ac:dyDescent="0.2"/>
    <row r="10987" s="197" customFormat="1" ht="12.75" x14ac:dyDescent="0.2"/>
    <row r="10988" s="197" customFormat="1" ht="12.75" x14ac:dyDescent="0.2"/>
    <row r="10989" s="197" customFormat="1" ht="12.75" x14ac:dyDescent="0.2"/>
    <row r="10990" s="197" customFormat="1" ht="12.75" x14ac:dyDescent="0.2"/>
    <row r="10991" s="197" customFormat="1" ht="12.75" x14ac:dyDescent="0.2"/>
    <row r="10992" s="197" customFormat="1" ht="12.75" x14ac:dyDescent="0.2"/>
    <row r="10993" s="197" customFormat="1" ht="12.75" x14ac:dyDescent="0.2"/>
    <row r="10994" s="197" customFormat="1" ht="12.75" x14ac:dyDescent="0.2"/>
    <row r="10995" s="197" customFormat="1" ht="12.75" x14ac:dyDescent="0.2"/>
    <row r="10996" s="197" customFormat="1" ht="12.75" x14ac:dyDescent="0.2"/>
    <row r="10997" s="197" customFormat="1" ht="12.75" x14ac:dyDescent="0.2"/>
    <row r="10998" s="197" customFormat="1" ht="12.75" x14ac:dyDescent="0.2"/>
    <row r="10999" s="197" customFormat="1" ht="12.75" x14ac:dyDescent="0.2"/>
    <row r="11000" s="197" customFormat="1" ht="12.75" x14ac:dyDescent="0.2"/>
    <row r="11001" s="197" customFormat="1" ht="12.75" x14ac:dyDescent="0.2"/>
    <row r="11002" s="197" customFormat="1" ht="12.75" x14ac:dyDescent="0.2"/>
    <row r="11003" s="197" customFormat="1" ht="12.75" x14ac:dyDescent="0.2"/>
    <row r="11004" s="197" customFormat="1" ht="12.75" x14ac:dyDescent="0.2"/>
    <row r="11005" s="197" customFormat="1" ht="12.75" x14ac:dyDescent="0.2"/>
    <row r="11006" s="197" customFormat="1" ht="12.75" x14ac:dyDescent="0.2"/>
    <row r="11007" s="197" customFormat="1" ht="12.75" x14ac:dyDescent="0.2"/>
    <row r="11008" s="197" customFormat="1" ht="12.75" x14ac:dyDescent="0.2"/>
    <row r="11009" s="197" customFormat="1" ht="12.75" x14ac:dyDescent="0.2"/>
    <row r="11010" s="197" customFormat="1" ht="12.75" x14ac:dyDescent="0.2"/>
    <row r="11011" s="197" customFormat="1" ht="12.75" x14ac:dyDescent="0.2"/>
    <row r="11012" s="197" customFormat="1" ht="12.75" x14ac:dyDescent="0.2"/>
    <row r="11013" s="197" customFormat="1" ht="12.75" x14ac:dyDescent="0.2"/>
    <row r="11014" s="197" customFormat="1" ht="12.75" x14ac:dyDescent="0.2"/>
    <row r="11015" s="197" customFormat="1" ht="12.75" x14ac:dyDescent="0.2"/>
    <row r="11016" s="197" customFormat="1" ht="12.75" x14ac:dyDescent="0.2"/>
    <row r="11017" s="197" customFormat="1" ht="12.75" x14ac:dyDescent="0.2"/>
    <row r="11018" s="197" customFormat="1" ht="12.75" x14ac:dyDescent="0.2"/>
    <row r="11019" s="197" customFormat="1" ht="12.75" x14ac:dyDescent="0.2"/>
    <row r="11020" s="197" customFormat="1" ht="12.75" x14ac:dyDescent="0.2"/>
    <row r="11021" s="197" customFormat="1" ht="12.75" x14ac:dyDescent="0.2"/>
    <row r="11022" s="197" customFormat="1" ht="12.75" x14ac:dyDescent="0.2"/>
    <row r="11023" s="197" customFormat="1" ht="12.75" x14ac:dyDescent="0.2"/>
    <row r="11024" s="197" customFormat="1" ht="12.75" x14ac:dyDescent="0.2"/>
    <row r="11025" s="197" customFormat="1" ht="12.75" x14ac:dyDescent="0.2"/>
    <row r="11026" s="197" customFormat="1" ht="12.75" x14ac:dyDescent="0.2"/>
    <row r="11027" s="197" customFormat="1" ht="12.75" x14ac:dyDescent="0.2"/>
    <row r="11028" s="197" customFormat="1" ht="12.75" x14ac:dyDescent="0.2"/>
    <row r="11029" s="197" customFormat="1" ht="12.75" x14ac:dyDescent="0.2"/>
    <row r="11030" s="197" customFormat="1" ht="12.75" x14ac:dyDescent="0.2"/>
    <row r="11031" s="197" customFormat="1" ht="12.75" x14ac:dyDescent="0.2"/>
    <row r="11032" s="197" customFormat="1" ht="12.75" x14ac:dyDescent="0.2"/>
    <row r="11033" s="197" customFormat="1" ht="12.75" x14ac:dyDescent="0.2"/>
    <row r="11034" s="197" customFormat="1" ht="12.75" x14ac:dyDescent="0.2"/>
    <row r="11035" s="197" customFormat="1" ht="12.75" x14ac:dyDescent="0.2"/>
    <row r="11036" s="197" customFormat="1" ht="12.75" x14ac:dyDescent="0.2"/>
    <row r="11037" s="197" customFormat="1" ht="12.75" x14ac:dyDescent="0.2"/>
    <row r="11038" s="197" customFormat="1" ht="12.75" x14ac:dyDescent="0.2"/>
    <row r="11039" s="197" customFormat="1" ht="12.75" x14ac:dyDescent="0.2"/>
    <row r="11040" s="197" customFormat="1" ht="12.75" x14ac:dyDescent="0.2"/>
    <row r="11041" s="197" customFormat="1" ht="12.75" x14ac:dyDescent="0.2"/>
    <row r="11042" s="197" customFormat="1" ht="12.75" x14ac:dyDescent="0.2"/>
    <row r="11043" s="197" customFormat="1" ht="12.75" x14ac:dyDescent="0.2"/>
    <row r="11044" s="197" customFormat="1" ht="12.75" x14ac:dyDescent="0.2"/>
    <row r="11045" s="197" customFormat="1" ht="12.75" x14ac:dyDescent="0.2"/>
    <row r="11046" s="197" customFormat="1" ht="12.75" x14ac:dyDescent="0.2"/>
    <row r="11047" s="197" customFormat="1" ht="12.75" x14ac:dyDescent="0.2"/>
    <row r="11048" s="197" customFormat="1" ht="12.75" x14ac:dyDescent="0.2"/>
    <row r="11049" s="197" customFormat="1" ht="12.75" x14ac:dyDescent="0.2"/>
    <row r="11050" s="197" customFormat="1" ht="12.75" x14ac:dyDescent="0.2"/>
    <row r="11051" s="197" customFormat="1" ht="12.75" x14ac:dyDescent="0.2"/>
    <row r="11052" s="197" customFormat="1" ht="12.75" x14ac:dyDescent="0.2"/>
    <row r="11053" s="197" customFormat="1" ht="12.75" x14ac:dyDescent="0.2"/>
    <row r="11054" s="197" customFormat="1" ht="12.75" x14ac:dyDescent="0.2"/>
    <row r="11055" s="197" customFormat="1" ht="12.75" x14ac:dyDescent="0.2"/>
    <row r="11056" s="197" customFormat="1" ht="12.75" x14ac:dyDescent="0.2"/>
    <row r="11057" s="197" customFormat="1" ht="12.75" x14ac:dyDescent="0.2"/>
    <row r="11058" s="197" customFormat="1" ht="12.75" x14ac:dyDescent="0.2"/>
    <row r="11059" s="197" customFormat="1" ht="12.75" x14ac:dyDescent="0.2"/>
    <row r="11060" s="197" customFormat="1" ht="12.75" x14ac:dyDescent="0.2"/>
    <row r="11061" s="197" customFormat="1" ht="12.75" x14ac:dyDescent="0.2"/>
    <row r="11062" s="197" customFormat="1" ht="12.75" x14ac:dyDescent="0.2"/>
    <row r="11063" s="197" customFormat="1" ht="12.75" x14ac:dyDescent="0.2"/>
    <row r="11064" s="197" customFormat="1" ht="12.75" x14ac:dyDescent="0.2"/>
    <row r="11065" s="197" customFormat="1" ht="12.75" x14ac:dyDescent="0.2"/>
    <row r="11066" s="197" customFormat="1" ht="12.75" x14ac:dyDescent="0.2"/>
    <row r="11067" s="197" customFormat="1" ht="12.75" x14ac:dyDescent="0.2"/>
    <row r="11068" s="197" customFormat="1" ht="12.75" x14ac:dyDescent="0.2"/>
    <row r="11069" s="197" customFormat="1" ht="12.75" x14ac:dyDescent="0.2"/>
    <row r="11070" s="197" customFormat="1" ht="12.75" x14ac:dyDescent="0.2"/>
    <row r="11071" s="197" customFormat="1" ht="12.75" x14ac:dyDescent="0.2"/>
    <row r="11072" s="197" customFormat="1" ht="12.75" x14ac:dyDescent="0.2"/>
    <row r="11073" s="197" customFormat="1" ht="12.75" x14ac:dyDescent="0.2"/>
    <row r="11074" s="197" customFormat="1" ht="12.75" x14ac:dyDescent="0.2"/>
    <row r="11075" s="197" customFormat="1" ht="12.75" x14ac:dyDescent="0.2"/>
    <row r="11076" s="197" customFormat="1" ht="12.75" x14ac:dyDescent="0.2"/>
    <row r="11077" s="197" customFormat="1" ht="12.75" x14ac:dyDescent="0.2"/>
    <row r="11078" s="197" customFormat="1" ht="12.75" x14ac:dyDescent="0.2"/>
    <row r="11079" s="197" customFormat="1" ht="12.75" x14ac:dyDescent="0.2"/>
    <row r="11080" s="197" customFormat="1" ht="12.75" x14ac:dyDescent="0.2"/>
    <row r="11081" s="197" customFormat="1" ht="12.75" x14ac:dyDescent="0.2"/>
    <row r="11082" s="197" customFormat="1" ht="12.75" x14ac:dyDescent="0.2"/>
    <row r="11083" s="197" customFormat="1" ht="12.75" x14ac:dyDescent="0.2"/>
    <row r="11084" s="197" customFormat="1" ht="12.75" x14ac:dyDescent="0.2"/>
    <row r="11085" s="197" customFormat="1" ht="12.75" x14ac:dyDescent="0.2"/>
    <row r="11086" s="197" customFormat="1" ht="12.75" x14ac:dyDescent="0.2"/>
    <row r="11087" s="197" customFormat="1" ht="12.75" x14ac:dyDescent="0.2"/>
    <row r="11088" s="197" customFormat="1" ht="12.75" x14ac:dyDescent="0.2"/>
    <row r="11089" s="197" customFormat="1" ht="12.75" x14ac:dyDescent="0.2"/>
    <row r="11090" s="197" customFormat="1" ht="12.75" x14ac:dyDescent="0.2"/>
    <row r="11091" s="197" customFormat="1" ht="12.75" x14ac:dyDescent="0.2"/>
    <row r="11092" s="197" customFormat="1" ht="12.75" x14ac:dyDescent="0.2"/>
    <row r="11093" s="197" customFormat="1" ht="12.75" x14ac:dyDescent="0.2"/>
    <row r="11094" s="197" customFormat="1" ht="12.75" x14ac:dyDescent="0.2"/>
    <row r="11095" s="197" customFormat="1" ht="12.75" x14ac:dyDescent="0.2"/>
    <row r="11096" s="197" customFormat="1" ht="12.75" x14ac:dyDescent="0.2"/>
    <row r="11097" s="197" customFormat="1" ht="12.75" x14ac:dyDescent="0.2"/>
    <row r="11098" s="197" customFormat="1" ht="12.75" x14ac:dyDescent="0.2"/>
    <row r="11099" s="197" customFormat="1" ht="12.75" x14ac:dyDescent="0.2"/>
    <row r="11100" s="197" customFormat="1" ht="12.75" x14ac:dyDescent="0.2"/>
    <row r="11101" s="197" customFormat="1" ht="12.75" x14ac:dyDescent="0.2"/>
    <row r="11102" s="197" customFormat="1" ht="12.75" x14ac:dyDescent="0.2"/>
    <row r="11103" s="197" customFormat="1" ht="12.75" x14ac:dyDescent="0.2"/>
    <row r="11104" s="197" customFormat="1" ht="12.75" x14ac:dyDescent="0.2"/>
    <row r="11105" s="197" customFormat="1" ht="12.75" x14ac:dyDescent="0.2"/>
    <row r="11106" s="197" customFormat="1" ht="12.75" x14ac:dyDescent="0.2"/>
    <row r="11107" s="197" customFormat="1" ht="12.75" x14ac:dyDescent="0.2"/>
    <row r="11108" s="197" customFormat="1" ht="12.75" x14ac:dyDescent="0.2"/>
    <row r="11109" s="197" customFormat="1" ht="12.75" x14ac:dyDescent="0.2"/>
    <row r="11110" s="197" customFormat="1" ht="12.75" x14ac:dyDescent="0.2"/>
    <row r="11111" s="197" customFormat="1" ht="12.75" x14ac:dyDescent="0.2"/>
    <row r="11112" s="197" customFormat="1" ht="12.75" x14ac:dyDescent="0.2"/>
    <row r="11113" s="197" customFormat="1" ht="12.75" x14ac:dyDescent="0.2"/>
    <row r="11114" s="197" customFormat="1" ht="12.75" x14ac:dyDescent="0.2"/>
    <row r="11115" s="197" customFormat="1" ht="12.75" x14ac:dyDescent="0.2"/>
    <row r="11116" s="197" customFormat="1" ht="12.75" x14ac:dyDescent="0.2"/>
    <row r="11117" s="197" customFormat="1" ht="12.75" x14ac:dyDescent="0.2"/>
    <row r="11118" s="197" customFormat="1" ht="12.75" x14ac:dyDescent="0.2"/>
    <row r="11119" s="197" customFormat="1" ht="12.75" x14ac:dyDescent="0.2"/>
    <row r="11120" s="197" customFormat="1" ht="12.75" x14ac:dyDescent="0.2"/>
    <row r="11121" s="197" customFormat="1" ht="12.75" x14ac:dyDescent="0.2"/>
    <row r="11122" s="197" customFormat="1" ht="12.75" x14ac:dyDescent="0.2"/>
    <row r="11123" s="197" customFormat="1" ht="12.75" x14ac:dyDescent="0.2"/>
    <row r="11124" s="197" customFormat="1" ht="12.75" x14ac:dyDescent="0.2"/>
    <row r="11125" s="197" customFormat="1" ht="12.75" x14ac:dyDescent="0.2"/>
    <row r="11126" s="197" customFormat="1" ht="12.75" x14ac:dyDescent="0.2"/>
    <row r="11127" s="197" customFormat="1" ht="12.75" x14ac:dyDescent="0.2"/>
    <row r="11128" s="197" customFormat="1" ht="12.75" x14ac:dyDescent="0.2"/>
    <row r="11129" s="197" customFormat="1" ht="12.75" x14ac:dyDescent="0.2"/>
    <row r="11130" s="197" customFormat="1" ht="12.75" x14ac:dyDescent="0.2"/>
    <row r="11131" s="197" customFormat="1" ht="12.75" x14ac:dyDescent="0.2"/>
    <row r="11132" s="197" customFormat="1" ht="12.75" x14ac:dyDescent="0.2"/>
    <row r="11133" s="197" customFormat="1" ht="12.75" x14ac:dyDescent="0.2"/>
    <row r="11134" s="197" customFormat="1" ht="12.75" x14ac:dyDescent="0.2"/>
    <row r="11135" s="197" customFormat="1" ht="12.75" x14ac:dyDescent="0.2"/>
    <row r="11136" s="197" customFormat="1" ht="12.75" x14ac:dyDescent="0.2"/>
    <row r="11137" s="197" customFormat="1" ht="12.75" x14ac:dyDescent="0.2"/>
    <row r="11138" s="197" customFormat="1" ht="12.75" x14ac:dyDescent="0.2"/>
    <row r="11139" s="197" customFormat="1" ht="12.75" x14ac:dyDescent="0.2"/>
    <row r="11140" s="197" customFormat="1" ht="12.75" x14ac:dyDescent="0.2"/>
    <row r="11141" s="197" customFormat="1" ht="12.75" x14ac:dyDescent="0.2"/>
    <row r="11142" s="197" customFormat="1" ht="12.75" x14ac:dyDescent="0.2"/>
    <row r="11143" s="197" customFormat="1" ht="12.75" x14ac:dyDescent="0.2"/>
    <row r="11144" s="197" customFormat="1" ht="12.75" x14ac:dyDescent="0.2"/>
    <row r="11145" s="197" customFormat="1" ht="12.75" x14ac:dyDescent="0.2"/>
    <row r="11146" s="197" customFormat="1" ht="12.75" x14ac:dyDescent="0.2"/>
    <row r="11147" s="197" customFormat="1" ht="12.75" x14ac:dyDescent="0.2"/>
    <row r="11148" s="197" customFormat="1" ht="12.75" x14ac:dyDescent="0.2"/>
    <row r="11149" s="197" customFormat="1" ht="12.75" x14ac:dyDescent="0.2"/>
    <row r="11150" s="197" customFormat="1" ht="12.75" x14ac:dyDescent="0.2"/>
    <row r="11151" s="197" customFormat="1" ht="12.75" x14ac:dyDescent="0.2"/>
    <row r="11152" s="197" customFormat="1" ht="12.75" x14ac:dyDescent="0.2"/>
    <row r="11153" s="197" customFormat="1" ht="12.75" x14ac:dyDescent="0.2"/>
    <row r="11154" s="197" customFormat="1" ht="12.75" x14ac:dyDescent="0.2"/>
    <row r="11155" s="197" customFormat="1" ht="12.75" x14ac:dyDescent="0.2"/>
    <row r="11156" s="197" customFormat="1" ht="12.75" x14ac:dyDescent="0.2"/>
    <row r="11157" s="197" customFormat="1" ht="12.75" x14ac:dyDescent="0.2"/>
    <row r="11158" s="197" customFormat="1" ht="12.75" x14ac:dyDescent="0.2"/>
    <row r="11159" s="197" customFormat="1" ht="12.75" x14ac:dyDescent="0.2"/>
    <row r="11160" s="197" customFormat="1" ht="12.75" x14ac:dyDescent="0.2"/>
    <row r="11161" s="197" customFormat="1" ht="12.75" x14ac:dyDescent="0.2"/>
    <row r="11162" s="197" customFormat="1" ht="12.75" x14ac:dyDescent="0.2"/>
    <row r="11163" s="197" customFormat="1" ht="12.75" x14ac:dyDescent="0.2"/>
    <row r="11164" s="197" customFormat="1" ht="12.75" x14ac:dyDescent="0.2"/>
    <row r="11165" s="197" customFormat="1" ht="12.75" x14ac:dyDescent="0.2"/>
    <row r="11166" s="197" customFormat="1" ht="12.75" x14ac:dyDescent="0.2"/>
    <row r="11167" s="197" customFormat="1" ht="12.75" x14ac:dyDescent="0.2"/>
    <row r="11168" s="197" customFormat="1" ht="12.75" x14ac:dyDescent="0.2"/>
    <row r="11169" s="197" customFormat="1" ht="12.75" x14ac:dyDescent="0.2"/>
    <row r="11170" s="197" customFormat="1" ht="12.75" x14ac:dyDescent="0.2"/>
    <row r="11171" s="197" customFormat="1" ht="12.75" x14ac:dyDescent="0.2"/>
    <row r="11172" s="197" customFormat="1" ht="12.75" x14ac:dyDescent="0.2"/>
    <row r="11173" s="197" customFormat="1" ht="12.75" x14ac:dyDescent="0.2"/>
    <row r="11174" s="197" customFormat="1" ht="12.75" x14ac:dyDescent="0.2"/>
    <row r="11175" s="197" customFormat="1" ht="12.75" x14ac:dyDescent="0.2"/>
    <row r="11176" s="197" customFormat="1" ht="12.75" x14ac:dyDescent="0.2"/>
    <row r="11177" s="197" customFormat="1" ht="12.75" x14ac:dyDescent="0.2"/>
    <row r="11178" s="197" customFormat="1" ht="12.75" x14ac:dyDescent="0.2"/>
    <row r="11179" s="197" customFormat="1" ht="12.75" x14ac:dyDescent="0.2"/>
    <row r="11180" s="197" customFormat="1" ht="12.75" x14ac:dyDescent="0.2"/>
    <row r="11181" s="197" customFormat="1" ht="12.75" x14ac:dyDescent="0.2"/>
    <row r="11182" s="197" customFormat="1" ht="12.75" x14ac:dyDescent="0.2"/>
    <row r="11183" s="197" customFormat="1" ht="12.75" x14ac:dyDescent="0.2"/>
    <row r="11184" s="197" customFormat="1" ht="12.75" x14ac:dyDescent="0.2"/>
    <row r="11185" s="197" customFormat="1" ht="12.75" x14ac:dyDescent="0.2"/>
    <row r="11186" s="197" customFormat="1" ht="12.75" x14ac:dyDescent="0.2"/>
    <row r="11187" s="197" customFormat="1" ht="12.75" x14ac:dyDescent="0.2"/>
    <row r="11188" s="197" customFormat="1" ht="12.75" x14ac:dyDescent="0.2"/>
    <row r="11189" s="197" customFormat="1" ht="12.75" x14ac:dyDescent="0.2"/>
    <row r="11190" s="197" customFormat="1" ht="12.75" x14ac:dyDescent="0.2"/>
    <row r="11191" s="197" customFormat="1" ht="12.75" x14ac:dyDescent="0.2"/>
    <row r="11192" s="197" customFormat="1" ht="12.75" x14ac:dyDescent="0.2"/>
    <row r="11193" s="197" customFormat="1" ht="12.75" x14ac:dyDescent="0.2"/>
    <row r="11194" s="197" customFormat="1" ht="12.75" x14ac:dyDescent="0.2"/>
    <row r="11195" s="197" customFormat="1" ht="12.75" x14ac:dyDescent="0.2"/>
    <row r="11196" s="197" customFormat="1" ht="12.75" x14ac:dyDescent="0.2"/>
    <row r="11197" s="197" customFormat="1" ht="12.75" x14ac:dyDescent="0.2"/>
    <row r="11198" s="197" customFormat="1" ht="12.75" x14ac:dyDescent="0.2"/>
    <row r="11199" s="197" customFormat="1" ht="12.75" x14ac:dyDescent="0.2"/>
    <row r="11200" s="197" customFormat="1" ht="12.75" x14ac:dyDescent="0.2"/>
    <row r="11201" s="197" customFormat="1" ht="12.75" x14ac:dyDescent="0.2"/>
    <row r="11202" s="197" customFormat="1" ht="12.75" x14ac:dyDescent="0.2"/>
    <row r="11203" s="197" customFormat="1" ht="12.75" x14ac:dyDescent="0.2"/>
    <row r="11204" s="197" customFormat="1" ht="12.75" x14ac:dyDescent="0.2"/>
    <row r="11205" s="197" customFormat="1" ht="12.75" x14ac:dyDescent="0.2"/>
    <row r="11206" s="197" customFormat="1" ht="12.75" x14ac:dyDescent="0.2"/>
    <row r="11207" s="197" customFormat="1" ht="12.75" x14ac:dyDescent="0.2"/>
    <row r="11208" s="197" customFormat="1" ht="12.75" x14ac:dyDescent="0.2"/>
    <row r="11209" s="197" customFormat="1" ht="12.75" x14ac:dyDescent="0.2"/>
    <row r="11210" s="197" customFormat="1" ht="12.75" x14ac:dyDescent="0.2"/>
    <row r="11211" s="197" customFormat="1" ht="12.75" x14ac:dyDescent="0.2"/>
    <row r="11212" s="197" customFormat="1" ht="12.75" x14ac:dyDescent="0.2"/>
    <row r="11213" s="197" customFormat="1" ht="12.75" x14ac:dyDescent="0.2"/>
    <row r="11214" s="197" customFormat="1" ht="12.75" x14ac:dyDescent="0.2"/>
    <row r="11215" s="197" customFormat="1" ht="12.75" x14ac:dyDescent="0.2"/>
    <row r="11216" s="197" customFormat="1" ht="12.75" x14ac:dyDescent="0.2"/>
    <row r="11217" s="197" customFormat="1" ht="12.75" x14ac:dyDescent="0.2"/>
    <row r="11218" s="197" customFormat="1" ht="12.75" x14ac:dyDescent="0.2"/>
    <row r="11219" s="197" customFormat="1" ht="12.75" x14ac:dyDescent="0.2"/>
    <row r="11220" s="197" customFormat="1" ht="12.75" x14ac:dyDescent="0.2"/>
    <row r="11221" s="197" customFormat="1" ht="12.75" x14ac:dyDescent="0.2"/>
    <row r="11222" s="197" customFormat="1" ht="12.75" x14ac:dyDescent="0.2"/>
    <row r="11223" s="197" customFormat="1" ht="12.75" x14ac:dyDescent="0.2"/>
    <row r="11224" s="197" customFormat="1" ht="12.75" x14ac:dyDescent="0.2"/>
    <row r="11225" s="197" customFormat="1" ht="12.75" x14ac:dyDescent="0.2"/>
    <row r="11226" s="197" customFormat="1" ht="12.75" x14ac:dyDescent="0.2"/>
    <row r="11227" s="197" customFormat="1" ht="12.75" x14ac:dyDescent="0.2"/>
    <row r="11228" s="197" customFormat="1" ht="12.75" x14ac:dyDescent="0.2"/>
    <row r="11229" s="197" customFormat="1" ht="12.75" x14ac:dyDescent="0.2"/>
    <row r="11230" s="197" customFormat="1" ht="12.75" x14ac:dyDescent="0.2"/>
    <row r="11231" s="197" customFormat="1" ht="12.75" x14ac:dyDescent="0.2"/>
    <row r="11232" s="197" customFormat="1" ht="12.75" x14ac:dyDescent="0.2"/>
    <row r="11233" s="197" customFormat="1" ht="12.75" x14ac:dyDescent="0.2"/>
    <row r="11234" s="197" customFormat="1" ht="12.75" x14ac:dyDescent="0.2"/>
    <row r="11235" s="197" customFormat="1" ht="12.75" x14ac:dyDescent="0.2"/>
    <row r="11236" s="197" customFormat="1" ht="12.75" x14ac:dyDescent="0.2"/>
    <row r="11237" s="197" customFormat="1" ht="12.75" x14ac:dyDescent="0.2"/>
    <row r="11238" s="197" customFormat="1" ht="12.75" x14ac:dyDescent="0.2"/>
    <row r="11239" s="197" customFormat="1" ht="12.75" x14ac:dyDescent="0.2"/>
    <row r="11240" s="197" customFormat="1" ht="12.75" x14ac:dyDescent="0.2"/>
    <row r="11241" s="197" customFormat="1" ht="12.75" x14ac:dyDescent="0.2"/>
    <row r="11242" s="197" customFormat="1" ht="12.75" x14ac:dyDescent="0.2"/>
    <row r="11243" s="197" customFormat="1" ht="12.75" x14ac:dyDescent="0.2"/>
    <row r="11244" s="197" customFormat="1" ht="12.75" x14ac:dyDescent="0.2"/>
    <row r="11245" s="197" customFormat="1" ht="12.75" x14ac:dyDescent="0.2"/>
    <row r="11246" s="197" customFormat="1" ht="12.75" x14ac:dyDescent="0.2"/>
    <row r="11247" s="197" customFormat="1" ht="12.75" x14ac:dyDescent="0.2"/>
    <row r="11248" s="197" customFormat="1" ht="12.75" x14ac:dyDescent="0.2"/>
    <row r="11249" s="197" customFormat="1" ht="12.75" x14ac:dyDescent="0.2"/>
    <row r="11250" s="197" customFormat="1" ht="12.75" x14ac:dyDescent="0.2"/>
    <row r="11251" s="197" customFormat="1" ht="12.75" x14ac:dyDescent="0.2"/>
    <row r="11252" s="197" customFormat="1" ht="12.75" x14ac:dyDescent="0.2"/>
    <row r="11253" s="197" customFormat="1" ht="12.75" x14ac:dyDescent="0.2"/>
    <row r="11254" s="197" customFormat="1" ht="12.75" x14ac:dyDescent="0.2"/>
    <row r="11255" s="197" customFormat="1" ht="12.75" x14ac:dyDescent="0.2"/>
    <row r="11256" s="197" customFormat="1" ht="12.75" x14ac:dyDescent="0.2"/>
    <row r="11257" s="197" customFormat="1" ht="12.75" x14ac:dyDescent="0.2"/>
    <row r="11258" s="197" customFormat="1" ht="12.75" x14ac:dyDescent="0.2"/>
    <row r="11259" s="197" customFormat="1" ht="12.75" x14ac:dyDescent="0.2"/>
    <row r="11260" s="197" customFormat="1" ht="12.75" x14ac:dyDescent="0.2"/>
    <row r="11261" s="197" customFormat="1" ht="12.75" x14ac:dyDescent="0.2"/>
    <row r="11262" s="197" customFormat="1" ht="12.75" x14ac:dyDescent="0.2"/>
    <row r="11263" s="197" customFormat="1" ht="12.75" x14ac:dyDescent="0.2"/>
    <row r="11264" s="197" customFormat="1" ht="12.75" x14ac:dyDescent="0.2"/>
    <row r="11265" s="197" customFormat="1" ht="12.75" x14ac:dyDescent="0.2"/>
    <row r="11266" s="197" customFormat="1" ht="12.75" x14ac:dyDescent="0.2"/>
    <row r="11267" s="197" customFormat="1" ht="12.75" x14ac:dyDescent="0.2"/>
    <row r="11268" s="197" customFormat="1" ht="12.75" x14ac:dyDescent="0.2"/>
    <row r="11269" s="197" customFormat="1" ht="12.75" x14ac:dyDescent="0.2"/>
    <row r="11270" s="197" customFormat="1" ht="12.75" x14ac:dyDescent="0.2"/>
    <row r="11271" s="197" customFormat="1" ht="12.75" x14ac:dyDescent="0.2"/>
    <row r="11272" s="197" customFormat="1" ht="12.75" x14ac:dyDescent="0.2"/>
    <row r="11273" s="197" customFormat="1" ht="12.75" x14ac:dyDescent="0.2"/>
    <row r="11274" s="197" customFormat="1" ht="12.75" x14ac:dyDescent="0.2"/>
    <row r="11275" s="197" customFormat="1" ht="12.75" x14ac:dyDescent="0.2"/>
    <row r="11276" s="197" customFormat="1" ht="12.75" x14ac:dyDescent="0.2"/>
    <row r="11277" s="197" customFormat="1" ht="12.75" x14ac:dyDescent="0.2"/>
    <row r="11278" s="197" customFormat="1" ht="12.75" x14ac:dyDescent="0.2"/>
    <row r="11279" s="197" customFormat="1" ht="12.75" x14ac:dyDescent="0.2"/>
    <row r="11280" s="197" customFormat="1" ht="12.75" x14ac:dyDescent="0.2"/>
    <row r="11281" s="197" customFormat="1" ht="12.75" x14ac:dyDescent="0.2"/>
    <row r="11282" s="197" customFormat="1" ht="12.75" x14ac:dyDescent="0.2"/>
    <row r="11283" s="197" customFormat="1" ht="12.75" x14ac:dyDescent="0.2"/>
    <row r="11284" s="197" customFormat="1" ht="12.75" x14ac:dyDescent="0.2"/>
    <row r="11285" s="197" customFormat="1" ht="12.75" x14ac:dyDescent="0.2"/>
    <row r="11286" s="197" customFormat="1" ht="12.75" x14ac:dyDescent="0.2"/>
    <row r="11287" s="197" customFormat="1" ht="12.75" x14ac:dyDescent="0.2"/>
    <row r="11288" s="197" customFormat="1" ht="12.75" x14ac:dyDescent="0.2"/>
    <row r="11289" s="197" customFormat="1" ht="12.75" x14ac:dyDescent="0.2"/>
    <row r="11290" s="197" customFormat="1" ht="12.75" x14ac:dyDescent="0.2"/>
    <row r="11291" s="197" customFormat="1" ht="12.75" x14ac:dyDescent="0.2"/>
    <row r="11292" s="197" customFormat="1" ht="12.75" x14ac:dyDescent="0.2"/>
    <row r="11293" s="197" customFormat="1" ht="12.75" x14ac:dyDescent="0.2"/>
    <row r="11294" s="197" customFormat="1" ht="12.75" x14ac:dyDescent="0.2"/>
    <row r="11295" s="197" customFormat="1" ht="12.75" x14ac:dyDescent="0.2"/>
    <row r="11296" s="197" customFormat="1" ht="12.75" x14ac:dyDescent="0.2"/>
    <row r="11297" s="197" customFormat="1" ht="12.75" x14ac:dyDescent="0.2"/>
    <row r="11298" s="197" customFormat="1" ht="12.75" x14ac:dyDescent="0.2"/>
    <row r="11299" s="197" customFormat="1" ht="12.75" x14ac:dyDescent="0.2"/>
    <row r="11300" s="197" customFormat="1" ht="12.75" x14ac:dyDescent="0.2"/>
    <row r="11301" s="197" customFormat="1" ht="12.75" x14ac:dyDescent="0.2"/>
    <row r="11302" s="197" customFormat="1" ht="12.75" x14ac:dyDescent="0.2"/>
    <row r="11303" s="197" customFormat="1" ht="12.75" x14ac:dyDescent="0.2"/>
    <row r="11304" s="197" customFormat="1" ht="12.75" x14ac:dyDescent="0.2"/>
    <row r="11305" s="197" customFormat="1" ht="12.75" x14ac:dyDescent="0.2"/>
    <row r="11306" s="197" customFormat="1" ht="12.75" x14ac:dyDescent="0.2"/>
    <row r="11307" s="197" customFormat="1" ht="12.75" x14ac:dyDescent="0.2"/>
    <row r="11308" s="197" customFormat="1" ht="12.75" x14ac:dyDescent="0.2"/>
    <row r="11309" s="197" customFormat="1" ht="12.75" x14ac:dyDescent="0.2"/>
    <row r="11310" s="197" customFormat="1" ht="12.75" x14ac:dyDescent="0.2"/>
    <row r="11311" s="197" customFormat="1" ht="12.75" x14ac:dyDescent="0.2"/>
    <row r="11312" s="197" customFormat="1" ht="12.75" x14ac:dyDescent="0.2"/>
    <row r="11313" s="197" customFormat="1" ht="12.75" x14ac:dyDescent="0.2"/>
    <row r="11314" s="197" customFormat="1" ht="12.75" x14ac:dyDescent="0.2"/>
    <row r="11315" s="197" customFormat="1" ht="12.75" x14ac:dyDescent="0.2"/>
    <row r="11316" s="197" customFormat="1" ht="12.75" x14ac:dyDescent="0.2"/>
    <row r="11317" s="197" customFormat="1" ht="12.75" x14ac:dyDescent="0.2"/>
    <row r="11318" s="197" customFormat="1" ht="12.75" x14ac:dyDescent="0.2"/>
    <row r="11319" s="197" customFormat="1" ht="12.75" x14ac:dyDescent="0.2"/>
    <row r="11320" s="197" customFormat="1" ht="12.75" x14ac:dyDescent="0.2"/>
    <row r="11321" s="197" customFormat="1" ht="12.75" x14ac:dyDescent="0.2"/>
    <row r="11322" s="197" customFormat="1" ht="12.75" x14ac:dyDescent="0.2"/>
    <row r="11323" s="197" customFormat="1" ht="12.75" x14ac:dyDescent="0.2"/>
    <row r="11324" s="197" customFormat="1" ht="12.75" x14ac:dyDescent="0.2"/>
    <row r="11325" s="197" customFormat="1" ht="12.75" x14ac:dyDescent="0.2"/>
    <row r="11326" s="197" customFormat="1" ht="12.75" x14ac:dyDescent="0.2"/>
    <row r="11327" s="197" customFormat="1" ht="12.75" x14ac:dyDescent="0.2"/>
    <row r="11328" s="197" customFormat="1" ht="12.75" x14ac:dyDescent="0.2"/>
    <row r="11329" s="197" customFormat="1" ht="12.75" x14ac:dyDescent="0.2"/>
    <row r="11330" s="197" customFormat="1" ht="12.75" x14ac:dyDescent="0.2"/>
    <row r="11331" s="197" customFormat="1" ht="12.75" x14ac:dyDescent="0.2"/>
    <row r="11332" s="197" customFormat="1" ht="12.75" x14ac:dyDescent="0.2"/>
    <row r="11333" s="197" customFormat="1" ht="12.75" x14ac:dyDescent="0.2"/>
    <row r="11334" s="197" customFormat="1" ht="12.75" x14ac:dyDescent="0.2"/>
    <row r="11335" s="197" customFormat="1" ht="12.75" x14ac:dyDescent="0.2"/>
    <row r="11336" s="197" customFormat="1" ht="12.75" x14ac:dyDescent="0.2"/>
    <row r="11337" s="197" customFormat="1" ht="12.75" x14ac:dyDescent="0.2"/>
    <row r="11338" s="197" customFormat="1" ht="12.75" x14ac:dyDescent="0.2"/>
    <row r="11339" s="197" customFormat="1" ht="12.75" x14ac:dyDescent="0.2"/>
    <row r="11340" s="197" customFormat="1" ht="12.75" x14ac:dyDescent="0.2"/>
    <row r="11341" s="197" customFormat="1" ht="12.75" x14ac:dyDescent="0.2"/>
    <row r="11342" s="197" customFormat="1" ht="12.75" x14ac:dyDescent="0.2"/>
    <row r="11343" s="197" customFormat="1" ht="12.75" x14ac:dyDescent="0.2"/>
    <row r="11344" s="197" customFormat="1" ht="12.75" x14ac:dyDescent="0.2"/>
    <row r="11345" s="197" customFormat="1" ht="12.75" x14ac:dyDescent="0.2"/>
    <row r="11346" s="197" customFormat="1" ht="12.75" x14ac:dyDescent="0.2"/>
    <row r="11347" s="197" customFormat="1" ht="12.75" x14ac:dyDescent="0.2"/>
    <row r="11348" s="197" customFormat="1" ht="12.75" x14ac:dyDescent="0.2"/>
    <row r="11349" s="197" customFormat="1" ht="12.75" x14ac:dyDescent="0.2"/>
    <row r="11350" s="197" customFormat="1" ht="12.75" x14ac:dyDescent="0.2"/>
    <row r="11351" s="197" customFormat="1" ht="12.75" x14ac:dyDescent="0.2"/>
    <row r="11352" s="197" customFormat="1" ht="12.75" x14ac:dyDescent="0.2"/>
    <row r="11353" s="197" customFormat="1" ht="12.75" x14ac:dyDescent="0.2"/>
    <row r="11354" s="197" customFormat="1" ht="12.75" x14ac:dyDescent="0.2"/>
    <row r="11355" s="197" customFormat="1" ht="12.75" x14ac:dyDescent="0.2"/>
    <row r="11356" s="197" customFormat="1" ht="12.75" x14ac:dyDescent="0.2"/>
    <row r="11357" s="197" customFormat="1" ht="12.75" x14ac:dyDescent="0.2"/>
    <row r="11358" s="197" customFormat="1" ht="12.75" x14ac:dyDescent="0.2"/>
    <row r="11359" s="197" customFormat="1" ht="12.75" x14ac:dyDescent="0.2"/>
    <row r="11360" s="197" customFormat="1" ht="12.75" x14ac:dyDescent="0.2"/>
    <row r="11361" s="197" customFormat="1" ht="12.75" x14ac:dyDescent="0.2"/>
    <row r="11362" s="197" customFormat="1" ht="12.75" x14ac:dyDescent="0.2"/>
    <row r="11363" s="197" customFormat="1" ht="12.75" x14ac:dyDescent="0.2"/>
    <row r="11364" s="197" customFormat="1" ht="12.75" x14ac:dyDescent="0.2"/>
    <row r="11365" s="197" customFormat="1" ht="12.75" x14ac:dyDescent="0.2"/>
    <row r="11366" s="197" customFormat="1" ht="12.75" x14ac:dyDescent="0.2"/>
    <row r="11367" s="197" customFormat="1" ht="12.75" x14ac:dyDescent="0.2"/>
    <row r="11368" s="197" customFormat="1" ht="12.75" x14ac:dyDescent="0.2"/>
    <row r="11369" s="197" customFormat="1" ht="12.75" x14ac:dyDescent="0.2"/>
    <row r="11370" s="197" customFormat="1" ht="12.75" x14ac:dyDescent="0.2"/>
    <row r="11371" s="197" customFormat="1" ht="12.75" x14ac:dyDescent="0.2"/>
    <row r="11372" s="197" customFormat="1" ht="12.75" x14ac:dyDescent="0.2"/>
    <row r="11373" s="197" customFormat="1" ht="12.75" x14ac:dyDescent="0.2"/>
    <row r="11374" s="197" customFormat="1" ht="12.75" x14ac:dyDescent="0.2"/>
    <row r="11375" s="197" customFormat="1" ht="12.75" x14ac:dyDescent="0.2"/>
    <row r="11376" s="197" customFormat="1" ht="12.75" x14ac:dyDescent="0.2"/>
    <row r="11377" s="197" customFormat="1" ht="12.75" x14ac:dyDescent="0.2"/>
    <row r="11378" s="197" customFormat="1" ht="12.75" x14ac:dyDescent="0.2"/>
    <row r="11379" s="197" customFormat="1" ht="12.75" x14ac:dyDescent="0.2"/>
    <row r="11380" s="197" customFormat="1" ht="12.75" x14ac:dyDescent="0.2"/>
    <row r="11381" s="197" customFormat="1" ht="12.75" x14ac:dyDescent="0.2"/>
    <row r="11382" s="197" customFormat="1" ht="12.75" x14ac:dyDescent="0.2"/>
    <row r="11383" s="197" customFormat="1" ht="12.75" x14ac:dyDescent="0.2"/>
    <row r="11384" s="197" customFormat="1" ht="12.75" x14ac:dyDescent="0.2"/>
    <row r="11385" s="197" customFormat="1" ht="12.75" x14ac:dyDescent="0.2"/>
    <row r="11386" s="197" customFormat="1" ht="12.75" x14ac:dyDescent="0.2"/>
    <row r="11387" s="197" customFormat="1" ht="12.75" x14ac:dyDescent="0.2"/>
    <row r="11388" s="197" customFormat="1" ht="12.75" x14ac:dyDescent="0.2"/>
    <row r="11389" s="197" customFormat="1" ht="12.75" x14ac:dyDescent="0.2"/>
    <row r="11390" s="197" customFormat="1" ht="12.75" x14ac:dyDescent="0.2"/>
    <row r="11391" s="197" customFormat="1" ht="12.75" x14ac:dyDescent="0.2"/>
    <row r="11392" s="197" customFormat="1" ht="12.75" x14ac:dyDescent="0.2"/>
    <row r="11393" s="197" customFormat="1" ht="12.75" x14ac:dyDescent="0.2"/>
    <row r="11394" s="197" customFormat="1" ht="12.75" x14ac:dyDescent="0.2"/>
    <row r="11395" s="197" customFormat="1" ht="12.75" x14ac:dyDescent="0.2"/>
    <row r="11396" s="197" customFormat="1" ht="12.75" x14ac:dyDescent="0.2"/>
    <row r="11397" s="197" customFormat="1" ht="12.75" x14ac:dyDescent="0.2"/>
    <row r="11398" s="197" customFormat="1" ht="12.75" x14ac:dyDescent="0.2"/>
    <row r="11399" s="197" customFormat="1" ht="12.75" x14ac:dyDescent="0.2"/>
    <row r="11400" s="197" customFormat="1" ht="12.75" x14ac:dyDescent="0.2"/>
    <row r="11401" s="197" customFormat="1" ht="12.75" x14ac:dyDescent="0.2"/>
    <row r="11402" s="197" customFormat="1" ht="12.75" x14ac:dyDescent="0.2"/>
    <row r="11403" s="197" customFormat="1" ht="12.75" x14ac:dyDescent="0.2"/>
    <row r="11404" s="197" customFormat="1" ht="12.75" x14ac:dyDescent="0.2"/>
    <row r="11405" s="197" customFormat="1" ht="12.75" x14ac:dyDescent="0.2"/>
    <row r="11406" s="197" customFormat="1" ht="12.75" x14ac:dyDescent="0.2"/>
    <row r="11407" s="197" customFormat="1" ht="12.75" x14ac:dyDescent="0.2"/>
    <row r="11408" s="197" customFormat="1" ht="12.75" x14ac:dyDescent="0.2"/>
    <row r="11409" s="197" customFormat="1" ht="12.75" x14ac:dyDescent="0.2"/>
    <row r="11410" s="197" customFormat="1" ht="12.75" x14ac:dyDescent="0.2"/>
    <row r="11411" s="197" customFormat="1" ht="12.75" x14ac:dyDescent="0.2"/>
    <row r="11412" s="197" customFormat="1" ht="12.75" x14ac:dyDescent="0.2"/>
    <row r="11413" s="197" customFormat="1" ht="12.75" x14ac:dyDescent="0.2"/>
    <row r="11414" s="197" customFormat="1" ht="12.75" x14ac:dyDescent="0.2"/>
    <row r="11415" s="197" customFormat="1" ht="12.75" x14ac:dyDescent="0.2"/>
    <row r="11416" s="197" customFormat="1" ht="12.75" x14ac:dyDescent="0.2"/>
    <row r="11417" s="197" customFormat="1" ht="12.75" x14ac:dyDescent="0.2"/>
    <row r="11418" s="197" customFormat="1" ht="12.75" x14ac:dyDescent="0.2"/>
    <row r="11419" s="197" customFormat="1" ht="12.75" x14ac:dyDescent="0.2"/>
    <row r="11420" s="197" customFormat="1" ht="12.75" x14ac:dyDescent="0.2"/>
    <row r="11421" s="197" customFormat="1" ht="12.75" x14ac:dyDescent="0.2"/>
    <row r="11422" s="197" customFormat="1" ht="12.75" x14ac:dyDescent="0.2"/>
    <row r="11423" s="197" customFormat="1" ht="12.75" x14ac:dyDescent="0.2"/>
    <row r="11424" s="197" customFormat="1" ht="12.75" x14ac:dyDescent="0.2"/>
    <row r="11425" s="197" customFormat="1" ht="12.75" x14ac:dyDescent="0.2"/>
    <row r="11426" s="197" customFormat="1" ht="12.75" x14ac:dyDescent="0.2"/>
    <row r="11427" s="197" customFormat="1" ht="12.75" x14ac:dyDescent="0.2"/>
    <row r="11428" s="197" customFormat="1" ht="12.75" x14ac:dyDescent="0.2"/>
    <row r="11429" s="197" customFormat="1" ht="12.75" x14ac:dyDescent="0.2"/>
    <row r="11430" s="197" customFormat="1" ht="12.75" x14ac:dyDescent="0.2"/>
    <row r="11431" s="197" customFormat="1" ht="12.75" x14ac:dyDescent="0.2"/>
    <row r="11432" s="197" customFormat="1" ht="12.75" x14ac:dyDescent="0.2"/>
    <row r="11433" s="197" customFormat="1" ht="12.75" x14ac:dyDescent="0.2"/>
    <row r="11434" s="197" customFormat="1" ht="12.75" x14ac:dyDescent="0.2"/>
    <row r="11435" s="197" customFormat="1" ht="12.75" x14ac:dyDescent="0.2"/>
    <row r="11436" s="197" customFormat="1" ht="12.75" x14ac:dyDescent="0.2"/>
    <row r="11437" s="197" customFormat="1" ht="12.75" x14ac:dyDescent="0.2"/>
    <row r="11438" s="197" customFormat="1" ht="12.75" x14ac:dyDescent="0.2"/>
    <row r="11439" s="197" customFormat="1" ht="12.75" x14ac:dyDescent="0.2"/>
    <row r="11440" s="197" customFormat="1" ht="12.75" x14ac:dyDescent="0.2"/>
    <row r="11441" s="197" customFormat="1" ht="12.75" x14ac:dyDescent="0.2"/>
    <row r="11442" s="197" customFormat="1" ht="12.75" x14ac:dyDescent="0.2"/>
    <row r="11443" s="197" customFormat="1" ht="12.75" x14ac:dyDescent="0.2"/>
    <row r="11444" s="197" customFormat="1" ht="12.75" x14ac:dyDescent="0.2"/>
    <row r="11445" s="197" customFormat="1" ht="12.75" x14ac:dyDescent="0.2"/>
    <row r="11446" s="197" customFormat="1" ht="12.75" x14ac:dyDescent="0.2"/>
    <row r="11447" s="197" customFormat="1" ht="12.75" x14ac:dyDescent="0.2"/>
    <row r="11448" s="197" customFormat="1" ht="12.75" x14ac:dyDescent="0.2"/>
    <row r="11449" s="197" customFormat="1" ht="12.75" x14ac:dyDescent="0.2"/>
    <row r="11450" s="197" customFormat="1" ht="12.75" x14ac:dyDescent="0.2"/>
    <row r="11451" s="197" customFormat="1" ht="12.75" x14ac:dyDescent="0.2"/>
    <row r="11452" s="197" customFormat="1" ht="12.75" x14ac:dyDescent="0.2"/>
    <row r="11453" s="197" customFormat="1" ht="12.75" x14ac:dyDescent="0.2"/>
    <row r="11454" s="197" customFormat="1" ht="12.75" x14ac:dyDescent="0.2"/>
    <row r="11455" s="197" customFormat="1" ht="12.75" x14ac:dyDescent="0.2"/>
    <row r="11456" s="197" customFormat="1" ht="12.75" x14ac:dyDescent="0.2"/>
    <row r="11457" s="197" customFormat="1" ht="12.75" x14ac:dyDescent="0.2"/>
    <row r="11458" s="197" customFormat="1" ht="12.75" x14ac:dyDescent="0.2"/>
    <row r="11459" s="197" customFormat="1" ht="12.75" x14ac:dyDescent="0.2"/>
    <row r="11460" s="197" customFormat="1" ht="12.75" x14ac:dyDescent="0.2"/>
    <row r="11461" s="197" customFormat="1" ht="12.75" x14ac:dyDescent="0.2"/>
    <row r="11462" s="197" customFormat="1" ht="12.75" x14ac:dyDescent="0.2"/>
    <row r="11463" s="197" customFormat="1" ht="12.75" x14ac:dyDescent="0.2"/>
    <row r="11464" s="197" customFormat="1" ht="12.75" x14ac:dyDescent="0.2"/>
    <row r="11465" s="197" customFormat="1" ht="12.75" x14ac:dyDescent="0.2"/>
    <row r="11466" s="197" customFormat="1" ht="12.75" x14ac:dyDescent="0.2"/>
    <row r="11467" s="197" customFormat="1" ht="12.75" x14ac:dyDescent="0.2"/>
    <row r="11468" s="197" customFormat="1" ht="12.75" x14ac:dyDescent="0.2"/>
    <row r="11469" s="197" customFormat="1" ht="12.75" x14ac:dyDescent="0.2"/>
    <row r="11470" s="197" customFormat="1" ht="12.75" x14ac:dyDescent="0.2"/>
    <row r="11471" s="197" customFormat="1" ht="12.75" x14ac:dyDescent="0.2"/>
    <row r="11472" s="197" customFormat="1" ht="12.75" x14ac:dyDescent="0.2"/>
    <row r="11473" s="197" customFormat="1" ht="12.75" x14ac:dyDescent="0.2"/>
    <row r="11474" s="197" customFormat="1" ht="12.75" x14ac:dyDescent="0.2"/>
    <row r="11475" s="197" customFormat="1" ht="12.75" x14ac:dyDescent="0.2"/>
    <row r="11476" s="197" customFormat="1" ht="12.75" x14ac:dyDescent="0.2"/>
    <row r="11477" s="197" customFormat="1" ht="12.75" x14ac:dyDescent="0.2"/>
    <row r="11478" s="197" customFormat="1" ht="12.75" x14ac:dyDescent="0.2"/>
    <row r="11479" s="197" customFormat="1" ht="12.75" x14ac:dyDescent="0.2"/>
    <row r="11480" s="197" customFormat="1" ht="12.75" x14ac:dyDescent="0.2"/>
    <row r="11481" s="197" customFormat="1" ht="12.75" x14ac:dyDescent="0.2"/>
    <row r="11482" s="197" customFormat="1" ht="12.75" x14ac:dyDescent="0.2"/>
    <row r="11483" s="197" customFormat="1" ht="12.75" x14ac:dyDescent="0.2"/>
    <row r="11484" s="197" customFormat="1" ht="12.75" x14ac:dyDescent="0.2"/>
    <row r="11485" s="197" customFormat="1" ht="12.75" x14ac:dyDescent="0.2"/>
    <row r="11486" s="197" customFormat="1" ht="12.75" x14ac:dyDescent="0.2"/>
    <row r="11487" s="197" customFormat="1" ht="12.75" x14ac:dyDescent="0.2"/>
    <row r="11488" s="197" customFormat="1" ht="12.75" x14ac:dyDescent="0.2"/>
    <row r="11489" s="197" customFormat="1" ht="12.75" x14ac:dyDescent="0.2"/>
    <row r="11490" s="197" customFormat="1" ht="12.75" x14ac:dyDescent="0.2"/>
    <row r="11491" s="197" customFormat="1" ht="12.75" x14ac:dyDescent="0.2"/>
    <row r="11492" s="197" customFormat="1" ht="12.75" x14ac:dyDescent="0.2"/>
    <row r="11493" s="197" customFormat="1" ht="12.75" x14ac:dyDescent="0.2"/>
    <row r="11494" s="197" customFormat="1" ht="12.75" x14ac:dyDescent="0.2"/>
    <row r="11495" s="197" customFormat="1" ht="12.75" x14ac:dyDescent="0.2"/>
    <row r="11496" s="197" customFormat="1" ht="12.75" x14ac:dyDescent="0.2"/>
    <row r="11497" s="197" customFormat="1" ht="12.75" x14ac:dyDescent="0.2"/>
    <row r="11498" s="197" customFormat="1" ht="12.75" x14ac:dyDescent="0.2"/>
    <row r="11499" s="197" customFormat="1" ht="12.75" x14ac:dyDescent="0.2"/>
    <row r="11500" s="197" customFormat="1" ht="12.75" x14ac:dyDescent="0.2"/>
    <row r="11501" s="197" customFormat="1" ht="12.75" x14ac:dyDescent="0.2"/>
    <row r="11502" s="197" customFormat="1" ht="12.75" x14ac:dyDescent="0.2"/>
    <row r="11503" s="197" customFormat="1" ht="12.75" x14ac:dyDescent="0.2"/>
    <row r="11504" s="197" customFormat="1" ht="12.75" x14ac:dyDescent="0.2"/>
    <row r="11505" s="197" customFormat="1" ht="12.75" x14ac:dyDescent="0.2"/>
    <row r="11506" s="197" customFormat="1" ht="12.75" x14ac:dyDescent="0.2"/>
    <row r="11507" s="197" customFormat="1" ht="12.75" x14ac:dyDescent="0.2"/>
    <row r="11508" s="197" customFormat="1" ht="12.75" x14ac:dyDescent="0.2"/>
    <row r="11509" s="197" customFormat="1" ht="12.75" x14ac:dyDescent="0.2"/>
    <row r="11510" s="197" customFormat="1" ht="12.75" x14ac:dyDescent="0.2"/>
    <row r="11511" s="197" customFormat="1" ht="12.75" x14ac:dyDescent="0.2"/>
    <row r="11512" s="197" customFormat="1" ht="12.75" x14ac:dyDescent="0.2"/>
    <row r="11513" s="197" customFormat="1" ht="12.75" x14ac:dyDescent="0.2"/>
    <row r="11514" s="197" customFormat="1" ht="12.75" x14ac:dyDescent="0.2"/>
    <row r="11515" s="197" customFormat="1" ht="12.75" x14ac:dyDescent="0.2"/>
    <row r="11516" s="197" customFormat="1" ht="12.75" x14ac:dyDescent="0.2"/>
    <row r="11517" s="197" customFormat="1" ht="12.75" x14ac:dyDescent="0.2"/>
    <row r="11518" s="197" customFormat="1" ht="12.75" x14ac:dyDescent="0.2"/>
    <row r="11519" s="197" customFormat="1" ht="12.75" x14ac:dyDescent="0.2"/>
    <row r="11520" s="197" customFormat="1" ht="12.75" x14ac:dyDescent="0.2"/>
    <row r="11521" s="197" customFormat="1" ht="12.75" x14ac:dyDescent="0.2"/>
    <row r="11522" s="197" customFormat="1" ht="12.75" x14ac:dyDescent="0.2"/>
    <row r="11523" s="197" customFormat="1" ht="12.75" x14ac:dyDescent="0.2"/>
    <row r="11524" s="197" customFormat="1" ht="12.75" x14ac:dyDescent="0.2"/>
    <row r="11525" s="197" customFormat="1" ht="12.75" x14ac:dyDescent="0.2"/>
    <row r="11526" s="197" customFormat="1" ht="12.75" x14ac:dyDescent="0.2"/>
    <row r="11527" s="197" customFormat="1" ht="12.75" x14ac:dyDescent="0.2"/>
    <row r="11528" s="197" customFormat="1" ht="12.75" x14ac:dyDescent="0.2"/>
    <row r="11529" s="197" customFormat="1" ht="12.75" x14ac:dyDescent="0.2"/>
    <row r="11530" s="197" customFormat="1" ht="12.75" x14ac:dyDescent="0.2"/>
    <row r="11531" s="197" customFormat="1" ht="12.75" x14ac:dyDescent="0.2"/>
    <row r="11532" s="197" customFormat="1" ht="12.75" x14ac:dyDescent="0.2"/>
    <row r="11533" s="197" customFormat="1" ht="12.75" x14ac:dyDescent="0.2"/>
    <row r="11534" s="197" customFormat="1" ht="12.75" x14ac:dyDescent="0.2"/>
    <row r="11535" s="197" customFormat="1" ht="12.75" x14ac:dyDescent="0.2"/>
    <row r="11536" s="197" customFormat="1" ht="12.75" x14ac:dyDescent="0.2"/>
    <row r="11537" s="197" customFormat="1" ht="12.75" x14ac:dyDescent="0.2"/>
    <row r="11538" s="197" customFormat="1" ht="12.75" x14ac:dyDescent="0.2"/>
    <row r="11539" s="197" customFormat="1" ht="12.75" x14ac:dyDescent="0.2"/>
    <row r="11540" s="197" customFormat="1" ht="12.75" x14ac:dyDescent="0.2"/>
    <row r="11541" s="197" customFormat="1" ht="12.75" x14ac:dyDescent="0.2"/>
    <row r="11542" s="197" customFormat="1" ht="12.75" x14ac:dyDescent="0.2"/>
    <row r="11543" s="197" customFormat="1" ht="12.75" x14ac:dyDescent="0.2"/>
    <row r="11544" s="197" customFormat="1" ht="12.75" x14ac:dyDescent="0.2"/>
    <row r="11545" s="197" customFormat="1" ht="12.75" x14ac:dyDescent="0.2"/>
    <row r="11546" s="197" customFormat="1" ht="12.75" x14ac:dyDescent="0.2"/>
    <row r="11547" s="197" customFormat="1" ht="12.75" x14ac:dyDescent="0.2"/>
    <row r="11548" s="197" customFormat="1" ht="12.75" x14ac:dyDescent="0.2"/>
    <row r="11549" s="197" customFormat="1" ht="12.75" x14ac:dyDescent="0.2"/>
    <row r="11550" s="197" customFormat="1" ht="12.75" x14ac:dyDescent="0.2"/>
    <row r="11551" s="197" customFormat="1" ht="12.75" x14ac:dyDescent="0.2"/>
    <row r="11552" s="197" customFormat="1" ht="12.75" x14ac:dyDescent="0.2"/>
    <row r="11553" s="197" customFormat="1" ht="12.75" x14ac:dyDescent="0.2"/>
    <row r="11554" s="197" customFormat="1" ht="12.75" x14ac:dyDescent="0.2"/>
    <row r="11555" s="197" customFormat="1" ht="12.75" x14ac:dyDescent="0.2"/>
    <row r="11556" s="197" customFormat="1" ht="12.75" x14ac:dyDescent="0.2"/>
    <row r="11557" s="197" customFormat="1" ht="12.75" x14ac:dyDescent="0.2"/>
    <row r="11558" s="197" customFormat="1" ht="12.75" x14ac:dyDescent="0.2"/>
    <row r="11559" s="197" customFormat="1" ht="12.75" x14ac:dyDescent="0.2"/>
    <row r="11560" s="197" customFormat="1" ht="12.75" x14ac:dyDescent="0.2"/>
    <row r="11561" s="197" customFormat="1" ht="12.75" x14ac:dyDescent="0.2"/>
    <row r="11562" s="197" customFormat="1" ht="12.75" x14ac:dyDescent="0.2"/>
    <row r="11563" s="197" customFormat="1" ht="12.75" x14ac:dyDescent="0.2"/>
    <row r="11564" s="197" customFormat="1" ht="12.75" x14ac:dyDescent="0.2"/>
    <row r="11565" s="197" customFormat="1" ht="12.75" x14ac:dyDescent="0.2"/>
    <row r="11566" s="197" customFormat="1" ht="12.75" x14ac:dyDescent="0.2"/>
    <row r="11567" s="197" customFormat="1" ht="12.75" x14ac:dyDescent="0.2"/>
    <row r="11568" s="197" customFormat="1" ht="12.75" x14ac:dyDescent="0.2"/>
    <row r="11569" s="197" customFormat="1" ht="12.75" x14ac:dyDescent="0.2"/>
    <row r="11570" s="197" customFormat="1" ht="12.75" x14ac:dyDescent="0.2"/>
    <row r="11571" s="197" customFormat="1" ht="12.75" x14ac:dyDescent="0.2"/>
    <row r="11572" s="197" customFormat="1" ht="12.75" x14ac:dyDescent="0.2"/>
    <row r="11573" s="197" customFormat="1" ht="12.75" x14ac:dyDescent="0.2"/>
    <row r="11574" s="197" customFormat="1" ht="12.75" x14ac:dyDescent="0.2"/>
    <row r="11575" s="197" customFormat="1" ht="12.75" x14ac:dyDescent="0.2"/>
    <row r="11576" s="197" customFormat="1" ht="12.75" x14ac:dyDescent="0.2"/>
    <row r="11577" s="197" customFormat="1" ht="12.75" x14ac:dyDescent="0.2"/>
    <row r="11578" s="197" customFormat="1" ht="12.75" x14ac:dyDescent="0.2"/>
    <row r="11579" s="197" customFormat="1" ht="12.75" x14ac:dyDescent="0.2"/>
    <row r="11580" s="197" customFormat="1" ht="12.75" x14ac:dyDescent="0.2"/>
    <row r="11581" s="197" customFormat="1" ht="12.75" x14ac:dyDescent="0.2"/>
    <row r="11582" s="197" customFormat="1" ht="12.75" x14ac:dyDescent="0.2"/>
    <row r="11583" s="197" customFormat="1" ht="12.75" x14ac:dyDescent="0.2"/>
    <row r="11584" s="197" customFormat="1" ht="12.75" x14ac:dyDescent="0.2"/>
    <row r="11585" s="197" customFormat="1" ht="12.75" x14ac:dyDescent="0.2"/>
    <row r="11586" s="197" customFormat="1" ht="12.75" x14ac:dyDescent="0.2"/>
    <row r="11587" s="197" customFormat="1" ht="12.75" x14ac:dyDescent="0.2"/>
    <row r="11588" s="197" customFormat="1" ht="12.75" x14ac:dyDescent="0.2"/>
    <row r="11589" s="197" customFormat="1" ht="12.75" x14ac:dyDescent="0.2"/>
    <row r="11590" s="197" customFormat="1" ht="12.75" x14ac:dyDescent="0.2"/>
    <row r="11591" s="197" customFormat="1" ht="12.75" x14ac:dyDescent="0.2"/>
    <row r="11592" s="197" customFormat="1" ht="12.75" x14ac:dyDescent="0.2"/>
    <row r="11593" s="197" customFormat="1" ht="12.75" x14ac:dyDescent="0.2"/>
    <row r="11594" s="197" customFormat="1" ht="12.75" x14ac:dyDescent="0.2"/>
    <row r="11595" s="197" customFormat="1" ht="12.75" x14ac:dyDescent="0.2"/>
    <row r="11596" s="197" customFormat="1" ht="12.75" x14ac:dyDescent="0.2"/>
    <row r="11597" s="197" customFormat="1" ht="12.75" x14ac:dyDescent="0.2"/>
    <row r="11598" s="197" customFormat="1" ht="12.75" x14ac:dyDescent="0.2"/>
    <row r="11599" s="197" customFormat="1" ht="12.75" x14ac:dyDescent="0.2"/>
    <row r="11600" s="197" customFormat="1" ht="12.75" x14ac:dyDescent="0.2"/>
    <row r="11601" s="197" customFormat="1" ht="12.75" x14ac:dyDescent="0.2"/>
    <row r="11602" s="197" customFormat="1" ht="12.75" x14ac:dyDescent="0.2"/>
    <row r="11603" s="197" customFormat="1" ht="12.75" x14ac:dyDescent="0.2"/>
    <row r="11604" s="197" customFormat="1" ht="12.75" x14ac:dyDescent="0.2"/>
    <row r="11605" s="197" customFormat="1" ht="12.75" x14ac:dyDescent="0.2"/>
    <row r="11606" s="197" customFormat="1" ht="12.75" x14ac:dyDescent="0.2"/>
    <row r="11607" s="197" customFormat="1" ht="12.75" x14ac:dyDescent="0.2"/>
    <row r="11608" s="197" customFormat="1" ht="12.75" x14ac:dyDescent="0.2"/>
    <row r="11609" s="197" customFormat="1" ht="12.75" x14ac:dyDescent="0.2"/>
    <row r="11610" s="197" customFormat="1" ht="12.75" x14ac:dyDescent="0.2"/>
    <row r="11611" s="197" customFormat="1" ht="12.75" x14ac:dyDescent="0.2"/>
    <row r="11612" s="197" customFormat="1" ht="12.75" x14ac:dyDescent="0.2"/>
    <row r="11613" s="197" customFormat="1" ht="12.75" x14ac:dyDescent="0.2"/>
    <row r="11614" s="197" customFormat="1" ht="12.75" x14ac:dyDescent="0.2"/>
    <row r="11615" s="197" customFormat="1" ht="12.75" x14ac:dyDescent="0.2"/>
    <row r="11616" s="197" customFormat="1" ht="12.75" x14ac:dyDescent="0.2"/>
    <row r="11617" s="197" customFormat="1" ht="12.75" x14ac:dyDescent="0.2"/>
    <row r="11618" s="197" customFormat="1" ht="12.75" x14ac:dyDescent="0.2"/>
    <row r="11619" s="197" customFormat="1" ht="12.75" x14ac:dyDescent="0.2"/>
    <row r="11620" s="197" customFormat="1" ht="12.75" x14ac:dyDescent="0.2"/>
    <row r="11621" s="197" customFormat="1" ht="12.75" x14ac:dyDescent="0.2"/>
    <row r="11622" s="197" customFormat="1" ht="12.75" x14ac:dyDescent="0.2"/>
    <row r="11623" s="197" customFormat="1" ht="12.75" x14ac:dyDescent="0.2"/>
    <row r="11624" s="197" customFormat="1" ht="12.75" x14ac:dyDescent="0.2"/>
    <row r="11625" s="197" customFormat="1" ht="12.75" x14ac:dyDescent="0.2"/>
    <row r="11626" s="197" customFormat="1" ht="12.75" x14ac:dyDescent="0.2"/>
    <row r="11627" s="197" customFormat="1" ht="12.75" x14ac:dyDescent="0.2"/>
    <row r="11628" s="197" customFormat="1" ht="12.75" x14ac:dyDescent="0.2"/>
    <row r="11629" s="197" customFormat="1" ht="12.75" x14ac:dyDescent="0.2"/>
    <row r="11630" s="197" customFormat="1" ht="12.75" x14ac:dyDescent="0.2"/>
    <row r="11631" s="197" customFormat="1" ht="12.75" x14ac:dyDescent="0.2"/>
    <row r="11632" s="197" customFormat="1" ht="12.75" x14ac:dyDescent="0.2"/>
    <row r="11633" s="197" customFormat="1" ht="12.75" x14ac:dyDescent="0.2"/>
    <row r="11634" s="197" customFormat="1" ht="12.75" x14ac:dyDescent="0.2"/>
    <row r="11635" s="197" customFormat="1" ht="12.75" x14ac:dyDescent="0.2"/>
    <row r="11636" s="197" customFormat="1" ht="12.75" x14ac:dyDescent="0.2"/>
    <row r="11637" s="197" customFormat="1" ht="12.75" x14ac:dyDescent="0.2"/>
    <row r="11638" s="197" customFormat="1" ht="12.75" x14ac:dyDescent="0.2"/>
    <row r="11639" s="197" customFormat="1" ht="12.75" x14ac:dyDescent="0.2"/>
    <row r="11640" s="197" customFormat="1" ht="12.75" x14ac:dyDescent="0.2"/>
    <row r="11641" s="197" customFormat="1" ht="12.75" x14ac:dyDescent="0.2"/>
    <row r="11642" s="197" customFormat="1" ht="12.75" x14ac:dyDescent="0.2"/>
    <row r="11643" s="197" customFormat="1" ht="12.75" x14ac:dyDescent="0.2"/>
    <row r="11644" s="197" customFormat="1" ht="12.75" x14ac:dyDescent="0.2"/>
    <row r="11645" s="197" customFormat="1" ht="12.75" x14ac:dyDescent="0.2"/>
    <row r="11646" s="197" customFormat="1" ht="12.75" x14ac:dyDescent="0.2"/>
    <row r="11647" s="197" customFormat="1" ht="12.75" x14ac:dyDescent="0.2"/>
    <row r="11648" s="197" customFormat="1" ht="12.75" x14ac:dyDescent="0.2"/>
    <row r="11649" s="197" customFormat="1" ht="12.75" x14ac:dyDescent="0.2"/>
    <row r="11650" s="197" customFormat="1" ht="12.75" x14ac:dyDescent="0.2"/>
    <row r="11651" s="197" customFormat="1" ht="12.75" x14ac:dyDescent="0.2"/>
    <row r="11652" s="197" customFormat="1" ht="12.75" x14ac:dyDescent="0.2"/>
    <row r="11653" s="197" customFormat="1" ht="12.75" x14ac:dyDescent="0.2"/>
    <row r="11654" s="197" customFormat="1" ht="12.75" x14ac:dyDescent="0.2"/>
    <row r="11655" s="197" customFormat="1" ht="12.75" x14ac:dyDescent="0.2"/>
    <row r="11656" s="197" customFormat="1" ht="12.75" x14ac:dyDescent="0.2"/>
    <row r="11657" s="197" customFormat="1" ht="12.75" x14ac:dyDescent="0.2"/>
    <row r="11658" s="197" customFormat="1" ht="12.75" x14ac:dyDescent="0.2"/>
    <row r="11659" s="197" customFormat="1" ht="12.75" x14ac:dyDescent="0.2"/>
    <row r="11660" s="197" customFormat="1" ht="12.75" x14ac:dyDescent="0.2"/>
    <row r="11661" s="197" customFormat="1" ht="12.75" x14ac:dyDescent="0.2"/>
    <row r="11662" s="197" customFormat="1" ht="12.75" x14ac:dyDescent="0.2"/>
    <row r="11663" s="197" customFormat="1" ht="12.75" x14ac:dyDescent="0.2"/>
    <row r="11664" s="197" customFormat="1" ht="12.75" x14ac:dyDescent="0.2"/>
    <row r="11665" s="197" customFormat="1" ht="12.75" x14ac:dyDescent="0.2"/>
    <row r="11666" s="197" customFormat="1" ht="12.75" x14ac:dyDescent="0.2"/>
    <row r="11667" s="197" customFormat="1" ht="12.75" x14ac:dyDescent="0.2"/>
    <row r="11668" s="197" customFormat="1" ht="12.75" x14ac:dyDescent="0.2"/>
    <row r="11669" s="197" customFormat="1" ht="12.75" x14ac:dyDescent="0.2"/>
    <row r="11670" s="197" customFormat="1" ht="12.75" x14ac:dyDescent="0.2"/>
    <row r="11671" s="197" customFormat="1" ht="12.75" x14ac:dyDescent="0.2"/>
    <row r="11672" s="197" customFormat="1" ht="12.75" x14ac:dyDescent="0.2"/>
    <row r="11673" s="197" customFormat="1" ht="12.75" x14ac:dyDescent="0.2"/>
    <row r="11674" s="197" customFormat="1" ht="12.75" x14ac:dyDescent="0.2"/>
    <row r="11675" s="197" customFormat="1" ht="12.75" x14ac:dyDescent="0.2"/>
    <row r="11676" s="197" customFormat="1" ht="12.75" x14ac:dyDescent="0.2"/>
    <row r="11677" s="197" customFormat="1" ht="12.75" x14ac:dyDescent="0.2"/>
    <row r="11678" s="197" customFormat="1" ht="12.75" x14ac:dyDescent="0.2"/>
    <row r="11679" s="197" customFormat="1" ht="12.75" x14ac:dyDescent="0.2"/>
    <row r="11680" s="197" customFormat="1" ht="12.75" x14ac:dyDescent="0.2"/>
    <row r="11681" s="197" customFormat="1" ht="12.75" x14ac:dyDescent="0.2"/>
    <row r="11682" s="197" customFormat="1" ht="12.75" x14ac:dyDescent="0.2"/>
    <row r="11683" s="197" customFormat="1" ht="12.75" x14ac:dyDescent="0.2"/>
    <row r="11684" s="197" customFormat="1" ht="12.75" x14ac:dyDescent="0.2"/>
    <row r="11685" s="197" customFormat="1" ht="12.75" x14ac:dyDescent="0.2"/>
    <row r="11686" s="197" customFormat="1" ht="12.75" x14ac:dyDescent="0.2"/>
    <row r="11687" s="197" customFormat="1" ht="12.75" x14ac:dyDescent="0.2"/>
    <row r="11688" s="197" customFormat="1" ht="12.75" x14ac:dyDescent="0.2"/>
    <row r="11689" s="197" customFormat="1" ht="12.75" x14ac:dyDescent="0.2"/>
    <row r="11690" s="197" customFormat="1" ht="12.75" x14ac:dyDescent="0.2"/>
    <row r="11691" s="197" customFormat="1" ht="12.75" x14ac:dyDescent="0.2"/>
    <row r="11692" s="197" customFormat="1" ht="12.75" x14ac:dyDescent="0.2"/>
    <row r="11693" s="197" customFormat="1" ht="12.75" x14ac:dyDescent="0.2"/>
    <row r="11694" s="197" customFormat="1" ht="12.75" x14ac:dyDescent="0.2"/>
    <row r="11695" s="197" customFormat="1" ht="12.75" x14ac:dyDescent="0.2"/>
    <row r="11696" s="197" customFormat="1" ht="12.75" x14ac:dyDescent="0.2"/>
    <row r="11697" s="197" customFormat="1" ht="12.75" x14ac:dyDescent="0.2"/>
    <row r="11698" s="197" customFormat="1" ht="12.75" x14ac:dyDescent="0.2"/>
    <row r="11699" s="197" customFormat="1" ht="12.75" x14ac:dyDescent="0.2"/>
    <row r="11700" s="197" customFormat="1" ht="12.75" x14ac:dyDescent="0.2"/>
    <row r="11701" s="197" customFormat="1" ht="12.75" x14ac:dyDescent="0.2"/>
    <row r="11702" s="197" customFormat="1" ht="12.75" x14ac:dyDescent="0.2"/>
    <row r="11703" s="197" customFormat="1" ht="12.75" x14ac:dyDescent="0.2"/>
    <row r="11704" s="197" customFormat="1" ht="12.75" x14ac:dyDescent="0.2"/>
    <row r="11705" s="197" customFormat="1" ht="12.75" x14ac:dyDescent="0.2"/>
    <row r="11706" s="197" customFormat="1" ht="12.75" x14ac:dyDescent="0.2"/>
    <row r="11707" s="197" customFormat="1" ht="12.75" x14ac:dyDescent="0.2"/>
    <row r="11708" s="197" customFormat="1" ht="12.75" x14ac:dyDescent="0.2"/>
    <row r="11709" s="197" customFormat="1" ht="12.75" x14ac:dyDescent="0.2"/>
    <row r="11710" s="197" customFormat="1" ht="12.75" x14ac:dyDescent="0.2"/>
    <row r="11711" s="197" customFormat="1" ht="12.75" x14ac:dyDescent="0.2"/>
    <row r="11712" s="197" customFormat="1" ht="12.75" x14ac:dyDescent="0.2"/>
    <row r="11713" s="197" customFormat="1" ht="12.75" x14ac:dyDescent="0.2"/>
    <row r="11714" s="197" customFormat="1" ht="12.75" x14ac:dyDescent="0.2"/>
    <row r="11715" s="197" customFormat="1" ht="12.75" x14ac:dyDescent="0.2"/>
    <row r="11716" s="197" customFormat="1" ht="12.75" x14ac:dyDescent="0.2"/>
    <row r="11717" s="197" customFormat="1" ht="12.75" x14ac:dyDescent="0.2"/>
    <row r="11718" s="197" customFormat="1" ht="12.75" x14ac:dyDescent="0.2"/>
    <row r="11719" s="197" customFormat="1" ht="12.75" x14ac:dyDescent="0.2"/>
    <row r="11720" s="197" customFormat="1" ht="12.75" x14ac:dyDescent="0.2"/>
    <row r="11721" s="197" customFormat="1" ht="12.75" x14ac:dyDescent="0.2"/>
    <row r="11722" s="197" customFormat="1" ht="12.75" x14ac:dyDescent="0.2"/>
    <row r="11723" s="197" customFormat="1" ht="12.75" x14ac:dyDescent="0.2"/>
    <row r="11724" s="197" customFormat="1" ht="12.75" x14ac:dyDescent="0.2"/>
    <row r="11725" s="197" customFormat="1" ht="12.75" x14ac:dyDescent="0.2"/>
    <row r="11726" s="197" customFormat="1" ht="12.75" x14ac:dyDescent="0.2"/>
    <row r="11727" s="197" customFormat="1" ht="12.75" x14ac:dyDescent="0.2"/>
    <row r="11728" s="197" customFormat="1" ht="12.75" x14ac:dyDescent="0.2"/>
    <row r="11729" s="197" customFormat="1" ht="12.75" x14ac:dyDescent="0.2"/>
    <row r="11730" s="197" customFormat="1" ht="12.75" x14ac:dyDescent="0.2"/>
    <row r="11731" s="197" customFormat="1" ht="12.75" x14ac:dyDescent="0.2"/>
    <row r="11732" s="197" customFormat="1" ht="12.75" x14ac:dyDescent="0.2"/>
    <row r="11733" s="197" customFormat="1" ht="12.75" x14ac:dyDescent="0.2"/>
    <row r="11734" s="197" customFormat="1" ht="12.75" x14ac:dyDescent="0.2"/>
    <row r="11735" s="197" customFormat="1" ht="12.75" x14ac:dyDescent="0.2"/>
    <row r="11736" s="197" customFormat="1" ht="12.75" x14ac:dyDescent="0.2"/>
    <row r="11737" s="197" customFormat="1" ht="12.75" x14ac:dyDescent="0.2"/>
    <row r="11738" s="197" customFormat="1" ht="12.75" x14ac:dyDescent="0.2"/>
    <row r="11739" s="197" customFormat="1" ht="12.75" x14ac:dyDescent="0.2"/>
    <row r="11740" s="197" customFormat="1" ht="12.75" x14ac:dyDescent="0.2"/>
    <row r="11741" s="197" customFormat="1" ht="12.75" x14ac:dyDescent="0.2"/>
    <row r="11742" s="197" customFormat="1" ht="12.75" x14ac:dyDescent="0.2"/>
    <row r="11743" s="197" customFormat="1" ht="12.75" x14ac:dyDescent="0.2"/>
    <row r="11744" s="197" customFormat="1" ht="12.75" x14ac:dyDescent="0.2"/>
    <row r="11745" s="197" customFormat="1" ht="12.75" x14ac:dyDescent="0.2"/>
    <row r="11746" s="197" customFormat="1" ht="12.75" x14ac:dyDescent="0.2"/>
    <row r="11747" s="197" customFormat="1" ht="12.75" x14ac:dyDescent="0.2"/>
    <row r="11748" s="197" customFormat="1" ht="12.75" x14ac:dyDescent="0.2"/>
    <row r="11749" s="197" customFormat="1" ht="12.75" x14ac:dyDescent="0.2"/>
    <row r="11750" s="197" customFormat="1" ht="12.75" x14ac:dyDescent="0.2"/>
    <row r="11751" s="197" customFormat="1" ht="12.75" x14ac:dyDescent="0.2"/>
    <row r="11752" s="197" customFormat="1" ht="12.75" x14ac:dyDescent="0.2"/>
    <row r="11753" s="197" customFormat="1" ht="12.75" x14ac:dyDescent="0.2"/>
    <row r="11754" s="197" customFormat="1" ht="12.75" x14ac:dyDescent="0.2"/>
    <row r="11755" s="197" customFormat="1" ht="12.75" x14ac:dyDescent="0.2"/>
    <row r="11756" s="197" customFormat="1" ht="12.75" x14ac:dyDescent="0.2"/>
    <row r="11757" s="197" customFormat="1" ht="12.75" x14ac:dyDescent="0.2"/>
    <row r="11758" s="197" customFormat="1" ht="12.75" x14ac:dyDescent="0.2"/>
    <row r="11759" s="197" customFormat="1" ht="12.75" x14ac:dyDescent="0.2"/>
    <row r="11760" s="197" customFormat="1" ht="12.75" x14ac:dyDescent="0.2"/>
    <row r="11761" s="197" customFormat="1" ht="12.75" x14ac:dyDescent="0.2"/>
    <row r="11762" s="197" customFormat="1" ht="12.75" x14ac:dyDescent="0.2"/>
    <row r="11763" s="197" customFormat="1" ht="12.75" x14ac:dyDescent="0.2"/>
    <row r="11764" s="197" customFormat="1" ht="12.75" x14ac:dyDescent="0.2"/>
    <row r="11765" s="197" customFormat="1" ht="12.75" x14ac:dyDescent="0.2"/>
    <row r="11766" s="197" customFormat="1" ht="12.75" x14ac:dyDescent="0.2"/>
    <row r="11767" s="197" customFormat="1" ht="12.75" x14ac:dyDescent="0.2"/>
    <row r="11768" s="197" customFormat="1" ht="12.75" x14ac:dyDescent="0.2"/>
    <row r="11769" s="197" customFormat="1" ht="12.75" x14ac:dyDescent="0.2"/>
    <row r="11770" s="197" customFormat="1" ht="12.75" x14ac:dyDescent="0.2"/>
    <row r="11771" s="197" customFormat="1" ht="12.75" x14ac:dyDescent="0.2"/>
    <row r="11772" s="197" customFormat="1" ht="12.75" x14ac:dyDescent="0.2"/>
    <row r="11773" s="197" customFormat="1" ht="12.75" x14ac:dyDescent="0.2"/>
    <row r="11774" s="197" customFormat="1" ht="12.75" x14ac:dyDescent="0.2"/>
    <row r="11775" s="197" customFormat="1" ht="12.75" x14ac:dyDescent="0.2"/>
    <row r="11776" s="197" customFormat="1" ht="12.75" x14ac:dyDescent="0.2"/>
    <row r="11777" s="197" customFormat="1" ht="12.75" x14ac:dyDescent="0.2"/>
    <row r="11778" s="197" customFormat="1" ht="12.75" x14ac:dyDescent="0.2"/>
    <row r="11779" s="197" customFormat="1" ht="12.75" x14ac:dyDescent="0.2"/>
    <row r="11780" s="197" customFormat="1" ht="12.75" x14ac:dyDescent="0.2"/>
    <row r="11781" s="197" customFormat="1" ht="12.75" x14ac:dyDescent="0.2"/>
    <row r="11782" s="197" customFormat="1" ht="12.75" x14ac:dyDescent="0.2"/>
    <row r="11783" s="197" customFormat="1" ht="12.75" x14ac:dyDescent="0.2"/>
    <row r="11784" s="197" customFormat="1" ht="12.75" x14ac:dyDescent="0.2"/>
    <row r="11785" s="197" customFormat="1" ht="12.75" x14ac:dyDescent="0.2"/>
    <row r="11786" s="197" customFormat="1" ht="12.75" x14ac:dyDescent="0.2"/>
    <row r="11787" s="197" customFormat="1" ht="12.75" x14ac:dyDescent="0.2"/>
    <row r="11788" s="197" customFormat="1" ht="12.75" x14ac:dyDescent="0.2"/>
    <row r="11789" s="197" customFormat="1" ht="12.75" x14ac:dyDescent="0.2"/>
    <row r="11790" s="197" customFormat="1" ht="12.75" x14ac:dyDescent="0.2"/>
    <row r="11791" s="197" customFormat="1" ht="12.75" x14ac:dyDescent="0.2"/>
    <row r="11792" s="197" customFormat="1" ht="12.75" x14ac:dyDescent="0.2"/>
    <row r="11793" s="197" customFormat="1" ht="12.75" x14ac:dyDescent="0.2"/>
    <row r="11794" s="197" customFormat="1" ht="12.75" x14ac:dyDescent="0.2"/>
    <row r="11795" s="197" customFormat="1" ht="12.75" x14ac:dyDescent="0.2"/>
    <row r="11796" s="197" customFormat="1" ht="12.75" x14ac:dyDescent="0.2"/>
    <row r="11797" s="197" customFormat="1" ht="12.75" x14ac:dyDescent="0.2"/>
    <row r="11798" s="197" customFormat="1" ht="12.75" x14ac:dyDescent="0.2"/>
    <row r="11799" s="197" customFormat="1" ht="12.75" x14ac:dyDescent="0.2"/>
    <row r="11800" s="197" customFormat="1" ht="12.75" x14ac:dyDescent="0.2"/>
    <row r="11801" s="197" customFormat="1" ht="12.75" x14ac:dyDescent="0.2"/>
    <row r="11802" s="197" customFormat="1" ht="12.75" x14ac:dyDescent="0.2"/>
    <row r="11803" s="197" customFormat="1" ht="12.75" x14ac:dyDescent="0.2"/>
    <row r="11804" s="197" customFormat="1" ht="12.75" x14ac:dyDescent="0.2"/>
    <row r="11805" s="197" customFormat="1" ht="12.75" x14ac:dyDescent="0.2"/>
    <row r="11806" s="197" customFormat="1" ht="12.75" x14ac:dyDescent="0.2"/>
    <row r="11807" s="197" customFormat="1" ht="12.75" x14ac:dyDescent="0.2"/>
    <row r="11808" s="197" customFormat="1" ht="12.75" x14ac:dyDescent="0.2"/>
    <row r="11809" s="197" customFormat="1" ht="12.75" x14ac:dyDescent="0.2"/>
    <row r="11810" s="197" customFormat="1" ht="12.75" x14ac:dyDescent="0.2"/>
    <row r="11811" s="197" customFormat="1" ht="12.75" x14ac:dyDescent="0.2"/>
    <row r="11812" s="197" customFormat="1" ht="12.75" x14ac:dyDescent="0.2"/>
    <row r="11813" s="197" customFormat="1" ht="12.75" x14ac:dyDescent="0.2"/>
    <row r="11814" s="197" customFormat="1" ht="12.75" x14ac:dyDescent="0.2"/>
    <row r="11815" s="197" customFormat="1" ht="12.75" x14ac:dyDescent="0.2"/>
    <row r="11816" s="197" customFormat="1" ht="12.75" x14ac:dyDescent="0.2"/>
    <row r="11817" s="197" customFormat="1" ht="12.75" x14ac:dyDescent="0.2"/>
    <row r="11818" s="197" customFormat="1" ht="12.75" x14ac:dyDescent="0.2"/>
    <row r="11819" s="197" customFormat="1" ht="12.75" x14ac:dyDescent="0.2"/>
    <row r="11820" s="197" customFormat="1" ht="12.75" x14ac:dyDescent="0.2"/>
    <row r="11821" s="197" customFormat="1" ht="12.75" x14ac:dyDescent="0.2"/>
    <row r="11822" s="197" customFormat="1" ht="12.75" x14ac:dyDescent="0.2"/>
    <row r="11823" s="197" customFormat="1" ht="12.75" x14ac:dyDescent="0.2"/>
    <row r="11824" s="197" customFormat="1" ht="12.75" x14ac:dyDescent="0.2"/>
    <row r="11825" s="197" customFormat="1" ht="12.75" x14ac:dyDescent="0.2"/>
    <row r="11826" s="197" customFormat="1" ht="12.75" x14ac:dyDescent="0.2"/>
    <row r="11827" s="197" customFormat="1" ht="12.75" x14ac:dyDescent="0.2"/>
    <row r="11828" s="197" customFormat="1" ht="12.75" x14ac:dyDescent="0.2"/>
    <row r="11829" s="197" customFormat="1" ht="12.75" x14ac:dyDescent="0.2"/>
    <row r="11830" s="197" customFormat="1" ht="12.75" x14ac:dyDescent="0.2"/>
    <row r="11831" s="197" customFormat="1" ht="12.75" x14ac:dyDescent="0.2"/>
    <row r="11832" s="197" customFormat="1" ht="12.75" x14ac:dyDescent="0.2"/>
    <row r="11833" s="197" customFormat="1" ht="12.75" x14ac:dyDescent="0.2"/>
    <row r="11834" s="197" customFormat="1" ht="12.75" x14ac:dyDescent="0.2"/>
    <row r="11835" s="197" customFormat="1" ht="12.75" x14ac:dyDescent="0.2"/>
    <row r="11836" s="197" customFormat="1" ht="12.75" x14ac:dyDescent="0.2"/>
    <row r="11837" s="197" customFormat="1" ht="12.75" x14ac:dyDescent="0.2"/>
    <row r="11838" s="197" customFormat="1" ht="12.75" x14ac:dyDescent="0.2"/>
    <row r="11839" s="197" customFormat="1" ht="12.75" x14ac:dyDescent="0.2"/>
    <row r="11840" s="197" customFormat="1" ht="12.75" x14ac:dyDescent="0.2"/>
    <row r="11841" s="197" customFormat="1" ht="12.75" x14ac:dyDescent="0.2"/>
    <row r="11842" s="197" customFormat="1" ht="12.75" x14ac:dyDescent="0.2"/>
    <row r="11843" s="197" customFormat="1" ht="12.75" x14ac:dyDescent="0.2"/>
    <row r="11844" s="197" customFormat="1" ht="12.75" x14ac:dyDescent="0.2"/>
    <row r="11845" s="197" customFormat="1" ht="12.75" x14ac:dyDescent="0.2"/>
    <row r="11846" s="197" customFormat="1" ht="12.75" x14ac:dyDescent="0.2"/>
    <row r="11847" s="197" customFormat="1" ht="12.75" x14ac:dyDescent="0.2"/>
    <row r="11848" s="197" customFormat="1" ht="12.75" x14ac:dyDescent="0.2"/>
    <row r="11849" s="197" customFormat="1" ht="12.75" x14ac:dyDescent="0.2"/>
    <row r="11850" s="197" customFormat="1" ht="12.75" x14ac:dyDescent="0.2"/>
    <row r="11851" s="197" customFormat="1" ht="12.75" x14ac:dyDescent="0.2"/>
    <row r="11852" s="197" customFormat="1" ht="12.75" x14ac:dyDescent="0.2"/>
    <row r="11853" s="197" customFormat="1" ht="12.75" x14ac:dyDescent="0.2"/>
    <row r="11854" s="197" customFormat="1" ht="12.75" x14ac:dyDescent="0.2"/>
    <row r="11855" s="197" customFormat="1" ht="12.75" x14ac:dyDescent="0.2"/>
    <row r="11856" s="197" customFormat="1" ht="12.75" x14ac:dyDescent="0.2"/>
    <row r="11857" s="197" customFormat="1" ht="12.75" x14ac:dyDescent="0.2"/>
    <row r="11858" s="197" customFormat="1" ht="12.75" x14ac:dyDescent="0.2"/>
    <row r="11859" s="197" customFormat="1" ht="12.75" x14ac:dyDescent="0.2"/>
    <row r="11860" s="197" customFormat="1" ht="12.75" x14ac:dyDescent="0.2"/>
    <row r="11861" s="197" customFormat="1" ht="12.75" x14ac:dyDescent="0.2"/>
    <row r="11862" s="197" customFormat="1" ht="12.75" x14ac:dyDescent="0.2"/>
    <row r="11863" s="197" customFormat="1" ht="12.75" x14ac:dyDescent="0.2"/>
    <row r="11864" s="197" customFormat="1" ht="12.75" x14ac:dyDescent="0.2"/>
    <row r="11865" s="197" customFormat="1" ht="12.75" x14ac:dyDescent="0.2"/>
    <row r="11866" s="197" customFormat="1" ht="12.75" x14ac:dyDescent="0.2"/>
    <row r="11867" s="197" customFormat="1" ht="12.75" x14ac:dyDescent="0.2"/>
    <row r="11868" s="197" customFormat="1" ht="12.75" x14ac:dyDescent="0.2"/>
    <row r="11869" s="197" customFormat="1" ht="12.75" x14ac:dyDescent="0.2"/>
    <row r="11870" s="197" customFormat="1" ht="12.75" x14ac:dyDescent="0.2"/>
    <row r="11871" s="197" customFormat="1" ht="12.75" x14ac:dyDescent="0.2"/>
    <row r="11872" s="197" customFormat="1" ht="12.75" x14ac:dyDescent="0.2"/>
    <row r="11873" s="197" customFormat="1" ht="12.75" x14ac:dyDescent="0.2"/>
    <row r="11874" s="197" customFormat="1" ht="12.75" x14ac:dyDescent="0.2"/>
    <row r="11875" s="197" customFormat="1" ht="12.75" x14ac:dyDescent="0.2"/>
    <row r="11876" s="197" customFormat="1" ht="12.75" x14ac:dyDescent="0.2"/>
    <row r="11877" s="197" customFormat="1" ht="12.75" x14ac:dyDescent="0.2"/>
    <row r="11878" s="197" customFormat="1" ht="12.75" x14ac:dyDescent="0.2"/>
    <row r="11879" s="197" customFormat="1" ht="12.75" x14ac:dyDescent="0.2"/>
    <row r="11880" s="197" customFormat="1" ht="12.75" x14ac:dyDescent="0.2"/>
    <row r="11881" s="197" customFormat="1" ht="12.75" x14ac:dyDescent="0.2"/>
    <row r="11882" s="197" customFormat="1" ht="12.75" x14ac:dyDescent="0.2"/>
    <row r="11883" s="197" customFormat="1" ht="12.75" x14ac:dyDescent="0.2"/>
    <row r="11884" s="197" customFormat="1" ht="12.75" x14ac:dyDescent="0.2"/>
    <row r="11885" s="197" customFormat="1" ht="12.75" x14ac:dyDescent="0.2"/>
    <row r="11886" s="197" customFormat="1" ht="12.75" x14ac:dyDescent="0.2"/>
    <row r="11887" s="197" customFormat="1" ht="12.75" x14ac:dyDescent="0.2"/>
    <row r="11888" s="197" customFormat="1" ht="12.75" x14ac:dyDescent="0.2"/>
    <row r="11889" s="197" customFormat="1" ht="12.75" x14ac:dyDescent="0.2"/>
    <row r="11890" s="197" customFormat="1" ht="12.75" x14ac:dyDescent="0.2"/>
    <row r="11891" s="197" customFormat="1" ht="12.75" x14ac:dyDescent="0.2"/>
    <row r="11892" s="197" customFormat="1" ht="12.75" x14ac:dyDescent="0.2"/>
    <row r="11893" s="197" customFormat="1" ht="12.75" x14ac:dyDescent="0.2"/>
    <row r="11894" s="197" customFormat="1" ht="12.75" x14ac:dyDescent="0.2"/>
    <row r="11895" s="197" customFormat="1" ht="12.75" x14ac:dyDescent="0.2"/>
    <row r="11896" s="197" customFormat="1" ht="12.75" x14ac:dyDescent="0.2"/>
    <row r="11897" s="197" customFormat="1" ht="12.75" x14ac:dyDescent="0.2"/>
    <row r="11898" s="197" customFormat="1" ht="12.75" x14ac:dyDescent="0.2"/>
    <row r="11899" s="197" customFormat="1" ht="12.75" x14ac:dyDescent="0.2"/>
    <row r="11900" s="197" customFormat="1" ht="12.75" x14ac:dyDescent="0.2"/>
    <row r="11901" s="197" customFormat="1" ht="12.75" x14ac:dyDescent="0.2"/>
    <row r="11902" s="197" customFormat="1" ht="12.75" x14ac:dyDescent="0.2"/>
    <row r="11903" s="197" customFormat="1" ht="12.75" x14ac:dyDescent="0.2"/>
    <row r="11904" s="197" customFormat="1" ht="12.75" x14ac:dyDescent="0.2"/>
    <row r="11905" s="197" customFormat="1" ht="12.75" x14ac:dyDescent="0.2"/>
    <row r="11906" s="197" customFormat="1" ht="12.75" x14ac:dyDescent="0.2"/>
    <row r="11907" s="197" customFormat="1" ht="12.75" x14ac:dyDescent="0.2"/>
    <row r="11908" s="197" customFormat="1" ht="12.75" x14ac:dyDescent="0.2"/>
    <row r="11909" s="197" customFormat="1" ht="12.75" x14ac:dyDescent="0.2"/>
    <row r="11910" s="197" customFormat="1" ht="12.75" x14ac:dyDescent="0.2"/>
    <row r="11911" s="197" customFormat="1" ht="12.75" x14ac:dyDescent="0.2"/>
    <row r="11912" s="197" customFormat="1" ht="12.75" x14ac:dyDescent="0.2"/>
    <row r="11913" s="197" customFormat="1" ht="12.75" x14ac:dyDescent="0.2"/>
    <row r="11914" s="197" customFormat="1" ht="12.75" x14ac:dyDescent="0.2"/>
    <row r="11915" s="197" customFormat="1" ht="12.75" x14ac:dyDescent="0.2"/>
    <row r="11916" s="197" customFormat="1" ht="12.75" x14ac:dyDescent="0.2"/>
    <row r="11917" s="197" customFormat="1" ht="12.75" x14ac:dyDescent="0.2"/>
    <row r="11918" s="197" customFormat="1" ht="12.75" x14ac:dyDescent="0.2"/>
    <row r="11919" s="197" customFormat="1" ht="12.75" x14ac:dyDescent="0.2"/>
    <row r="11920" s="197" customFormat="1" ht="12.75" x14ac:dyDescent="0.2"/>
    <row r="11921" s="197" customFormat="1" ht="12.75" x14ac:dyDescent="0.2"/>
    <row r="11922" s="197" customFormat="1" ht="12.75" x14ac:dyDescent="0.2"/>
    <row r="11923" s="197" customFormat="1" ht="12.75" x14ac:dyDescent="0.2"/>
    <row r="11924" s="197" customFormat="1" ht="12.75" x14ac:dyDescent="0.2"/>
    <row r="11925" s="197" customFormat="1" ht="12.75" x14ac:dyDescent="0.2"/>
    <row r="11926" s="197" customFormat="1" ht="12.75" x14ac:dyDescent="0.2"/>
    <row r="11927" s="197" customFormat="1" ht="12.75" x14ac:dyDescent="0.2"/>
    <row r="11928" s="197" customFormat="1" ht="12.75" x14ac:dyDescent="0.2"/>
    <row r="11929" s="197" customFormat="1" ht="12.75" x14ac:dyDescent="0.2"/>
    <row r="11930" s="197" customFormat="1" ht="12.75" x14ac:dyDescent="0.2"/>
    <row r="11931" s="197" customFormat="1" ht="12.75" x14ac:dyDescent="0.2"/>
    <row r="11932" s="197" customFormat="1" ht="12.75" x14ac:dyDescent="0.2"/>
    <row r="11933" s="197" customFormat="1" ht="12.75" x14ac:dyDescent="0.2"/>
    <row r="11934" s="197" customFormat="1" ht="12.75" x14ac:dyDescent="0.2"/>
    <row r="11935" s="197" customFormat="1" ht="12.75" x14ac:dyDescent="0.2"/>
    <row r="11936" s="197" customFormat="1" ht="12.75" x14ac:dyDescent="0.2"/>
    <row r="11937" s="197" customFormat="1" ht="12.75" x14ac:dyDescent="0.2"/>
    <row r="11938" s="197" customFormat="1" ht="12.75" x14ac:dyDescent="0.2"/>
    <row r="11939" s="197" customFormat="1" ht="12.75" x14ac:dyDescent="0.2"/>
    <row r="11940" s="197" customFormat="1" ht="12.75" x14ac:dyDescent="0.2"/>
    <row r="11941" s="197" customFormat="1" ht="12.75" x14ac:dyDescent="0.2"/>
    <row r="11942" s="197" customFormat="1" ht="12.75" x14ac:dyDescent="0.2"/>
    <row r="11943" s="197" customFormat="1" ht="12.75" x14ac:dyDescent="0.2"/>
    <row r="11944" s="197" customFormat="1" ht="12.75" x14ac:dyDescent="0.2"/>
    <row r="11945" s="197" customFormat="1" ht="12.75" x14ac:dyDescent="0.2"/>
    <row r="11946" s="197" customFormat="1" ht="12.75" x14ac:dyDescent="0.2"/>
    <row r="11947" s="197" customFormat="1" ht="12.75" x14ac:dyDescent="0.2"/>
    <row r="11948" s="197" customFormat="1" ht="12.75" x14ac:dyDescent="0.2"/>
    <row r="11949" s="197" customFormat="1" ht="12.75" x14ac:dyDescent="0.2"/>
    <row r="11950" s="197" customFormat="1" ht="12.75" x14ac:dyDescent="0.2"/>
    <row r="11951" s="197" customFormat="1" ht="12.75" x14ac:dyDescent="0.2"/>
    <row r="11952" s="197" customFormat="1" ht="12.75" x14ac:dyDescent="0.2"/>
    <row r="11953" s="197" customFormat="1" ht="12.75" x14ac:dyDescent="0.2"/>
    <row r="11954" s="197" customFormat="1" ht="12.75" x14ac:dyDescent="0.2"/>
    <row r="11955" s="197" customFormat="1" ht="12.75" x14ac:dyDescent="0.2"/>
    <row r="11956" s="197" customFormat="1" ht="12.75" x14ac:dyDescent="0.2"/>
    <row r="11957" s="197" customFormat="1" ht="12.75" x14ac:dyDescent="0.2"/>
    <row r="11958" s="197" customFormat="1" ht="12.75" x14ac:dyDescent="0.2"/>
    <row r="11959" s="197" customFormat="1" ht="12.75" x14ac:dyDescent="0.2"/>
    <row r="11960" s="197" customFormat="1" ht="12.75" x14ac:dyDescent="0.2"/>
    <row r="11961" s="197" customFormat="1" ht="12.75" x14ac:dyDescent="0.2"/>
    <row r="11962" s="197" customFormat="1" ht="12.75" x14ac:dyDescent="0.2"/>
    <row r="11963" s="197" customFormat="1" ht="12.75" x14ac:dyDescent="0.2"/>
    <row r="11964" s="197" customFormat="1" ht="12.75" x14ac:dyDescent="0.2"/>
    <row r="11965" s="197" customFormat="1" ht="12.75" x14ac:dyDescent="0.2"/>
    <row r="11966" s="197" customFormat="1" ht="12.75" x14ac:dyDescent="0.2"/>
    <row r="11967" s="197" customFormat="1" ht="12.75" x14ac:dyDescent="0.2"/>
    <row r="11968" s="197" customFormat="1" ht="12.75" x14ac:dyDescent="0.2"/>
    <row r="11969" s="197" customFormat="1" ht="12.75" x14ac:dyDescent="0.2"/>
    <row r="11970" s="197" customFormat="1" ht="12.75" x14ac:dyDescent="0.2"/>
    <row r="11971" s="197" customFormat="1" ht="12.75" x14ac:dyDescent="0.2"/>
    <row r="11972" s="197" customFormat="1" ht="12.75" x14ac:dyDescent="0.2"/>
    <row r="11973" s="197" customFormat="1" ht="12.75" x14ac:dyDescent="0.2"/>
    <row r="11974" s="197" customFormat="1" ht="12.75" x14ac:dyDescent="0.2"/>
    <row r="11975" s="197" customFormat="1" ht="12.75" x14ac:dyDescent="0.2"/>
    <row r="11976" s="197" customFormat="1" ht="12.75" x14ac:dyDescent="0.2"/>
    <row r="11977" s="197" customFormat="1" ht="12.75" x14ac:dyDescent="0.2"/>
    <row r="11978" s="197" customFormat="1" ht="12.75" x14ac:dyDescent="0.2"/>
    <row r="11979" s="197" customFormat="1" ht="12.75" x14ac:dyDescent="0.2"/>
    <row r="11980" s="197" customFormat="1" ht="12.75" x14ac:dyDescent="0.2"/>
    <row r="11981" s="197" customFormat="1" ht="12.75" x14ac:dyDescent="0.2"/>
    <row r="11982" s="197" customFormat="1" ht="12.75" x14ac:dyDescent="0.2"/>
    <row r="11983" s="197" customFormat="1" ht="12.75" x14ac:dyDescent="0.2"/>
    <row r="11984" s="197" customFormat="1" ht="12.75" x14ac:dyDescent="0.2"/>
    <row r="11985" s="197" customFormat="1" ht="12.75" x14ac:dyDescent="0.2"/>
    <row r="11986" s="197" customFormat="1" ht="12.75" x14ac:dyDescent="0.2"/>
    <row r="11987" s="197" customFormat="1" ht="12.75" x14ac:dyDescent="0.2"/>
    <row r="11988" s="197" customFormat="1" ht="12.75" x14ac:dyDescent="0.2"/>
    <row r="11989" s="197" customFormat="1" ht="12.75" x14ac:dyDescent="0.2"/>
    <row r="11990" s="197" customFormat="1" ht="12.75" x14ac:dyDescent="0.2"/>
    <row r="11991" s="197" customFormat="1" ht="12.75" x14ac:dyDescent="0.2"/>
    <row r="11992" s="197" customFormat="1" ht="12.75" x14ac:dyDescent="0.2"/>
    <row r="11993" s="197" customFormat="1" ht="12.75" x14ac:dyDescent="0.2"/>
    <row r="11994" s="197" customFormat="1" ht="12.75" x14ac:dyDescent="0.2"/>
    <row r="11995" s="197" customFormat="1" ht="12.75" x14ac:dyDescent="0.2"/>
    <row r="11996" s="197" customFormat="1" ht="12.75" x14ac:dyDescent="0.2"/>
    <row r="11997" s="197" customFormat="1" ht="12.75" x14ac:dyDescent="0.2"/>
    <row r="11998" s="197" customFormat="1" ht="12.75" x14ac:dyDescent="0.2"/>
    <row r="11999" s="197" customFormat="1" ht="12.75" x14ac:dyDescent="0.2"/>
    <row r="12000" s="197" customFormat="1" ht="12.75" x14ac:dyDescent="0.2"/>
    <row r="12001" s="197" customFormat="1" ht="12.75" x14ac:dyDescent="0.2"/>
    <row r="12002" s="197" customFormat="1" ht="12.75" x14ac:dyDescent="0.2"/>
    <row r="12003" s="197" customFormat="1" ht="12.75" x14ac:dyDescent="0.2"/>
    <row r="12004" s="197" customFormat="1" ht="12.75" x14ac:dyDescent="0.2"/>
    <row r="12005" s="197" customFormat="1" ht="12.75" x14ac:dyDescent="0.2"/>
    <row r="12006" s="197" customFormat="1" ht="12.75" x14ac:dyDescent="0.2"/>
    <row r="12007" s="197" customFormat="1" ht="12.75" x14ac:dyDescent="0.2"/>
    <row r="12008" s="197" customFormat="1" ht="12.75" x14ac:dyDescent="0.2"/>
    <row r="12009" s="197" customFormat="1" ht="12.75" x14ac:dyDescent="0.2"/>
    <row r="12010" s="197" customFormat="1" ht="12.75" x14ac:dyDescent="0.2"/>
    <row r="12011" s="197" customFormat="1" ht="12.75" x14ac:dyDescent="0.2"/>
    <row r="12012" s="197" customFormat="1" ht="12.75" x14ac:dyDescent="0.2"/>
    <row r="12013" s="197" customFormat="1" ht="12.75" x14ac:dyDescent="0.2"/>
    <row r="12014" s="197" customFormat="1" ht="12.75" x14ac:dyDescent="0.2"/>
    <row r="12015" s="197" customFormat="1" ht="12.75" x14ac:dyDescent="0.2"/>
    <row r="12016" s="197" customFormat="1" ht="12.75" x14ac:dyDescent="0.2"/>
    <row r="12017" s="197" customFormat="1" ht="12.75" x14ac:dyDescent="0.2"/>
    <row r="12018" s="197" customFormat="1" ht="12.75" x14ac:dyDescent="0.2"/>
    <row r="12019" s="197" customFormat="1" ht="12.75" x14ac:dyDescent="0.2"/>
    <row r="12020" s="197" customFormat="1" ht="12.75" x14ac:dyDescent="0.2"/>
    <row r="12021" s="197" customFormat="1" ht="12.75" x14ac:dyDescent="0.2"/>
    <row r="12022" s="197" customFormat="1" ht="12.75" x14ac:dyDescent="0.2"/>
    <row r="12023" s="197" customFormat="1" ht="12.75" x14ac:dyDescent="0.2"/>
    <row r="12024" s="197" customFormat="1" ht="12.75" x14ac:dyDescent="0.2"/>
    <row r="12025" s="197" customFormat="1" ht="12.75" x14ac:dyDescent="0.2"/>
    <row r="12026" s="197" customFormat="1" ht="12.75" x14ac:dyDescent="0.2"/>
    <row r="12027" s="197" customFormat="1" ht="12.75" x14ac:dyDescent="0.2"/>
    <row r="12028" s="197" customFormat="1" ht="12.75" x14ac:dyDescent="0.2"/>
    <row r="12029" s="197" customFormat="1" ht="12.75" x14ac:dyDescent="0.2"/>
    <row r="12030" s="197" customFormat="1" ht="12.75" x14ac:dyDescent="0.2"/>
    <row r="12031" s="197" customFormat="1" ht="12.75" x14ac:dyDescent="0.2"/>
    <row r="12032" s="197" customFormat="1" ht="12.75" x14ac:dyDescent="0.2"/>
    <row r="12033" s="197" customFormat="1" ht="12.75" x14ac:dyDescent="0.2"/>
    <row r="12034" s="197" customFormat="1" ht="12.75" x14ac:dyDescent="0.2"/>
    <row r="12035" s="197" customFormat="1" ht="12.75" x14ac:dyDescent="0.2"/>
    <row r="12036" s="197" customFormat="1" ht="12.75" x14ac:dyDescent="0.2"/>
    <row r="12037" s="197" customFormat="1" ht="12.75" x14ac:dyDescent="0.2"/>
    <row r="12038" s="197" customFormat="1" ht="12.75" x14ac:dyDescent="0.2"/>
    <row r="12039" s="197" customFormat="1" ht="12.75" x14ac:dyDescent="0.2"/>
    <row r="12040" s="197" customFormat="1" ht="12.75" x14ac:dyDescent="0.2"/>
    <row r="12041" s="197" customFormat="1" ht="12.75" x14ac:dyDescent="0.2"/>
    <row r="12042" s="197" customFormat="1" ht="12.75" x14ac:dyDescent="0.2"/>
    <row r="12043" s="197" customFormat="1" ht="12.75" x14ac:dyDescent="0.2"/>
    <row r="12044" s="197" customFormat="1" ht="12.75" x14ac:dyDescent="0.2"/>
    <row r="12045" s="197" customFormat="1" ht="12.75" x14ac:dyDescent="0.2"/>
    <row r="12046" s="197" customFormat="1" ht="12.75" x14ac:dyDescent="0.2"/>
    <row r="12047" s="197" customFormat="1" ht="12.75" x14ac:dyDescent="0.2"/>
    <row r="12048" s="197" customFormat="1" ht="12.75" x14ac:dyDescent="0.2"/>
    <row r="12049" s="197" customFormat="1" ht="12.75" x14ac:dyDescent="0.2"/>
    <row r="12050" s="197" customFormat="1" ht="12.75" x14ac:dyDescent="0.2"/>
    <row r="12051" s="197" customFormat="1" ht="12.75" x14ac:dyDescent="0.2"/>
    <row r="12052" s="197" customFormat="1" ht="12.75" x14ac:dyDescent="0.2"/>
    <row r="12053" s="197" customFormat="1" ht="12.75" x14ac:dyDescent="0.2"/>
    <row r="12054" s="197" customFormat="1" ht="12.75" x14ac:dyDescent="0.2"/>
    <row r="12055" s="197" customFormat="1" ht="12.75" x14ac:dyDescent="0.2"/>
    <row r="12056" s="197" customFormat="1" ht="12.75" x14ac:dyDescent="0.2"/>
    <row r="12057" s="197" customFormat="1" ht="12.75" x14ac:dyDescent="0.2"/>
    <row r="12058" s="197" customFormat="1" ht="12.75" x14ac:dyDescent="0.2"/>
    <row r="12059" s="197" customFormat="1" ht="12.75" x14ac:dyDescent="0.2"/>
    <row r="12060" s="197" customFormat="1" ht="12.75" x14ac:dyDescent="0.2"/>
    <row r="12061" s="197" customFormat="1" ht="12.75" x14ac:dyDescent="0.2"/>
    <row r="12062" s="197" customFormat="1" ht="12.75" x14ac:dyDescent="0.2"/>
    <row r="12063" s="197" customFormat="1" ht="12.75" x14ac:dyDescent="0.2"/>
    <row r="12064" s="197" customFormat="1" ht="12.75" x14ac:dyDescent="0.2"/>
    <row r="12065" s="197" customFormat="1" ht="12.75" x14ac:dyDescent="0.2"/>
    <row r="12066" s="197" customFormat="1" ht="12.75" x14ac:dyDescent="0.2"/>
    <row r="12067" s="197" customFormat="1" ht="12.75" x14ac:dyDescent="0.2"/>
    <row r="12068" s="197" customFormat="1" ht="12.75" x14ac:dyDescent="0.2"/>
    <row r="12069" s="197" customFormat="1" ht="12.75" x14ac:dyDescent="0.2"/>
    <row r="12070" s="197" customFormat="1" ht="12.75" x14ac:dyDescent="0.2"/>
    <row r="12071" s="197" customFormat="1" ht="12.75" x14ac:dyDescent="0.2"/>
    <row r="12072" s="197" customFormat="1" ht="12.75" x14ac:dyDescent="0.2"/>
    <row r="12073" s="197" customFormat="1" ht="12.75" x14ac:dyDescent="0.2"/>
    <row r="12074" s="197" customFormat="1" ht="12.75" x14ac:dyDescent="0.2"/>
    <row r="12075" s="197" customFormat="1" ht="12.75" x14ac:dyDescent="0.2"/>
    <row r="12076" s="197" customFormat="1" ht="12.75" x14ac:dyDescent="0.2"/>
    <row r="12077" s="197" customFormat="1" ht="12.75" x14ac:dyDescent="0.2"/>
    <row r="12078" s="197" customFormat="1" ht="12.75" x14ac:dyDescent="0.2"/>
    <row r="12079" s="197" customFormat="1" ht="12.75" x14ac:dyDescent="0.2"/>
    <row r="12080" s="197" customFormat="1" ht="12.75" x14ac:dyDescent="0.2"/>
    <row r="12081" s="197" customFormat="1" ht="12.75" x14ac:dyDescent="0.2"/>
    <row r="12082" s="197" customFormat="1" ht="12.75" x14ac:dyDescent="0.2"/>
    <row r="12083" s="197" customFormat="1" ht="12.75" x14ac:dyDescent="0.2"/>
    <row r="12084" s="197" customFormat="1" ht="12.75" x14ac:dyDescent="0.2"/>
    <row r="12085" s="197" customFormat="1" ht="12.75" x14ac:dyDescent="0.2"/>
    <row r="12086" s="197" customFormat="1" ht="12.75" x14ac:dyDescent="0.2"/>
    <row r="12087" s="197" customFormat="1" ht="12.75" x14ac:dyDescent="0.2"/>
    <row r="12088" s="197" customFormat="1" ht="12.75" x14ac:dyDescent="0.2"/>
    <row r="12089" s="197" customFormat="1" ht="12.75" x14ac:dyDescent="0.2"/>
    <row r="12090" s="197" customFormat="1" ht="12.75" x14ac:dyDescent="0.2"/>
    <row r="12091" s="197" customFormat="1" ht="12.75" x14ac:dyDescent="0.2"/>
    <row r="12092" s="197" customFormat="1" ht="12.75" x14ac:dyDescent="0.2"/>
    <row r="12093" s="197" customFormat="1" ht="12.75" x14ac:dyDescent="0.2"/>
    <row r="12094" s="197" customFormat="1" ht="12.75" x14ac:dyDescent="0.2"/>
    <row r="12095" s="197" customFormat="1" ht="12.75" x14ac:dyDescent="0.2"/>
    <row r="12096" s="197" customFormat="1" ht="12.75" x14ac:dyDescent="0.2"/>
    <row r="12097" s="197" customFormat="1" ht="12.75" x14ac:dyDescent="0.2"/>
    <row r="12098" s="197" customFormat="1" ht="12.75" x14ac:dyDescent="0.2"/>
    <row r="12099" s="197" customFormat="1" ht="12.75" x14ac:dyDescent="0.2"/>
    <row r="12100" s="197" customFormat="1" ht="12.75" x14ac:dyDescent="0.2"/>
    <row r="12101" s="197" customFormat="1" ht="12.75" x14ac:dyDescent="0.2"/>
    <row r="12102" s="197" customFormat="1" ht="12.75" x14ac:dyDescent="0.2"/>
    <row r="12103" s="197" customFormat="1" ht="12.75" x14ac:dyDescent="0.2"/>
    <row r="12104" s="197" customFormat="1" ht="12.75" x14ac:dyDescent="0.2"/>
    <row r="12105" s="197" customFormat="1" ht="12.75" x14ac:dyDescent="0.2"/>
    <row r="12106" s="197" customFormat="1" ht="12.75" x14ac:dyDescent="0.2"/>
    <row r="12107" s="197" customFormat="1" ht="12.75" x14ac:dyDescent="0.2"/>
    <row r="12108" s="197" customFormat="1" ht="12.75" x14ac:dyDescent="0.2"/>
    <row r="12109" s="197" customFormat="1" ht="12.75" x14ac:dyDescent="0.2"/>
    <row r="12110" s="197" customFormat="1" ht="12.75" x14ac:dyDescent="0.2"/>
    <row r="12111" s="197" customFormat="1" ht="12.75" x14ac:dyDescent="0.2"/>
    <row r="12112" s="197" customFormat="1" ht="12.75" x14ac:dyDescent="0.2"/>
    <row r="12113" s="197" customFormat="1" ht="12.75" x14ac:dyDescent="0.2"/>
    <row r="12114" s="197" customFormat="1" ht="12.75" x14ac:dyDescent="0.2"/>
    <row r="12115" s="197" customFormat="1" ht="12.75" x14ac:dyDescent="0.2"/>
    <row r="12116" s="197" customFormat="1" ht="12.75" x14ac:dyDescent="0.2"/>
    <row r="12117" s="197" customFormat="1" ht="12.75" x14ac:dyDescent="0.2"/>
    <row r="12118" s="197" customFormat="1" ht="12.75" x14ac:dyDescent="0.2"/>
    <row r="12119" s="197" customFormat="1" ht="12.75" x14ac:dyDescent="0.2"/>
    <row r="12120" s="197" customFormat="1" ht="12.75" x14ac:dyDescent="0.2"/>
    <row r="12121" s="197" customFormat="1" ht="12.75" x14ac:dyDescent="0.2"/>
    <row r="12122" s="197" customFormat="1" ht="12.75" x14ac:dyDescent="0.2"/>
    <row r="12123" s="197" customFormat="1" ht="12.75" x14ac:dyDescent="0.2"/>
    <row r="12124" s="197" customFormat="1" ht="12.75" x14ac:dyDescent="0.2"/>
    <row r="12125" s="197" customFormat="1" ht="12.75" x14ac:dyDescent="0.2"/>
    <row r="12126" s="197" customFormat="1" ht="12.75" x14ac:dyDescent="0.2"/>
    <row r="12127" s="197" customFormat="1" ht="12.75" x14ac:dyDescent="0.2"/>
    <row r="12128" s="197" customFormat="1" ht="12.75" x14ac:dyDescent="0.2"/>
    <row r="12129" s="197" customFormat="1" ht="12.75" x14ac:dyDescent="0.2"/>
    <row r="12130" s="197" customFormat="1" ht="12.75" x14ac:dyDescent="0.2"/>
    <row r="12131" s="197" customFormat="1" ht="12.75" x14ac:dyDescent="0.2"/>
    <row r="12132" s="197" customFormat="1" ht="12.75" x14ac:dyDescent="0.2"/>
    <row r="12133" s="197" customFormat="1" ht="12.75" x14ac:dyDescent="0.2"/>
    <row r="12134" s="197" customFormat="1" ht="12.75" x14ac:dyDescent="0.2"/>
    <row r="12135" s="197" customFormat="1" ht="12.75" x14ac:dyDescent="0.2"/>
    <row r="12136" s="197" customFormat="1" ht="12.75" x14ac:dyDescent="0.2"/>
    <row r="12137" s="197" customFormat="1" ht="12.75" x14ac:dyDescent="0.2"/>
    <row r="12138" s="197" customFormat="1" ht="12.75" x14ac:dyDescent="0.2"/>
    <row r="12139" s="197" customFormat="1" ht="12.75" x14ac:dyDescent="0.2"/>
    <row r="12140" s="197" customFormat="1" ht="12.75" x14ac:dyDescent="0.2"/>
    <row r="12141" s="197" customFormat="1" ht="12.75" x14ac:dyDescent="0.2"/>
    <row r="12142" s="197" customFormat="1" ht="12.75" x14ac:dyDescent="0.2"/>
    <row r="12143" s="197" customFormat="1" ht="12.75" x14ac:dyDescent="0.2"/>
    <row r="12144" s="197" customFormat="1" ht="12.75" x14ac:dyDescent="0.2"/>
    <row r="12145" s="197" customFormat="1" ht="12.75" x14ac:dyDescent="0.2"/>
    <row r="12146" s="197" customFormat="1" ht="12.75" x14ac:dyDescent="0.2"/>
    <row r="12147" s="197" customFormat="1" ht="12.75" x14ac:dyDescent="0.2"/>
    <row r="12148" s="197" customFormat="1" ht="12.75" x14ac:dyDescent="0.2"/>
    <row r="12149" s="197" customFormat="1" ht="12.75" x14ac:dyDescent="0.2"/>
    <row r="12150" s="197" customFormat="1" ht="12.75" x14ac:dyDescent="0.2"/>
    <row r="12151" s="197" customFormat="1" ht="12.75" x14ac:dyDescent="0.2"/>
    <row r="12152" s="197" customFormat="1" ht="12.75" x14ac:dyDescent="0.2"/>
    <row r="12153" s="197" customFormat="1" ht="12.75" x14ac:dyDescent="0.2"/>
    <row r="12154" s="197" customFormat="1" ht="12.75" x14ac:dyDescent="0.2"/>
    <row r="12155" s="197" customFormat="1" ht="12.75" x14ac:dyDescent="0.2"/>
    <row r="12156" s="197" customFormat="1" ht="12.75" x14ac:dyDescent="0.2"/>
    <row r="12157" s="197" customFormat="1" ht="12.75" x14ac:dyDescent="0.2"/>
    <row r="12158" s="197" customFormat="1" ht="12.75" x14ac:dyDescent="0.2"/>
    <row r="12159" s="197" customFormat="1" ht="12.75" x14ac:dyDescent="0.2"/>
    <row r="12160" s="197" customFormat="1" ht="12.75" x14ac:dyDescent="0.2"/>
    <row r="12161" s="197" customFormat="1" ht="12.75" x14ac:dyDescent="0.2"/>
    <row r="12162" s="197" customFormat="1" ht="12.75" x14ac:dyDescent="0.2"/>
    <row r="12163" s="197" customFormat="1" ht="12.75" x14ac:dyDescent="0.2"/>
    <row r="12164" s="197" customFormat="1" ht="12.75" x14ac:dyDescent="0.2"/>
    <row r="12165" s="197" customFormat="1" ht="12.75" x14ac:dyDescent="0.2"/>
    <row r="12166" s="197" customFormat="1" ht="12.75" x14ac:dyDescent="0.2"/>
    <row r="12167" s="197" customFormat="1" ht="12.75" x14ac:dyDescent="0.2"/>
    <row r="12168" s="197" customFormat="1" ht="12.75" x14ac:dyDescent="0.2"/>
    <row r="12169" s="197" customFormat="1" ht="12.75" x14ac:dyDescent="0.2"/>
    <row r="12170" s="197" customFormat="1" ht="12.75" x14ac:dyDescent="0.2"/>
    <row r="12171" s="197" customFormat="1" ht="12.75" x14ac:dyDescent="0.2"/>
    <row r="12172" s="197" customFormat="1" ht="12.75" x14ac:dyDescent="0.2"/>
    <row r="12173" s="197" customFormat="1" ht="12.75" x14ac:dyDescent="0.2"/>
    <row r="12174" s="197" customFormat="1" ht="12.75" x14ac:dyDescent="0.2"/>
    <row r="12175" s="197" customFormat="1" ht="12.75" x14ac:dyDescent="0.2"/>
    <row r="12176" s="197" customFormat="1" ht="12.75" x14ac:dyDescent="0.2"/>
    <row r="12177" s="197" customFormat="1" ht="12.75" x14ac:dyDescent="0.2"/>
    <row r="12178" s="197" customFormat="1" ht="12.75" x14ac:dyDescent="0.2"/>
    <row r="12179" s="197" customFormat="1" ht="12.75" x14ac:dyDescent="0.2"/>
    <row r="12180" s="197" customFormat="1" ht="12.75" x14ac:dyDescent="0.2"/>
    <row r="12181" s="197" customFormat="1" ht="12.75" x14ac:dyDescent="0.2"/>
    <row r="12182" s="197" customFormat="1" ht="12.75" x14ac:dyDescent="0.2"/>
    <row r="12183" s="197" customFormat="1" ht="12.75" x14ac:dyDescent="0.2"/>
    <row r="12184" s="197" customFormat="1" ht="12.75" x14ac:dyDescent="0.2"/>
    <row r="12185" s="197" customFormat="1" ht="12.75" x14ac:dyDescent="0.2"/>
    <row r="12186" s="197" customFormat="1" ht="12.75" x14ac:dyDescent="0.2"/>
    <row r="12187" s="197" customFormat="1" ht="12.75" x14ac:dyDescent="0.2"/>
    <row r="12188" s="197" customFormat="1" ht="12.75" x14ac:dyDescent="0.2"/>
    <row r="12189" s="197" customFormat="1" ht="12.75" x14ac:dyDescent="0.2"/>
    <row r="12190" s="197" customFormat="1" ht="12.75" x14ac:dyDescent="0.2"/>
    <row r="12191" s="197" customFormat="1" ht="12.75" x14ac:dyDescent="0.2"/>
    <row r="12192" s="197" customFormat="1" ht="12.75" x14ac:dyDescent="0.2"/>
    <row r="12193" s="197" customFormat="1" ht="12.75" x14ac:dyDescent="0.2"/>
    <row r="12194" s="197" customFormat="1" ht="12.75" x14ac:dyDescent="0.2"/>
    <row r="12195" s="197" customFormat="1" ht="12.75" x14ac:dyDescent="0.2"/>
    <row r="12196" s="197" customFormat="1" ht="12.75" x14ac:dyDescent="0.2"/>
    <row r="12197" s="197" customFormat="1" ht="12.75" x14ac:dyDescent="0.2"/>
    <row r="12198" s="197" customFormat="1" ht="12.75" x14ac:dyDescent="0.2"/>
    <row r="12199" s="197" customFormat="1" ht="12.75" x14ac:dyDescent="0.2"/>
    <row r="12200" s="197" customFormat="1" ht="12.75" x14ac:dyDescent="0.2"/>
    <row r="12201" s="197" customFormat="1" ht="12.75" x14ac:dyDescent="0.2"/>
    <row r="12202" s="197" customFormat="1" ht="12.75" x14ac:dyDescent="0.2"/>
    <row r="12203" s="197" customFormat="1" ht="12.75" x14ac:dyDescent="0.2"/>
    <row r="12204" s="197" customFormat="1" ht="12.75" x14ac:dyDescent="0.2"/>
    <row r="12205" s="197" customFormat="1" ht="12.75" x14ac:dyDescent="0.2"/>
    <row r="12206" s="197" customFormat="1" ht="12.75" x14ac:dyDescent="0.2"/>
    <row r="12207" s="197" customFormat="1" ht="12.75" x14ac:dyDescent="0.2"/>
    <row r="12208" s="197" customFormat="1" ht="12.75" x14ac:dyDescent="0.2"/>
    <row r="12209" s="197" customFormat="1" ht="12.75" x14ac:dyDescent="0.2"/>
    <row r="12210" s="197" customFormat="1" ht="12.75" x14ac:dyDescent="0.2"/>
    <row r="12211" s="197" customFormat="1" ht="12.75" x14ac:dyDescent="0.2"/>
    <row r="12212" s="197" customFormat="1" ht="12.75" x14ac:dyDescent="0.2"/>
    <row r="12213" s="197" customFormat="1" ht="12.75" x14ac:dyDescent="0.2"/>
    <row r="12214" s="197" customFormat="1" ht="12.75" x14ac:dyDescent="0.2"/>
    <row r="12215" s="197" customFormat="1" ht="12.75" x14ac:dyDescent="0.2"/>
    <row r="12216" s="197" customFormat="1" ht="12.75" x14ac:dyDescent="0.2"/>
    <row r="12217" s="197" customFormat="1" ht="12.75" x14ac:dyDescent="0.2"/>
    <row r="12218" s="197" customFormat="1" ht="12.75" x14ac:dyDescent="0.2"/>
    <row r="12219" s="197" customFormat="1" ht="12.75" x14ac:dyDescent="0.2"/>
    <row r="12220" s="197" customFormat="1" ht="12.75" x14ac:dyDescent="0.2"/>
    <row r="12221" s="197" customFormat="1" ht="12.75" x14ac:dyDescent="0.2"/>
    <row r="12222" s="197" customFormat="1" ht="12.75" x14ac:dyDescent="0.2"/>
    <row r="12223" s="197" customFormat="1" ht="12.75" x14ac:dyDescent="0.2"/>
    <row r="12224" s="197" customFormat="1" ht="12.75" x14ac:dyDescent="0.2"/>
    <row r="12225" s="197" customFormat="1" ht="12.75" x14ac:dyDescent="0.2"/>
    <row r="12226" s="197" customFormat="1" ht="12.75" x14ac:dyDescent="0.2"/>
    <row r="12227" s="197" customFormat="1" ht="12.75" x14ac:dyDescent="0.2"/>
    <row r="12228" s="197" customFormat="1" ht="12.75" x14ac:dyDescent="0.2"/>
    <row r="12229" s="197" customFormat="1" ht="12.75" x14ac:dyDescent="0.2"/>
    <row r="12230" s="197" customFormat="1" ht="12.75" x14ac:dyDescent="0.2"/>
    <row r="12231" s="197" customFormat="1" ht="12.75" x14ac:dyDescent="0.2"/>
    <row r="12232" s="197" customFormat="1" ht="12.75" x14ac:dyDescent="0.2"/>
    <row r="12233" s="197" customFormat="1" ht="12.75" x14ac:dyDescent="0.2"/>
    <row r="12234" s="197" customFormat="1" ht="12.75" x14ac:dyDescent="0.2"/>
    <row r="12235" s="197" customFormat="1" ht="12.75" x14ac:dyDescent="0.2"/>
    <row r="12236" s="197" customFormat="1" ht="12.75" x14ac:dyDescent="0.2"/>
    <row r="12237" s="197" customFormat="1" ht="12.75" x14ac:dyDescent="0.2"/>
    <row r="12238" s="197" customFormat="1" ht="12.75" x14ac:dyDescent="0.2"/>
    <row r="12239" s="197" customFormat="1" ht="12.75" x14ac:dyDescent="0.2"/>
    <row r="12240" s="197" customFormat="1" ht="12.75" x14ac:dyDescent="0.2"/>
    <row r="12241" s="197" customFormat="1" ht="12.75" x14ac:dyDescent="0.2"/>
    <row r="12242" s="197" customFormat="1" ht="12.75" x14ac:dyDescent="0.2"/>
    <row r="12243" s="197" customFormat="1" ht="12.75" x14ac:dyDescent="0.2"/>
    <row r="12244" s="197" customFormat="1" ht="12.75" x14ac:dyDescent="0.2"/>
    <row r="12245" s="197" customFormat="1" ht="12.75" x14ac:dyDescent="0.2"/>
    <row r="12246" s="197" customFormat="1" ht="12.75" x14ac:dyDescent="0.2"/>
    <row r="12247" s="197" customFormat="1" ht="12.75" x14ac:dyDescent="0.2"/>
    <row r="12248" s="197" customFormat="1" ht="12.75" x14ac:dyDescent="0.2"/>
    <row r="12249" s="197" customFormat="1" ht="12.75" x14ac:dyDescent="0.2"/>
    <row r="12250" s="197" customFormat="1" ht="12.75" x14ac:dyDescent="0.2"/>
    <row r="12251" s="197" customFormat="1" ht="12.75" x14ac:dyDescent="0.2"/>
    <row r="12252" s="197" customFormat="1" ht="12.75" x14ac:dyDescent="0.2"/>
    <row r="12253" s="197" customFormat="1" ht="12.75" x14ac:dyDescent="0.2"/>
    <row r="12254" s="197" customFormat="1" ht="12.75" x14ac:dyDescent="0.2"/>
    <row r="12255" s="197" customFormat="1" ht="12.75" x14ac:dyDescent="0.2"/>
    <row r="12256" s="197" customFormat="1" ht="12.75" x14ac:dyDescent="0.2"/>
    <row r="12257" s="197" customFormat="1" ht="12.75" x14ac:dyDescent="0.2"/>
    <row r="12258" s="197" customFormat="1" ht="12.75" x14ac:dyDescent="0.2"/>
    <row r="12259" s="197" customFormat="1" ht="12.75" x14ac:dyDescent="0.2"/>
    <row r="12260" s="197" customFormat="1" ht="12.75" x14ac:dyDescent="0.2"/>
    <row r="12261" s="197" customFormat="1" ht="12.75" x14ac:dyDescent="0.2"/>
    <row r="12262" s="197" customFormat="1" ht="12.75" x14ac:dyDescent="0.2"/>
    <row r="12263" s="197" customFormat="1" ht="12.75" x14ac:dyDescent="0.2"/>
    <row r="12264" s="197" customFormat="1" ht="12.75" x14ac:dyDescent="0.2"/>
    <row r="12265" s="197" customFormat="1" ht="12.75" x14ac:dyDescent="0.2"/>
    <row r="12266" s="197" customFormat="1" ht="12.75" x14ac:dyDescent="0.2"/>
    <row r="12267" s="197" customFormat="1" ht="12.75" x14ac:dyDescent="0.2"/>
    <row r="12268" s="197" customFormat="1" ht="12.75" x14ac:dyDescent="0.2"/>
    <row r="12269" s="197" customFormat="1" ht="12.75" x14ac:dyDescent="0.2"/>
    <row r="12270" s="197" customFormat="1" ht="12.75" x14ac:dyDescent="0.2"/>
    <row r="12271" s="197" customFormat="1" ht="12.75" x14ac:dyDescent="0.2"/>
    <row r="12272" s="197" customFormat="1" ht="12.75" x14ac:dyDescent="0.2"/>
    <row r="12273" s="197" customFormat="1" ht="12.75" x14ac:dyDescent="0.2"/>
    <row r="12274" s="197" customFormat="1" ht="12.75" x14ac:dyDescent="0.2"/>
    <row r="12275" s="197" customFormat="1" ht="12.75" x14ac:dyDescent="0.2"/>
    <row r="12276" s="197" customFormat="1" ht="12.75" x14ac:dyDescent="0.2"/>
    <row r="12277" s="197" customFormat="1" ht="12.75" x14ac:dyDescent="0.2"/>
    <row r="12278" s="197" customFormat="1" ht="12.75" x14ac:dyDescent="0.2"/>
    <row r="12279" s="197" customFormat="1" ht="12.75" x14ac:dyDescent="0.2"/>
    <row r="12280" s="197" customFormat="1" ht="12.75" x14ac:dyDescent="0.2"/>
    <row r="12281" s="197" customFormat="1" ht="12.75" x14ac:dyDescent="0.2"/>
    <row r="12282" s="197" customFormat="1" ht="12.75" x14ac:dyDescent="0.2"/>
    <row r="12283" s="197" customFormat="1" ht="12.75" x14ac:dyDescent="0.2"/>
    <row r="12284" s="197" customFormat="1" ht="12.75" x14ac:dyDescent="0.2"/>
    <row r="12285" s="197" customFormat="1" ht="12.75" x14ac:dyDescent="0.2"/>
    <row r="12286" s="197" customFormat="1" ht="12.75" x14ac:dyDescent="0.2"/>
    <row r="12287" s="197" customFormat="1" ht="12.75" x14ac:dyDescent="0.2"/>
    <row r="12288" s="197" customFormat="1" ht="12.75" x14ac:dyDescent="0.2"/>
    <row r="12289" s="197" customFormat="1" ht="12.75" x14ac:dyDescent="0.2"/>
    <row r="12290" s="197" customFormat="1" ht="12.75" x14ac:dyDescent="0.2"/>
    <row r="12291" s="197" customFormat="1" ht="12.75" x14ac:dyDescent="0.2"/>
    <row r="12292" s="197" customFormat="1" ht="12.75" x14ac:dyDescent="0.2"/>
    <row r="12293" s="197" customFormat="1" ht="12.75" x14ac:dyDescent="0.2"/>
    <row r="12294" s="197" customFormat="1" ht="12.75" x14ac:dyDescent="0.2"/>
    <row r="12295" s="197" customFormat="1" ht="12.75" x14ac:dyDescent="0.2"/>
    <row r="12296" s="197" customFormat="1" ht="12.75" x14ac:dyDescent="0.2"/>
    <row r="12297" s="197" customFormat="1" ht="12.75" x14ac:dyDescent="0.2"/>
    <row r="12298" s="197" customFormat="1" ht="12.75" x14ac:dyDescent="0.2"/>
    <row r="12299" s="197" customFormat="1" ht="12.75" x14ac:dyDescent="0.2"/>
    <row r="12300" s="197" customFormat="1" ht="12.75" x14ac:dyDescent="0.2"/>
    <row r="12301" s="197" customFormat="1" ht="12.75" x14ac:dyDescent="0.2"/>
    <row r="12302" s="197" customFormat="1" ht="12.75" x14ac:dyDescent="0.2"/>
    <row r="12303" s="197" customFormat="1" ht="12.75" x14ac:dyDescent="0.2"/>
    <row r="12304" s="197" customFormat="1" ht="12.75" x14ac:dyDescent="0.2"/>
    <row r="12305" s="197" customFormat="1" ht="12.75" x14ac:dyDescent="0.2"/>
    <row r="12306" s="197" customFormat="1" ht="12.75" x14ac:dyDescent="0.2"/>
    <row r="12307" s="197" customFormat="1" ht="12.75" x14ac:dyDescent="0.2"/>
    <row r="12308" s="197" customFormat="1" ht="12.75" x14ac:dyDescent="0.2"/>
    <row r="12309" s="197" customFormat="1" ht="12.75" x14ac:dyDescent="0.2"/>
    <row r="12310" s="197" customFormat="1" ht="12.75" x14ac:dyDescent="0.2"/>
    <row r="12311" s="197" customFormat="1" ht="12.75" x14ac:dyDescent="0.2"/>
    <row r="12312" s="197" customFormat="1" ht="12.75" x14ac:dyDescent="0.2"/>
    <row r="12313" s="197" customFormat="1" ht="12.75" x14ac:dyDescent="0.2"/>
    <row r="12314" s="197" customFormat="1" ht="12.75" x14ac:dyDescent="0.2"/>
    <row r="12315" s="197" customFormat="1" ht="12.75" x14ac:dyDescent="0.2"/>
    <row r="12316" s="197" customFormat="1" ht="12.75" x14ac:dyDescent="0.2"/>
    <row r="12317" s="197" customFormat="1" ht="12.75" x14ac:dyDescent="0.2"/>
    <row r="12318" s="197" customFormat="1" ht="12.75" x14ac:dyDescent="0.2"/>
    <row r="12319" s="197" customFormat="1" ht="12.75" x14ac:dyDescent="0.2"/>
    <row r="12320" s="197" customFormat="1" ht="12.75" x14ac:dyDescent="0.2"/>
    <row r="12321" s="197" customFormat="1" ht="12.75" x14ac:dyDescent="0.2"/>
    <row r="12322" s="197" customFormat="1" ht="12.75" x14ac:dyDescent="0.2"/>
    <row r="12323" s="197" customFormat="1" ht="12.75" x14ac:dyDescent="0.2"/>
    <row r="12324" s="197" customFormat="1" ht="12.75" x14ac:dyDescent="0.2"/>
    <row r="12325" s="197" customFormat="1" ht="12.75" x14ac:dyDescent="0.2"/>
    <row r="12326" s="197" customFormat="1" ht="12.75" x14ac:dyDescent="0.2"/>
    <row r="12327" s="197" customFormat="1" ht="12.75" x14ac:dyDescent="0.2"/>
    <row r="12328" s="197" customFormat="1" ht="12.75" x14ac:dyDescent="0.2"/>
    <row r="12329" s="197" customFormat="1" ht="12.75" x14ac:dyDescent="0.2"/>
    <row r="12330" s="197" customFormat="1" ht="12.75" x14ac:dyDescent="0.2"/>
    <row r="12331" s="197" customFormat="1" ht="12.75" x14ac:dyDescent="0.2"/>
    <row r="12332" s="197" customFormat="1" ht="12.75" x14ac:dyDescent="0.2"/>
    <row r="12333" s="197" customFormat="1" ht="12.75" x14ac:dyDescent="0.2"/>
    <row r="12334" s="197" customFormat="1" ht="12.75" x14ac:dyDescent="0.2"/>
    <row r="12335" s="197" customFormat="1" ht="12.75" x14ac:dyDescent="0.2"/>
    <row r="12336" s="197" customFormat="1" ht="12.75" x14ac:dyDescent="0.2"/>
    <row r="12337" s="197" customFormat="1" ht="12.75" x14ac:dyDescent="0.2"/>
    <row r="12338" s="197" customFormat="1" ht="12.75" x14ac:dyDescent="0.2"/>
    <row r="12339" s="197" customFormat="1" ht="12.75" x14ac:dyDescent="0.2"/>
    <row r="12340" s="197" customFormat="1" ht="12.75" x14ac:dyDescent="0.2"/>
    <row r="12341" s="197" customFormat="1" ht="12.75" x14ac:dyDescent="0.2"/>
    <row r="12342" s="197" customFormat="1" ht="12.75" x14ac:dyDescent="0.2"/>
    <row r="12343" s="197" customFormat="1" ht="12.75" x14ac:dyDescent="0.2"/>
    <row r="12344" s="197" customFormat="1" ht="12.75" x14ac:dyDescent="0.2"/>
    <row r="12345" s="197" customFormat="1" ht="12.75" x14ac:dyDescent="0.2"/>
    <row r="12346" s="197" customFormat="1" ht="12.75" x14ac:dyDescent="0.2"/>
    <row r="12347" s="197" customFormat="1" ht="12.75" x14ac:dyDescent="0.2"/>
    <row r="12348" s="197" customFormat="1" ht="12.75" x14ac:dyDescent="0.2"/>
    <row r="12349" s="197" customFormat="1" ht="12.75" x14ac:dyDescent="0.2"/>
    <row r="12350" s="197" customFormat="1" ht="12.75" x14ac:dyDescent="0.2"/>
    <row r="12351" s="197" customFormat="1" ht="12.75" x14ac:dyDescent="0.2"/>
    <row r="12352" s="197" customFormat="1" ht="12.75" x14ac:dyDescent="0.2"/>
    <row r="12353" s="197" customFormat="1" ht="12.75" x14ac:dyDescent="0.2"/>
    <row r="12354" s="197" customFormat="1" ht="12.75" x14ac:dyDescent="0.2"/>
    <row r="12355" s="197" customFormat="1" ht="12.75" x14ac:dyDescent="0.2"/>
    <row r="12356" s="197" customFormat="1" ht="12.75" x14ac:dyDescent="0.2"/>
    <row r="12357" s="197" customFormat="1" ht="12.75" x14ac:dyDescent="0.2"/>
    <row r="12358" s="197" customFormat="1" ht="12.75" x14ac:dyDescent="0.2"/>
    <row r="12359" s="197" customFormat="1" ht="12.75" x14ac:dyDescent="0.2"/>
    <row r="12360" s="197" customFormat="1" ht="12.75" x14ac:dyDescent="0.2"/>
    <row r="12361" s="197" customFormat="1" ht="12.75" x14ac:dyDescent="0.2"/>
    <row r="12362" s="197" customFormat="1" ht="12.75" x14ac:dyDescent="0.2"/>
    <row r="12363" s="197" customFormat="1" ht="12.75" x14ac:dyDescent="0.2"/>
    <row r="12364" s="197" customFormat="1" ht="12.75" x14ac:dyDescent="0.2"/>
    <row r="12365" s="197" customFormat="1" ht="12.75" x14ac:dyDescent="0.2"/>
    <row r="12366" s="197" customFormat="1" ht="12.75" x14ac:dyDescent="0.2"/>
    <row r="12367" s="197" customFormat="1" ht="12.75" x14ac:dyDescent="0.2"/>
    <row r="12368" s="197" customFormat="1" ht="12.75" x14ac:dyDescent="0.2"/>
    <row r="12369" s="197" customFormat="1" ht="12.75" x14ac:dyDescent="0.2"/>
    <row r="12370" s="197" customFormat="1" ht="12.75" x14ac:dyDescent="0.2"/>
    <row r="12371" s="197" customFormat="1" ht="12.75" x14ac:dyDescent="0.2"/>
    <row r="12372" s="197" customFormat="1" ht="12.75" x14ac:dyDescent="0.2"/>
    <row r="12373" s="197" customFormat="1" ht="12.75" x14ac:dyDescent="0.2"/>
    <row r="12374" s="197" customFormat="1" ht="12.75" x14ac:dyDescent="0.2"/>
    <row r="12375" s="197" customFormat="1" ht="12.75" x14ac:dyDescent="0.2"/>
    <row r="12376" s="197" customFormat="1" ht="12.75" x14ac:dyDescent="0.2"/>
    <row r="12377" s="197" customFormat="1" ht="12.75" x14ac:dyDescent="0.2"/>
    <row r="12378" s="197" customFormat="1" ht="12.75" x14ac:dyDescent="0.2"/>
    <row r="12379" s="197" customFormat="1" ht="12.75" x14ac:dyDescent="0.2"/>
    <row r="12380" s="197" customFormat="1" ht="12.75" x14ac:dyDescent="0.2"/>
    <row r="12381" s="197" customFormat="1" ht="12.75" x14ac:dyDescent="0.2"/>
    <row r="12382" s="197" customFormat="1" ht="12.75" x14ac:dyDescent="0.2"/>
    <row r="12383" s="197" customFormat="1" ht="12.75" x14ac:dyDescent="0.2"/>
    <row r="12384" s="197" customFormat="1" ht="12.75" x14ac:dyDescent="0.2"/>
    <row r="12385" s="197" customFormat="1" ht="12.75" x14ac:dyDescent="0.2"/>
    <row r="12386" s="197" customFormat="1" ht="12.75" x14ac:dyDescent="0.2"/>
    <row r="12387" s="197" customFormat="1" ht="12.75" x14ac:dyDescent="0.2"/>
    <row r="12388" s="197" customFormat="1" ht="12.75" x14ac:dyDescent="0.2"/>
    <row r="12389" s="197" customFormat="1" ht="12.75" x14ac:dyDescent="0.2"/>
    <row r="12390" s="197" customFormat="1" ht="12.75" x14ac:dyDescent="0.2"/>
    <row r="12391" s="197" customFormat="1" ht="12.75" x14ac:dyDescent="0.2"/>
    <row r="12392" s="197" customFormat="1" ht="12.75" x14ac:dyDescent="0.2"/>
    <row r="12393" s="197" customFormat="1" ht="12.75" x14ac:dyDescent="0.2"/>
    <row r="12394" s="197" customFormat="1" ht="12.75" x14ac:dyDescent="0.2"/>
    <row r="12395" s="197" customFormat="1" ht="12.75" x14ac:dyDescent="0.2"/>
    <row r="12396" s="197" customFormat="1" ht="12.75" x14ac:dyDescent="0.2"/>
    <row r="12397" s="197" customFormat="1" ht="12.75" x14ac:dyDescent="0.2"/>
    <row r="12398" s="197" customFormat="1" ht="12.75" x14ac:dyDescent="0.2"/>
    <row r="12399" s="197" customFormat="1" ht="12.75" x14ac:dyDescent="0.2"/>
    <row r="12400" s="197" customFormat="1" ht="12.75" x14ac:dyDescent="0.2"/>
    <row r="12401" s="197" customFormat="1" ht="12.75" x14ac:dyDescent="0.2"/>
    <row r="12402" s="197" customFormat="1" ht="12.75" x14ac:dyDescent="0.2"/>
    <row r="12403" s="197" customFormat="1" ht="12.75" x14ac:dyDescent="0.2"/>
    <row r="12404" s="197" customFormat="1" ht="12.75" x14ac:dyDescent="0.2"/>
    <row r="12405" s="197" customFormat="1" ht="12.75" x14ac:dyDescent="0.2"/>
    <row r="12406" s="197" customFormat="1" ht="12.75" x14ac:dyDescent="0.2"/>
    <row r="12407" s="197" customFormat="1" ht="12.75" x14ac:dyDescent="0.2"/>
    <row r="12408" s="197" customFormat="1" ht="12.75" x14ac:dyDescent="0.2"/>
    <row r="12409" s="197" customFormat="1" ht="12.75" x14ac:dyDescent="0.2"/>
    <row r="12410" s="197" customFormat="1" ht="12.75" x14ac:dyDescent="0.2"/>
    <row r="12411" s="197" customFormat="1" ht="12.75" x14ac:dyDescent="0.2"/>
    <row r="12412" s="197" customFormat="1" ht="12.75" x14ac:dyDescent="0.2"/>
    <row r="12413" s="197" customFormat="1" ht="12.75" x14ac:dyDescent="0.2"/>
    <row r="12414" s="197" customFormat="1" ht="12.75" x14ac:dyDescent="0.2"/>
    <row r="12415" s="197" customFormat="1" ht="12.75" x14ac:dyDescent="0.2"/>
    <row r="12416" s="197" customFormat="1" ht="12.75" x14ac:dyDescent="0.2"/>
    <row r="12417" s="197" customFormat="1" ht="12.75" x14ac:dyDescent="0.2"/>
    <row r="12418" s="197" customFormat="1" ht="12.75" x14ac:dyDescent="0.2"/>
    <row r="12419" s="197" customFormat="1" ht="12.75" x14ac:dyDescent="0.2"/>
    <row r="12420" s="197" customFormat="1" ht="12.75" x14ac:dyDescent="0.2"/>
    <row r="12421" s="197" customFormat="1" ht="12.75" x14ac:dyDescent="0.2"/>
    <row r="12422" s="197" customFormat="1" ht="12.75" x14ac:dyDescent="0.2"/>
    <row r="12423" s="197" customFormat="1" ht="12.75" x14ac:dyDescent="0.2"/>
    <row r="12424" s="197" customFormat="1" ht="12.75" x14ac:dyDescent="0.2"/>
    <row r="12425" s="197" customFormat="1" ht="12.75" x14ac:dyDescent="0.2"/>
    <row r="12426" s="197" customFormat="1" ht="12.75" x14ac:dyDescent="0.2"/>
    <row r="12427" s="197" customFormat="1" ht="12.75" x14ac:dyDescent="0.2"/>
    <row r="12428" s="197" customFormat="1" ht="12.75" x14ac:dyDescent="0.2"/>
    <row r="12429" s="197" customFormat="1" ht="12.75" x14ac:dyDescent="0.2"/>
    <row r="12430" s="197" customFormat="1" ht="12.75" x14ac:dyDescent="0.2"/>
    <row r="12431" s="197" customFormat="1" ht="12.75" x14ac:dyDescent="0.2"/>
    <row r="12432" s="197" customFormat="1" ht="12.75" x14ac:dyDescent="0.2"/>
    <row r="12433" s="197" customFormat="1" ht="12.75" x14ac:dyDescent="0.2"/>
    <row r="12434" s="197" customFormat="1" ht="12.75" x14ac:dyDescent="0.2"/>
    <row r="12435" s="197" customFormat="1" ht="12.75" x14ac:dyDescent="0.2"/>
    <row r="12436" s="197" customFormat="1" ht="12.75" x14ac:dyDescent="0.2"/>
    <row r="12437" s="197" customFormat="1" ht="12.75" x14ac:dyDescent="0.2"/>
    <row r="12438" s="197" customFormat="1" ht="12.75" x14ac:dyDescent="0.2"/>
    <row r="12439" s="197" customFormat="1" ht="12.75" x14ac:dyDescent="0.2"/>
    <row r="12440" s="197" customFormat="1" ht="12.75" x14ac:dyDescent="0.2"/>
    <row r="12441" s="197" customFormat="1" ht="12.75" x14ac:dyDescent="0.2"/>
    <row r="12442" s="197" customFormat="1" ht="12.75" x14ac:dyDescent="0.2"/>
    <row r="12443" s="197" customFormat="1" ht="12.75" x14ac:dyDescent="0.2"/>
    <row r="12444" s="197" customFormat="1" ht="12.75" x14ac:dyDescent="0.2"/>
    <row r="12445" s="197" customFormat="1" ht="12.75" x14ac:dyDescent="0.2"/>
    <row r="12446" s="197" customFormat="1" ht="12.75" x14ac:dyDescent="0.2"/>
    <row r="12447" s="197" customFormat="1" ht="12.75" x14ac:dyDescent="0.2"/>
    <row r="12448" s="197" customFormat="1" ht="12.75" x14ac:dyDescent="0.2"/>
    <row r="12449" s="197" customFormat="1" ht="12.75" x14ac:dyDescent="0.2"/>
    <row r="12450" s="197" customFormat="1" ht="12.75" x14ac:dyDescent="0.2"/>
    <row r="12451" s="197" customFormat="1" ht="12.75" x14ac:dyDescent="0.2"/>
    <row r="12452" s="197" customFormat="1" ht="12.75" x14ac:dyDescent="0.2"/>
    <row r="12453" s="197" customFormat="1" ht="12.75" x14ac:dyDescent="0.2"/>
    <row r="12454" s="197" customFormat="1" ht="12.75" x14ac:dyDescent="0.2"/>
    <row r="12455" s="197" customFormat="1" ht="12.75" x14ac:dyDescent="0.2"/>
    <row r="12456" s="197" customFormat="1" ht="12.75" x14ac:dyDescent="0.2"/>
    <row r="12457" s="197" customFormat="1" ht="12.75" x14ac:dyDescent="0.2"/>
    <row r="12458" s="197" customFormat="1" ht="12.75" x14ac:dyDescent="0.2"/>
    <row r="12459" s="197" customFormat="1" ht="12.75" x14ac:dyDescent="0.2"/>
    <row r="12460" s="197" customFormat="1" ht="12.75" x14ac:dyDescent="0.2"/>
    <row r="12461" s="197" customFormat="1" ht="12.75" x14ac:dyDescent="0.2"/>
    <row r="12462" s="197" customFormat="1" ht="12.75" x14ac:dyDescent="0.2"/>
    <row r="12463" s="197" customFormat="1" ht="12.75" x14ac:dyDescent="0.2"/>
    <row r="12464" s="197" customFormat="1" ht="12.75" x14ac:dyDescent="0.2"/>
    <row r="12465" s="197" customFormat="1" ht="12.75" x14ac:dyDescent="0.2"/>
    <row r="12466" s="197" customFormat="1" ht="12.75" x14ac:dyDescent="0.2"/>
    <row r="12467" s="197" customFormat="1" ht="12.75" x14ac:dyDescent="0.2"/>
    <row r="12468" s="197" customFormat="1" ht="12.75" x14ac:dyDescent="0.2"/>
    <row r="12469" s="197" customFormat="1" ht="12.75" x14ac:dyDescent="0.2"/>
    <row r="12470" s="197" customFormat="1" ht="12.75" x14ac:dyDescent="0.2"/>
    <row r="12471" s="197" customFormat="1" ht="12.75" x14ac:dyDescent="0.2"/>
    <row r="12472" s="197" customFormat="1" ht="12.75" x14ac:dyDescent="0.2"/>
    <row r="12473" s="197" customFormat="1" ht="12.75" x14ac:dyDescent="0.2"/>
    <row r="12474" s="197" customFormat="1" ht="12.75" x14ac:dyDescent="0.2"/>
    <row r="12475" s="197" customFormat="1" ht="12.75" x14ac:dyDescent="0.2"/>
    <row r="12476" s="197" customFormat="1" ht="12.75" x14ac:dyDescent="0.2"/>
    <row r="12477" s="197" customFormat="1" ht="12.75" x14ac:dyDescent="0.2"/>
    <row r="12478" s="197" customFormat="1" ht="12.75" x14ac:dyDescent="0.2"/>
    <row r="12479" s="197" customFormat="1" ht="12.75" x14ac:dyDescent="0.2"/>
    <row r="12480" s="197" customFormat="1" ht="12.75" x14ac:dyDescent="0.2"/>
    <row r="12481" s="197" customFormat="1" ht="12.75" x14ac:dyDescent="0.2"/>
    <row r="12482" s="197" customFormat="1" ht="12.75" x14ac:dyDescent="0.2"/>
    <row r="12483" s="197" customFormat="1" ht="12.75" x14ac:dyDescent="0.2"/>
    <row r="12484" s="197" customFormat="1" ht="12.75" x14ac:dyDescent="0.2"/>
    <row r="12485" s="197" customFormat="1" ht="12.75" x14ac:dyDescent="0.2"/>
    <row r="12486" s="197" customFormat="1" ht="12.75" x14ac:dyDescent="0.2"/>
    <row r="12487" s="197" customFormat="1" ht="12.75" x14ac:dyDescent="0.2"/>
    <row r="12488" s="197" customFormat="1" ht="12.75" x14ac:dyDescent="0.2"/>
    <row r="12489" s="197" customFormat="1" ht="12.75" x14ac:dyDescent="0.2"/>
    <row r="12490" s="197" customFormat="1" ht="12.75" x14ac:dyDescent="0.2"/>
    <row r="12491" s="197" customFormat="1" ht="12.75" x14ac:dyDescent="0.2"/>
    <row r="12492" s="197" customFormat="1" ht="12.75" x14ac:dyDescent="0.2"/>
    <row r="12493" s="197" customFormat="1" ht="12.75" x14ac:dyDescent="0.2"/>
    <row r="12494" s="197" customFormat="1" ht="12.75" x14ac:dyDescent="0.2"/>
    <row r="12495" s="197" customFormat="1" ht="12.75" x14ac:dyDescent="0.2"/>
    <row r="12496" s="197" customFormat="1" ht="12.75" x14ac:dyDescent="0.2"/>
    <row r="12497" s="197" customFormat="1" ht="12.75" x14ac:dyDescent="0.2"/>
    <row r="12498" s="197" customFormat="1" ht="12.75" x14ac:dyDescent="0.2"/>
    <row r="12499" s="197" customFormat="1" ht="12.75" x14ac:dyDescent="0.2"/>
    <row r="12500" s="197" customFormat="1" ht="12.75" x14ac:dyDescent="0.2"/>
    <row r="12501" s="197" customFormat="1" ht="12.75" x14ac:dyDescent="0.2"/>
    <row r="12502" s="197" customFormat="1" ht="12.75" x14ac:dyDescent="0.2"/>
    <row r="12503" s="197" customFormat="1" ht="12.75" x14ac:dyDescent="0.2"/>
    <row r="12504" s="197" customFormat="1" ht="12.75" x14ac:dyDescent="0.2"/>
    <row r="12505" s="197" customFormat="1" ht="12.75" x14ac:dyDescent="0.2"/>
    <row r="12506" s="197" customFormat="1" ht="12.75" x14ac:dyDescent="0.2"/>
    <row r="12507" s="197" customFormat="1" ht="12.75" x14ac:dyDescent="0.2"/>
    <row r="12508" s="197" customFormat="1" ht="12.75" x14ac:dyDescent="0.2"/>
    <row r="12509" s="197" customFormat="1" ht="12.75" x14ac:dyDescent="0.2"/>
    <row r="12510" s="197" customFormat="1" ht="12.75" x14ac:dyDescent="0.2"/>
    <row r="12511" s="197" customFormat="1" ht="12.75" x14ac:dyDescent="0.2"/>
    <row r="12512" s="197" customFormat="1" ht="12.75" x14ac:dyDescent="0.2"/>
    <row r="12513" s="197" customFormat="1" ht="12.75" x14ac:dyDescent="0.2"/>
    <row r="12514" s="197" customFormat="1" ht="12.75" x14ac:dyDescent="0.2"/>
    <row r="12515" s="197" customFormat="1" ht="12.75" x14ac:dyDescent="0.2"/>
    <row r="12516" s="197" customFormat="1" ht="12.75" x14ac:dyDescent="0.2"/>
    <row r="12517" s="197" customFormat="1" ht="12.75" x14ac:dyDescent="0.2"/>
    <row r="12518" s="197" customFormat="1" ht="12.75" x14ac:dyDescent="0.2"/>
    <row r="12519" s="197" customFormat="1" ht="12.75" x14ac:dyDescent="0.2"/>
    <row r="12520" s="197" customFormat="1" ht="12.75" x14ac:dyDescent="0.2"/>
    <row r="12521" s="197" customFormat="1" ht="12.75" x14ac:dyDescent="0.2"/>
    <row r="12522" s="197" customFormat="1" ht="12.75" x14ac:dyDescent="0.2"/>
    <row r="12523" s="197" customFormat="1" ht="12.75" x14ac:dyDescent="0.2"/>
    <row r="12524" s="197" customFormat="1" ht="12.75" x14ac:dyDescent="0.2"/>
    <row r="12525" s="197" customFormat="1" ht="12.75" x14ac:dyDescent="0.2"/>
    <row r="12526" s="197" customFormat="1" ht="12.75" x14ac:dyDescent="0.2"/>
    <row r="12527" s="197" customFormat="1" ht="12.75" x14ac:dyDescent="0.2"/>
    <row r="12528" s="197" customFormat="1" ht="12.75" x14ac:dyDescent="0.2"/>
    <row r="12529" s="197" customFormat="1" ht="12.75" x14ac:dyDescent="0.2"/>
    <row r="12530" s="197" customFormat="1" ht="12.75" x14ac:dyDescent="0.2"/>
    <row r="12531" s="197" customFormat="1" ht="12.75" x14ac:dyDescent="0.2"/>
    <row r="12532" s="197" customFormat="1" ht="12.75" x14ac:dyDescent="0.2"/>
    <row r="12533" s="197" customFormat="1" ht="12.75" x14ac:dyDescent="0.2"/>
    <row r="12534" s="197" customFormat="1" ht="12.75" x14ac:dyDescent="0.2"/>
    <row r="12535" s="197" customFormat="1" ht="12.75" x14ac:dyDescent="0.2"/>
    <row r="12536" s="197" customFormat="1" ht="12.75" x14ac:dyDescent="0.2"/>
    <row r="12537" s="197" customFormat="1" ht="12.75" x14ac:dyDescent="0.2"/>
    <row r="12538" s="197" customFormat="1" ht="12.75" x14ac:dyDescent="0.2"/>
    <row r="12539" s="197" customFormat="1" ht="12.75" x14ac:dyDescent="0.2"/>
    <row r="12540" s="197" customFormat="1" ht="12.75" x14ac:dyDescent="0.2"/>
    <row r="12541" s="197" customFormat="1" ht="12.75" x14ac:dyDescent="0.2"/>
    <row r="12542" s="197" customFormat="1" ht="12.75" x14ac:dyDescent="0.2"/>
    <row r="12543" s="197" customFormat="1" ht="12.75" x14ac:dyDescent="0.2"/>
    <row r="12544" s="197" customFormat="1" ht="12.75" x14ac:dyDescent="0.2"/>
    <row r="12545" s="197" customFormat="1" ht="12.75" x14ac:dyDescent="0.2"/>
    <row r="12546" s="197" customFormat="1" ht="12.75" x14ac:dyDescent="0.2"/>
    <row r="12547" s="197" customFormat="1" ht="12.75" x14ac:dyDescent="0.2"/>
    <row r="12548" s="197" customFormat="1" ht="12.75" x14ac:dyDescent="0.2"/>
    <row r="12549" s="197" customFormat="1" ht="12.75" x14ac:dyDescent="0.2"/>
    <row r="12550" s="197" customFormat="1" ht="12.75" x14ac:dyDescent="0.2"/>
    <row r="12551" s="197" customFormat="1" ht="12.75" x14ac:dyDescent="0.2"/>
    <row r="12552" s="197" customFormat="1" ht="12.75" x14ac:dyDescent="0.2"/>
    <row r="12553" s="197" customFormat="1" ht="12.75" x14ac:dyDescent="0.2"/>
    <row r="12554" s="197" customFormat="1" ht="12.75" x14ac:dyDescent="0.2"/>
    <row r="12555" s="197" customFormat="1" ht="12.75" x14ac:dyDescent="0.2"/>
    <row r="12556" s="197" customFormat="1" ht="12.75" x14ac:dyDescent="0.2"/>
    <row r="12557" s="197" customFormat="1" ht="12.75" x14ac:dyDescent="0.2"/>
    <row r="12558" s="197" customFormat="1" ht="12.75" x14ac:dyDescent="0.2"/>
    <row r="12559" s="197" customFormat="1" ht="12.75" x14ac:dyDescent="0.2"/>
    <row r="12560" s="197" customFormat="1" ht="12.75" x14ac:dyDescent="0.2"/>
    <row r="12561" s="197" customFormat="1" ht="12.75" x14ac:dyDescent="0.2"/>
    <row r="12562" s="197" customFormat="1" ht="12.75" x14ac:dyDescent="0.2"/>
    <row r="12563" s="197" customFormat="1" ht="12.75" x14ac:dyDescent="0.2"/>
    <row r="12564" s="197" customFormat="1" ht="12.75" x14ac:dyDescent="0.2"/>
    <row r="12565" s="197" customFormat="1" ht="12.75" x14ac:dyDescent="0.2"/>
    <row r="12566" s="197" customFormat="1" ht="12.75" x14ac:dyDescent="0.2"/>
    <row r="12567" s="197" customFormat="1" ht="12.75" x14ac:dyDescent="0.2"/>
    <row r="12568" s="197" customFormat="1" ht="12.75" x14ac:dyDescent="0.2"/>
    <row r="12569" s="197" customFormat="1" ht="12.75" x14ac:dyDescent="0.2"/>
    <row r="12570" s="197" customFormat="1" ht="12.75" x14ac:dyDescent="0.2"/>
    <row r="12571" s="197" customFormat="1" ht="12.75" x14ac:dyDescent="0.2"/>
    <row r="12572" s="197" customFormat="1" ht="12.75" x14ac:dyDescent="0.2"/>
    <row r="12573" s="197" customFormat="1" ht="12.75" x14ac:dyDescent="0.2"/>
    <row r="12574" s="197" customFormat="1" ht="12.75" x14ac:dyDescent="0.2"/>
    <row r="12575" s="197" customFormat="1" ht="12.75" x14ac:dyDescent="0.2"/>
    <row r="12576" s="197" customFormat="1" ht="12.75" x14ac:dyDescent="0.2"/>
    <row r="12577" s="197" customFormat="1" ht="12.75" x14ac:dyDescent="0.2"/>
    <row r="12578" s="197" customFormat="1" ht="12.75" x14ac:dyDescent="0.2"/>
    <row r="12579" s="197" customFormat="1" ht="12.75" x14ac:dyDescent="0.2"/>
    <row r="12580" s="197" customFormat="1" ht="12.75" x14ac:dyDescent="0.2"/>
    <row r="12581" s="197" customFormat="1" ht="12.75" x14ac:dyDescent="0.2"/>
    <row r="12582" s="197" customFormat="1" ht="12.75" x14ac:dyDescent="0.2"/>
    <row r="12583" s="197" customFormat="1" ht="12.75" x14ac:dyDescent="0.2"/>
    <row r="12584" s="197" customFormat="1" ht="12.75" x14ac:dyDescent="0.2"/>
    <row r="12585" s="197" customFormat="1" ht="12.75" x14ac:dyDescent="0.2"/>
    <row r="12586" s="197" customFormat="1" ht="12.75" x14ac:dyDescent="0.2"/>
    <row r="12587" s="197" customFormat="1" ht="12.75" x14ac:dyDescent="0.2"/>
    <row r="12588" s="197" customFormat="1" ht="12.75" x14ac:dyDescent="0.2"/>
    <row r="12589" s="197" customFormat="1" ht="12.75" x14ac:dyDescent="0.2"/>
    <row r="12590" s="197" customFormat="1" ht="12.75" x14ac:dyDescent="0.2"/>
    <row r="12591" s="197" customFormat="1" ht="12.75" x14ac:dyDescent="0.2"/>
    <row r="12592" s="197" customFormat="1" ht="12.75" x14ac:dyDescent="0.2"/>
    <row r="12593" s="197" customFormat="1" ht="12.75" x14ac:dyDescent="0.2"/>
    <row r="12594" s="197" customFormat="1" ht="12.75" x14ac:dyDescent="0.2"/>
    <row r="12595" s="197" customFormat="1" ht="12.75" x14ac:dyDescent="0.2"/>
    <row r="12596" s="197" customFormat="1" ht="12.75" x14ac:dyDescent="0.2"/>
    <row r="12597" s="197" customFormat="1" ht="12.75" x14ac:dyDescent="0.2"/>
    <row r="12598" s="197" customFormat="1" ht="12.75" x14ac:dyDescent="0.2"/>
    <row r="12599" s="197" customFormat="1" ht="12.75" x14ac:dyDescent="0.2"/>
    <row r="12600" s="197" customFormat="1" ht="12.75" x14ac:dyDescent="0.2"/>
    <row r="12601" s="197" customFormat="1" ht="12.75" x14ac:dyDescent="0.2"/>
    <row r="12602" s="197" customFormat="1" ht="12.75" x14ac:dyDescent="0.2"/>
    <row r="12603" s="197" customFormat="1" ht="12.75" x14ac:dyDescent="0.2"/>
    <row r="12604" s="197" customFormat="1" ht="12.75" x14ac:dyDescent="0.2"/>
    <row r="12605" s="197" customFormat="1" ht="12.75" x14ac:dyDescent="0.2"/>
    <row r="12606" s="197" customFormat="1" ht="12.75" x14ac:dyDescent="0.2"/>
    <row r="12607" s="197" customFormat="1" ht="12.75" x14ac:dyDescent="0.2"/>
    <row r="12608" s="197" customFormat="1" ht="12.75" x14ac:dyDescent="0.2"/>
    <row r="12609" s="197" customFormat="1" ht="12.75" x14ac:dyDescent="0.2"/>
    <row r="12610" s="197" customFormat="1" ht="12.75" x14ac:dyDescent="0.2"/>
    <row r="12611" s="197" customFormat="1" ht="12.75" x14ac:dyDescent="0.2"/>
    <row r="12612" s="197" customFormat="1" ht="12.75" x14ac:dyDescent="0.2"/>
    <row r="12613" s="197" customFormat="1" ht="12.75" x14ac:dyDescent="0.2"/>
    <row r="12614" s="197" customFormat="1" ht="12.75" x14ac:dyDescent="0.2"/>
    <row r="12615" s="197" customFormat="1" ht="12.75" x14ac:dyDescent="0.2"/>
    <row r="12616" s="197" customFormat="1" ht="12.75" x14ac:dyDescent="0.2"/>
    <row r="12617" s="197" customFormat="1" ht="12.75" x14ac:dyDescent="0.2"/>
    <row r="12618" s="197" customFormat="1" ht="12.75" x14ac:dyDescent="0.2"/>
    <row r="12619" s="197" customFormat="1" ht="12.75" x14ac:dyDescent="0.2"/>
    <row r="12620" s="197" customFormat="1" ht="12.75" x14ac:dyDescent="0.2"/>
    <row r="12621" s="197" customFormat="1" ht="12.75" x14ac:dyDescent="0.2"/>
    <row r="12622" s="197" customFormat="1" ht="12.75" x14ac:dyDescent="0.2"/>
    <row r="12623" s="197" customFormat="1" ht="12.75" x14ac:dyDescent="0.2"/>
    <row r="12624" s="197" customFormat="1" ht="12.75" x14ac:dyDescent="0.2"/>
    <row r="12625" s="197" customFormat="1" ht="12.75" x14ac:dyDescent="0.2"/>
    <row r="12626" s="197" customFormat="1" ht="12.75" x14ac:dyDescent="0.2"/>
    <row r="12627" s="197" customFormat="1" ht="12.75" x14ac:dyDescent="0.2"/>
    <row r="12628" s="197" customFormat="1" ht="12.75" x14ac:dyDescent="0.2"/>
    <row r="12629" s="197" customFormat="1" ht="12.75" x14ac:dyDescent="0.2"/>
    <row r="12630" s="197" customFormat="1" ht="12.75" x14ac:dyDescent="0.2"/>
    <row r="12631" s="197" customFormat="1" ht="12.75" x14ac:dyDescent="0.2"/>
    <row r="12632" s="197" customFormat="1" ht="12.75" x14ac:dyDescent="0.2"/>
    <row r="12633" s="197" customFormat="1" ht="12.75" x14ac:dyDescent="0.2"/>
    <row r="12634" s="197" customFormat="1" ht="12.75" x14ac:dyDescent="0.2"/>
    <row r="12635" s="197" customFormat="1" ht="12.75" x14ac:dyDescent="0.2"/>
    <row r="12636" s="197" customFormat="1" ht="12.75" x14ac:dyDescent="0.2"/>
    <row r="12637" s="197" customFormat="1" ht="12.75" x14ac:dyDescent="0.2"/>
    <row r="12638" s="197" customFormat="1" ht="12.75" x14ac:dyDescent="0.2"/>
    <row r="12639" s="197" customFormat="1" ht="12.75" x14ac:dyDescent="0.2"/>
    <row r="12640" s="197" customFormat="1" ht="12.75" x14ac:dyDescent="0.2"/>
    <row r="12641" s="197" customFormat="1" ht="12.75" x14ac:dyDescent="0.2"/>
    <row r="12642" s="197" customFormat="1" ht="12.75" x14ac:dyDescent="0.2"/>
    <row r="12643" s="197" customFormat="1" ht="12.75" x14ac:dyDescent="0.2"/>
    <row r="12644" s="197" customFormat="1" ht="12.75" x14ac:dyDescent="0.2"/>
    <row r="12645" s="197" customFormat="1" ht="12.75" x14ac:dyDescent="0.2"/>
    <row r="12646" s="197" customFormat="1" ht="12.75" x14ac:dyDescent="0.2"/>
    <row r="12647" s="197" customFormat="1" ht="12.75" x14ac:dyDescent="0.2"/>
    <row r="12648" s="197" customFormat="1" ht="12.75" x14ac:dyDescent="0.2"/>
    <row r="12649" s="197" customFormat="1" ht="12.75" x14ac:dyDescent="0.2"/>
    <row r="12650" s="197" customFormat="1" ht="12.75" x14ac:dyDescent="0.2"/>
    <row r="12651" s="197" customFormat="1" ht="12.75" x14ac:dyDescent="0.2"/>
    <row r="12652" s="197" customFormat="1" ht="12.75" x14ac:dyDescent="0.2"/>
    <row r="12653" s="197" customFormat="1" ht="12.75" x14ac:dyDescent="0.2"/>
    <row r="12654" s="197" customFormat="1" ht="12.75" x14ac:dyDescent="0.2"/>
    <row r="12655" s="197" customFormat="1" ht="12.75" x14ac:dyDescent="0.2"/>
    <row r="12656" s="197" customFormat="1" ht="12.75" x14ac:dyDescent="0.2"/>
    <row r="12657" s="197" customFormat="1" ht="12.75" x14ac:dyDescent="0.2"/>
    <row r="12658" s="197" customFormat="1" ht="12.75" x14ac:dyDescent="0.2"/>
    <row r="12659" s="197" customFormat="1" ht="12.75" x14ac:dyDescent="0.2"/>
    <row r="12660" s="197" customFormat="1" ht="12.75" x14ac:dyDescent="0.2"/>
    <row r="12661" s="197" customFormat="1" ht="12.75" x14ac:dyDescent="0.2"/>
    <row r="12662" s="197" customFormat="1" ht="12.75" x14ac:dyDescent="0.2"/>
    <row r="12663" s="197" customFormat="1" ht="12.75" x14ac:dyDescent="0.2"/>
    <row r="12664" s="197" customFormat="1" ht="12.75" x14ac:dyDescent="0.2"/>
    <row r="12665" s="197" customFormat="1" ht="12.75" x14ac:dyDescent="0.2"/>
    <row r="12666" s="197" customFormat="1" ht="12.75" x14ac:dyDescent="0.2"/>
    <row r="12667" s="197" customFormat="1" ht="12.75" x14ac:dyDescent="0.2"/>
    <row r="12668" s="197" customFormat="1" ht="12.75" x14ac:dyDescent="0.2"/>
    <row r="12669" s="197" customFormat="1" ht="12.75" x14ac:dyDescent="0.2"/>
    <row r="12670" s="197" customFormat="1" ht="12.75" x14ac:dyDescent="0.2"/>
    <row r="12671" s="197" customFormat="1" ht="12.75" x14ac:dyDescent="0.2"/>
    <row r="12672" s="197" customFormat="1" ht="12.75" x14ac:dyDescent="0.2"/>
    <row r="12673" s="197" customFormat="1" ht="12.75" x14ac:dyDescent="0.2"/>
    <row r="12674" s="197" customFormat="1" ht="12.75" x14ac:dyDescent="0.2"/>
    <row r="12675" s="197" customFormat="1" ht="12.75" x14ac:dyDescent="0.2"/>
    <row r="12676" s="197" customFormat="1" ht="12.75" x14ac:dyDescent="0.2"/>
    <row r="12677" s="197" customFormat="1" ht="12.75" x14ac:dyDescent="0.2"/>
    <row r="12678" s="197" customFormat="1" ht="12.75" x14ac:dyDescent="0.2"/>
    <row r="12679" s="197" customFormat="1" ht="12.75" x14ac:dyDescent="0.2"/>
    <row r="12680" s="197" customFormat="1" ht="12.75" x14ac:dyDescent="0.2"/>
    <row r="12681" s="197" customFormat="1" ht="12.75" x14ac:dyDescent="0.2"/>
    <row r="12682" s="197" customFormat="1" ht="12.75" x14ac:dyDescent="0.2"/>
    <row r="12683" s="197" customFormat="1" ht="12.75" x14ac:dyDescent="0.2"/>
    <row r="12684" s="197" customFormat="1" ht="12.75" x14ac:dyDescent="0.2"/>
    <row r="12685" s="197" customFormat="1" ht="12.75" x14ac:dyDescent="0.2"/>
    <row r="12686" s="197" customFormat="1" ht="12.75" x14ac:dyDescent="0.2"/>
    <row r="12687" s="197" customFormat="1" ht="12.75" x14ac:dyDescent="0.2"/>
    <row r="12688" s="197" customFormat="1" ht="12.75" x14ac:dyDescent="0.2"/>
    <row r="12689" s="197" customFormat="1" ht="12.75" x14ac:dyDescent="0.2"/>
    <row r="12690" s="197" customFormat="1" ht="12.75" x14ac:dyDescent="0.2"/>
    <row r="12691" s="197" customFormat="1" ht="12.75" x14ac:dyDescent="0.2"/>
    <row r="12692" s="197" customFormat="1" ht="12.75" x14ac:dyDescent="0.2"/>
    <row r="12693" s="197" customFormat="1" ht="12.75" x14ac:dyDescent="0.2"/>
    <row r="12694" s="197" customFormat="1" ht="12.75" x14ac:dyDescent="0.2"/>
    <row r="12695" s="197" customFormat="1" ht="12.75" x14ac:dyDescent="0.2"/>
    <row r="12696" s="197" customFormat="1" ht="12.75" x14ac:dyDescent="0.2"/>
    <row r="12697" s="197" customFormat="1" ht="12.75" x14ac:dyDescent="0.2"/>
    <row r="12698" s="197" customFormat="1" ht="12.75" x14ac:dyDescent="0.2"/>
    <row r="12699" s="197" customFormat="1" ht="12.75" x14ac:dyDescent="0.2"/>
    <row r="12700" s="197" customFormat="1" ht="12.75" x14ac:dyDescent="0.2"/>
    <row r="12701" s="197" customFormat="1" ht="12.75" x14ac:dyDescent="0.2"/>
    <row r="12702" s="197" customFormat="1" ht="12.75" x14ac:dyDescent="0.2"/>
    <row r="12703" s="197" customFormat="1" ht="12.75" x14ac:dyDescent="0.2"/>
    <row r="12704" s="197" customFormat="1" ht="12.75" x14ac:dyDescent="0.2"/>
    <row r="12705" s="197" customFormat="1" ht="12.75" x14ac:dyDescent="0.2"/>
    <row r="12706" s="197" customFormat="1" ht="12.75" x14ac:dyDescent="0.2"/>
    <row r="12707" s="197" customFormat="1" ht="12.75" x14ac:dyDescent="0.2"/>
    <row r="12708" s="197" customFormat="1" ht="12.75" x14ac:dyDescent="0.2"/>
    <row r="12709" s="197" customFormat="1" ht="12.75" x14ac:dyDescent="0.2"/>
    <row r="12710" s="197" customFormat="1" ht="12.75" x14ac:dyDescent="0.2"/>
    <row r="12711" s="197" customFormat="1" ht="12.75" x14ac:dyDescent="0.2"/>
    <row r="12712" s="197" customFormat="1" ht="12.75" x14ac:dyDescent="0.2"/>
    <row r="12713" s="197" customFormat="1" ht="12.75" x14ac:dyDescent="0.2"/>
    <row r="12714" s="197" customFormat="1" ht="12.75" x14ac:dyDescent="0.2"/>
    <row r="12715" s="197" customFormat="1" ht="12.75" x14ac:dyDescent="0.2"/>
    <row r="12716" s="197" customFormat="1" ht="12.75" x14ac:dyDescent="0.2"/>
    <row r="12717" s="197" customFormat="1" ht="12.75" x14ac:dyDescent="0.2"/>
    <row r="12718" s="197" customFormat="1" ht="12.75" x14ac:dyDescent="0.2"/>
    <row r="12719" s="197" customFormat="1" ht="12.75" x14ac:dyDescent="0.2"/>
    <row r="12720" s="197" customFormat="1" ht="12.75" x14ac:dyDescent="0.2"/>
    <row r="12721" s="197" customFormat="1" ht="12.75" x14ac:dyDescent="0.2"/>
    <row r="12722" s="197" customFormat="1" ht="12.75" x14ac:dyDescent="0.2"/>
    <row r="12723" s="197" customFormat="1" ht="12.75" x14ac:dyDescent="0.2"/>
    <row r="12724" s="197" customFormat="1" ht="12.75" x14ac:dyDescent="0.2"/>
    <row r="12725" s="197" customFormat="1" ht="12.75" x14ac:dyDescent="0.2"/>
    <row r="12726" s="197" customFormat="1" ht="12.75" x14ac:dyDescent="0.2"/>
    <row r="12727" s="197" customFormat="1" ht="12.75" x14ac:dyDescent="0.2"/>
    <row r="12728" s="197" customFormat="1" ht="12.75" x14ac:dyDescent="0.2"/>
    <row r="12729" s="197" customFormat="1" ht="12.75" x14ac:dyDescent="0.2"/>
    <row r="12730" s="197" customFormat="1" ht="12.75" x14ac:dyDescent="0.2"/>
    <row r="12731" s="197" customFormat="1" ht="12.75" x14ac:dyDescent="0.2"/>
    <row r="12732" s="197" customFormat="1" ht="12.75" x14ac:dyDescent="0.2"/>
    <row r="12733" s="197" customFormat="1" ht="12.75" x14ac:dyDescent="0.2"/>
    <row r="12734" s="197" customFormat="1" ht="12.75" x14ac:dyDescent="0.2"/>
    <row r="12735" s="197" customFormat="1" ht="12.75" x14ac:dyDescent="0.2"/>
    <row r="12736" s="197" customFormat="1" ht="12.75" x14ac:dyDescent="0.2"/>
    <row r="12737" s="197" customFormat="1" ht="12.75" x14ac:dyDescent="0.2"/>
    <row r="12738" s="197" customFormat="1" ht="12.75" x14ac:dyDescent="0.2"/>
    <row r="12739" s="197" customFormat="1" ht="12.75" x14ac:dyDescent="0.2"/>
    <row r="12740" s="197" customFormat="1" ht="12.75" x14ac:dyDescent="0.2"/>
    <row r="12741" s="197" customFormat="1" ht="12.75" x14ac:dyDescent="0.2"/>
    <row r="12742" s="197" customFormat="1" ht="12.75" x14ac:dyDescent="0.2"/>
    <row r="12743" s="197" customFormat="1" ht="12.75" x14ac:dyDescent="0.2"/>
    <row r="12744" s="197" customFormat="1" ht="12.75" x14ac:dyDescent="0.2"/>
    <row r="12745" s="197" customFormat="1" ht="12.75" x14ac:dyDescent="0.2"/>
    <row r="12746" s="197" customFormat="1" ht="12.75" x14ac:dyDescent="0.2"/>
    <row r="12747" s="197" customFormat="1" ht="12.75" x14ac:dyDescent="0.2"/>
    <row r="12748" s="197" customFormat="1" ht="12.75" x14ac:dyDescent="0.2"/>
    <row r="12749" s="197" customFormat="1" ht="12.75" x14ac:dyDescent="0.2"/>
    <row r="12750" s="197" customFormat="1" ht="12.75" x14ac:dyDescent="0.2"/>
    <row r="12751" s="197" customFormat="1" ht="12.75" x14ac:dyDescent="0.2"/>
    <row r="12752" s="197" customFormat="1" ht="12.75" x14ac:dyDescent="0.2"/>
    <row r="12753" s="197" customFormat="1" ht="12.75" x14ac:dyDescent="0.2"/>
    <row r="12754" s="197" customFormat="1" ht="12.75" x14ac:dyDescent="0.2"/>
    <row r="12755" s="197" customFormat="1" ht="12.75" x14ac:dyDescent="0.2"/>
    <row r="12756" s="197" customFormat="1" ht="12.75" x14ac:dyDescent="0.2"/>
    <row r="12757" s="197" customFormat="1" ht="12.75" x14ac:dyDescent="0.2"/>
    <row r="12758" s="197" customFormat="1" ht="12.75" x14ac:dyDescent="0.2"/>
    <row r="12759" s="197" customFormat="1" ht="12.75" x14ac:dyDescent="0.2"/>
    <row r="12760" s="197" customFormat="1" ht="12.75" x14ac:dyDescent="0.2"/>
    <row r="12761" s="197" customFormat="1" ht="12.75" x14ac:dyDescent="0.2"/>
    <row r="12762" s="197" customFormat="1" ht="12.75" x14ac:dyDescent="0.2"/>
    <row r="12763" s="197" customFormat="1" ht="12.75" x14ac:dyDescent="0.2"/>
    <row r="12764" s="197" customFormat="1" ht="12.75" x14ac:dyDescent="0.2"/>
    <row r="12765" s="197" customFormat="1" ht="12.75" x14ac:dyDescent="0.2"/>
    <row r="12766" s="197" customFormat="1" ht="12.75" x14ac:dyDescent="0.2"/>
    <row r="12767" s="197" customFormat="1" ht="12.75" x14ac:dyDescent="0.2"/>
    <row r="12768" s="197" customFormat="1" ht="12.75" x14ac:dyDescent="0.2"/>
    <row r="12769" s="197" customFormat="1" ht="12.75" x14ac:dyDescent="0.2"/>
    <row r="12770" s="197" customFormat="1" ht="12.75" x14ac:dyDescent="0.2"/>
    <row r="12771" s="197" customFormat="1" ht="12.75" x14ac:dyDescent="0.2"/>
    <row r="12772" s="197" customFormat="1" ht="12.75" x14ac:dyDescent="0.2"/>
    <row r="12773" s="197" customFormat="1" ht="12.75" x14ac:dyDescent="0.2"/>
    <row r="12774" s="197" customFormat="1" ht="12.75" x14ac:dyDescent="0.2"/>
    <row r="12775" s="197" customFormat="1" ht="12.75" x14ac:dyDescent="0.2"/>
    <row r="12776" s="197" customFormat="1" ht="12.75" x14ac:dyDescent="0.2"/>
    <row r="12777" s="197" customFormat="1" ht="12.75" x14ac:dyDescent="0.2"/>
    <row r="12778" s="197" customFormat="1" ht="12.75" x14ac:dyDescent="0.2"/>
    <row r="12779" s="197" customFormat="1" ht="12.75" x14ac:dyDescent="0.2"/>
    <row r="12780" s="197" customFormat="1" ht="12.75" x14ac:dyDescent="0.2"/>
    <row r="12781" s="197" customFormat="1" ht="12.75" x14ac:dyDescent="0.2"/>
    <row r="12782" s="197" customFormat="1" ht="12.75" x14ac:dyDescent="0.2"/>
    <row r="12783" s="197" customFormat="1" ht="12.75" x14ac:dyDescent="0.2"/>
    <row r="12784" s="197" customFormat="1" ht="12.75" x14ac:dyDescent="0.2"/>
    <row r="12785" s="197" customFormat="1" ht="12.75" x14ac:dyDescent="0.2"/>
    <row r="12786" s="197" customFormat="1" ht="12.75" x14ac:dyDescent="0.2"/>
    <row r="12787" s="197" customFormat="1" ht="12.75" x14ac:dyDescent="0.2"/>
    <row r="12788" s="197" customFormat="1" ht="12.75" x14ac:dyDescent="0.2"/>
    <row r="12789" s="197" customFormat="1" ht="12.75" x14ac:dyDescent="0.2"/>
    <row r="12790" s="197" customFormat="1" ht="12.75" x14ac:dyDescent="0.2"/>
    <row r="12791" s="197" customFormat="1" ht="12.75" x14ac:dyDescent="0.2"/>
    <row r="12792" s="197" customFormat="1" ht="12.75" x14ac:dyDescent="0.2"/>
    <row r="12793" s="197" customFormat="1" ht="12.75" x14ac:dyDescent="0.2"/>
    <row r="12794" s="197" customFormat="1" ht="12.75" x14ac:dyDescent="0.2"/>
    <row r="12795" s="197" customFormat="1" ht="12.75" x14ac:dyDescent="0.2"/>
    <row r="12796" s="197" customFormat="1" ht="12.75" x14ac:dyDescent="0.2"/>
    <row r="12797" s="197" customFormat="1" ht="12.75" x14ac:dyDescent="0.2"/>
    <row r="12798" s="197" customFormat="1" ht="12.75" x14ac:dyDescent="0.2"/>
    <row r="12799" s="197" customFormat="1" ht="12.75" x14ac:dyDescent="0.2"/>
    <row r="12800" s="197" customFormat="1" ht="12.75" x14ac:dyDescent="0.2"/>
    <row r="12801" s="197" customFormat="1" ht="12.75" x14ac:dyDescent="0.2"/>
    <row r="12802" s="197" customFormat="1" ht="12.75" x14ac:dyDescent="0.2"/>
    <row r="12803" s="197" customFormat="1" ht="12.75" x14ac:dyDescent="0.2"/>
    <row r="12804" s="197" customFormat="1" ht="12.75" x14ac:dyDescent="0.2"/>
    <row r="12805" s="197" customFormat="1" ht="12.75" x14ac:dyDescent="0.2"/>
    <row r="12806" s="197" customFormat="1" ht="12.75" x14ac:dyDescent="0.2"/>
    <row r="12807" s="197" customFormat="1" ht="12.75" x14ac:dyDescent="0.2"/>
    <row r="12808" s="197" customFormat="1" ht="12.75" x14ac:dyDescent="0.2"/>
    <row r="12809" s="197" customFormat="1" ht="12.75" x14ac:dyDescent="0.2"/>
    <row r="12810" s="197" customFormat="1" ht="12.75" x14ac:dyDescent="0.2"/>
    <row r="12811" s="197" customFormat="1" ht="12.75" x14ac:dyDescent="0.2"/>
    <row r="12812" s="197" customFormat="1" ht="12.75" x14ac:dyDescent="0.2"/>
    <row r="12813" s="197" customFormat="1" ht="12.75" x14ac:dyDescent="0.2"/>
    <row r="12814" s="197" customFormat="1" ht="12.75" x14ac:dyDescent="0.2"/>
    <row r="12815" s="197" customFormat="1" ht="12.75" x14ac:dyDescent="0.2"/>
    <row r="12816" s="197" customFormat="1" ht="12.75" x14ac:dyDescent="0.2"/>
    <row r="12817" s="197" customFormat="1" ht="12.75" x14ac:dyDescent="0.2"/>
    <row r="12818" s="197" customFormat="1" ht="12.75" x14ac:dyDescent="0.2"/>
    <row r="12819" s="197" customFormat="1" ht="12.75" x14ac:dyDescent="0.2"/>
    <row r="12820" s="197" customFormat="1" ht="12.75" x14ac:dyDescent="0.2"/>
    <row r="12821" s="197" customFormat="1" ht="12.75" x14ac:dyDescent="0.2"/>
    <row r="12822" s="197" customFormat="1" ht="12.75" x14ac:dyDescent="0.2"/>
    <row r="12823" s="197" customFormat="1" ht="12.75" x14ac:dyDescent="0.2"/>
    <row r="12824" s="197" customFormat="1" ht="12.75" x14ac:dyDescent="0.2"/>
    <row r="12825" s="197" customFormat="1" ht="12.75" x14ac:dyDescent="0.2"/>
    <row r="12826" s="197" customFormat="1" ht="12.75" x14ac:dyDescent="0.2"/>
    <row r="12827" s="197" customFormat="1" ht="12.75" x14ac:dyDescent="0.2"/>
    <row r="12828" s="197" customFormat="1" ht="12.75" x14ac:dyDescent="0.2"/>
    <row r="12829" s="197" customFormat="1" ht="12.75" x14ac:dyDescent="0.2"/>
    <row r="12830" s="197" customFormat="1" ht="12.75" x14ac:dyDescent="0.2"/>
    <row r="12831" s="197" customFormat="1" ht="12.75" x14ac:dyDescent="0.2"/>
    <row r="12832" s="197" customFormat="1" ht="12.75" x14ac:dyDescent="0.2"/>
    <row r="12833" s="197" customFormat="1" ht="12.75" x14ac:dyDescent="0.2"/>
    <row r="12834" s="197" customFormat="1" ht="12.75" x14ac:dyDescent="0.2"/>
    <row r="12835" s="197" customFormat="1" ht="12.75" x14ac:dyDescent="0.2"/>
    <row r="12836" s="197" customFormat="1" ht="12.75" x14ac:dyDescent="0.2"/>
    <row r="12837" s="197" customFormat="1" ht="12.75" x14ac:dyDescent="0.2"/>
    <row r="12838" s="197" customFormat="1" ht="12.75" x14ac:dyDescent="0.2"/>
    <row r="12839" s="197" customFormat="1" ht="12.75" x14ac:dyDescent="0.2"/>
    <row r="12840" s="197" customFormat="1" ht="12.75" x14ac:dyDescent="0.2"/>
    <row r="12841" s="197" customFormat="1" ht="12.75" x14ac:dyDescent="0.2"/>
    <row r="12842" s="197" customFormat="1" ht="12.75" x14ac:dyDescent="0.2"/>
    <row r="12843" s="197" customFormat="1" ht="12.75" x14ac:dyDescent="0.2"/>
    <row r="12844" s="197" customFormat="1" ht="12.75" x14ac:dyDescent="0.2"/>
    <row r="12845" s="197" customFormat="1" ht="12.75" x14ac:dyDescent="0.2"/>
    <row r="12846" s="197" customFormat="1" ht="12.75" x14ac:dyDescent="0.2"/>
    <row r="12847" s="197" customFormat="1" ht="12.75" x14ac:dyDescent="0.2"/>
    <row r="12848" s="197" customFormat="1" ht="12.75" x14ac:dyDescent="0.2"/>
    <row r="12849" s="197" customFormat="1" ht="12.75" x14ac:dyDescent="0.2"/>
    <row r="12850" s="197" customFormat="1" ht="12.75" x14ac:dyDescent="0.2"/>
    <row r="12851" s="197" customFormat="1" ht="12.75" x14ac:dyDescent="0.2"/>
    <row r="12852" s="197" customFormat="1" ht="12.75" x14ac:dyDescent="0.2"/>
    <row r="12853" s="197" customFormat="1" ht="12.75" x14ac:dyDescent="0.2"/>
    <row r="12854" s="197" customFormat="1" ht="12.75" x14ac:dyDescent="0.2"/>
    <row r="12855" s="197" customFormat="1" ht="12.75" x14ac:dyDescent="0.2"/>
    <row r="12856" s="197" customFormat="1" ht="12.75" x14ac:dyDescent="0.2"/>
    <row r="12857" s="197" customFormat="1" ht="12.75" x14ac:dyDescent="0.2"/>
    <row r="12858" s="197" customFormat="1" ht="12.75" x14ac:dyDescent="0.2"/>
    <row r="12859" s="197" customFormat="1" ht="12.75" x14ac:dyDescent="0.2"/>
    <row r="12860" s="197" customFormat="1" ht="12.75" x14ac:dyDescent="0.2"/>
    <row r="12861" s="197" customFormat="1" ht="12.75" x14ac:dyDescent="0.2"/>
    <row r="12862" s="197" customFormat="1" ht="12.75" x14ac:dyDescent="0.2"/>
    <row r="12863" s="197" customFormat="1" ht="12.75" x14ac:dyDescent="0.2"/>
    <row r="12864" s="197" customFormat="1" ht="12.75" x14ac:dyDescent="0.2"/>
    <row r="12865" s="197" customFormat="1" ht="12.75" x14ac:dyDescent="0.2"/>
    <row r="12866" s="197" customFormat="1" ht="12.75" x14ac:dyDescent="0.2"/>
    <row r="12867" s="197" customFormat="1" ht="12.75" x14ac:dyDescent="0.2"/>
    <row r="12868" s="197" customFormat="1" ht="12.75" x14ac:dyDescent="0.2"/>
    <row r="12869" s="197" customFormat="1" ht="12.75" x14ac:dyDescent="0.2"/>
    <row r="12870" s="197" customFormat="1" ht="12.75" x14ac:dyDescent="0.2"/>
    <row r="12871" s="197" customFormat="1" ht="12.75" x14ac:dyDescent="0.2"/>
    <row r="12872" s="197" customFormat="1" ht="12.75" x14ac:dyDescent="0.2"/>
    <row r="12873" s="197" customFormat="1" ht="12.75" x14ac:dyDescent="0.2"/>
    <row r="12874" s="197" customFormat="1" ht="12.75" x14ac:dyDescent="0.2"/>
    <row r="12875" s="197" customFormat="1" ht="12.75" x14ac:dyDescent="0.2"/>
    <row r="12876" s="197" customFormat="1" ht="12.75" x14ac:dyDescent="0.2"/>
    <row r="12877" s="197" customFormat="1" ht="12.75" x14ac:dyDescent="0.2"/>
    <row r="12878" s="197" customFormat="1" ht="12.75" x14ac:dyDescent="0.2"/>
    <row r="12879" s="197" customFormat="1" ht="12.75" x14ac:dyDescent="0.2"/>
    <row r="12880" s="197" customFormat="1" ht="12.75" x14ac:dyDescent="0.2"/>
    <row r="12881" s="197" customFormat="1" ht="12.75" x14ac:dyDescent="0.2"/>
    <row r="12882" s="197" customFormat="1" ht="12.75" x14ac:dyDescent="0.2"/>
    <row r="12883" s="197" customFormat="1" ht="12.75" x14ac:dyDescent="0.2"/>
    <row r="12884" s="197" customFormat="1" ht="12.75" x14ac:dyDescent="0.2"/>
    <row r="12885" s="197" customFormat="1" ht="12.75" x14ac:dyDescent="0.2"/>
    <row r="12886" s="197" customFormat="1" ht="12.75" x14ac:dyDescent="0.2"/>
    <row r="12887" s="197" customFormat="1" ht="12.75" x14ac:dyDescent="0.2"/>
    <row r="12888" s="197" customFormat="1" ht="12.75" x14ac:dyDescent="0.2"/>
    <row r="12889" s="197" customFormat="1" ht="12.75" x14ac:dyDescent="0.2"/>
    <row r="12890" s="197" customFormat="1" ht="12.75" x14ac:dyDescent="0.2"/>
    <row r="12891" s="197" customFormat="1" ht="12.75" x14ac:dyDescent="0.2"/>
    <row r="12892" s="197" customFormat="1" ht="12.75" x14ac:dyDescent="0.2"/>
    <row r="12893" s="197" customFormat="1" ht="12.75" x14ac:dyDescent="0.2"/>
    <row r="12894" s="197" customFormat="1" ht="12.75" x14ac:dyDescent="0.2"/>
    <row r="12895" s="197" customFormat="1" ht="12.75" x14ac:dyDescent="0.2"/>
    <row r="12896" s="197" customFormat="1" ht="12.75" x14ac:dyDescent="0.2"/>
    <row r="12897" s="197" customFormat="1" ht="12.75" x14ac:dyDescent="0.2"/>
    <row r="12898" s="197" customFormat="1" ht="12.75" x14ac:dyDescent="0.2"/>
    <row r="12899" s="197" customFormat="1" ht="12.75" x14ac:dyDescent="0.2"/>
    <row r="12900" s="197" customFormat="1" ht="12.75" x14ac:dyDescent="0.2"/>
    <row r="12901" s="197" customFormat="1" ht="12.75" x14ac:dyDescent="0.2"/>
    <row r="12902" s="197" customFormat="1" ht="12.75" x14ac:dyDescent="0.2"/>
    <row r="12903" s="197" customFormat="1" ht="12.75" x14ac:dyDescent="0.2"/>
    <row r="12904" s="197" customFormat="1" ht="12.75" x14ac:dyDescent="0.2"/>
    <row r="12905" s="197" customFormat="1" ht="12.75" x14ac:dyDescent="0.2"/>
    <row r="12906" s="197" customFormat="1" ht="12.75" x14ac:dyDescent="0.2"/>
    <row r="12907" s="197" customFormat="1" ht="12.75" x14ac:dyDescent="0.2"/>
    <row r="12908" s="197" customFormat="1" ht="12.75" x14ac:dyDescent="0.2"/>
    <row r="12909" s="197" customFormat="1" ht="12.75" x14ac:dyDescent="0.2"/>
    <row r="12910" s="197" customFormat="1" ht="12.75" x14ac:dyDescent="0.2"/>
    <row r="12911" s="197" customFormat="1" ht="12.75" x14ac:dyDescent="0.2"/>
    <row r="12912" s="197" customFormat="1" ht="12.75" x14ac:dyDescent="0.2"/>
    <row r="12913" s="197" customFormat="1" ht="12.75" x14ac:dyDescent="0.2"/>
    <row r="12914" s="197" customFormat="1" ht="12.75" x14ac:dyDescent="0.2"/>
    <row r="12915" s="197" customFormat="1" ht="12.75" x14ac:dyDescent="0.2"/>
    <row r="12916" s="197" customFormat="1" ht="12.75" x14ac:dyDescent="0.2"/>
    <row r="12917" s="197" customFormat="1" ht="12.75" x14ac:dyDescent="0.2"/>
    <row r="12918" s="197" customFormat="1" ht="12.75" x14ac:dyDescent="0.2"/>
    <row r="12919" s="197" customFormat="1" ht="12.75" x14ac:dyDescent="0.2"/>
    <row r="12920" s="197" customFormat="1" ht="12.75" x14ac:dyDescent="0.2"/>
    <row r="12921" s="197" customFormat="1" ht="12.75" x14ac:dyDescent="0.2"/>
    <row r="12922" s="197" customFormat="1" ht="12.75" x14ac:dyDescent="0.2"/>
    <row r="12923" s="197" customFormat="1" ht="12.75" x14ac:dyDescent="0.2"/>
    <row r="12924" s="197" customFormat="1" ht="12.75" x14ac:dyDescent="0.2"/>
    <row r="12925" s="197" customFormat="1" ht="12.75" x14ac:dyDescent="0.2"/>
    <row r="12926" s="197" customFormat="1" ht="12.75" x14ac:dyDescent="0.2"/>
    <row r="12927" s="197" customFormat="1" ht="12.75" x14ac:dyDescent="0.2"/>
    <row r="12928" s="197" customFormat="1" ht="12.75" x14ac:dyDescent="0.2"/>
    <row r="12929" s="197" customFormat="1" ht="12.75" x14ac:dyDescent="0.2"/>
    <row r="12930" s="197" customFormat="1" ht="12.75" x14ac:dyDescent="0.2"/>
    <row r="12931" s="197" customFormat="1" ht="12.75" x14ac:dyDescent="0.2"/>
    <row r="12932" s="197" customFormat="1" ht="12.75" x14ac:dyDescent="0.2"/>
    <row r="12933" s="197" customFormat="1" ht="12.75" x14ac:dyDescent="0.2"/>
    <row r="12934" s="197" customFormat="1" ht="12.75" x14ac:dyDescent="0.2"/>
    <row r="12935" s="197" customFormat="1" ht="12.75" x14ac:dyDescent="0.2"/>
    <row r="12936" s="197" customFormat="1" ht="12.75" x14ac:dyDescent="0.2"/>
    <row r="12937" s="197" customFormat="1" ht="12.75" x14ac:dyDescent="0.2"/>
    <row r="12938" s="197" customFormat="1" ht="12.75" x14ac:dyDescent="0.2"/>
    <row r="12939" s="197" customFormat="1" ht="12.75" x14ac:dyDescent="0.2"/>
    <row r="12940" s="197" customFormat="1" ht="12.75" x14ac:dyDescent="0.2"/>
    <row r="12941" s="197" customFormat="1" ht="12.75" x14ac:dyDescent="0.2"/>
    <row r="12942" s="197" customFormat="1" ht="12.75" x14ac:dyDescent="0.2"/>
    <row r="12943" s="197" customFormat="1" ht="12.75" x14ac:dyDescent="0.2"/>
    <row r="12944" s="197" customFormat="1" ht="12.75" x14ac:dyDescent="0.2"/>
    <row r="12945" s="197" customFormat="1" ht="12.75" x14ac:dyDescent="0.2"/>
    <row r="12946" s="197" customFormat="1" ht="12.75" x14ac:dyDescent="0.2"/>
    <row r="12947" s="197" customFormat="1" ht="12.75" x14ac:dyDescent="0.2"/>
    <row r="12948" s="197" customFormat="1" ht="12.75" x14ac:dyDescent="0.2"/>
    <row r="12949" s="197" customFormat="1" ht="12.75" x14ac:dyDescent="0.2"/>
    <row r="12950" s="197" customFormat="1" ht="12.75" x14ac:dyDescent="0.2"/>
    <row r="12951" s="197" customFormat="1" ht="12.75" x14ac:dyDescent="0.2"/>
    <row r="12952" s="197" customFormat="1" ht="12.75" x14ac:dyDescent="0.2"/>
    <row r="12953" s="197" customFormat="1" ht="12.75" x14ac:dyDescent="0.2"/>
    <row r="12954" s="197" customFormat="1" ht="12.75" x14ac:dyDescent="0.2"/>
    <row r="12955" s="197" customFormat="1" ht="12.75" x14ac:dyDescent="0.2"/>
    <row r="12956" s="197" customFormat="1" ht="12.75" x14ac:dyDescent="0.2"/>
    <row r="12957" s="197" customFormat="1" ht="12.75" x14ac:dyDescent="0.2"/>
    <row r="12958" s="197" customFormat="1" ht="12.75" x14ac:dyDescent="0.2"/>
    <row r="12959" s="197" customFormat="1" ht="12.75" x14ac:dyDescent="0.2"/>
    <row r="12960" s="197" customFormat="1" ht="12.75" x14ac:dyDescent="0.2"/>
    <row r="12961" s="197" customFormat="1" ht="12.75" x14ac:dyDescent="0.2"/>
    <row r="12962" s="197" customFormat="1" ht="12.75" x14ac:dyDescent="0.2"/>
    <row r="12963" s="197" customFormat="1" ht="12.75" x14ac:dyDescent="0.2"/>
    <row r="12964" s="197" customFormat="1" ht="12.75" x14ac:dyDescent="0.2"/>
    <row r="12965" s="197" customFormat="1" ht="12.75" x14ac:dyDescent="0.2"/>
    <row r="12966" s="197" customFormat="1" ht="12.75" x14ac:dyDescent="0.2"/>
    <row r="12967" s="197" customFormat="1" ht="12.75" x14ac:dyDescent="0.2"/>
    <row r="12968" s="197" customFormat="1" ht="12.75" x14ac:dyDescent="0.2"/>
    <row r="12969" s="197" customFormat="1" ht="12.75" x14ac:dyDescent="0.2"/>
    <row r="12970" s="197" customFormat="1" ht="12.75" x14ac:dyDescent="0.2"/>
    <row r="12971" s="197" customFormat="1" ht="12.75" x14ac:dyDescent="0.2"/>
    <row r="12972" s="197" customFormat="1" ht="12.75" x14ac:dyDescent="0.2"/>
    <row r="12973" s="197" customFormat="1" ht="12.75" x14ac:dyDescent="0.2"/>
    <row r="12974" s="197" customFormat="1" ht="12.75" x14ac:dyDescent="0.2"/>
    <row r="12975" s="197" customFormat="1" ht="12.75" x14ac:dyDescent="0.2"/>
    <row r="12976" s="197" customFormat="1" ht="12.75" x14ac:dyDescent="0.2"/>
    <row r="12977" s="197" customFormat="1" ht="12.75" x14ac:dyDescent="0.2"/>
    <row r="12978" s="197" customFormat="1" ht="12.75" x14ac:dyDescent="0.2"/>
    <row r="12979" s="197" customFormat="1" ht="12.75" x14ac:dyDescent="0.2"/>
    <row r="12980" s="197" customFormat="1" ht="12.75" x14ac:dyDescent="0.2"/>
    <row r="12981" s="197" customFormat="1" ht="12.75" x14ac:dyDescent="0.2"/>
    <row r="12982" s="197" customFormat="1" ht="12.75" x14ac:dyDescent="0.2"/>
    <row r="12983" s="197" customFormat="1" ht="12.75" x14ac:dyDescent="0.2"/>
    <row r="12984" s="197" customFormat="1" ht="12.75" x14ac:dyDescent="0.2"/>
    <row r="12985" s="197" customFormat="1" ht="12.75" x14ac:dyDescent="0.2"/>
    <row r="12986" s="197" customFormat="1" ht="12.75" x14ac:dyDescent="0.2"/>
    <row r="12987" s="197" customFormat="1" ht="12.75" x14ac:dyDescent="0.2"/>
    <row r="12988" s="197" customFormat="1" ht="12.75" x14ac:dyDescent="0.2"/>
    <row r="12989" s="197" customFormat="1" ht="12.75" x14ac:dyDescent="0.2"/>
    <row r="12990" s="197" customFormat="1" ht="12.75" x14ac:dyDescent="0.2"/>
    <row r="12991" s="197" customFormat="1" ht="12.75" x14ac:dyDescent="0.2"/>
    <row r="12992" s="197" customFormat="1" ht="12.75" x14ac:dyDescent="0.2"/>
    <row r="12993" s="197" customFormat="1" ht="12.75" x14ac:dyDescent="0.2"/>
    <row r="12994" s="197" customFormat="1" ht="12.75" x14ac:dyDescent="0.2"/>
    <row r="12995" s="197" customFormat="1" ht="12.75" x14ac:dyDescent="0.2"/>
    <row r="12996" s="197" customFormat="1" ht="12.75" x14ac:dyDescent="0.2"/>
    <row r="12997" s="197" customFormat="1" ht="12.75" x14ac:dyDescent="0.2"/>
    <row r="12998" s="197" customFormat="1" ht="12.75" x14ac:dyDescent="0.2"/>
    <row r="12999" s="197" customFormat="1" ht="12.75" x14ac:dyDescent="0.2"/>
    <row r="13000" s="197" customFormat="1" ht="12.75" x14ac:dyDescent="0.2"/>
    <row r="13001" s="197" customFormat="1" ht="12.75" x14ac:dyDescent="0.2"/>
    <row r="13002" s="197" customFormat="1" ht="12.75" x14ac:dyDescent="0.2"/>
    <row r="13003" s="197" customFormat="1" ht="12.75" x14ac:dyDescent="0.2"/>
    <row r="13004" s="197" customFormat="1" ht="12.75" x14ac:dyDescent="0.2"/>
    <row r="13005" s="197" customFormat="1" ht="12.75" x14ac:dyDescent="0.2"/>
    <row r="13006" s="197" customFormat="1" ht="12.75" x14ac:dyDescent="0.2"/>
    <row r="13007" s="197" customFormat="1" ht="12.75" x14ac:dyDescent="0.2"/>
    <row r="13008" s="197" customFormat="1" ht="12.75" x14ac:dyDescent="0.2"/>
    <row r="13009" s="197" customFormat="1" ht="12.75" x14ac:dyDescent="0.2"/>
    <row r="13010" s="197" customFormat="1" ht="12.75" x14ac:dyDescent="0.2"/>
    <row r="13011" s="197" customFormat="1" ht="12.75" x14ac:dyDescent="0.2"/>
    <row r="13012" s="197" customFormat="1" ht="12.75" x14ac:dyDescent="0.2"/>
    <row r="13013" s="197" customFormat="1" ht="12.75" x14ac:dyDescent="0.2"/>
    <row r="13014" s="197" customFormat="1" ht="12.75" x14ac:dyDescent="0.2"/>
    <row r="13015" s="197" customFormat="1" ht="12.75" x14ac:dyDescent="0.2"/>
    <row r="13016" s="197" customFormat="1" ht="12.75" x14ac:dyDescent="0.2"/>
    <row r="13017" s="197" customFormat="1" ht="12.75" x14ac:dyDescent="0.2"/>
    <row r="13018" s="197" customFormat="1" ht="12.75" x14ac:dyDescent="0.2"/>
    <row r="13019" s="197" customFormat="1" ht="12.75" x14ac:dyDescent="0.2"/>
    <row r="13020" s="197" customFormat="1" ht="12.75" x14ac:dyDescent="0.2"/>
    <row r="13021" s="197" customFormat="1" ht="12.75" x14ac:dyDescent="0.2"/>
    <row r="13022" s="197" customFormat="1" ht="12.75" x14ac:dyDescent="0.2"/>
    <row r="13023" s="197" customFormat="1" ht="12.75" x14ac:dyDescent="0.2"/>
    <row r="13024" s="197" customFormat="1" ht="12.75" x14ac:dyDescent="0.2"/>
    <row r="13025" s="197" customFormat="1" ht="12.75" x14ac:dyDescent="0.2"/>
    <row r="13026" s="197" customFormat="1" ht="12.75" x14ac:dyDescent="0.2"/>
    <row r="13027" s="197" customFormat="1" ht="12.75" x14ac:dyDescent="0.2"/>
    <row r="13028" s="197" customFormat="1" ht="12.75" x14ac:dyDescent="0.2"/>
    <row r="13029" s="197" customFormat="1" ht="12.75" x14ac:dyDescent="0.2"/>
    <row r="13030" s="197" customFormat="1" ht="12.75" x14ac:dyDescent="0.2"/>
    <row r="13031" s="197" customFormat="1" ht="12.75" x14ac:dyDescent="0.2"/>
    <row r="13032" s="197" customFormat="1" ht="12.75" x14ac:dyDescent="0.2"/>
    <row r="13033" s="197" customFormat="1" ht="12.75" x14ac:dyDescent="0.2"/>
    <row r="13034" s="197" customFormat="1" ht="12.75" x14ac:dyDescent="0.2"/>
    <row r="13035" s="197" customFormat="1" ht="12.75" x14ac:dyDescent="0.2"/>
    <row r="13036" s="197" customFormat="1" ht="12.75" x14ac:dyDescent="0.2"/>
    <row r="13037" s="197" customFormat="1" ht="12.75" x14ac:dyDescent="0.2"/>
    <row r="13038" s="197" customFormat="1" ht="12.75" x14ac:dyDescent="0.2"/>
    <row r="13039" s="197" customFormat="1" ht="12.75" x14ac:dyDescent="0.2"/>
    <row r="13040" s="197" customFormat="1" ht="12.75" x14ac:dyDescent="0.2"/>
    <row r="13041" s="197" customFormat="1" ht="12.75" x14ac:dyDescent="0.2"/>
    <row r="13042" s="197" customFormat="1" ht="12.75" x14ac:dyDescent="0.2"/>
    <row r="13043" s="197" customFormat="1" ht="12.75" x14ac:dyDescent="0.2"/>
    <row r="13044" s="197" customFormat="1" ht="12.75" x14ac:dyDescent="0.2"/>
    <row r="13045" s="197" customFormat="1" ht="12.75" x14ac:dyDescent="0.2"/>
    <row r="13046" s="197" customFormat="1" ht="12.75" x14ac:dyDescent="0.2"/>
    <row r="13047" s="197" customFormat="1" ht="12.75" x14ac:dyDescent="0.2"/>
    <row r="13048" s="197" customFormat="1" ht="12.75" x14ac:dyDescent="0.2"/>
    <row r="13049" s="197" customFormat="1" ht="12.75" x14ac:dyDescent="0.2"/>
    <row r="13050" s="197" customFormat="1" ht="12.75" x14ac:dyDescent="0.2"/>
    <row r="13051" s="197" customFormat="1" ht="12.75" x14ac:dyDescent="0.2"/>
    <row r="13052" s="197" customFormat="1" ht="12.75" x14ac:dyDescent="0.2"/>
    <row r="13053" s="197" customFormat="1" ht="12.75" x14ac:dyDescent="0.2"/>
    <row r="13054" s="197" customFormat="1" ht="12.75" x14ac:dyDescent="0.2"/>
    <row r="13055" s="197" customFormat="1" ht="12.75" x14ac:dyDescent="0.2"/>
    <row r="13056" s="197" customFormat="1" ht="12.75" x14ac:dyDescent="0.2"/>
    <row r="13057" s="197" customFormat="1" ht="12.75" x14ac:dyDescent="0.2"/>
    <row r="13058" s="197" customFormat="1" ht="12.75" x14ac:dyDescent="0.2"/>
    <row r="13059" s="197" customFormat="1" ht="12.75" x14ac:dyDescent="0.2"/>
    <row r="13060" s="197" customFormat="1" ht="12.75" x14ac:dyDescent="0.2"/>
    <row r="13061" s="197" customFormat="1" ht="12.75" x14ac:dyDescent="0.2"/>
    <row r="13062" s="197" customFormat="1" ht="12.75" x14ac:dyDescent="0.2"/>
    <row r="13063" s="197" customFormat="1" ht="12.75" x14ac:dyDescent="0.2"/>
    <row r="13064" s="197" customFormat="1" ht="12.75" x14ac:dyDescent="0.2"/>
    <row r="13065" s="197" customFormat="1" ht="12.75" x14ac:dyDescent="0.2"/>
    <row r="13066" s="197" customFormat="1" ht="12.75" x14ac:dyDescent="0.2"/>
    <row r="13067" s="197" customFormat="1" ht="12.75" x14ac:dyDescent="0.2"/>
    <row r="13068" s="197" customFormat="1" ht="12.75" x14ac:dyDescent="0.2"/>
    <row r="13069" s="197" customFormat="1" ht="12.75" x14ac:dyDescent="0.2"/>
    <row r="13070" s="197" customFormat="1" ht="12.75" x14ac:dyDescent="0.2"/>
    <row r="13071" s="197" customFormat="1" ht="12.75" x14ac:dyDescent="0.2"/>
    <row r="13072" s="197" customFormat="1" ht="12.75" x14ac:dyDescent="0.2"/>
    <row r="13073" s="197" customFormat="1" ht="12.75" x14ac:dyDescent="0.2"/>
    <row r="13074" s="197" customFormat="1" ht="12.75" x14ac:dyDescent="0.2"/>
    <row r="13075" s="197" customFormat="1" ht="12.75" x14ac:dyDescent="0.2"/>
    <row r="13076" s="197" customFormat="1" ht="12.75" x14ac:dyDescent="0.2"/>
    <row r="13077" s="197" customFormat="1" ht="12.75" x14ac:dyDescent="0.2"/>
    <row r="13078" s="197" customFormat="1" ht="12.75" x14ac:dyDescent="0.2"/>
    <row r="13079" s="197" customFormat="1" ht="12.75" x14ac:dyDescent="0.2"/>
    <row r="13080" s="197" customFormat="1" ht="12.75" x14ac:dyDescent="0.2"/>
    <row r="13081" s="197" customFormat="1" ht="12.75" x14ac:dyDescent="0.2"/>
    <row r="13082" s="197" customFormat="1" ht="12.75" x14ac:dyDescent="0.2"/>
    <row r="13083" s="197" customFormat="1" ht="12.75" x14ac:dyDescent="0.2"/>
    <row r="13084" s="197" customFormat="1" ht="12.75" x14ac:dyDescent="0.2"/>
    <row r="13085" s="197" customFormat="1" ht="12.75" x14ac:dyDescent="0.2"/>
    <row r="13086" s="197" customFormat="1" ht="12.75" x14ac:dyDescent="0.2"/>
    <row r="13087" s="197" customFormat="1" ht="12.75" x14ac:dyDescent="0.2"/>
    <row r="13088" s="197" customFormat="1" ht="12.75" x14ac:dyDescent="0.2"/>
    <row r="13089" s="197" customFormat="1" ht="12.75" x14ac:dyDescent="0.2"/>
    <row r="13090" s="197" customFormat="1" ht="12.75" x14ac:dyDescent="0.2"/>
    <row r="13091" s="197" customFormat="1" ht="12.75" x14ac:dyDescent="0.2"/>
    <row r="13092" s="197" customFormat="1" ht="12.75" x14ac:dyDescent="0.2"/>
    <row r="13093" s="197" customFormat="1" ht="12.75" x14ac:dyDescent="0.2"/>
    <row r="13094" s="197" customFormat="1" ht="12.75" x14ac:dyDescent="0.2"/>
    <row r="13095" s="197" customFormat="1" ht="12.75" x14ac:dyDescent="0.2"/>
    <row r="13096" s="197" customFormat="1" ht="12.75" x14ac:dyDescent="0.2"/>
    <row r="13097" s="197" customFormat="1" ht="12.75" x14ac:dyDescent="0.2"/>
    <row r="13098" s="197" customFormat="1" ht="12.75" x14ac:dyDescent="0.2"/>
    <row r="13099" s="197" customFormat="1" ht="12.75" x14ac:dyDescent="0.2"/>
    <row r="13100" s="197" customFormat="1" ht="12.75" x14ac:dyDescent="0.2"/>
    <row r="13101" s="197" customFormat="1" ht="12.75" x14ac:dyDescent="0.2"/>
    <row r="13102" s="197" customFormat="1" ht="12.75" x14ac:dyDescent="0.2"/>
    <row r="13103" s="197" customFormat="1" ht="12.75" x14ac:dyDescent="0.2"/>
    <row r="13104" s="197" customFormat="1" ht="12.75" x14ac:dyDescent="0.2"/>
    <row r="13105" s="197" customFormat="1" ht="12.75" x14ac:dyDescent="0.2"/>
    <row r="13106" s="197" customFormat="1" ht="12.75" x14ac:dyDescent="0.2"/>
    <row r="13107" s="197" customFormat="1" ht="12.75" x14ac:dyDescent="0.2"/>
    <row r="13108" s="197" customFormat="1" ht="12.75" x14ac:dyDescent="0.2"/>
    <row r="13109" s="197" customFormat="1" ht="12.75" x14ac:dyDescent="0.2"/>
    <row r="13110" s="197" customFormat="1" ht="12.75" x14ac:dyDescent="0.2"/>
    <row r="13111" s="197" customFormat="1" ht="12.75" x14ac:dyDescent="0.2"/>
    <row r="13112" s="197" customFormat="1" ht="12.75" x14ac:dyDescent="0.2"/>
    <row r="13113" s="197" customFormat="1" ht="12.75" x14ac:dyDescent="0.2"/>
    <row r="13114" s="197" customFormat="1" ht="12.75" x14ac:dyDescent="0.2"/>
    <row r="13115" s="197" customFormat="1" ht="12.75" x14ac:dyDescent="0.2"/>
    <row r="13116" s="197" customFormat="1" ht="12.75" x14ac:dyDescent="0.2"/>
    <row r="13117" s="197" customFormat="1" ht="12.75" x14ac:dyDescent="0.2"/>
    <row r="13118" s="197" customFormat="1" ht="12.75" x14ac:dyDescent="0.2"/>
    <row r="13119" s="197" customFormat="1" ht="12.75" x14ac:dyDescent="0.2"/>
    <row r="13120" s="197" customFormat="1" ht="12.75" x14ac:dyDescent="0.2"/>
    <row r="13121" s="197" customFormat="1" ht="12.75" x14ac:dyDescent="0.2"/>
    <row r="13122" s="197" customFormat="1" ht="12.75" x14ac:dyDescent="0.2"/>
    <row r="13123" s="197" customFormat="1" ht="12.75" x14ac:dyDescent="0.2"/>
    <row r="13124" s="197" customFormat="1" ht="12.75" x14ac:dyDescent="0.2"/>
    <row r="13125" s="197" customFormat="1" ht="12.75" x14ac:dyDescent="0.2"/>
    <row r="13126" s="197" customFormat="1" ht="12.75" x14ac:dyDescent="0.2"/>
    <row r="13127" s="197" customFormat="1" ht="12.75" x14ac:dyDescent="0.2"/>
    <row r="13128" s="197" customFormat="1" ht="12.75" x14ac:dyDescent="0.2"/>
    <row r="13129" s="197" customFormat="1" ht="12.75" x14ac:dyDescent="0.2"/>
    <row r="13130" s="197" customFormat="1" ht="12.75" x14ac:dyDescent="0.2"/>
    <row r="13131" s="197" customFormat="1" ht="12.75" x14ac:dyDescent="0.2"/>
    <row r="13132" s="197" customFormat="1" ht="12.75" x14ac:dyDescent="0.2"/>
    <row r="13133" s="197" customFormat="1" ht="12.75" x14ac:dyDescent="0.2"/>
    <row r="13134" s="197" customFormat="1" ht="12.75" x14ac:dyDescent="0.2"/>
    <row r="13135" s="197" customFormat="1" ht="12.75" x14ac:dyDescent="0.2"/>
    <row r="13136" s="197" customFormat="1" ht="12.75" x14ac:dyDescent="0.2"/>
    <row r="13137" s="197" customFormat="1" ht="12.75" x14ac:dyDescent="0.2"/>
    <row r="13138" s="197" customFormat="1" ht="12.75" x14ac:dyDescent="0.2"/>
    <row r="13139" s="197" customFormat="1" ht="12.75" x14ac:dyDescent="0.2"/>
    <row r="13140" s="197" customFormat="1" ht="12.75" x14ac:dyDescent="0.2"/>
    <row r="13141" s="197" customFormat="1" ht="12.75" x14ac:dyDescent="0.2"/>
    <row r="13142" s="197" customFormat="1" ht="12.75" x14ac:dyDescent="0.2"/>
    <row r="13143" s="197" customFormat="1" ht="12.75" x14ac:dyDescent="0.2"/>
    <row r="13144" s="197" customFormat="1" ht="12.75" x14ac:dyDescent="0.2"/>
    <row r="13145" s="197" customFormat="1" ht="12.75" x14ac:dyDescent="0.2"/>
    <row r="13146" s="197" customFormat="1" ht="12.75" x14ac:dyDescent="0.2"/>
    <row r="13147" s="197" customFormat="1" ht="12.75" x14ac:dyDescent="0.2"/>
    <row r="13148" s="197" customFormat="1" ht="12.75" x14ac:dyDescent="0.2"/>
    <row r="13149" s="197" customFormat="1" ht="12.75" x14ac:dyDescent="0.2"/>
    <row r="13150" s="197" customFormat="1" ht="12.75" x14ac:dyDescent="0.2"/>
    <row r="13151" s="197" customFormat="1" ht="12.75" x14ac:dyDescent="0.2"/>
    <row r="13152" s="197" customFormat="1" ht="12.75" x14ac:dyDescent="0.2"/>
    <row r="13153" s="197" customFormat="1" ht="12.75" x14ac:dyDescent="0.2"/>
    <row r="13154" s="197" customFormat="1" ht="12.75" x14ac:dyDescent="0.2"/>
    <row r="13155" s="197" customFormat="1" ht="12.75" x14ac:dyDescent="0.2"/>
    <row r="13156" s="197" customFormat="1" ht="12.75" x14ac:dyDescent="0.2"/>
    <row r="13157" s="197" customFormat="1" ht="12.75" x14ac:dyDescent="0.2"/>
    <row r="13158" s="197" customFormat="1" ht="12.75" x14ac:dyDescent="0.2"/>
    <row r="13159" s="197" customFormat="1" ht="12.75" x14ac:dyDescent="0.2"/>
    <row r="13160" s="197" customFormat="1" ht="12.75" x14ac:dyDescent="0.2"/>
    <row r="13161" s="197" customFormat="1" ht="12.75" x14ac:dyDescent="0.2"/>
    <row r="13162" s="197" customFormat="1" ht="12.75" x14ac:dyDescent="0.2"/>
    <row r="13163" s="197" customFormat="1" ht="12.75" x14ac:dyDescent="0.2"/>
    <row r="13164" s="197" customFormat="1" ht="12.75" x14ac:dyDescent="0.2"/>
    <row r="13165" s="197" customFormat="1" ht="12.75" x14ac:dyDescent="0.2"/>
    <row r="13166" s="197" customFormat="1" ht="12.75" x14ac:dyDescent="0.2"/>
    <row r="13167" s="197" customFormat="1" ht="12.75" x14ac:dyDescent="0.2"/>
    <row r="13168" s="197" customFormat="1" ht="12.75" x14ac:dyDescent="0.2"/>
    <row r="13169" s="197" customFormat="1" ht="12.75" x14ac:dyDescent="0.2"/>
    <row r="13170" s="197" customFormat="1" ht="12.75" x14ac:dyDescent="0.2"/>
    <row r="13171" s="197" customFormat="1" ht="12.75" x14ac:dyDescent="0.2"/>
    <row r="13172" s="197" customFormat="1" ht="12.75" x14ac:dyDescent="0.2"/>
    <row r="13173" s="197" customFormat="1" ht="12.75" x14ac:dyDescent="0.2"/>
    <row r="13174" s="197" customFormat="1" ht="12.75" x14ac:dyDescent="0.2"/>
    <row r="13175" s="197" customFormat="1" ht="12.75" x14ac:dyDescent="0.2"/>
    <row r="13176" s="197" customFormat="1" ht="12.75" x14ac:dyDescent="0.2"/>
    <row r="13177" s="197" customFormat="1" ht="12.75" x14ac:dyDescent="0.2"/>
    <row r="13178" s="197" customFormat="1" ht="12.75" x14ac:dyDescent="0.2"/>
    <row r="13179" s="197" customFormat="1" ht="12.75" x14ac:dyDescent="0.2"/>
    <row r="13180" s="197" customFormat="1" ht="12.75" x14ac:dyDescent="0.2"/>
    <row r="13181" s="197" customFormat="1" ht="12.75" x14ac:dyDescent="0.2"/>
    <row r="13182" s="197" customFormat="1" ht="12.75" x14ac:dyDescent="0.2"/>
    <row r="13183" s="197" customFormat="1" ht="12.75" x14ac:dyDescent="0.2"/>
    <row r="13184" s="197" customFormat="1" ht="12.75" x14ac:dyDescent="0.2"/>
    <row r="13185" s="197" customFormat="1" ht="12.75" x14ac:dyDescent="0.2"/>
    <row r="13186" s="197" customFormat="1" ht="12.75" x14ac:dyDescent="0.2"/>
    <row r="13187" s="197" customFormat="1" ht="12.75" x14ac:dyDescent="0.2"/>
    <row r="13188" s="197" customFormat="1" ht="12.75" x14ac:dyDescent="0.2"/>
    <row r="13189" s="197" customFormat="1" ht="12.75" x14ac:dyDescent="0.2"/>
    <row r="13190" s="197" customFormat="1" ht="12.75" x14ac:dyDescent="0.2"/>
    <row r="13191" s="197" customFormat="1" ht="12.75" x14ac:dyDescent="0.2"/>
    <row r="13192" s="197" customFormat="1" ht="12.75" x14ac:dyDescent="0.2"/>
    <row r="13193" s="197" customFormat="1" ht="12.75" x14ac:dyDescent="0.2"/>
    <row r="13194" s="197" customFormat="1" ht="12.75" x14ac:dyDescent="0.2"/>
    <row r="13195" s="197" customFormat="1" ht="12.75" x14ac:dyDescent="0.2"/>
    <row r="13196" s="197" customFormat="1" ht="12.75" x14ac:dyDescent="0.2"/>
    <row r="13197" s="197" customFormat="1" ht="12.75" x14ac:dyDescent="0.2"/>
    <row r="13198" s="197" customFormat="1" ht="12.75" x14ac:dyDescent="0.2"/>
    <row r="13199" s="197" customFormat="1" ht="12.75" x14ac:dyDescent="0.2"/>
    <row r="13200" s="197" customFormat="1" ht="12.75" x14ac:dyDescent="0.2"/>
    <row r="13201" s="197" customFormat="1" ht="12.75" x14ac:dyDescent="0.2"/>
    <row r="13202" s="197" customFormat="1" ht="12.75" x14ac:dyDescent="0.2"/>
    <row r="13203" s="197" customFormat="1" ht="12.75" x14ac:dyDescent="0.2"/>
    <row r="13204" s="197" customFormat="1" ht="12.75" x14ac:dyDescent="0.2"/>
    <row r="13205" s="197" customFormat="1" ht="12.75" x14ac:dyDescent="0.2"/>
    <row r="13206" s="197" customFormat="1" ht="12.75" x14ac:dyDescent="0.2"/>
    <row r="13207" s="197" customFormat="1" ht="12.75" x14ac:dyDescent="0.2"/>
    <row r="13208" s="197" customFormat="1" ht="12.75" x14ac:dyDescent="0.2"/>
    <row r="13209" s="197" customFormat="1" ht="12.75" x14ac:dyDescent="0.2"/>
    <row r="13210" s="197" customFormat="1" ht="12.75" x14ac:dyDescent="0.2"/>
    <row r="13211" s="197" customFormat="1" ht="12.75" x14ac:dyDescent="0.2"/>
    <row r="13212" s="197" customFormat="1" ht="12.75" x14ac:dyDescent="0.2"/>
    <row r="13213" s="197" customFormat="1" ht="12.75" x14ac:dyDescent="0.2"/>
    <row r="13214" s="197" customFormat="1" ht="12.75" x14ac:dyDescent="0.2"/>
    <row r="13215" s="197" customFormat="1" ht="12.75" x14ac:dyDescent="0.2"/>
    <row r="13216" s="197" customFormat="1" ht="12.75" x14ac:dyDescent="0.2"/>
    <row r="13217" s="197" customFormat="1" ht="12.75" x14ac:dyDescent="0.2"/>
    <row r="13218" s="197" customFormat="1" ht="12.75" x14ac:dyDescent="0.2"/>
    <row r="13219" s="197" customFormat="1" ht="12.75" x14ac:dyDescent="0.2"/>
    <row r="13220" s="197" customFormat="1" ht="12.75" x14ac:dyDescent="0.2"/>
    <row r="13221" s="197" customFormat="1" ht="12.75" x14ac:dyDescent="0.2"/>
    <row r="13222" s="197" customFormat="1" ht="12.75" x14ac:dyDescent="0.2"/>
    <row r="13223" s="197" customFormat="1" ht="12.75" x14ac:dyDescent="0.2"/>
    <row r="13224" s="197" customFormat="1" ht="12.75" x14ac:dyDescent="0.2"/>
    <row r="13225" s="197" customFormat="1" ht="12.75" x14ac:dyDescent="0.2"/>
    <row r="13226" s="197" customFormat="1" ht="12.75" x14ac:dyDescent="0.2"/>
    <row r="13227" s="197" customFormat="1" ht="12.75" x14ac:dyDescent="0.2"/>
    <row r="13228" s="197" customFormat="1" ht="12.75" x14ac:dyDescent="0.2"/>
    <row r="13229" s="197" customFormat="1" ht="12.75" x14ac:dyDescent="0.2"/>
    <row r="13230" s="197" customFormat="1" ht="12.75" x14ac:dyDescent="0.2"/>
    <row r="13231" s="197" customFormat="1" ht="12.75" x14ac:dyDescent="0.2"/>
    <row r="13232" s="197" customFormat="1" ht="12.75" x14ac:dyDescent="0.2"/>
    <row r="13233" s="197" customFormat="1" ht="12.75" x14ac:dyDescent="0.2"/>
    <row r="13234" s="197" customFormat="1" ht="12.75" x14ac:dyDescent="0.2"/>
    <row r="13235" s="197" customFormat="1" ht="12.75" x14ac:dyDescent="0.2"/>
    <row r="13236" s="197" customFormat="1" ht="12.75" x14ac:dyDescent="0.2"/>
    <row r="13237" s="197" customFormat="1" ht="12.75" x14ac:dyDescent="0.2"/>
    <row r="13238" s="197" customFormat="1" ht="12.75" x14ac:dyDescent="0.2"/>
    <row r="13239" s="197" customFormat="1" ht="12.75" x14ac:dyDescent="0.2"/>
    <row r="13240" s="197" customFormat="1" ht="12.75" x14ac:dyDescent="0.2"/>
    <row r="13241" s="197" customFormat="1" ht="12.75" x14ac:dyDescent="0.2"/>
    <row r="13242" s="197" customFormat="1" ht="12.75" x14ac:dyDescent="0.2"/>
    <row r="13243" s="197" customFormat="1" ht="12.75" x14ac:dyDescent="0.2"/>
    <row r="13244" s="197" customFormat="1" ht="12.75" x14ac:dyDescent="0.2"/>
    <row r="13245" s="197" customFormat="1" ht="12.75" x14ac:dyDescent="0.2"/>
    <row r="13246" s="197" customFormat="1" ht="12.75" x14ac:dyDescent="0.2"/>
    <row r="13247" s="197" customFormat="1" ht="12.75" x14ac:dyDescent="0.2"/>
    <row r="13248" s="197" customFormat="1" ht="12.75" x14ac:dyDescent="0.2"/>
    <row r="13249" s="197" customFormat="1" ht="12.75" x14ac:dyDescent="0.2"/>
    <row r="13250" s="197" customFormat="1" ht="12.75" x14ac:dyDescent="0.2"/>
    <row r="13251" s="197" customFormat="1" ht="12.75" x14ac:dyDescent="0.2"/>
    <row r="13252" s="197" customFormat="1" ht="12.75" x14ac:dyDescent="0.2"/>
    <row r="13253" s="197" customFormat="1" ht="12.75" x14ac:dyDescent="0.2"/>
    <row r="13254" s="197" customFormat="1" ht="12.75" x14ac:dyDescent="0.2"/>
    <row r="13255" s="197" customFormat="1" ht="12.75" x14ac:dyDescent="0.2"/>
    <row r="13256" s="197" customFormat="1" ht="12.75" x14ac:dyDescent="0.2"/>
    <row r="13257" s="197" customFormat="1" ht="12.75" x14ac:dyDescent="0.2"/>
    <row r="13258" s="197" customFormat="1" ht="12.75" x14ac:dyDescent="0.2"/>
    <row r="13259" s="197" customFormat="1" ht="12.75" x14ac:dyDescent="0.2"/>
    <row r="13260" s="197" customFormat="1" ht="12.75" x14ac:dyDescent="0.2"/>
    <row r="13261" s="197" customFormat="1" ht="12.75" x14ac:dyDescent="0.2"/>
    <row r="13262" s="197" customFormat="1" ht="12.75" x14ac:dyDescent="0.2"/>
    <row r="13263" s="197" customFormat="1" ht="12.75" x14ac:dyDescent="0.2"/>
    <row r="13264" s="197" customFormat="1" ht="12.75" x14ac:dyDescent="0.2"/>
    <row r="13265" s="197" customFormat="1" ht="12.75" x14ac:dyDescent="0.2"/>
    <row r="13266" s="197" customFormat="1" ht="12.75" x14ac:dyDescent="0.2"/>
    <row r="13267" s="197" customFormat="1" ht="12.75" x14ac:dyDescent="0.2"/>
    <row r="13268" s="197" customFormat="1" ht="12.75" x14ac:dyDescent="0.2"/>
    <row r="13269" s="197" customFormat="1" ht="12.75" x14ac:dyDescent="0.2"/>
    <row r="13270" s="197" customFormat="1" ht="12.75" x14ac:dyDescent="0.2"/>
    <row r="13271" s="197" customFormat="1" ht="12.75" x14ac:dyDescent="0.2"/>
    <row r="13272" s="197" customFormat="1" ht="12.75" x14ac:dyDescent="0.2"/>
    <row r="13273" s="197" customFormat="1" ht="12.75" x14ac:dyDescent="0.2"/>
    <row r="13274" s="197" customFormat="1" ht="12.75" x14ac:dyDescent="0.2"/>
    <row r="13275" s="197" customFormat="1" ht="12.75" x14ac:dyDescent="0.2"/>
    <row r="13276" s="197" customFormat="1" ht="12.75" x14ac:dyDescent="0.2"/>
    <row r="13277" s="197" customFormat="1" ht="12.75" x14ac:dyDescent="0.2"/>
    <row r="13278" s="197" customFormat="1" ht="12.75" x14ac:dyDescent="0.2"/>
    <row r="13279" s="197" customFormat="1" ht="12.75" x14ac:dyDescent="0.2"/>
    <row r="13280" s="197" customFormat="1" ht="12.75" x14ac:dyDescent="0.2"/>
    <row r="13281" s="197" customFormat="1" ht="12.75" x14ac:dyDescent="0.2"/>
    <row r="13282" s="197" customFormat="1" ht="12.75" x14ac:dyDescent="0.2"/>
    <row r="13283" s="197" customFormat="1" ht="12.75" x14ac:dyDescent="0.2"/>
    <row r="13284" s="197" customFormat="1" ht="12.75" x14ac:dyDescent="0.2"/>
    <row r="13285" s="197" customFormat="1" ht="12.75" x14ac:dyDescent="0.2"/>
    <row r="13286" s="197" customFormat="1" ht="12.75" x14ac:dyDescent="0.2"/>
    <row r="13287" s="197" customFormat="1" ht="12.75" x14ac:dyDescent="0.2"/>
    <row r="13288" s="197" customFormat="1" ht="12.75" x14ac:dyDescent="0.2"/>
    <row r="13289" s="197" customFormat="1" ht="12.75" x14ac:dyDescent="0.2"/>
    <row r="13290" s="197" customFormat="1" ht="12.75" x14ac:dyDescent="0.2"/>
    <row r="13291" s="197" customFormat="1" ht="12.75" x14ac:dyDescent="0.2"/>
    <row r="13292" s="197" customFormat="1" ht="12.75" x14ac:dyDescent="0.2"/>
    <row r="13293" s="197" customFormat="1" ht="12.75" x14ac:dyDescent="0.2"/>
    <row r="13294" s="197" customFormat="1" ht="12.75" x14ac:dyDescent="0.2"/>
    <row r="13295" s="197" customFormat="1" ht="12.75" x14ac:dyDescent="0.2"/>
    <row r="13296" s="197" customFormat="1" ht="12.75" x14ac:dyDescent="0.2"/>
    <row r="13297" s="197" customFormat="1" ht="12.75" x14ac:dyDescent="0.2"/>
    <row r="13298" s="197" customFormat="1" ht="12.75" x14ac:dyDescent="0.2"/>
    <row r="13299" s="197" customFormat="1" ht="12.75" x14ac:dyDescent="0.2"/>
    <row r="13300" s="197" customFormat="1" ht="12.75" x14ac:dyDescent="0.2"/>
    <row r="13301" s="197" customFormat="1" ht="12.75" x14ac:dyDescent="0.2"/>
    <row r="13302" s="197" customFormat="1" ht="12.75" x14ac:dyDescent="0.2"/>
    <row r="13303" s="197" customFormat="1" ht="12.75" x14ac:dyDescent="0.2"/>
    <row r="13304" s="197" customFormat="1" ht="12.75" x14ac:dyDescent="0.2"/>
    <row r="13305" s="197" customFormat="1" ht="12.75" x14ac:dyDescent="0.2"/>
    <row r="13306" s="197" customFormat="1" ht="12.75" x14ac:dyDescent="0.2"/>
    <row r="13307" s="197" customFormat="1" ht="12.75" x14ac:dyDescent="0.2"/>
    <row r="13308" s="197" customFormat="1" ht="12.75" x14ac:dyDescent="0.2"/>
    <row r="13309" s="197" customFormat="1" ht="12.75" x14ac:dyDescent="0.2"/>
    <row r="13310" s="197" customFormat="1" ht="12.75" x14ac:dyDescent="0.2"/>
    <row r="13311" s="197" customFormat="1" ht="12.75" x14ac:dyDescent="0.2"/>
    <row r="13312" s="197" customFormat="1" ht="12.75" x14ac:dyDescent="0.2"/>
    <row r="13313" s="197" customFormat="1" ht="12.75" x14ac:dyDescent="0.2"/>
    <row r="13314" s="197" customFormat="1" ht="12.75" x14ac:dyDescent="0.2"/>
    <row r="13315" s="197" customFormat="1" ht="12.75" x14ac:dyDescent="0.2"/>
    <row r="13316" s="197" customFormat="1" ht="12.75" x14ac:dyDescent="0.2"/>
    <row r="13317" s="197" customFormat="1" ht="12.75" x14ac:dyDescent="0.2"/>
    <row r="13318" s="197" customFormat="1" ht="12.75" x14ac:dyDescent="0.2"/>
    <row r="13319" s="197" customFormat="1" ht="12.75" x14ac:dyDescent="0.2"/>
    <row r="13320" s="197" customFormat="1" ht="12.75" x14ac:dyDescent="0.2"/>
    <row r="13321" s="197" customFormat="1" ht="12.75" x14ac:dyDescent="0.2"/>
    <row r="13322" s="197" customFormat="1" ht="12.75" x14ac:dyDescent="0.2"/>
    <row r="13323" s="197" customFormat="1" ht="12.75" x14ac:dyDescent="0.2"/>
    <row r="13324" s="197" customFormat="1" ht="12.75" x14ac:dyDescent="0.2"/>
    <row r="13325" s="197" customFormat="1" ht="12.75" x14ac:dyDescent="0.2"/>
    <row r="13326" s="197" customFormat="1" ht="12.75" x14ac:dyDescent="0.2"/>
    <row r="13327" s="197" customFormat="1" ht="12.75" x14ac:dyDescent="0.2"/>
    <row r="13328" s="197" customFormat="1" ht="12.75" x14ac:dyDescent="0.2"/>
    <row r="13329" s="197" customFormat="1" ht="12.75" x14ac:dyDescent="0.2"/>
    <row r="13330" s="197" customFormat="1" ht="12.75" x14ac:dyDescent="0.2"/>
    <row r="13331" s="197" customFormat="1" ht="12.75" x14ac:dyDescent="0.2"/>
    <row r="13332" s="197" customFormat="1" ht="12.75" x14ac:dyDescent="0.2"/>
    <row r="13333" s="197" customFormat="1" ht="12.75" x14ac:dyDescent="0.2"/>
    <row r="13334" s="197" customFormat="1" ht="12.75" x14ac:dyDescent="0.2"/>
    <row r="13335" s="197" customFormat="1" ht="12.75" x14ac:dyDescent="0.2"/>
    <row r="13336" s="197" customFormat="1" ht="12.75" x14ac:dyDescent="0.2"/>
    <row r="13337" s="197" customFormat="1" ht="12.75" x14ac:dyDescent="0.2"/>
    <row r="13338" s="197" customFormat="1" ht="12.75" x14ac:dyDescent="0.2"/>
    <row r="13339" s="197" customFormat="1" ht="12.75" x14ac:dyDescent="0.2"/>
    <row r="13340" s="197" customFormat="1" ht="12.75" x14ac:dyDescent="0.2"/>
    <row r="13341" s="197" customFormat="1" ht="12.75" x14ac:dyDescent="0.2"/>
    <row r="13342" s="197" customFormat="1" ht="12.75" x14ac:dyDescent="0.2"/>
    <row r="13343" s="197" customFormat="1" ht="12.75" x14ac:dyDescent="0.2"/>
    <row r="13344" s="197" customFormat="1" ht="12.75" x14ac:dyDescent="0.2"/>
    <row r="13345" s="197" customFormat="1" ht="12.75" x14ac:dyDescent="0.2"/>
    <row r="13346" s="197" customFormat="1" ht="12.75" x14ac:dyDescent="0.2"/>
    <row r="13347" s="197" customFormat="1" ht="12.75" x14ac:dyDescent="0.2"/>
    <row r="13348" s="197" customFormat="1" ht="12.75" x14ac:dyDescent="0.2"/>
    <row r="13349" s="197" customFormat="1" ht="12.75" x14ac:dyDescent="0.2"/>
    <row r="13350" s="197" customFormat="1" ht="12.75" x14ac:dyDescent="0.2"/>
    <row r="13351" s="197" customFormat="1" ht="12.75" x14ac:dyDescent="0.2"/>
    <row r="13352" s="197" customFormat="1" ht="12.75" x14ac:dyDescent="0.2"/>
    <row r="13353" s="197" customFormat="1" ht="12.75" x14ac:dyDescent="0.2"/>
    <row r="13354" s="197" customFormat="1" ht="12.75" x14ac:dyDescent="0.2"/>
    <row r="13355" s="197" customFormat="1" ht="12.75" x14ac:dyDescent="0.2"/>
    <row r="13356" s="197" customFormat="1" ht="12.75" x14ac:dyDescent="0.2"/>
    <row r="13357" s="197" customFormat="1" ht="12.75" x14ac:dyDescent="0.2"/>
    <row r="13358" s="197" customFormat="1" ht="12.75" x14ac:dyDescent="0.2"/>
    <row r="13359" s="197" customFormat="1" ht="12.75" x14ac:dyDescent="0.2"/>
    <row r="13360" s="197" customFormat="1" ht="12.75" x14ac:dyDescent="0.2"/>
    <row r="13361" s="197" customFormat="1" ht="12.75" x14ac:dyDescent="0.2"/>
    <row r="13362" s="197" customFormat="1" ht="12.75" x14ac:dyDescent="0.2"/>
    <row r="13363" s="197" customFormat="1" ht="12.75" x14ac:dyDescent="0.2"/>
    <row r="13364" s="197" customFormat="1" ht="12.75" x14ac:dyDescent="0.2"/>
    <row r="13365" s="197" customFormat="1" ht="12.75" x14ac:dyDescent="0.2"/>
    <row r="13366" s="197" customFormat="1" ht="12.75" x14ac:dyDescent="0.2"/>
    <row r="13367" s="197" customFormat="1" ht="12.75" x14ac:dyDescent="0.2"/>
    <row r="13368" s="197" customFormat="1" ht="12.75" x14ac:dyDescent="0.2"/>
    <row r="13369" s="197" customFormat="1" ht="12.75" x14ac:dyDescent="0.2"/>
    <row r="13370" s="197" customFormat="1" ht="12.75" x14ac:dyDescent="0.2"/>
    <row r="13371" s="197" customFormat="1" ht="12.75" x14ac:dyDescent="0.2"/>
    <row r="13372" s="197" customFormat="1" ht="12.75" x14ac:dyDescent="0.2"/>
    <row r="13373" s="197" customFormat="1" ht="12.75" x14ac:dyDescent="0.2"/>
    <row r="13374" s="197" customFormat="1" ht="12.75" x14ac:dyDescent="0.2"/>
    <row r="13375" s="197" customFormat="1" ht="12.75" x14ac:dyDescent="0.2"/>
    <row r="13376" s="197" customFormat="1" ht="12.75" x14ac:dyDescent="0.2"/>
    <row r="13377" s="197" customFormat="1" ht="12.75" x14ac:dyDescent="0.2"/>
    <row r="13378" s="197" customFormat="1" ht="12.75" x14ac:dyDescent="0.2"/>
    <row r="13379" s="197" customFormat="1" ht="12.75" x14ac:dyDescent="0.2"/>
    <row r="13380" s="197" customFormat="1" ht="12.75" x14ac:dyDescent="0.2"/>
    <row r="13381" s="197" customFormat="1" ht="12.75" x14ac:dyDescent="0.2"/>
    <row r="13382" s="197" customFormat="1" ht="12.75" x14ac:dyDescent="0.2"/>
    <row r="13383" s="197" customFormat="1" ht="12.75" x14ac:dyDescent="0.2"/>
    <row r="13384" s="197" customFormat="1" ht="12.75" x14ac:dyDescent="0.2"/>
    <row r="13385" s="197" customFormat="1" ht="12.75" x14ac:dyDescent="0.2"/>
    <row r="13386" s="197" customFormat="1" ht="12.75" x14ac:dyDescent="0.2"/>
    <row r="13387" s="197" customFormat="1" ht="12.75" x14ac:dyDescent="0.2"/>
    <row r="13388" s="197" customFormat="1" ht="12.75" x14ac:dyDescent="0.2"/>
    <row r="13389" s="197" customFormat="1" ht="12.75" x14ac:dyDescent="0.2"/>
    <row r="13390" s="197" customFormat="1" ht="12.75" x14ac:dyDescent="0.2"/>
    <row r="13391" s="197" customFormat="1" ht="12.75" x14ac:dyDescent="0.2"/>
    <row r="13392" s="197" customFormat="1" ht="12.75" x14ac:dyDescent="0.2"/>
    <row r="13393" s="197" customFormat="1" ht="12.75" x14ac:dyDescent="0.2"/>
    <row r="13394" s="197" customFormat="1" ht="12.75" x14ac:dyDescent="0.2"/>
    <row r="13395" s="197" customFormat="1" ht="12.75" x14ac:dyDescent="0.2"/>
    <row r="13396" s="197" customFormat="1" ht="12.75" x14ac:dyDescent="0.2"/>
    <row r="13397" s="197" customFormat="1" ht="12.75" x14ac:dyDescent="0.2"/>
    <row r="13398" s="197" customFormat="1" ht="12.75" x14ac:dyDescent="0.2"/>
    <row r="13399" s="197" customFormat="1" ht="12.75" x14ac:dyDescent="0.2"/>
    <row r="13400" s="197" customFormat="1" ht="12.75" x14ac:dyDescent="0.2"/>
    <row r="13401" s="197" customFormat="1" ht="12.75" x14ac:dyDescent="0.2"/>
    <row r="13402" s="197" customFormat="1" ht="12.75" x14ac:dyDescent="0.2"/>
    <row r="13403" s="197" customFormat="1" ht="12.75" x14ac:dyDescent="0.2"/>
    <row r="13404" s="197" customFormat="1" ht="12.75" x14ac:dyDescent="0.2"/>
    <row r="13405" s="197" customFormat="1" ht="12.75" x14ac:dyDescent="0.2"/>
    <row r="13406" s="197" customFormat="1" ht="12.75" x14ac:dyDescent="0.2"/>
    <row r="13407" s="197" customFormat="1" ht="12.75" x14ac:dyDescent="0.2"/>
    <row r="13408" s="197" customFormat="1" ht="12.75" x14ac:dyDescent="0.2"/>
    <row r="13409" s="197" customFormat="1" ht="12.75" x14ac:dyDescent="0.2"/>
    <row r="13410" s="197" customFormat="1" ht="12.75" x14ac:dyDescent="0.2"/>
    <row r="13411" s="197" customFormat="1" ht="12.75" x14ac:dyDescent="0.2"/>
    <row r="13412" s="197" customFormat="1" ht="12.75" x14ac:dyDescent="0.2"/>
    <row r="13413" s="197" customFormat="1" ht="12.75" x14ac:dyDescent="0.2"/>
    <row r="13414" s="197" customFormat="1" ht="12.75" x14ac:dyDescent="0.2"/>
    <row r="13415" s="197" customFormat="1" ht="12.75" x14ac:dyDescent="0.2"/>
    <row r="13416" s="197" customFormat="1" ht="12.75" x14ac:dyDescent="0.2"/>
    <row r="13417" s="197" customFormat="1" ht="12.75" x14ac:dyDescent="0.2"/>
    <row r="13418" s="197" customFormat="1" ht="12.75" x14ac:dyDescent="0.2"/>
    <row r="13419" s="197" customFormat="1" ht="12.75" x14ac:dyDescent="0.2"/>
    <row r="13420" s="197" customFormat="1" ht="12.75" x14ac:dyDescent="0.2"/>
    <row r="13421" s="197" customFormat="1" ht="12.75" x14ac:dyDescent="0.2"/>
    <row r="13422" s="197" customFormat="1" ht="12.75" x14ac:dyDescent="0.2"/>
    <row r="13423" s="197" customFormat="1" ht="12.75" x14ac:dyDescent="0.2"/>
    <row r="13424" s="197" customFormat="1" ht="12.75" x14ac:dyDescent="0.2"/>
    <row r="13425" s="197" customFormat="1" ht="12.75" x14ac:dyDescent="0.2"/>
    <row r="13426" s="197" customFormat="1" ht="12.75" x14ac:dyDescent="0.2"/>
    <row r="13427" s="197" customFormat="1" ht="12.75" x14ac:dyDescent="0.2"/>
    <row r="13428" s="197" customFormat="1" ht="12.75" x14ac:dyDescent="0.2"/>
    <row r="13429" s="197" customFormat="1" ht="12.75" x14ac:dyDescent="0.2"/>
    <row r="13430" s="197" customFormat="1" ht="12.75" x14ac:dyDescent="0.2"/>
    <row r="13431" s="197" customFormat="1" ht="12.75" x14ac:dyDescent="0.2"/>
    <row r="13432" s="197" customFormat="1" ht="12.75" x14ac:dyDescent="0.2"/>
    <row r="13433" s="197" customFormat="1" ht="12.75" x14ac:dyDescent="0.2"/>
    <row r="13434" s="197" customFormat="1" ht="12.75" x14ac:dyDescent="0.2"/>
    <row r="13435" s="197" customFormat="1" ht="12.75" x14ac:dyDescent="0.2"/>
    <row r="13436" s="197" customFormat="1" ht="12.75" x14ac:dyDescent="0.2"/>
    <row r="13437" s="197" customFormat="1" ht="12.75" x14ac:dyDescent="0.2"/>
    <row r="13438" s="197" customFormat="1" ht="12.75" x14ac:dyDescent="0.2"/>
    <row r="13439" s="197" customFormat="1" ht="12.75" x14ac:dyDescent="0.2"/>
    <row r="13440" s="197" customFormat="1" ht="12.75" x14ac:dyDescent="0.2"/>
    <row r="13441" s="197" customFormat="1" ht="12.75" x14ac:dyDescent="0.2"/>
    <row r="13442" s="197" customFormat="1" ht="12.75" x14ac:dyDescent="0.2"/>
    <row r="13443" s="197" customFormat="1" ht="12.75" x14ac:dyDescent="0.2"/>
    <row r="13444" s="197" customFormat="1" ht="12.75" x14ac:dyDescent="0.2"/>
    <row r="13445" s="197" customFormat="1" ht="12.75" x14ac:dyDescent="0.2"/>
    <row r="13446" s="197" customFormat="1" ht="12.75" x14ac:dyDescent="0.2"/>
    <row r="13447" s="197" customFormat="1" ht="12.75" x14ac:dyDescent="0.2"/>
    <row r="13448" s="197" customFormat="1" ht="12.75" x14ac:dyDescent="0.2"/>
    <row r="13449" s="197" customFormat="1" ht="12.75" x14ac:dyDescent="0.2"/>
    <row r="13450" s="197" customFormat="1" ht="12.75" x14ac:dyDescent="0.2"/>
    <row r="13451" s="197" customFormat="1" ht="12.75" x14ac:dyDescent="0.2"/>
    <row r="13452" s="197" customFormat="1" ht="12.75" x14ac:dyDescent="0.2"/>
    <row r="13453" s="197" customFormat="1" ht="12.75" x14ac:dyDescent="0.2"/>
    <row r="13454" s="197" customFormat="1" ht="12.75" x14ac:dyDescent="0.2"/>
    <row r="13455" s="197" customFormat="1" ht="12.75" x14ac:dyDescent="0.2"/>
    <row r="13456" s="197" customFormat="1" ht="12.75" x14ac:dyDescent="0.2"/>
    <row r="13457" s="197" customFormat="1" ht="12.75" x14ac:dyDescent="0.2"/>
    <row r="13458" s="197" customFormat="1" ht="12.75" x14ac:dyDescent="0.2"/>
    <row r="13459" s="197" customFormat="1" ht="12.75" x14ac:dyDescent="0.2"/>
    <row r="13460" s="197" customFormat="1" ht="12.75" x14ac:dyDescent="0.2"/>
    <row r="13461" s="197" customFormat="1" ht="12.75" x14ac:dyDescent="0.2"/>
    <row r="13462" s="197" customFormat="1" ht="12.75" x14ac:dyDescent="0.2"/>
    <row r="13463" s="197" customFormat="1" ht="12.75" x14ac:dyDescent="0.2"/>
    <row r="13464" s="197" customFormat="1" ht="12.75" x14ac:dyDescent="0.2"/>
    <row r="13465" s="197" customFormat="1" ht="12.75" x14ac:dyDescent="0.2"/>
    <row r="13466" s="197" customFormat="1" ht="12.75" x14ac:dyDescent="0.2"/>
    <row r="13467" s="197" customFormat="1" ht="12.75" x14ac:dyDescent="0.2"/>
    <row r="13468" s="197" customFormat="1" ht="12.75" x14ac:dyDescent="0.2"/>
    <row r="13469" s="197" customFormat="1" ht="12.75" x14ac:dyDescent="0.2"/>
    <row r="13470" s="197" customFormat="1" ht="12.75" x14ac:dyDescent="0.2"/>
    <row r="13471" s="197" customFormat="1" ht="12.75" x14ac:dyDescent="0.2"/>
    <row r="13472" s="197" customFormat="1" ht="12.75" x14ac:dyDescent="0.2"/>
    <row r="13473" s="197" customFormat="1" ht="12.75" x14ac:dyDescent="0.2"/>
    <row r="13474" s="197" customFormat="1" ht="12.75" x14ac:dyDescent="0.2"/>
    <row r="13475" s="197" customFormat="1" ht="12.75" x14ac:dyDescent="0.2"/>
    <row r="13476" s="197" customFormat="1" ht="12.75" x14ac:dyDescent="0.2"/>
    <row r="13477" s="197" customFormat="1" ht="12.75" x14ac:dyDescent="0.2"/>
    <row r="13478" s="197" customFormat="1" ht="12.75" x14ac:dyDescent="0.2"/>
    <row r="13479" s="197" customFormat="1" ht="12.75" x14ac:dyDescent="0.2"/>
    <row r="13480" s="197" customFormat="1" ht="12.75" x14ac:dyDescent="0.2"/>
    <row r="13481" s="197" customFormat="1" ht="12.75" x14ac:dyDescent="0.2"/>
    <row r="13482" s="197" customFormat="1" ht="12.75" x14ac:dyDescent="0.2"/>
    <row r="13483" s="197" customFormat="1" ht="12.75" x14ac:dyDescent="0.2"/>
    <row r="13484" s="197" customFormat="1" ht="12.75" x14ac:dyDescent="0.2"/>
    <row r="13485" s="197" customFormat="1" ht="12.75" x14ac:dyDescent="0.2"/>
    <row r="13486" s="197" customFormat="1" ht="12.75" x14ac:dyDescent="0.2"/>
    <row r="13487" s="197" customFormat="1" ht="12.75" x14ac:dyDescent="0.2"/>
    <row r="13488" s="197" customFormat="1" ht="12.75" x14ac:dyDescent="0.2"/>
    <row r="13489" s="197" customFormat="1" ht="12.75" x14ac:dyDescent="0.2"/>
    <row r="13490" s="197" customFormat="1" ht="12.75" x14ac:dyDescent="0.2"/>
    <row r="13491" s="197" customFormat="1" ht="12.75" x14ac:dyDescent="0.2"/>
    <row r="13492" s="197" customFormat="1" ht="12.75" x14ac:dyDescent="0.2"/>
    <row r="13493" s="197" customFormat="1" ht="12.75" x14ac:dyDescent="0.2"/>
    <row r="13494" s="197" customFormat="1" ht="12.75" x14ac:dyDescent="0.2"/>
    <row r="13495" s="197" customFormat="1" ht="12.75" x14ac:dyDescent="0.2"/>
    <row r="13496" s="197" customFormat="1" ht="12.75" x14ac:dyDescent="0.2"/>
    <row r="13497" s="197" customFormat="1" ht="12.75" x14ac:dyDescent="0.2"/>
    <row r="13498" s="197" customFormat="1" ht="12.75" x14ac:dyDescent="0.2"/>
    <row r="13499" s="197" customFormat="1" ht="12.75" x14ac:dyDescent="0.2"/>
    <row r="13500" s="197" customFormat="1" ht="12.75" x14ac:dyDescent="0.2"/>
    <row r="13501" s="197" customFormat="1" ht="12.75" x14ac:dyDescent="0.2"/>
    <row r="13502" s="197" customFormat="1" ht="12.75" x14ac:dyDescent="0.2"/>
    <row r="13503" s="197" customFormat="1" ht="12.75" x14ac:dyDescent="0.2"/>
    <row r="13504" s="197" customFormat="1" ht="12.75" x14ac:dyDescent="0.2"/>
    <row r="13505" s="197" customFormat="1" ht="12.75" x14ac:dyDescent="0.2"/>
    <row r="13506" s="197" customFormat="1" ht="12.75" x14ac:dyDescent="0.2"/>
    <row r="13507" s="197" customFormat="1" ht="12.75" x14ac:dyDescent="0.2"/>
    <row r="13508" s="197" customFormat="1" ht="12.75" x14ac:dyDescent="0.2"/>
    <row r="13509" s="197" customFormat="1" ht="12.75" x14ac:dyDescent="0.2"/>
    <row r="13510" s="197" customFormat="1" ht="12.75" x14ac:dyDescent="0.2"/>
    <row r="13511" s="197" customFormat="1" ht="12.75" x14ac:dyDescent="0.2"/>
    <row r="13512" s="197" customFormat="1" ht="12.75" x14ac:dyDescent="0.2"/>
    <row r="13513" s="197" customFormat="1" ht="12.75" x14ac:dyDescent="0.2"/>
    <row r="13514" s="197" customFormat="1" ht="12.75" x14ac:dyDescent="0.2"/>
    <row r="13515" s="197" customFormat="1" ht="12.75" x14ac:dyDescent="0.2"/>
    <row r="13516" s="197" customFormat="1" ht="12.75" x14ac:dyDescent="0.2"/>
    <row r="13517" s="197" customFormat="1" ht="12.75" x14ac:dyDescent="0.2"/>
    <row r="13518" s="197" customFormat="1" ht="12.75" x14ac:dyDescent="0.2"/>
    <row r="13519" s="197" customFormat="1" ht="12.75" x14ac:dyDescent="0.2"/>
    <row r="13520" s="197" customFormat="1" ht="12.75" x14ac:dyDescent="0.2"/>
    <row r="13521" s="197" customFormat="1" ht="12.75" x14ac:dyDescent="0.2"/>
    <row r="13522" s="197" customFormat="1" ht="12.75" x14ac:dyDescent="0.2"/>
    <row r="13523" s="197" customFormat="1" ht="12.75" x14ac:dyDescent="0.2"/>
    <row r="13524" s="197" customFormat="1" ht="12.75" x14ac:dyDescent="0.2"/>
    <row r="13525" s="197" customFormat="1" ht="12.75" x14ac:dyDescent="0.2"/>
    <row r="13526" s="197" customFormat="1" ht="12.75" x14ac:dyDescent="0.2"/>
    <row r="13527" s="197" customFormat="1" ht="12.75" x14ac:dyDescent="0.2"/>
    <row r="13528" s="197" customFormat="1" ht="12.75" x14ac:dyDescent="0.2"/>
    <row r="13529" s="197" customFormat="1" ht="12.75" x14ac:dyDescent="0.2"/>
    <row r="13530" s="197" customFormat="1" ht="12.75" x14ac:dyDescent="0.2"/>
    <row r="13531" s="197" customFormat="1" ht="12.75" x14ac:dyDescent="0.2"/>
    <row r="13532" s="197" customFormat="1" ht="12.75" x14ac:dyDescent="0.2"/>
    <row r="13533" s="197" customFormat="1" ht="12.75" x14ac:dyDescent="0.2"/>
    <row r="13534" s="197" customFormat="1" ht="12.75" x14ac:dyDescent="0.2"/>
    <row r="13535" s="197" customFormat="1" ht="12.75" x14ac:dyDescent="0.2"/>
    <row r="13536" s="197" customFormat="1" ht="12.75" x14ac:dyDescent="0.2"/>
    <row r="13537" s="197" customFormat="1" ht="12.75" x14ac:dyDescent="0.2"/>
    <row r="13538" s="197" customFormat="1" ht="12.75" x14ac:dyDescent="0.2"/>
    <row r="13539" s="197" customFormat="1" ht="12.75" x14ac:dyDescent="0.2"/>
    <row r="13540" s="197" customFormat="1" ht="12.75" x14ac:dyDescent="0.2"/>
    <row r="13541" s="197" customFormat="1" ht="12.75" x14ac:dyDescent="0.2"/>
    <row r="13542" s="197" customFormat="1" ht="12.75" x14ac:dyDescent="0.2"/>
    <row r="13543" s="197" customFormat="1" ht="12.75" x14ac:dyDescent="0.2"/>
    <row r="13544" s="197" customFormat="1" ht="12.75" x14ac:dyDescent="0.2"/>
    <row r="13545" s="197" customFormat="1" ht="12.75" x14ac:dyDescent="0.2"/>
    <row r="13546" s="197" customFormat="1" ht="12.75" x14ac:dyDescent="0.2"/>
    <row r="13547" s="197" customFormat="1" ht="12.75" x14ac:dyDescent="0.2"/>
    <row r="13548" s="197" customFormat="1" ht="12.75" x14ac:dyDescent="0.2"/>
    <row r="13549" s="197" customFormat="1" ht="12.75" x14ac:dyDescent="0.2"/>
    <row r="13550" s="197" customFormat="1" ht="12.75" x14ac:dyDescent="0.2"/>
    <row r="13551" s="197" customFormat="1" ht="12.75" x14ac:dyDescent="0.2"/>
    <row r="13552" s="197" customFormat="1" ht="12.75" x14ac:dyDescent="0.2"/>
    <row r="13553" s="197" customFormat="1" ht="12.75" x14ac:dyDescent="0.2"/>
    <row r="13554" s="197" customFormat="1" ht="12.75" x14ac:dyDescent="0.2"/>
    <row r="13555" s="197" customFormat="1" ht="12.75" x14ac:dyDescent="0.2"/>
    <row r="13556" s="197" customFormat="1" ht="12.75" x14ac:dyDescent="0.2"/>
    <row r="13557" s="197" customFormat="1" ht="12.75" x14ac:dyDescent="0.2"/>
    <row r="13558" s="197" customFormat="1" ht="12.75" x14ac:dyDescent="0.2"/>
    <row r="13559" s="197" customFormat="1" ht="12.75" x14ac:dyDescent="0.2"/>
    <row r="13560" s="197" customFormat="1" ht="12.75" x14ac:dyDescent="0.2"/>
    <row r="13561" s="197" customFormat="1" ht="12.75" x14ac:dyDescent="0.2"/>
    <row r="13562" s="197" customFormat="1" ht="12.75" x14ac:dyDescent="0.2"/>
    <row r="13563" s="197" customFormat="1" ht="12.75" x14ac:dyDescent="0.2"/>
    <row r="13564" s="197" customFormat="1" ht="12.75" x14ac:dyDescent="0.2"/>
    <row r="13565" s="197" customFormat="1" ht="12.75" x14ac:dyDescent="0.2"/>
    <row r="13566" s="197" customFormat="1" ht="12.75" x14ac:dyDescent="0.2"/>
    <row r="13567" s="197" customFormat="1" ht="12.75" x14ac:dyDescent="0.2"/>
    <row r="13568" s="197" customFormat="1" ht="12.75" x14ac:dyDescent="0.2"/>
    <row r="13569" s="197" customFormat="1" ht="12.75" x14ac:dyDescent="0.2"/>
    <row r="13570" s="197" customFormat="1" ht="12.75" x14ac:dyDescent="0.2"/>
    <row r="13571" s="197" customFormat="1" ht="12.75" x14ac:dyDescent="0.2"/>
    <row r="13572" s="197" customFormat="1" ht="12.75" x14ac:dyDescent="0.2"/>
    <row r="13573" s="197" customFormat="1" ht="12.75" x14ac:dyDescent="0.2"/>
    <row r="13574" s="197" customFormat="1" ht="12.75" x14ac:dyDescent="0.2"/>
    <row r="13575" s="197" customFormat="1" ht="12.75" x14ac:dyDescent="0.2"/>
    <row r="13576" s="197" customFormat="1" ht="12.75" x14ac:dyDescent="0.2"/>
    <row r="13577" s="197" customFormat="1" ht="12.75" x14ac:dyDescent="0.2"/>
    <row r="13578" s="197" customFormat="1" ht="12.75" x14ac:dyDescent="0.2"/>
    <row r="13579" s="197" customFormat="1" ht="12.75" x14ac:dyDescent="0.2"/>
    <row r="13580" s="197" customFormat="1" ht="12.75" x14ac:dyDescent="0.2"/>
    <row r="13581" s="197" customFormat="1" ht="12.75" x14ac:dyDescent="0.2"/>
    <row r="13582" s="197" customFormat="1" ht="12.75" x14ac:dyDescent="0.2"/>
    <row r="13583" s="197" customFormat="1" ht="12.75" x14ac:dyDescent="0.2"/>
    <row r="13584" s="197" customFormat="1" ht="12.75" x14ac:dyDescent="0.2"/>
    <row r="13585" s="197" customFormat="1" ht="12.75" x14ac:dyDescent="0.2"/>
    <row r="13586" s="197" customFormat="1" ht="12.75" x14ac:dyDescent="0.2"/>
    <row r="13587" s="197" customFormat="1" ht="12.75" x14ac:dyDescent="0.2"/>
    <row r="13588" s="197" customFormat="1" ht="12.75" x14ac:dyDescent="0.2"/>
    <row r="13589" s="197" customFormat="1" ht="12.75" x14ac:dyDescent="0.2"/>
    <row r="13590" s="197" customFormat="1" ht="12.75" x14ac:dyDescent="0.2"/>
    <row r="13591" s="197" customFormat="1" ht="12.75" x14ac:dyDescent="0.2"/>
    <row r="13592" s="197" customFormat="1" ht="12.75" x14ac:dyDescent="0.2"/>
    <row r="13593" s="197" customFormat="1" ht="12.75" x14ac:dyDescent="0.2"/>
    <row r="13594" s="197" customFormat="1" ht="12.75" x14ac:dyDescent="0.2"/>
    <row r="13595" s="197" customFormat="1" ht="12.75" x14ac:dyDescent="0.2"/>
    <row r="13596" s="197" customFormat="1" ht="12.75" x14ac:dyDescent="0.2"/>
    <row r="13597" s="197" customFormat="1" ht="12.75" x14ac:dyDescent="0.2"/>
    <row r="13598" s="197" customFormat="1" ht="12.75" x14ac:dyDescent="0.2"/>
    <row r="13599" s="197" customFormat="1" ht="12.75" x14ac:dyDescent="0.2"/>
    <row r="13600" s="197" customFormat="1" ht="12.75" x14ac:dyDescent="0.2"/>
    <row r="13601" s="197" customFormat="1" ht="12.75" x14ac:dyDescent="0.2"/>
    <row r="13602" s="197" customFormat="1" ht="12.75" x14ac:dyDescent="0.2"/>
    <row r="13603" s="197" customFormat="1" ht="12.75" x14ac:dyDescent="0.2"/>
    <row r="13604" s="197" customFormat="1" ht="12.75" x14ac:dyDescent="0.2"/>
    <row r="13605" s="197" customFormat="1" ht="12.75" x14ac:dyDescent="0.2"/>
    <row r="13606" s="197" customFormat="1" ht="12.75" x14ac:dyDescent="0.2"/>
    <row r="13607" s="197" customFormat="1" ht="12.75" x14ac:dyDescent="0.2"/>
    <row r="13608" s="197" customFormat="1" ht="12.75" x14ac:dyDescent="0.2"/>
    <row r="13609" s="197" customFormat="1" ht="12.75" x14ac:dyDescent="0.2"/>
    <row r="13610" s="197" customFormat="1" ht="12.75" x14ac:dyDescent="0.2"/>
    <row r="13611" s="197" customFormat="1" ht="12.75" x14ac:dyDescent="0.2"/>
    <row r="13612" s="197" customFormat="1" ht="12.75" x14ac:dyDescent="0.2"/>
    <row r="13613" s="197" customFormat="1" ht="12.75" x14ac:dyDescent="0.2"/>
    <row r="13614" s="197" customFormat="1" ht="12.75" x14ac:dyDescent="0.2"/>
    <row r="13615" s="197" customFormat="1" ht="12.75" x14ac:dyDescent="0.2"/>
    <row r="13616" s="197" customFormat="1" ht="12.75" x14ac:dyDescent="0.2"/>
    <row r="13617" s="197" customFormat="1" ht="12.75" x14ac:dyDescent="0.2"/>
    <row r="13618" s="197" customFormat="1" ht="12.75" x14ac:dyDescent="0.2"/>
    <row r="13619" s="197" customFormat="1" ht="12.75" x14ac:dyDescent="0.2"/>
    <row r="13620" s="197" customFormat="1" ht="12.75" x14ac:dyDescent="0.2"/>
    <row r="13621" s="197" customFormat="1" ht="12.75" x14ac:dyDescent="0.2"/>
    <row r="13622" s="197" customFormat="1" ht="12.75" x14ac:dyDescent="0.2"/>
    <row r="13623" s="197" customFormat="1" ht="12.75" x14ac:dyDescent="0.2"/>
    <row r="13624" s="197" customFormat="1" ht="12.75" x14ac:dyDescent="0.2"/>
    <row r="13625" s="197" customFormat="1" ht="12.75" x14ac:dyDescent="0.2"/>
    <row r="13626" s="197" customFormat="1" ht="12.75" x14ac:dyDescent="0.2"/>
    <row r="13627" s="197" customFormat="1" ht="12.75" x14ac:dyDescent="0.2"/>
    <row r="13628" s="197" customFormat="1" ht="12.75" x14ac:dyDescent="0.2"/>
    <row r="13629" s="197" customFormat="1" ht="12.75" x14ac:dyDescent="0.2"/>
    <row r="13630" s="197" customFormat="1" ht="12.75" x14ac:dyDescent="0.2"/>
    <row r="13631" s="197" customFormat="1" ht="12.75" x14ac:dyDescent="0.2"/>
    <row r="13632" s="197" customFormat="1" ht="12.75" x14ac:dyDescent="0.2"/>
    <row r="13633" s="197" customFormat="1" ht="12.75" x14ac:dyDescent="0.2"/>
    <row r="13634" s="197" customFormat="1" ht="12.75" x14ac:dyDescent="0.2"/>
    <row r="13635" s="197" customFormat="1" ht="12.75" x14ac:dyDescent="0.2"/>
    <row r="13636" s="197" customFormat="1" ht="12.75" x14ac:dyDescent="0.2"/>
    <row r="13637" s="197" customFormat="1" ht="12.75" x14ac:dyDescent="0.2"/>
    <row r="13638" s="197" customFormat="1" ht="12.75" x14ac:dyDescent="0.2"/>
    <row r="13639" s="197" customFormat="1" ht="12.75" x14ac:dyDescent="0.2"/>
    <row r="13640" s="197" customFormat="1" ht="12.75" x14ac:dyDescent="0.2"/>
    <row r="13641" s="197" customFormat="1" ht="12.75" x14ac:dyDescent="0.2"/>
    <row r="13642" s="197" customFormat="1" ht="12.75" x14ac:dyDescent="0.2"/>
    <row r="13643" s="197" customFormat="1" ht="12.75" x14ac:dyDescent="0.2"/>
    <row r="13644" s="197" customFormat="1" ht="12.75" x14ac:dyDescent="0.2"/>
    <row r="13645" s="197" customFormat="1" ht="12.75" x14ac:dyDescent="0.2"/>
    <row r="13646" s="197" customFormat="1" ht="12.75" x14ac:dyDescent="0.2"/>
    <row r="13647" s="197" customFormat="1" ht="12.75" x14ac:dyDescent="0.2"/>
    <row r="13648" s="197" customFormat="1" ht="12.75" x14ac:dyDescent="0.2"/>
    <row r="13649" s="197" customFormat="1" ht="12.75" x14ac:dyDescent="0.2"/>
    <row r="13650" s="197" customFormat="1" ht="12.75" x14ac:dyDescent="0.2"/>
    <row r="13651" s="197" customFormat="1" ht="12.75" x14ac:dyDescent="0.2"/>
    <row r="13652" s="197" customFormat="1" ht="12.75" x14ac:dyDescent="0.2"/>
    <row r="13653" s="197" customFormat="1" ht="12.75" x14ac:dyDescent="0.2"/>
    <row r="13654" s="197" customFormat="1" ht="12.75" x14ac:dyDescent="0.2"/>
    <row r="13655" s="197" customFormat="1" ht="12.75" x14ac:dyDescent="0.2"/>
    <row r="13656" s="197" customFormat="1" ht="12.75" x14ac:dyDescent="0.2"/>
    <row r="13657" s="197" customFormat="1" ht="12.75" x14ac:dyDescent="0.2"/>
    <row r="13658" s="197" customFormat="1" ht="12.75" x14ac:dyDescent="0.2"/>
    <row r="13659" s="197" customFormat="1" ht="12.75" x14ac:dyDescent="0.2"/>
    <row r="13660" s="197" customFormat="1" ht="12.75" x14ac:dyDescent="0.2"/>
    <row r="13661" s="197" customFormat="1" ht="12.75" x14ac:dyDescent="0.2"/>
    <row r="13662" s="197" customFormat="1" ht="12.75" x14ac:dyDescent="0.2"/>
    <row r="13663" s="197" customFormat="1" ht="12.75" x14ac:dyDescent="0.2"/>
    <row r="13664" s="197" customFormat="1" ht="12.75" x14ac:dyDescent="0.2"/>
    <row r="13665" s="197" customFormat="1" ht="12.75" x14ac:dyDescent="0.2"/>
    <row r="13666" s="197" customFormat="1" ht="12.75" x14ac:dyDescent="0.2"/>
    <row r="13667" s="197" customFormat="1" ht="12.75" x14ac:dyDescent="0.2"/>
    <row r="13668" s="197" customFormat="1" ht="12.75" x14ac:dyDescent="0.2"/>
    <row r="13669" s="197" customFormat="1" ht="12.75" x14ac:dyDescent="0.2"/>
    <row r="13670" s="197" customFormat="1" ht="12.75" x14ac:dyDescent="0.2"/>
    <row r="13671" s="197" customFormat="1" ht="12.75" x14ac:dyDescent="0.2"/>
    <row r="13672" s="197" customFormat="1" ht="12.75" x14ac:dyDescent="0.2"/>
    <row r="13673" s="197" customFormat="1" ht="12.75" x14ac:dyDescent="0.2"/>
    <row r="13674" s="197" customFormat="1" ht="12.75" x14ac:dyDescent="0.2"/>
    <row r="13675" s="197" customFormat="1" ht="12.75" x14ac:dyDescent="0.2"/>
    <row r="13676" s="197" customFormat="1" ht="12.75" x14ac:dyDescent="0.2"/>
    <row r="13677" s="197" customFormat="1" ht="12.75" x14ac:dyDescent="0.2"/>
    <row r="13678" s="197" customFormat="1" ht="12.75" x14ac:dyDescent="0.2"/>
    <row r="13679" s="197" customFormat="1" ht="12.75" x14ac:dyDescent="0.2"/>
    <row r="13680" s="197" customFormat="1" ht="12.75" x14ac:dyDescent="0.2"/>
    <row r="13681" s="197" customFormat="1" ht="12.75" x14ac:dyDescent="0.2"/>
    <row r="13682" s="197" customFormat="1" ht="12.75" x14ac:dyDescent="0.2"/>
    <row r="13683" s="197" customFormat="1" ht="12.75" x14ac:dyDescent="0.2"/>
    <row r="13684" s="197" customFormat="1" ht="12.75" x14ac:dyDescent="0.2"/>
    <row r="13685" s="197" customFormat="1" ht="12.75" x14ac:dyDescent="0.2"/>
    <row r="13686" s="197" customFormat="1" ht="12.75" x14ac:dyDescent="0.2"/>
    <row r="13687" s="197" customFormat="1" ht="12.75" x14ac:dyDescent="0.2"/>
    <row r="13688" s="197" customFormat="1" ht="12.75" x14ac:dyDescent="0.2"/>
    <row r="13689" s="197" customFormat="1" ht="12.75" x14ac:dyDescent="0.2"/>
    <row r="13690" s="197" customFormat="1" ht="12.75" x14ac:dyDescent="0.2"/>
    <row r="13691" s="197" customFormat="1" ht="12.75" x14ac:dyDescent="0.2"/>
    <row r="13692" s="197" customFormat="1" ht="12.75" x14ac:dyDescent="0.2"/>
    <row r="13693" s="197" customFormat="1" ht="12.75" x14ac:dyDescent="0.2"/>
    <row r="13694" s="197" customFormat="1" ht="12.75" x14ac:dyDescent="0.2"/>
    <row r="13695" s="197" customFormat="1" ht="12.75" x14ac:dyDescent="0.2"/>
    <row r="13696" s="197" customFormat="1" ht="12.75" x14ac:dyDescent="0.2"/>
    <row r="13697" s="197" customFormat="1" ht="12.75" x14ac:dyDescent="0.2"/>
    <row r="13698" s="197" customFormat="1" ht="12.75" x14ac:dyDescent="0.2"/>
    <row r="13699" s="197" customFormat="1" ht="12.75" x14ac:dyDescent="0.2"/>
    <row r="13700" s="197" customFormat="1" ht="12.75" x14ac:dyDescent="0.2"/>
    <row r="13701" s="197" customFormat="1" ht="12.75" x14ac:dyDescent="0.2"/>
    <row r="13702" s="197" customFormat="1" ht="12.75" x14ac:dyDescent="0.2"/>
    <row r="13703" s="197" customFormat="1" ht="12.75" x14ac:dyDescent="0.2"/>
    <row r="13704" s="197" customFormat="1" ht="12.75" x14ac:dyDescent="0.2"/>
    <row r="13705" s="197" customFormat="1" ht="12.75" x14ac:dyDescent="0.2"/>
    <row r="13706" s="197" customFormat="1" ht="12.75" x14ac:dyDescent="0.2"/>
    <row r="13707" s="197" customFormat="1" ht="12.75" x14ac:dyDescent="0.2"/>
    <row r="13708" s="197" customFormat="1" ht="12.75" x14ac:dyDescent="0.2"/>
    <row r="13709" s="197" customFormat="1" ht="12.75" x14ac:dyDescent="0.2"/>
    <row r="13710" s="197" customFormat="1" ht="12.75" x14ac:dyDescent="0.2"/>
    <row r="13711" s="197" customFormat="1" ht="12.75" x14ac:dyDescent="0.2"/>
    <row r="13712" s="197" customFormat="1" ht="12.75" x14ac:dyDescent="0.2"/>
    <row r="13713" s="197" customFormat="1" ht="12.75" x14ac:dyDescent="0.2"/>
    <row r="13714" s="197" customFormat="1" ht="12.75" x14ac:dyDescent="0.2"/>
    <row r="13715" s="197" customFormat="1" ht="12.75" x14ac:dyDescent="0.2"/>
    <row r="13716" s="197" customFormat="1" ht="12.75" x14ac:dyDescent="0.2"/>
    <row r="13717" s="197" customFormat="1" ht="12.75" x14ac:dyDescent="0.2"/>
    <row r="13718" s="197" customFormat="1" ht="12.75" x14ac:dyDescent="0.2"/>
    <row r="13719" s="197" customFormat="1" ht="12.75" x14ac:dyDescent="0.2"/>
    <row r="13720" s="197" customFormat="1" ht="12.75" x14ac:dyDescent="0.2"/>
    <row r="13721" s="197" customFormat="1" ht="12.75" x14ac:dyDescent="0.2"/>
    <row r="13722" s="197" customFormat="1" ht="12.75" x14ac:dyDescent="0.2"/>
    <row r="13723" s="197" customFormat="1" ht="12.75" x14ac:dyDescent="0.2"/>
    <row r="13724" s="197" customFormat="1" ht="12.75" x14ac:dyDescent="0.2"/>
    <row r="13725" s="197" customFormat="1" ht="12.75" x14ac:dyDescent="0.2"/>
    <row r="13726" s="197" customFormat="1" ht="12.75" x14ac:dyDescent="0.2"/>
    <row r="13727" s="197" customFormat="1" ht="12.75" x14ac:dyDescent="0.2"/>
    <row r="13728" s="197" customFormat="1" ht="12.75" x14ac:dyDescent="0.2"/>
    <row r="13729" s="197" customFormat="1" ht="12.75" x14ac:dyDescent="0.2"/>
    <row r="13730" s="197" customFormat="1" ht="12.75" x14ac:dyDescent="0.2"/>
    <row r="13731" s="197" customFormat="1" ht="12.75" x14ac:dyDescent="0.2"/>
    <row r="13732" s="197" customFormat="1" ht="12.75" x14ac:dyDescent="0.2"/>
    <row r="13733" s="197" customFormat="1" ht="12.75" x14ac:dyDescent="0.2"/>
    <row r="13734" s="197" customFormat="1" ht="12.75" x14ac:dyDescent="0.2"/>
    <row r="13735" s="197" customFormat="1" ht="12.75" x14ac:dyDescent="0.2"/>
    <row r="13736" s="197" customFormat="1" ht="12.75" x14ac:dyDescent="0.2"/>
    <row r="13737" s="197" customFormat="1" ht="12.75" x14ac:dyDescent="0.2"/>
    <row r="13738" s="197" customFormat="1" ht="12.75" x14ac:dyDescent="0.2"/>
    <row r="13739" s="197" customFormat="1" ht="12.75" x14ac:dyDescent="0.2"/>
    <row r="13740" s="197" customFormat="1" ht="12.75" x14ac:dyDescent="0.2"/>
    <row r="13741" s="197" customFormat="1" ht="12.75" x14ac:dyDescent="0.2"/>
    <row r="13742" s="197" customFormat="1" ht="12.75" x14ac:dyDescent="0.2"/>
    <row r="13743" s="197" customFormat="1" ht="12.75" x14ac:dyDescent="0.2"/>
    <row r="13744" s="197" customFormat="1" ht="12.75" x14ac:dyDescent="0.2"/>
    <row r="13745" s="197" customFormat="1" ht="12.75" x14ac:dyDescent="0.2"/>
    <row r="13746" s="197" customFormat="1" ht="12.75" x14ac:dyDescent="0.2"/>
    <row r="13747" s="197" customFormat="1" ht="12.75" x14ac:dyDescent="0.2"/>
    <row r="13748" s="197" customFormat="1" ht="12.75" x14ac:dyDescent="0.2"/>
    <row r="13749" s="197" customFormat="1" ht="12.75" x14ac:dyDescent="0.2"/>
    <row r="13750" s="197" customFormat="1" ht="12.75" x14ac:dyDescent="0.2"/>
    <row r="13751" s="197" customFormat="1" ht="12.75" x14ac:dyDescent="0.2"/>
    <row r="13752" s="197" customFormat="1" ht="12.75" x14ac:dyDescent="0.2"/>
    <row r="13753" s="197" customFormat="1" ht="12.75" x14ac:dyDescent="0.2"/>
    <row r="13754" s="197" customFormat="1" ht="12.75" x14ac:dyDescent="0.2"/>
    <row r="13755" s="197" customFormat="1" ht="12.75" x14ac:dyDescent="0.2"/>
    <row r="13756" s="197" customFormat="1" ht="12.75" x14ac:dyDescent="0.2"/>
    <row r="13757" s="197" customFormat="1" ht="12.75" x14ac:dyDescent="0.2"/>
    <row r="13758" s="197" customFormat="1" ht="12.75" x14ac:dyDescent="0.2"/>
    <row r="13759" s="197" customFormat="1" ht="12.75" x14ac:dyDescent="0.2"/>
    <row r="13760" s="197" customFormat="1" ht="12.75" x14ac:dyDescent="0.2"/>
    <row r="13761" s="197" customFormat="1" ht="12.75" x14ac:dyDescent="0.2"/>
    <row r="13762" s="197" customFormat="1" ht="12.75" x14ac:dyDescent="0.2"/>
    <row r="13763" s="197" customFormat="1" ht="12.75" x14ac:dyDescent="0.2"/>
    <row r="13764" s="197" customFormat="1" ht="12.75" x14ac:dyDescent="0.2"/>
    <row r="13765" s="197" customFormat="1" ht="12.75" x14ac:dyDescent="0.2"/>
    <row r="13766" s="197" customFormat="1" ht="12.75" x14ac:dyDescent="0.2"/>
    <row r="13767" s="197" customFormat="1" ht="12.75" x14ac:dyDescent="0.2"/>
    <row r="13768" s="197" customFormat="1" ht="12.75" x14ac:dyDescent="0.2"/>
    <row r="13769" s="197" customFormat="1" ht="12.75" x14ac:dyDescent="0.2"/>
    <row r="13770" s="197" customFormat="1" ht="12.75" x14ac:dyDescent="0.2"/>
    <row r="13771" s="197" customFormat="1" ht="12.75" x14ac:dyDescent="0.2"/>
    <row r="13772" s="197" customFormat="1" ht="12.75" x14ac:dyDescent="0.2"/>
    <row r="13773" s="197" customFormat="1" ht="12.75" x14ac:dyDescent="0.2"/>
    <row r="13774" s="197" customFormat="1" ht="12.75" x14ac:dyDescent="0.2"/>
    <row r="13775" s="197" customFormat="1" ht="12.75" x14ac:dyDescent="0.2"/>
    <row r="13776" s="197" customFormat="1" ht="12.75" x14ac:dyDescent="0.2"/>
    <row r="13777" s="197" customFormat="1" ht="12.75" x14ac:dyDescent="0.2"/>
    <row r="13778" s="197" customFormat="1" ht="12.75" x14ac:dyDescent="0.2"/>
    <row r="13779" s="197" customFormat="1" ht="12.75" x14ac:dyDescent="0.2"/>
    <row r="13780" s="197" customFormat="1" ht="12.75" x14ac:dyDescent="0.2"/>
    <row r="13781" s="197" customFormat="1" ht="12.75" x14ac:dyDescent="0.2"/>
    <row r="13782" s="197" customFormat="1" ht="12.75" x14ac:dyDescent="0.2"/>
    <row r="13783" s="197" customFormat="1" ht="12.75" x14ac:dyDescent="0.2"/>
    <row r="13784" s="197" customFormat="1" ht="12.75" x14ac:dyDescent="0.2"/>
    <row r="13785" s="197" customFormat="1" ht="12.75" x14ac:dyDescent="0.2"/>
    <row r="13786" s="197" customFormat="1" ht="12.75" x14ac:dyDescent="0.2"/>
    <row r="13787" s="197" customFormat="1" ht="12.75" x14ac:dyDescent="0.2"/>
    <row r="13788" s="197" customFormat="1" ht="12.75" x14ac:dyDescent="0.2"/>
    <row r="13789" s="197" customFormat="1" ht="12.75" x14ac:dyDescent="0.2"/>
    <row r="13790" s="197" customFormat="1" ht="12.75" x14ac:dyDescent="0.2"/>
    <row r="13791" s="197" customFormat="1" ht="12.75" x14ac:dyDescent="0.2"/>
    <row r="13792" s="197" customFormat="1" ht="12.75" x14ac:dyDescent="0.2"/>
    <row r="13793" s="197" customFormat="1" ht="12.75" x14ac:dyDescent="0.2"/>
    <row r="13794" s="197" customFormat="1" ht="12.75" x14ac:dyDescent="0.2"/>
    <row r="13795" s="197" customFormat="1" ht="12.75" x14ac:dyDescent="0.2"/>
    <row r="13796" s="197" customFormat="1" ht="12.75" x14ac:dyDescent="0.2"/>
    <row r="13797" s="197" customFormat="1" ht="12.75" x14ac:dyDescent="0.2"/>
    <row r="13798" s="197" customFormat="1" ht="12.75" x14ac:dyDescent="0.2"/>
    <row r="13799" s="197" customFormat="1" ht="12.75" x14ac:dyDescent="0.2"/>
    <row r="13800" s="197" customFormat="1" ht="12.75" x14ac:dyDescent="0.2"/>
    <row r="13801" s="197" customFormat="1" ht="12.75" x14ac:dyDescent="0.2"/>
    <row r="13802" s="197" customFormat="1" ht="12.75" x14ac:dyDescent="0.2"/>
    <row r="13803" s="197" customFormat="1" ht="12.75" x14ac:dyDescent="0.2"/>
    <row r="13804" s="197" customFormat="1" ht="12.75" x14ac:dyDescent="0.2"/>
    <row r="13805" s="197" customFormat="1" ht="12.75" x14ac:dyDescent="0.2"/>
    <row r="13806" s="197" customFormat="1" ht="12.75" x14ac:dyDescent="0.2"/>
    <row r="13807" s="197" customFormat="1" ht="12.75" x14ac:dyDescent="0.2"/>
    <row r="13808" s="197" customFormat="1" ht="12.75" x14ac:dyDescent="0.2"/>
    <row r="13809" s="197" customFormat="1" ht="12.75" x14ac:dyDescent="0.2"/>
    <row r="13810" s="197" customFormat="1" ht="12.75" x14ac:dyDescent="0.2"/>
    <row r="13811" s="197" customFormat="1" ht="12.75" x14ac:dyDescent="0.2"/>
    <row r="13812" s="197" customFormat="1" ht="12.75" x14ac:dyDescent="0.2"/>
    <row r="13813" s="197" customFormat="1" ht="12.75" x14ac:dyDescent="0.2"/>
    <row r="13814" s="197" customFormat="1" ht="12.75" x14ac:dyDescent="0.2"/>
    <row r="13815" s="197" customFormat="1" ht="12.75" x14ac:dyDescent="0.2"/>
    <row r="13816" s="197" customFormat="1" ht="12.75" x14ac:dyDescent="0.2"/>
    <row r="13817" s="197" customFormat="1" ht="12.75" x14ac:dyDescent="0.2"/>
    <row r="13818" s="197" customFormat="1" ht="12.75" x14ac:dyDescent="0.2"/>
    <row r="13819" s="197" customFormat="1" ht="12.75" x14ac:dyDescent="0.2"/>
    <row r="13820" s="197" customFormat="1" ht="12.75" x14ac:dyDescent="0.2"/>
    <row r="13821" s="197" customFormat="1" ht="12.75" x14ac:dyDescent="0.2"/>
    <row r="13822" s="197" customFormat="1" ht="12.75" x14ac:dyDescent="0.2"/>
    <row r="13823" s="197" customFormat="1" ht="12.75" x14ac:dyDescent="0.2"/>
    <row r="13824" s="197" customFormat="1" ht="12.75" x14ac:dyDescent="0.2"/>
    <row r="13825" s="197" customFormat="1" ht="12.75" x14ac:dyDescent="0.2"/>
    <row r="13826" s="197" customFormat="1" ht="12.75" x14ac:dyDescent="0.2"/>
    <row r="13827" s="197" customFormat="1" ht="12.75" x14ac:dyDescent="0.2"/>
    <row r="13828" s="197" customFormat="1" ht="12.75" x14ac:dyDescent="0.2"/>
    <row r="13829" s="197" customFormat="1" ht="12.75" x14ac:dyDescent="0.2"/>
    <row r="13830" s="197" customFormat="1" ht="12.75" x14ac:dyDescent="0.2"/>
    <row r="13831" s="197" customFormat="1" ht="12.75" x14ac:dyDescent="0.2"/>
    <row r="13832" s="197" customFormat="1" ht="12.75" x14ac:dyDescent="0.2"/>
    <row r="13833" s="197" customFormat="1" ht="12.75" x14ac:dyDescent="0.2"/>
    <row r="13834" s="197" customFormat="1" ht="12.75" x14ac:dyDescent="0.2"/>
    <row r="13835" s="197" customFormat="1" ht="12.75" x14ac:dyDescent="0.2"/>
    <row r="13836" s="197" customFormat="1" ht="12.75" x14ac:dyDescent="0.2"/>
    <row r="13837" s="197" customFormat="1" ht="12.75" x14ac:dyDescent="0.2"/>
    <row r="13838" s="197" customFormat="1" ht="12.75" x14ac:dyDescent="0.2"/>
    <row r="13839" s="197" customFormat="1" ht="12.75" x14ac:dyDescent="0.2"/>
    <row r="13840" s="197" customFormat="1" ht="12.75" x14ac:dyDescent="0.2"/>
    <row r="13841" s="197" customFormat="1" ht="12.75" x14ac:dyDescent="0.2"/>
    <row r="13842" s="197" customFormat="1" ht="12.75" x14ac:dyDescent="0.2"/>
    <row r="13843" s="197" customFormat="1" ht="12.75" x14ac:dyDescent="0.2"/>
    <row r="13844" s="197" customFormat="1" ht="12.75" x14ac:dyDescent="0.2"/>
    <row r="13845" s="197" customFormat="1" ht="12.75" x14ac:dyDescent="0.2"/>
    <row r="13846" s="197" customFormat="1" ht="12.75" x14ac:dyDescent="0.2"/>
    <row r="13847" s="197" customFormat="1" ht="12.75" x14ac:dyDescent="0.2"/>
    <row r="13848" s="197" customFormat="1" ht="12.75" x14ac:dyDescent="0.2"/>
    <row r="13849" s="197" customFormat="1" ht="12.75" x14ac:dyDescent="0.2"/>
    <row r="13850" s="197" customFormat="1" ht="12.75" x14ac:dyDescent="0.2"/>
    <row r="13851" s="197" customFormat="1" ht="12.75" x14ac:dyDescent="0.2"/>
    <row r="13852" s="197" customFormat="1" ht="12.75" x14ac:dyDescent="0.2"/>
    <row r="13853" s="197" customFormat="1" ht="12.75" x14ac:dyDescent="0.2"/>
    <row r="13854" s="197" customFormat="1" ht="12.75" x14ac:dyDescent="0.2"/>
    <row r="13855" s="197" customFormat="1" ht="12.75" x14ac:dyDescent="0.2"/>
    <row r="13856" s="197" customFormat="1" ht="12.75" x14ac:dyDescent="0.2"/>
    <row r="13857" s="197" customFormat="1" ht="12.75" x14ac:dyDescent="0.2"/>
    <row r="13858" s="197" customFormat="1" ht="12.75" x14ac:dyDescent="0.2"/>
    <row r="13859" s="197" customFormat="1" ht="12.75" x14ac:dyDescent="0.2"/>
    <row r="13860" s="197" customFormat="1" ht="12.75" x14ac:dyDescent="0.2"/>
    <row r="13861" s="197" customFormat="1" ht="12.75" x14ac:dyDescent="0.2"/>
    <row r="13862" s="197" customFormat="1" ht="12.75" x14ac:dyDescent="0.2"/>
    <row r="13863" s="197" customFormat="1" ht="12.75" x14ac:dyDescent="0.2"/>
    <row r="13864" s="197" customFormat="1" ht="12.75" x14ac:dyDescent="0.2"/>
    <row r="13865" s="197" customFormat="1" ht="12.75" x14ac:dyDescent="0.2"/>
    <row r="13866" s="197" customFormat="1" ht="12.75" x14ac:dyDescent="0.2"/>
    <row r="13867" s="197" customFormat="1" ht="12.75" x14ac:dyDescent="0.2"/>
    <row r="13868" s="197" customFormat="1" ht="12.75" x14ac:dyDescent="0.2"/>
    <row r="13869" s="197" customFormat="1" ht="12.75" x14ac:dyDescent="0.2"/>
    <row r="13870" s="197" customFormat="1" ht="12.75" x14ac:dyDescent="0.2"/>
    <row r="13871" s="197" customFormat="1" ht="12.75" x14ac:dyDescent="0.2"/>
    <row r="13872" s="197" customFormat="1" ht="12.75" x14ac:dyDescent="0.2"/>
    <row r="13873" s="197" customFormat="1" ht="12.75" x14ac:dyDescent="0.2"/>
    <row r="13874" s="197" customFormat="1" ht="12.75" x14ac:dyDescent="0.2"/>
    <row r="13875" s="197" customFormat="1" ht="12.75" x14ac:dyDescent="0.2"/>
    <row r="13876" s="197" customFormat="1" ht="12.75" x14ac:dyDescent="0.2"/>
    <row r="13877" s="197" customFormat="1" ht="12.75" x14ac:dyDescent="0.2"/>
    <row r="13878" s="197" customFormat="1" ht="12.75" x14ac:dyDescent="0.2"/>
    <row r="13879" s="197" customFormat="1" ht="12.75" x14ac:dyDescent="0.2"/>
    <row r="13880" s="197" customFormat="1" ht="12.75" x14ac:dyDescent="0.2"/>
    <row r="13881" s="197" customFormat="1" ht="12.75" x14ac:dyDescent="0.2"/>
    <row r="13882" s="197" customFormat="1" ht="12.75" x14ac:dyDescent="0.2"/>
    <row r="13883" s="197" customFormat="1" ht="12.75" x14ac:dyDescent="0.2"/>
    <row r="13884" s="197" customFormat="1" ht="12.75" x14ac:dyDescent="0.2"/>
    <row r="13885" s="197" customFormat="1" ht="12.75" x14ac:dyDescent="0.2"/>
    <row r="13886" s="197" customFormat="1" ht="12.75" x14ac:dyDescent="0.2"/>
    <row r="13887" s="197" customFormat="1" ht="12.75" x14ac:dyDescent="0.2"/>
    <row r="13888" s="197" customFormat="1" ht="12.75" x14ac:dyDescent="0.2"/>
    <row r="13889" s="197" customFormat="1" ht="12.75" x14ac:dyDescent="0.2"/>
    <row r="13890" s="197" customFormat="1" ht="12.75" x14ac:dyDescent="0.2"/>
    <row r="13891" s="197" customFormat="1" ht="12.75" x14ac:dyDescent="0.2"/>
    <row r="13892" s="197" customFormat="1" ht="12.75" x14ac:dyDescent="0.2"/>
    <row r="13893" s="197" customFormat="1" ht="12.75" x14ac:dyDescent="0.2"/>
    <row r="13894" s="197" customFormat="1" ht="12.75" x14ac:dyDescent="0.2"/>
    <row r="13895" s="197" customFormat="1" ht="12.75" x14ac:dyDescent="0.2"/>
    <row r="13896" s="197" customFormat="1" ht="12.75" x14ac:dyDescent="0.2"/>
    <row r="13897" s="197" customFormat="1" ht="12.75" x14ac:dyDescent="0.2"/>
    <row r="13898" s="197" customFormat="1" ht="12.75" x14ac:dyDescent="0.2"/>
    <row r="13899" s="197" customFormat="1" ht="12.75" x14ac:dyDescent="0.2"/>
    <row r="13900" s="197" customFormat="1" ht="12.75" x14ac:dyDescent="0.2"/>
    <row r="13901" s="197" customFormat="1" ht="12.75" x14ac:dyDescent="0.2"/>
    <row r="13902" s="197" customFormat="1" ht="12.75" x14ac:dyDescent="0.2"/>
    <row r="13903" s="197" customFormat="1" ht="12.75" x14ac:dyDescent="0.2"/>
    <row r="13904" s="197" customFormat="1" ht="12.75" x14ac:dyDescent="0.2"/>
    <row r="13905" s="197" customFormat="1" ht="12.75" x14ac:dyDescent="0.2"/>
    <row r="13906" s="197" customFormat="1" ht="12.75" x14ac:dyDescent="0.2"/>
    <row r="13907" s="197" customFormat="1" ht="12.75" x14ac:dyDescent="0.2"/>
    <row r="13908" s="197" customFormat="1" ht="12.75" x14ac:dyDescent="0.2"/>
    <row r="13909" s="197" customFormat="1" ht="12.75" x14ac:dyDescent="0.2"/>
    <row r="13910" s="197" customFormat="1" ht="12.75" x14ac:dyDescent="0.2"/>
    <row r="13911" s="197" customFormat="1" ht="12.75" x14ac:dyDescent="0.2"/>
    <row r="13912" s="197" customFormat="1" ht="12.75" x14ac:dyDescent="0.2"/>
    <row r="13913" s="197" customFormat="1" ht="12.75" x14ac:dyDescent="0.2"/>
    <row r="13914" s="197" customFormat="1" ht="12.75" x14ac:dyDescent="0.2"/>
    <row r="13915" s="197" customFormat="1" ht="12.75" x14ac:dyDescent="0.2"/>
    <row r="13916" s="197" customFormat="1" ht="12.75" x14ac:dyDescent="0.2"/>
    <row r="13917" s="197" customFormat="1" ht="12.75" x14ac:dyDescent="0.2"/>
    <row r="13918" s="197" customFormat="1" ht="12.75" x14ac:dyDescent="0.2"/>
    <row r="13919" s="197" customFormat="1" ht="12.75" x14ac:dyDescent="0.2"/>
    <row r="13920" s="197" customFormat="1" ht="12.75" x14ac:dyDescent="0.2"/>
    <row r="13921" s="197" customFormat="1" ht="12.75" x14ac:dyDescent="0.2"/>
    <row r="13922" s="197" customFormat="1" ht="12.75" x14ac:dyDescent="0.2"/>
    <row r="13923" s="197" customFormat="1" ht="12.75" x14ac:dyDescent="0.2"/>
    <row r="13924" s="197" customFormat="1" ht="12.75" x14ac:dyDescent="0.2"/>
    <row r="13925" s="197" customFormat="1" ht="12.75" x14ac:dyDescent="0.2"/>
    <row r="13926" s="197" customFormat="1" ht="12.75" x14ac:dyDescent="0.2"/>
    <row r="13927" s="197" customFormat="1" ht="12.75" x14ac:dyDescent="0.2"/>
    <row r="13928" s="197" customFormat="1" ht="12.75" x14ac:dyDescent="0.2"/>
    <row r="13929" s="197" customFormat="1" ht="12.75" x14ac:dyDescent="0.2"/>
    <row r="13930" s="197" customFormat="1" ht="12.75" x14ac:dyDescent="0.2"/>
    <row r="13931" s="197" customFormat="1" ht="12.75" x14ac:dyDescent="0.2"/>
    <row r="13932" s="197" customFormat="1" ht="12.75" x14ac:dyDescent="0.2"/>
    <row r="13933" s="197" customFormat="1" ht="12.75" x14ac:dyDescent="0.2"/>
    <row r="13934" s="197" customFormat="1" ht="12.75" x14ac:dyDescent="0.2"/>
    <row r="13935" s="197" customFormat="1" ht="12.75" x14ac:dyDescent="0.2"/>
    <row r="13936" s="197" customFormat="1" ht="12.75" x14ac:dyDescent="0.2"/>
    <row r="13937" s="197" customFormat="1" ht="12.75" x14ac:dyDescent="0.2"/>
    <row r="13938" s="197" customFormat="1" ht="12.75" x14ac:dyDescent="0.2"/>
    <row r="13939" s="197" customFormat="1" ht="12.75" x14ac:dyDescent="0.2"/>
    <row r="13940" s="197" customFormat="1" ht="12.75" x14ac:dyDescent="0.2"/>
    <row r="13941" s="197" customFormat="1" ht="12.75" x14ac:dyDescent="0.2"/>
    <row r="13942" s="197" customFormat="1" ht="12.75" x14ac:dyDescent="0.2"/>
    <row r="13943" s="197" customFormat="1" ht="12.75" x14ac:dyDescent="0.2"/>
    <row r="13944" s="197" customFormat="1" ht="12.75" x14ac:dyDescent="0.2"/>
    <row r="13945" s="197" customFormat="1" ht="12.75" x14ac:dyDescent="0.2"/>
    <row r="13946" s="197" customFormat="1" ht="12.75" x14ac:dyDescent="0.2"/>
    <row r="13947" s="197" customFormat="1" ht="12.75" x14ac:dyDescent="0.2"/>
    <row r="13948" s="197" customFormat="1" ht="12.75" x14ac:dyDescent="0.2"/>
    <row r="13949" s="197" customFormat="1" ht="12.75" x14ac:dyDescent="0.2"/>
    <row r="13950" s="197" customFormat="1" ht="12.75" x14ac:dyDescent="0.2"/>
    <row r="13951" s="197" customFormat="1" ht="12.75" x14ac:dyDescent="0.2"/>
    <row r="13952" s="197" customFormat="1" ht="12.75" x14ac:dyDescent="0.2"/>
    <row r="13953" s="197" customFormat="1" ht="12.75" x14ac:dyDescent="0.2"/>
    <row r="13954" s="197" customFormat="1" ht="12.75" x14ac:dyDescent="0.2"/>
    <row r="13955" s="197" customFormat="1" ht="12.75" x14ac:dyDescent="0.2"/>
    <row r="13956" s="197" customFormat="1" ht="12.75" x14ac:dyDescent="0.2"/>
    <row r="13957" s="197" customFormat="1" ht="12.75" x14ac:dyDescent="0.2"/>
    <row r="13958" s="197" customFormat="1" ht="12.75" x14ac:dyDescent="0.2"/>
    <row r="13959" s="197" customFormat="1" ht="12.75" x14ac:dyDescent="0.2"/>
    <row r="13960" s="197" customFormat="1" ht="12.75" x14ac:dyDescent="0.2"/>
    <row r="13961" s="197" customFormat="1" ht="12.75" x14ac:dyDescent="0.2"/>
    <row r="13962" s="197" customFormat="1" ht="12.75" x14ac:dyDescent="0.2"/>
    <row r="13963" s="197" customFormat="1" ht="12.75" x14ac:dyDescent="0.2"/>
    <row r="13964" s="197" customFormat="1" ht="12.75" x14ac:dyDescent="0.2"/>
    <row r="13965" s="197" customFormat="1" ht="12.75" x14ac:dyDescent="0.2"/>
    <row r="13966" s="197" customFormat="1" ht="12.75" x14ac:dyDescent="0.2"/>
    <row r="13967" s="197" customFormat="1" ht="12.75" x14ac:dyDescent="0.2"/>
    <row r="13968" s="197" customFormat="1" ht="12.75" x14ac:dyDescent="0.2"/>
    <row r="13969" s="197" customFormat="1" ht="12.75" x14ac:dyDescent="0.2"/>
    <row r="13970" s="197" customFormat="1" ht="12.75" x14ac:dyDescent="0.2"/>
    <row r="13971" s="197" customFormat="1" ht="12.75" x14ac:dyDescent="0.2"/>
    <row r="13972" s="197" customFormat="1" ht="12.75" x14ac:dyDescent="0.2"/>
    <row r="13973" s="197" customFormat="1" ht="12.75" x14ac:dyDescent="0.2"/>
    <row r="13974" s="197" customFormat="1" ht="12.75" x14ac:dyDescent="0.2"/>
    <row r="13975" s="197" customFormat="1" ht="12.75" x14ac:dyDescent="0.2"/>
    <row r="13976" s="197" customFormat="1" ht="12.75" x14ac:dyDescent="0.2"/>
    <row r="13977" s="197" customFormat="1" ht="12.75" x14ac:dyDescent="0.2"/>
    <row r="13978" s="197" customFormat="1" ht="12.75" x14ac:dyDescent="0.2"/>
    <row r="13979" s="197" customFormat="1" ht="12.75" x14ac:dyDescent="0.2"/>
    <row r="13980" s="197" customFormat="1" ht="12.75" x14ac:dyDescent="0.2"/>
    <row r="13981" s="197" customFormat="1" ht="12.75" x14ac:dyDescent="0.2"/>
    <row r="13982" s="197" customFormat="1" ht="12.75" x14ac:dyDescent="0.2"/>
    <row r="13983" s="197" customFormat="1" ht="12.75" x14ac:dyDescent="0.2"/>
    <row r="13984" s="197" customFormat="1" ht="12.75" x14ac:dyDescent="0.2"/>
    <row r="13985" s="197" customFormat="1" ht="12.75" x14ac:dyDescent="0.2"/>
    <row r="13986" s="197" customFormat="1" ht="12.75" x14ac:dyDescent="0.2"/>
    <row r="13987" s="197" customFormat="1" ht="12.75" x14ac:dyDescent="0.2"/>
    <row r="13988" s="197" customFormat="1" ht="12.75" x14ac:dyDescent="0.2"/>
    <row r="13989" s="197" customFormat="1" ht="12.75" x14ac:dyDescent="0.2"/>
    <row r="13990" s="197" customFormat="1" ht="12.75" x14ac:dyDescent="0.2"/>
    <row r="13991" s="197" customFormat="1" ht="12.75" x14ac:dyDescent="0.2"/>
    <row r="13992" s="197" customFormat="1" ht="12.75" x14ac:dyDescent="0.2"/>
    <row r="13993" s="197" customFormat="1" ht="12.75" x14ac:dyDescent="0.2"/>
    <row r="13994" s="197" customFormat="1" ht="12.75" x14ac:dyDescent="0.2"/>
    <row r="13995" s="197" customFormat="1" ht="12.75" x14ac:dyDescent="0.2"/>
    <row r="13996" s="197" customFormat="1" ht="12.75" x14ac:dyDescent="0.2"/>
    <row r="13997" s="197" customFormat="1" ht="12.75" x14ac:dyDescent="0.2"/>
    <row r="13998" s="197" customFormat="1" ht="12.75" x14ac:dyDescent="0.2"/>
    <row r="13999" s="197" customFormat="1" ht="12.75" x14ac:dyDescent="0.2"/>
    <row r="14000" s="197" customFormat="1" ht="12.75" x14ac:dyDescent="0.2"/>
    <row r="14001" s="197" customFormat="1" ht="12.75" x14ac:dyDescent="0.2"/>
    <row r="14002" s="197" customFormat="1" ht="12.75" x14ac:dyDescent="0.2"/>
    <row r="14003" s="197" customFormat="1" ht="12.75" x14ac:dyDescent="0.2"/>
    <row r="14004" s="197" customFormat="1" ht="12.75" x14ac:dyDescent="0.2"/>
    <row r="14005" s="197" customFormat="1" ht="12.75" x14ac:dyDescent="0.2"/>
    <row r="14006" s="197" customFormat="1" ht="12.75" x14ac:dyDescent="0.2"/>
    <row r="14007" s="197" customFormat="1" ht="12.75" x14ac:dyDescent="0.2"/>
    <row r="14008" s="197" customFormat="1" ht="12.75" x14ac:dyDescent="0.2"/>
    <row r="14009" s="197" customFormat="1" ht="12.75" x14ac:dyDescent="0.2"/>
    <row r="14010" s="197" customFormat="1" ht="12.75" x14ac:dyDescent="0.2"/>
    <row r="14011" s="197" customFormat="1" ht="12.75" x14ac:dyDescent="0.2"/>
    <row r="14012" s="197" customFormat="1" ht="12.75" x14ac:dyDescent="0.2"/>
    <row r="14013" s="197" customFormat="1" ht="12.75" x14ac:dyDescent="0.2"/>
    <row r="14014" s="197" customFormat="1" ht="12.75" x14ac:dyDescent="0.2"/>
    <row r="14015" s="197" customFormat="1" ht="12.75" x14ac:dyDescent="0.2"/>
    <row r="14016" s="197" customFormat="1" ht="12.75" x14ac:dyDescent="0.2"/>
    <row r="14017" s="197" customFormat="1" ht="12.75" x14ac:dyDescent="0.2"/>
    <row r="14018" s="197" customFormat="1" ht="12.75" x14ac:dyDescent="0.2"/>
    <row r="14019" s="197" customFormat="1" ht="12.75" x14ac:dyDescent="0.2"/>
    <row r="14020" s="197" customFormat="1" ht="12.75" x14ac:dyDescent="0.2"/>
    <row r="14021" s="197" customFormat="1" ht="12.75" x14ac:dyDescent="0.2"/>
    <row r="14022" s="197" customFormat="1" ht="12.75" x14ac:dyDescent="0.2"/>
    <row r="14023" s="197" customFormat="1" ht="12.75" x14ac:dyDescent="0.2"/>
    <row r="14024" s="197" customFormat="1" ht="12.75" x14ac:dyDescent="0.2"/>
    <row r="14025" s="197" customFormat="1" ht="12.75" x14ac:dyDescent="0.2"/>
    <row r="14026" s="197" customFormat="1" ht="12.75" x14ac:dyDescent="0.2"/>
    <row r="14027" s="197" customFormat="1" ht="12.75" x14ac:dyDescent="0.2"/>
    <row r="14028" s="197" customFormat="1" ht="12.75" x14ac:dyDescent="0.2"/>
    <row r="14029" s="197" customFormat="1" ht="12.75" x14ac:dyDescent="0.2"/>
    <row r="14030" s="197" customFormat="1" ht="12.75" x14ac:dyDescent="0.2"/>
    <row r="14031" s="197" customFormat="1" ht="12.75" x14ac:dyDescent="0.2"/>
    <row r="14032" s="197" customFormat="1" ht="12.75" x14ac:dyDescent="0.2"/>
    <row r="14033" s="197" customFormat="1" ht="12.75" x14ac:dyDescent="0.2"/>
    <row r="14034" s="197" customFormat="1" ht="12.75" x14ac:dyDescent="0.2"/>
    <row r="14035" s="197" customFormat="1" ht="12.75" x14ac:dyDescent="0.2"/>
    <row r="14036" s="197" customFormat="1" ht="12.75" x14ac:dyDescent="0.2"/>
    <row r="14037" s="197" customFormat="1" ht="12.75" x14ac:dyDescent="0.2"/>
    <row r="14038" s="197" customFormat="1" ht="12.75" x14ac:dyDescent="0.2"/>
    <row r="14039" s="197" customFormat="1" ht="12.75" x14ac:dyDescent="0.2"/>
    <row r="14040" s="197" customFormat="1" ht="12.75" x14ac:dyDescent="0.2"/>
    <row r="14041" s="197" customFormat="1" ht="12.75" x14ac:dyDescent="0.2"/>
    <row r="14042" s="197" customFormat="1" ht="12.75" x14ac:dyDescent="0.2"/>
    <row r="14043" s="197" customFormat="1" ht="12.75" x14ac:dyDescent="0.2"/>
    <row r="14044" s="197" customFormat="1" ht="12.75" x14ac:dyDescent="0.2"/>
    <row r="14045" s="197" customFormat="1" ht="12.75" x14ac:dyDescent="0.2"/>
    <row r="14046" s="197" customFormat="1" ht="12.75" x14ac:dyDescent="0.2"/>
    <row r="14047" s="197" customFormat="1" ht="12.75" x14ac:dyDescent="0.2"/>
    <row r="14048" s="197" customFormat="1" ht="12.75" x14ac:dyDescent="0.2"/>
    <row r="14049" s="197" customFormat="1" ht="12.75" x14ac:dyDescent="0.2"/>
    <row r="14050" s="197" customFormat="1" ht="12.75" x14ac:dyDescent="0.2"/>
    <row r="14051" s="197" customFormat="1" ht="12.75" x14ac:dyDescent="0.2"/>
    <row r="14052" s="197" customFormat="1" ht="12.75" x14ac:dyDescent="0.2"/>
    <row r="14053" s="197" customFormat="1" ht="12.75" x14ac:dyDescent="0.2"/>
    <row r="14054" s="197" customFormat="1" ht="12.75" x14ac:dyDescent="0.2"/>
    <row r="14055" s="197" customFormat="1" ht="12.75" x14ac:dyDescent="0.2"/>
    <row r="14056" s="197" customFormat="1" ht="12.75" x14ac:dyDescent="0.2"/>
    <row r="14057" s="197" customFormat="1" ht="12.75" x14ac:dyDescent="0.2"/>
    <row r="14058" s="197" customFormat="1" ht="12.75" x14ac:dyDescent="0.2"/>
    <row r="14059" s="197" customFormat="1" ht="12.75" x14ac:dyDescent="0.2"/>
    <row r="14060" s="197" customFormat="1" ht="12.75" x14ac:dyDescent="0.2"/>
    <row r="14061" s="197" customFormat="1" ht="12.75" x14ac:dyDescent="0.2"/>
    <row r="14062" s="197" customFormat="1" ht="12.75" x14ac:dyDescent="0.2"/>
    <row r="14063" s="197" customFormat="1" ht="12.75" x14ac:dyDescent="0.2"/>
    <row r="14064" s="197" customFormat="1" ht="12.75" x14ac:dyDescent="0.2"/>
    <row r="14065" s="197" customFormat="1" ht="12.75" x14ac:dyDescent="0.2"/>
    <row r="14066" s="197" customFormat="1" ht="12.75" x14ac:dyDescent="0.2"/>
    <row r="14067" s="197" customFormat="1" ht="12.75" x14ac:dyDescent="0.2"/>
    <row r="14068" s="197" customFormat="1" ht="12.75" x14ac:dyDescent="0.2"/>
    <row r="14069" s="197" customFormat="1" ht="12.75" x14ac:dyDescent="0.2"/>
    <row r="14070" s="197" customFormat="1" ht="12.75" x14ac:dyDescent="0.2"/>
    <row r="14071" s="197" customFormat="1" ht="12.75" x14ac:dyDescent="0.2"/>
    <row r="14072" s="197" customFormat="1" ht="12.75" x14ac:dyDescent="0.2"/>
    <row r="14073" s="197" customFormat="1" ht="12.75" x14ac:dyDescent="0.2"/>
    <row r="14074" s="197" customFormat="1" ht="12.75" x14ac:dyDescent="0.2"/>
    <row r="14075" s="197" customFormat="1" ht="12.75" x14ac:dyDescent="0.2"/>
    <row r="14076" s="197" customFormat="1" ht="12.75" x14ac:dyDescent="0.2"/>
    <row r="14077" s="197" customFormat="1" ht="12.75" x14ac:dyDescent="0.2"/>
    <row r="14078" s="197" customFormat="1" ht="12.75" x14ac:dyDescent="0.2"/>
    <row r="14079" s="197" customFormat="1" ht="12.75" x14ac:dyDescent="0.2"/>
    <row r="14080" s="197" customFormat="1" ht="12.75" x14ac:dyDescent="0.2"/>
    <row r="14081" s="197" customFormat="1" ht="12.75" x14ac:dyDescent="0.2"/>
    <row r="14082" s="197" customFormat="1" ht="12.75" x14ac:dyDescent="0.2"/>
    <row r="14083" s="197" customFormat="1" ht="12.75" x14ac:dyDescent="0.2"/>
    <row r="14084" s="197" customFormat="1" ht="12.75" x14ac:dyDescent="0.2"/>
    <row r="14085" s="197" customFormat="1" ht="12.75" x14ac:dyDescent="0.2"/>
    <row r="14086" s="197" customFormat="1" ht="12.75" x14ac:dyDescent="0.2"/>
    <row r="14087" s="197" customFormat="1" ht="12.75" x14ac:dyDescent="0.2"/>
    <row r="14088" s="197" customFormat="1" ht="12.75" x14ac:dyDescent="0.2"/>
    <row r="14089" s="197" customFormat="1" ht="12.75" x14ac:dyDescent="0.2"/>
    <row r="14090" s="197" customFormat="1" ht="12.75" x14ac:dyDescent="0.2"/>
    <row r="14091" s="197" customFormat="1" ht="12.75" x14ac:dyDescent="0.2"/>
    <row r="14092" s="197" customFormat="1" ht="12.75" x14ac:dyDescent="0.2"/>
    <row r="14093" s="197" customFormat="1" ht="12.75" x14ac:dyDescent="0.2"/>
    <row r="14094" s="197" customFormat="1" ht="12.75" x14ac:dyDescent="0.2"/>
    <row r="14095" s="197" customFormat="1" ht="12.75" x14ac:dyDescent="0.2"/>
    <row r="14096" s="197" customFormat="1" ht="12.75" x14ac:dyDescent="0.2"/>
    <row r="14097" s="197" customFormat="1" ht="12.75" x14ac:dyDescent="0.2"/>
    <row r="14098" s="197" customFormat="1" ht="12.75" x14ac:dyDescent="0.2"/>
    <row r="14099" s="197" customFormat="1" ht="12.75" x14ac:dyDescent="0.2"/>
    <row r="14100" s="197" customFormat="1" ht="12.75" x14ac:dyDescent="0.2"/>
    <row r="14101" s="197" customFormat="1" ht="12.75" x14ac:dyDescent="0.2"/>
    <row r="14102" s="197" customFormat="1" ht="12.75" x14ac:dyDescent="0.2"/>
    <row r="14103" s="197" customFormat="1" ht="12.75" x14ac:dyDescent="0.2"/>
    <row r="14104" s="197" customFormat="1" ht="12.75" x14ac:dyDescent="0.2"/>
    <row r="14105" s="197" customFormat="1" ht="12.75" x14ac:dyDescent="0.2"/>
    <row r="14106" s="197" customFormat="1" ht="12.75" x14ac:dyDescent="0.2"/>
    <row r="14107" s="197" customFormat="1" ht="12.75" x14ac:dyDescent="0.2"/>
    <row r="14108" s="197" customFormat="1" ht="12.75" x14ac:dyDescent="0.2"/>
    <row r="14109" s="197" customFormat="1" ht="12.75" x14ac:dyDescent="0.2"/>
    <row r="14110" s="197" customFormat="1" ht="12.75" x14ac:dyDescent="0.2"/>
    <row r="14111" s="197" customFormat="1" ht="12.75" x14ac:dyDescent="0.2"/>
    <row r="14112" s="197" customFormat="1" ht="12.75" x14ac:dyDescent="0.2"/>
    <row r="14113" s="197" customFormat="1" ht="12.75" x14ac:dyDescent="0.2"/>
    <row r="14114" s="197" customFormat="1" ht="12.75" x14ac:dyDescent="0.2"/>
    <row r="14115" s="197" customFormat="1" ht="12.75" x14ac:dyDescent="0.2"/>
    <row r="14116" s="197" customFormat="1" ht="12.75" x14ac:dyDescent="0.2"/>
    <row r="14117" s="197" customFormat="1" ht="12.75" x14ac:dyDescent="0.2"/>
    <row r="14118" s="197" customFormat="1" ht="12.75" x14ac:dyDescent="0.2"/>
    <row r="14119" s="197" customFormat="1" ht="12.75" x14ac:dyDescent="0.2"/>
    <row r="14120" s="197" customFormat="1" ht="12.75" x14ac:dyDescent="0.2"/>
    <row r="14121" s="197" customFormat="1" ht="12.75" x14ac:dyDescent="0.2"/>
    <row r="14122" s="197" customFormat="1" ht="12.75" x14ac:dyDescent="0.2"/>
    <row r="14123" s="197" customFormat="1" ht="12.75" x14ac:dyDescent="0.2"/>
    <row r="14124" s="197" customFormat="1" ht="12.75" x14ac:dyDescent="0.2"/>
    <row r="14125" s="197" customFormat="1" ht="12.75" x14ac:dyDescent="0.2"/>
    <row r="14126" s="197" customFormat="1" ht="12.75" x14ac:dyDescent="0.2"/>
    <row r="14127" s="197" customFormat="1" ht="12.75" x14ac:dyDescent="0.2"/>
    <row r="14128" s="197" customFormat="1" ht="12.75" x14ac:dyDescent="0.2"/>
    <row r="14129" s="197" customFormat="1" ht="12.75" x14ac:dyDescent="0.2"/>
    <row r="14130" s="197" customFormat="1" ht="12.75" x14ac:dyDescent="0.2"/>
    <row r="14131" s="197" customFormat="1" ht="12.75" x14ac:dyDescent="0.2"/>
    <row r="14132" s="197" customFormat="1" ht="12.75" x14ac:dyDescent="0.2"/>
    <row r="14133" s="197" customFormat="1" ht="12.75" x14ac:dyDescent="0.2"/>
    <row r="14134" s="197" customFormat="1" ht="12.75" x14ac:dyDescent="0.2"/>
    <row r="14135" s="197" customFormat="1" ht="12.75" x14ac:dyDescent="0.2"/>
    <row r="14136" s="197" customFormat="1" ht="12.75" x14ac:dyDescent="0.2"/>
    <row r="14137" s="197" customFormat="1" ht="12.75" x14ac:dyDescent="0.2"/>
    <row r="14138" s="197" customFormat="1" ht="12.75" x14ac:dyDescent="0.2"/>
    <row r="14139" s="197" customFormat="1" ht="12.75" x14ac:dyDescent="0.2"/>
    <row r="14140" s="197" customFormat="1" ht="12.75" x14ac:dyDescent="0.2"/>
    <row r="14141" s="197" customFormat="1" ht="12.75" x14ac:dyDescent="0.2"/>
    <row r="14142" s="197" customFormat="1" ht="12.75" x14ac:dyDescent="0.2"/>
    <row r="14143" s="197" customFormat="1" ht="12.75" x14ac:dyDescent="0.2"/>
    <row r="14144" s="197" customFormat="1" ht="12.75" x14ac:dyDescent="0.2"/>
    <row r="14145" s="197" customFormat="1" ht="12.75" x14ac:dyDescent="0.2"/>
    <row r="14146" s="197" customFormat="1" ht="12.75" x14ac:dyDescent="0.2"/>
    <row r="14147" s="197" customFormat="1" ht="12.75" x14ac:dyDescent="0.2"/>
    <row r="14148" s="197" customFormat="1" ht="12.75" x14ac:dyDescent="0.2"/>
    <row r="14149" s="197" customFormat="1" ht="12.75" x14ac:dyDescent="0.2"/>
    <row r="14150" s="197" customFormat="1" ht="12.75" x14ac:dyDescent="0.2"/>
    <row r="14151" s="197" customFormat="1" ht="12.75" x14ac:dyDescent="0.2"/>
    <row r="14152" s="197" customFormat="1" ht="12.75" x14ac:dyDescent="0.2"/>
    <row r="14153" s="197" customFormat="1" ht="12.75" x14ac:dyDescent="0.2"/>
    <row r="14154" s="197" customFormat="1" ht="12.75" x14ac:dyDescent="0.2"/>
    <row r="14155" s="197" customFormat="1" ht="12.75" x14ac:dyDescent="0.2"/>
    <row r="14156" s="197" customFormat="1" ht="12.75" x14ac:dyDescent="0.2"/>
    <row r="14157" s="197" customFormat="1" ht="12.75" x14ac:dyDescent="0.2"/>
    <row r="14158" s="197" customFormat="1" ht="12.75" x14ac:dyDescent="0.2"/>
    <row r="14159" s="197" customFormat="1" ht="12.75" x14ac:dyDescent="0.2"/>
    <row r="14160" s="197" customFormat="1" ht="12.75" x14ac:dyDescent="0.2"/>
    <row r="14161" s="197" customFormat="1" ht="12.75" x14ac:dyDescent="0.2"/>
    <row r="14162" s="197" customFormat="1" ht="12.75" x14ac:dyDescent="0.2"/>
    <row r="14163" s="197" customFormat="1" ht="12.75" x14ac:dyDescent="0.2"/>
    <row r="14164" s="197" customFormat="1" ht="12.75" x14ac:dyDescent="0.2"/>
    <row r="14165" s="197" customFormat="1" ht="12.75" x14ac:dyDescent="0.2"/>
    <row r="14166" s="197" customFormat="1" ht="12.75" x14ac:dyDescent="0.2"/>
    <row r="14167" s="197" customFormat="1" ht="12.75" x14ac:dyDescent="0.2"/>
    <row r="14168" s="197" customFormat="1" ht="12.75" x14ac:dyDescent="0.2"/>
    <row r="14169" s="197" customFormat="1" ht="12.75" x14ac:dyDescent="0.2"/>
    <row r="14170" s="197" customFormat="1" ht="12.75" x14ac:dyDescent="0.2"/>
    <row r="14171" s="197" customFormat="1" ht="12.75" x14ac:dyDescent="0.2"/>
    <row r="14172" s="197" customFormat="1" ht="12.75" x14ac:dyDescent="0.2"/>
    <row r="14173" s="197" customFormat="1" ht="12.75" x14ac:dyDescent="0.2"/>
    <row r="14174" s="197" customFormat="1" ht="12.75" x14ac:dyDescent="0.2"/>
    <row r="14175" s="197" customFormat="1" ht="12.75" x14ac:dyDescent="0.2"/>
    <row r="14176" s="197" customFormat="1" ht="12.75" x14ac:dyDescent="0.2"/>
    <row r="14177" s="197" customFormat="1" ht="12.75" x14ac:dyDescent="0.2"/>
    <row r="14178" s="197" customFormat="1" ht="12.75" x14ac:dyDescent="0.2"/>
    <row r="14179" s="197" customFormat="1" ht="12.75" x14ac:dyDescent="0.2"/>
    <row r="14180" s="197" customFormat="1" ht="12.75" x14ac:dyDescent="0.2"/>
    <row r="14181" s="197" customFormat="1" ht="12.75" x14ac:dyDescent="0.2"/>
    <row r="14182" s="197" customFormat="1" ht="12.75" x14ac:dyDescent="0.2"/>
    <row r="14183" s="197" customFormat="1" ht="12.75" x14ac:dyDescent="0.2"/>
    <row r="14184" s="197" customFormat="1" ht="12.75" x14ac:dyDescent="0.2"/>
    <row r="14185" s="197" customFormat="1" ht="12.75" x14ac:dyDescent="0.2"/>
    <row r="14186" s="197" customFormat="1" ht="12.75" x14ac:dyDescent="0.2"/>
    <row r="14187" s="197" customFormat="1" ht="12.75" x14ac:dyDescent="0.2"/>
    <row r="14188" s="197" customFormat="1" ht="12.75" x14ac:dyDescent="0.2"/>
    <row r="14189" s="197" customFormat="1" ht="12.75" x14ac:dyDescent="0.2"/>
    <row r="14190" s="197" customFormat="1" ht="12.75" x14ac:dyDescent="0.2"/>
    <row r="14191" s="197" customFormat="1" ht="12.75" x14ac:dyDescent="0.2"/>
    <row r="14192" s="197" customFormat="1" ht="12.75" x14ac:dyDescent="0.2"/>
    <row r="14193" s="197" customFormat="1" ht="12.75" x14ac:dyDescent="0.2"/>
    <row r="14194" s="197" customFormat="1" ht="12.75" x14ac:dyDescent="0.2"/>
    <row r="14195" s="197" customFormat="1" ht="12.75" x14ac:dyDescent="0.2"/>
    <row r="14196" s="197" customFormat="1" ht="12.75" x14ac:dyDescent="0.2"/>
    <row r="14197" s="197" customFormat="1" ht="12.75" x14ac:dyDescent="0.2"/>
    <row r="14198" s="197" customFormat="1" ht="12.75" x14ac:dyDescent="0.2"/>
    <row r="14199" s="197" customFormat="1" ht="12.75" x14ac:dyDescent="0.2"/>
    <row r="14200" s="197" customFormat="1" ht="12.75" x14ac:dyDescent="0.2"/>
    <row r="14201" s="197" customFormat="1" ht="12.75" x14ac:dyDescent="0.2"/>
    <row r="14202" s="197" customFormat="1" ht="12.75" x14ac:dyDescent="0.2"/>
    <row r="14203" s="197" customFormat="1" ht="12.75" x14ac:dyDescent="0.2"/>
    <row r="14204" s="197" customFormat="1" ht="12.75" x14ac:dyDescent="0.2"/>
    <row r="14205" s="197" customFormat="1" ht="12.75" x14ac:dyDescent="0.2"/>
    <row r="14206" s="197" customFormat="1" ht="12.75" x14ac:dyDescent="0.2"/>
    <row r="14207" s="197" customFormat="1" ht="12.75" x14ac:dyDescent="0.2"/>
    <row r="14208" s="197" customFormat="1" ht="12.75" x14ac:dyDescent="0.2"/>
    <row r="14209" s="197" customFormat="1" ht="12.75" x14ac:dyDescent="0.2"/>
    <row r="14210" s="197" customFormat="1" ht="12.75" x14ac:dyDescent="0.2"/>
    <row r="14211" s="197" customFormat="1" ht="12.75" x14ac:dyDescent="0.2"/>
    <row r="14212" s="197" customFormat="1" ht="12.75" x14ac:dyDescent="0.2"/>
    <row r="14213" s="197" customFormat="1" ht="12.75" x14ac:dyDescent="0.2"/>
    <row r="14214" s="197" customFormat="1" ht="12.75" x14ac:dyDescent="0.2"/>
    <row r="14215" s="197" customFormat="1" ht="12.75" x14ac:dyDescent="0.2"/>
    <row r="14216" s="197" customFormat="1" ht="12.75" x14ac:dyDescent="0.2"/>
    <row r="14217" s="197" customFormat="1" ht="12.75" x14ac:dyDescent="0.2"/>
    <row r="14218" s="197" customFormat="1" ht="12.75" x14ac:dyDescent="0.2"/>
    <row r="14219" s="197" customFormat="1" ht="12.75" x14ac:dyDescent="0.2"/>
    <row r="14220" s="197" customFormat="1" ht="12.75" x14ac:dyDescent="0.2"/>
    <row r="14221" s="197" customFormat="1" ht="12.75" x14ac:dyDescent="0.2"/>
    <row r="14222" s="197" customFormat="1" ht="12.75" x14ac:dyDescent="0.2"/>
    <row r="14223" s="197" customFormat="1" ht="12.75" x14ac:dyDescent="0.2"/>
    <row r="14224" s="197" customFormat="1" ht="12.75" x14ac:dyDescent="0.2"/>
    <row r="14225" s="197" customFormat="1" ht="12.75" x14ac:dyDescent="0.2"/>
    <row r="14226" s="197" customFormat="1" ht="12.75" x14ac:dyDescent="0.2"/>
    <row r="14227" s="197" customFormat="1" ht="12.75" x14ac:dyDescent="0.2"/>
    <row r="14228" s="197" customFormat="1" ht="12.75" x14ac:dyDescent="0.2"/>
    <row r="14229" s="197" customFormat="1" ht="12.75" x14ac:dyDescent="0.2"/>
    <row r="14230" s="197" customFormat="1" ht="12.75" x14ac:dyDescent="0.2"/>
    <row r="14231" s="197" customFormat="1" ht="12.75" x14ac:dyDescent="0.2"/>
    <row r="14232" s="197" customFormat="1" ht="12.75" x14ac:dyDescent="0.2"/>
    <row r="14233" s="197" customFormat="1" ht="12.75" x14ac:dyDescent="0.2"/>
    <row r="14234" s="197" customFormat="1" ht="12.75" x14ac:dyDescent="0.2"/>
    <row r="14235" s="197" customFormat="1" ht="12.75" x14ac:dyDescent="0.2"/>
    <row r="14236" s="197" customFormat="1" ht="12.75" x14ac:dyDescent="0.2"/>
    <row r="14237" s="197" customFormat="1" ht="12.75" x14ac:dyDescent="0.2"/>
    <row r="14238" s="197" customFormat="1" ht="12.75" x14ac:dyDescent="0.2"/>
    <row r="14239" s="197" customFormat="1" ht="12.75" x14ac:dyDescent="0.2"/>
    <row r="14240" s="197" customFormat="1" ht="12.75" x14ac:dyDescent="0.2"/>
    <row r="14241" s="197" customFormat="1" ht="12.75" x14ac:dyDescent="0.2"/>
    <row r="14242" s="197" customFormat="1" ht="12.75" x14ac:dyDescent="0.2"/>
    <row r="14243" s="197" customFormat="1" ht="12.75" x14ac:dyDescent="0.2"/>
    <row r="14244" s="197" customFormat="1" ht="12.75" x14ac:dyDescent="0.2"/>
    <row r="14245" s="197" customFormat="1" ht="12.75" x14ac:dyDescent="0.2"/>
    <row r="14246" s="197" customFormat="1" ht="12.75" x14ac:dyDescent="0.2"/>
    <row r="14247" s="197" customFormat="1" ht="12.75" x14ac:dyDescent="0.2"/>
    <row r="14248" s="197" customFormat="1" ht="12.75" x14ac:dyDescent="0.2"/>
    <row r="14249" s="197" customFormat="1" ht="12.75" x14ac:dyDescent="0.2"/>
    <row r="14250" s="197" customFormat="1" ht="12.75" x14ac:dyDescent="0.2"/>
    <row r="14251" s="197" customFormat="1" ht="12.75" x14ac:dyDescent="0.2"/>
    <row r="14252" s="197" customFormat="1" ht="12.75" x14ac:dyDescent="0.2"/>
    <row r="14253" s="197" customFormat="1" ht="12.75" x14ac:dyDescent="0.2"/>
    <row r="14254" s="197" customFormat="1" ht="12.75" x14ac:dyDescent="0.2"/>
    <row r="14255" s="197" customFormat="1" ht="12.75" x14ac:dyDescent="0.2"/>
    <row r="14256" s="197" customFormat="1" ht="12.75" x14ac:dyDescent="0.2"/>
    <row r="14257" s="197" customFormat="1" ht="12.75" x14ac:dyDescent="0.2"/>
    <row r="14258" s="197" customFormat="1" ht="12.75" x14ac:dyDescent="0.2"/>
    <row r="14259" s="197" customFormat="1" ht="12.75" x14ac:dyDescent="0.2"/>
    <row r="14260" s="197" customFormat="1" ht="12.75" x14ac:dyDescent="0.2"/>
    <row r="14261" s="197" customFormat="1" ht="12.75" x14ac:dyDescent="0.2"/>
    <row r="14262" s="197" customFormat="1" ht="12.75" x14ac:dyDescent="0.2"/>
    <row r="14263" s="197" customFormat="1" ht="12.75" x14ac:dyDescent="0.2"/>
    <row r="14264" s="197" customFormat="1" ht="12.75" x14ac:dyDescent="0.2"/>
    <row r="14265" s="197" customFormat="1" ht="12.75" x14ac:dyDescent="0.2"/>
    <row r="14266" s="197" customFormat="1" ht="12.75" x14ac:dyDescent="0.2"/>
    <row r="14267" s="197" customFormat="1" ht="12.75" x14ac:dyDescent="0.2"/>
    <row r="14268" s="197" customFormat="1" ht="12.75" x14ac:dyDescent="0.2"/>
    <row r="14269" s="197" customFormat="1" ht="12.75" x14ac:dyDescent="0.2"/>
    <row r="14270" s="197" customFormat="1" ht="12.75" x14ac:dyDescent="0.2"/>
    <row r="14271" s="197" customFormat="1" ht="12.75" x14ac:dyDescent="0.2"/>
    <row r="14272" s="197" customFormat="1" ht="12.75" x14ac:dyDescent="0.2"/>
    <row r="14273" s="197" customFormat="1" ht="12.75" x14ac:dyDescent="0.2"/>
    <row r="14274" s="197" customFormat="1" ht="12.75" x14ac:dyDescent="0.2"/>
    <row r="14275" s="197" customFormat="1" ht="12.75" x14ac:dyDescent="0.2"/>
    <row r="14276" s="197" customFormat="1" ht="12.75" x14ac:dyDescent="0.2"/>
    <row r="14277" s="197" customFormat="1" ht="12.75" x14ac:dyDescent="0.2"/>
    <row r="14278" s="197" customFormat="1" ht="12.75" x14ac:dyDescent="0.2"/>
    <row r="14279" s="197" customFormat="1" ht="12.75" x14ac:dyDescent="0.2"/>
    <row r="14280" s="197" customFormat="1" ht="12.75" x14ac:dyDescent="0.2"/>
    <row r="14281" s="197" customFormat="1" ht="12.75" x14ac:dyDescent="0.2"/>
    <row r="14282" s="197" customFormat="1" ht="12.75" x14ac:dyDescent="0.2"/>
    <row r="14283" s="197" customFormat="1" ht="12.75" x14ac:dyDescent="0.2"/>
    <row r="14284" s="197" customFormat="1" ht="12.75" x14ac:dyDescent="0.2"/>
    <row r="14285" s="197" customFormat="1" ht="12.75" x14ac:dyDescent="0.2"/>
    <row r="14286" s="197" customFormat="1" ht="12.75" x14ac:dyDescent="0.2"/>
    <row r="14287" s="197" customFormat="1" ht="12.75" x14ac:dyDescent="0.2"/>
    <row r="14288" s="197" customFormat="1" ht="12.75" x14ac:dyDescent="0.2"/>
    <row r="14289" s="197" customFormat="1" ht="12.75" x14ac:dyDescent="0.2"/>
    <row r="14290" s="197" customFormat="1" ht="12.75" x14ac:dyDescent="0.2"/>
    <row r="14291" s="197" customFormat="1" ht="12.75" x14ac:dyDescent="0.2"/>
    <row r="14292" s="197" customFormat="1" ht="12.75" x14ac:dyDescent="0.2"/>
    <row r="14293" s="197" customFormat="1" ht="12.75" x14ac:dyDescent="0.2"/>
    <row r="14294" s="197" customFormat="1" ht="12.75" x14ac:dyDescent="0.2"/>
    <row r="14295" s="197" customFormat="1" ht="12.75" x14ac:dyDescent="0.2"/>
    <row r="14296" s="197" customFormat="1" ht="12.75" x14ac:dyDescent="0.2"/>
    <row r="14297" s="197" customFormat="1" ht="12.75" x14ac:dyDescent="0.2"/>
    <row r="14298" s="197" customFormat="1" ht="12.75" x14ac:dyDescent="0.2"/>
    <row r="14299" s="197" customFormat="1" ht="12.75" x14ac:dyDescent="0.2"/>
    <row r="14300" s="197" customFormat="1" ht="12.75" x14ac:dyDescent="0.2"/>
    <row r="14301" s="197" customFormat="1" ht="12.75" x14ac:dyDescent="0.2"/>
    <row r="14302" s="197" customFormat="1" ht="12.75" x14ac:dyDescent="0.2"/>
    <row r="14303" s="197" customFormat="1" ht="12.75" x14ac:dyDescent="0.2"/>
    <row r="14304" s="197" customFormat="1" ht="12.75" x14ac:dyDescent="0.2"/>
    <row r="14305" s="197" customFormat="1" ht="12.75" x14ac:dyDescent="0.2"/>
    <row r="14306" s="197" customFormat="1" ht="12.75" x14ac:dyDescent="0.2"/>
    <row r="14307" s="197" customFormat="1" ht="12.75" x14ac:dyDescent="0.2"/>
    <row r="14308" s="197" customFormat="1" ht="12.75" x14ac:dyDescent="0.2"/>
    <row r="14309" s="197" customFormat="1" ht="12.75" x14ac:dyDescent="0.2"/>
    <row r="14310" s="197" customFormat="1" ht="12.75" x14ac:dyDescent="0.2"/>
    <row r="14311" s="197" customFormat="1" ht="12.75" x14ac:dyDescent="0.2"/>
    <row r="14312" s="197" customFormat="1" ht="12.75" x14ac:dyDescent="0.2"/>
    <row r="14313" s="197" customFormat="1" ht="12.75" x14ac:dyDescent="0.2"/>
    <row r="14314" s="197" customFormat="1" ht="12.75" x14ac:dyDescent="0.2"/>
    <row r="14315" s="197" customFormat="1" ht="12.75" x14ac:dyDescent="0.2"/>
    <row r="14316" s="197" customFormat="1" ht="12.75" x14ac:dyDescent="0.2"/>
    <row r="14317" s="197" customFormat="1" ht="12.75" x14ac:dyDescent="0.2"/>
    <row r="14318" s="197" customFormat="1" ht="12.75" x14ac:dyDescent="0.2"/>
    <row r="14319" s="197" customFormat="1" ht="12.75" x14ac:dyDescent="0.2"/>
    <row r="14320" s="197" customFormat="1" ht="12.75" x14ac:dyDescent="0.2"/>
    <row r="14321" s="197" customFormat="1" ht="12.75" x14ac:dyDescent="0.2"/>
    <row r="14322" s="197" customFormat="1" ht="12.75" x14ac:dyDescent="0.2"/>
    <row r="14323" s="197" customFormat="1" ht="12.75" x14ac:dyDescent="0.2"/>
    <row r="14324" s="197" customFormat="1" ht="12.75" x14ac:dyDescent="0.2"/>
    <row r="14325" s="197" customFormat="1" ht="12.75" x14ac:dyDescent="0.2"/>
    <row r="14326" s="197" customFormat="1" ht="12.75" x14ac:dyDescent="0.2"/>
    <row r="14327" s="197" customFormat="1" ht="12.75" x14ac:dyDescent="0.2"/>
    <row r="14328" s="197" customFormat="1" ht="12.75" x14ac:dyDescent="0.2"/>
    <row r="14329" s="197" customFormat="1" ht="12.75" x14ac:dyDescent="0.2"/>
    <row r="14330" s="197" customFormat="1" ht="12.75" x14ac:dyDescent="0.2"/>
    <row r="14331" s="197" customFormat="1" ht="12.75" x14ac:dyDescent="0.2"/>
    <row r="14332" s="197" customFormat="1" ht="12.75" x14ac:dyDescent="0.2"/>
    <row r="14333" s="197" customFormat="1" ht="12.75" x14ac:dyDescent="0.2"/>
    <row r="14334" s="197" customFormat="1" ht="12.75" x14ac:dyDescent="0.2"/>
    <row r="14335" s="197" customFormat="1" ht="12.75" x14ac:dyDescent="0.2"/>
    <row r="14336" s="197" customFormat="1" ht="12.75" x14ac:dyDescent="0.2"/>
    <row r="14337" s="197" customFormat="1" ht="12.75" x14ac:dyDescent="0.2"/>
    <row r="14338" s="197" customFormat="1" ht="12.75" x14ac:dyDescent="0.2"/>
    <row r="14339" s="197" customFormat="1" ht="12.75" x14ac:dyDescent="0.2"/>
    <row r="14340" s="197" customFormat="1" ht="12.75" x14ac:dyDescent="0.2"/>
    <row r="14341" s="197" customFormat="1" ht="12.75" x14ac:dyDescent="0.2"/>
    <row r="14342" s="197" customFormat="1" ht="12.75" x14ac:dyDescent="0.2"/>
    <row r="14343" s="197" customFormat="1" ht="12.75" x14ac:dyDescent="0.2"/>
    <row r="14344" s="197" customFormat="1" ht="12.75" x14ac:dyDescent="0.2"/>
    <row r="14345" s="197" customFormat="1" ht="12.75" x14ac:dyDescent="0.2"/>
    <row r="14346" s="197" customFormat="1" ht="12.75" x14ac:dyDescent="0.2"/>
    <row r="14347" s="197" customFormat="1" ht="12.75" x14ac:dyDescent="0.2"/>
    <row r="14348" s="197" customFormat="1" ht="12.75" x14ac:dyDescent="0.2"/>
    <row r="14349" s="197" customFormat="1" ht="12.75" x14ac:dyDescent="0.2"/>
    <row r="14350" s="197" customFormat="1" ht="12.75" x14ac:dyDescent="0.2"/>
    <row r="14351" s="197" customFormat="1" ht="12.75" x14ac:dyDescent="0.2"/>
    <row r="14352" s="197" customFormat="1" ht="12.75" x14ac:dyDescent="0.2"/>
    <row r="14353" s="197" customFormat="1" ht="12.75" x14ac:dyDescent="0.2"/>
    <row r="14354" s="197" customFormat="1" ht="12.75" x14ac:dyDescent="0.2"/>
    <row r="14355" s="197" customFormat="1" ht="12.75" x14ac:dyDescent="0.2"/>
    <row r="14356" s="197" customFormat="1" ht="12.75" x14ac:dyDescent="0.2"/>
    <row r="14357" s="197" customFormat="1" ht="12.75" x14ac:dyDescent="0.2"/>
    <row r="14358" s="197" customFormat="1" ht="12.75" x14ac:dyDescent="0.2"/>
    <row r="14359" s="197" customFormat="1" ht="12.75" x14ac:dyDescent="0.2"/>
    <row r="14360" s="197" customFormat="1" ht="12.75" x14ac:dyDescent="0.2"/>
    <row r="14361" s="197" customFormat="1" ht="12.75" x14ac:dyDescent="0.2"/>
    <row r="14362" s="197" customFormat="1" ht="12.75" x14ac:dyDescent="0.2"/>
    <row r="14363" s="197" customFormat="1" ht="12.75" x14ac:dyDescent="0.2"/>
    <row r="14364" s="197" customFormat="1" ht="12.75" x14ac:dyDescent="0.2"/>
    <row r="14365" s="197" customFormat="1" ht="12.75" x14ac:dyDescent="0.2"/>
    <row r="14366" s="197" customFormat="1" ht="12.75" x14ac:dyDescent="0.2"/>
    <row r="14367" s="197" customFormat="1" ht="12.75" x14ac:dyDescent="0.2"/>
    <row r="14368" s="197" customFormat="1" ht="12.75" x14ac:dyDescent="0.2"/>
    <row r="14369" s="197" customFormat="1" ht="12.75" x14ac:dyDescent="0.2"/>
    <row r="14370" s="197" customFormat="1" ht="12.75" x14ac:dyDescent="0.2"/>
    <row r="14371" s="197" customFormat="1" ht="12.75" x14ac:dyDescent="0.2"/>
    <row r="14372" s="197" customFormat="1" ht="12.75" x14ac:dyDescent="0.2"/>
    <row r="14373" s="197" customFormat="1" ht="12.75" x14ac:dyDescent="0.2"/>
    <row r="14374" s="197" customFormat="1" ht="12.75" x14ac:dyDescent="0.2"/>
    <row r="14375" s="197" customFormat="1" ht="12.75" x14ac:dyDescent="0.2"/>
    <row r="14376" s="197" customFormat="1" ht="12.75" x14ac:dyDescent="0.2"/>
    <row r="14377" s="197" customFormat="1" ht="12.75" x14ac:dyDescent="0.2"/>
    <row r="14378" s="197" customFormat="1" ht="12.75" x14ac:dyDescent="0.2"/>
    <row r="14379" s="197" customFormat="1" ht="12.75" x14ac:dyDescent="0.2"/>
    <row r="14380" s="197" customFormat="1" ht="12.75" x14ac:dyDescent="0.2"/>
    <row r="14381" s="197" customFormat="1" ht="12.75" x14ac:dyDescent="0.2"/>
    <row r="14382" s="197" customFormat="1" ht="12.75" x14ac:dyDescent="0.2"/>
    <row r="14383" s="197" customFormat="1" ht="12.75" x14ac:dyDescent="0.2"/>
    <row r="14384" s="197" customFormat="1" ht="12.75" x14ac:dyDescent="0.2"/>
    <row r="14385" s="197" customFormat="1" ht="12.75" x14ac:dyDescent="0.2"/>
    <row r="14386" s="197" customFormat="1" ht="12.75" x14ac:dyDescent="0.2"/>
    <row r="14387" s="197" customFormat="1" ht="12.75" x14ac:dyDescent="0.2"/>
    <row r="14388" s="197" customFormat="1" ht="12.75" x14ac:dyDescent="0.2"/>
    <row r="14389" s="197" customFormat="1" ht="12.75" x14ac:dyDescent="0.2"/>
    <row r="14390" s="197" customFormat="1" ht="12.75" x14ac:dyDescent="0.2"/>
    <row r="14391" s="197" customFormat="1" ht="12.75" x14ac:dyDescent="0.2"/>
    <row r="14392" s="197" customFormat="1" ht="12.75" x14ac:dyDescent="0.2"/>
    <row r="14393" s="197" customFormat="1" ht="12.75" x14ac:dyDescent="0.2"/>
    <row r="14394" s="197" customFormat="1" ht="12.75" x14ac:dyDescent="0.2"/>
    <row r="14395" s="197" customFormat="1" ht="12.75" x14ac:dyDescent="0.2"/>
    <row r="14396" s="197" customFormat="1" ht="12.75" x14ac:dyDescent="0.2"/>
    <row r="14397" s="197" customFormat="1" ht="12.75" x14ac:dyDescent="0.2"/>
    <row r="14398" s="197" customFormat="1" ht="12.75" x14ac:dyDescent="0.2"/>
    <row r="14399" s="197" customFormat="1" ht="12.75" x14ac:dyDescent="0.2"/>
    <row r="14400" s="197" customFormat="1" ht="12.75" x14ac:dyDescent="0.2"/>
    <row r="14401" s="197" customFormat="1" ht="12.75" x14ac:dyDescent="0.2"/>
    <row r="14402" s="197" customFormat="1" ht="12.75" x14ac:dyDescent="0.2"/>
    <row r="14403" s="197" customFormat="1" ht="12.75" x14ac:dyDescent="0.2"/>
    <row r="14404" s="197" customFormat="1" ht="12.75" x14ac:dyDescent="0.2"/>
    <row r="14405" s="197" customFormat="1" ht="12.75" x14ac:dyDescent="0.2"/>
    <row r="14406" s="197" customFormat="1" ht="12.75" x14ac:dyDescent="0.2"/>
    <row r="14407" s="197" customFormat="1" ht="12.75" x14ac:dyDescent="0.2"/>
    <row r="14408" s="197" customFormat="1" ht="12.75" x14ac:dyDescent="0.2"/>
    <row r="14409" s="197" customFormat="1" ht="12.75" x14ac:dyDescent="0.2"/>
    <row r="14410" s="197" customFormat="1" ht="12.75" x14ac:dyDescent="0.2"/>
    <row r="14411" s="197" customFormat="1" ht="12.75" x14ac:dyDescent="0.2"/>
    <row r="14412" s="197" customFormat="1" ht="12.75" x14ac:dyDescent="0.2"/>
    <row r="14413" s="197" customFormat="1" ht="12.75" x14ac:dyDescent="0.2"/>
    <row r="14414" s="197" customFormat="1" ht="12.75" x14ac:dyDescent="0.2"/>
    <row r="14415" s="197" customFormat="1" ht="12.75" x14ac:dyDescent="0.2"/>
    <row r="14416" s="197" customFormat="1" ht="12.75" x14ac:dyDescent="0.2"/>
    <row r="14417" s="197" customFormat="1" ht="12.75" x14ac:dyDescent="0.2"/>
    <row r="14418" s="197" customFormat="1" ht="12.75" x14ac:dyDescent="0.2"/>
    <row r="14419" s="197" customFormat="1" ht="12.75" x14ac:dyDescent="0.2"/>
    <row r="14420" s="197" customFormat="1" ht="12.75" x14ac:dyDescent="0.2"/>
    <row r="14421" s="197" customFormat="1" ht="12.75" x14ac:dyDescent="0.2"/>
    <row r="14422" s="197" customFormat="1" ht="12.75" x14ac:dyDescent="0.2"/>
    <row r="14423" s="197" customFormat="1" ht="12.75" x14ac:dyDescent="0.2"/>
    <row r="14424" s="197" customFormat="1" ht="12.75" x14ac:dyDescent="0.2"/>
    <row r="14425" s="197" customFormat="1" ht="12.75" x14ac:dyDescent="0.2"/>
    <row r="14426" s="197" customFormat="1" ht="12.75" x14ac:dyDescent="0.2"/>
    <row r="14427" s="197" customFormat="1" ht="12.75" x14ac:dyDescent="0.2"/>
    <row r="14428" s="197" customFormat="1" ht="12.75" x14ac:dyDescent="0.2"/>
    <row r="14429" s="197" customFormat="1" ht="12.75" x14ac:dyDescent="0.2"/>
    <row r="14430" s="197" customFormat="1" ht="12.75" x14ac:dyDescent="0.2"/>
    <row r="14431" s="197" customFormat="1" ht="12.75" x14ac:dyDescent="0.2"/>
    <row r="14432" s="197" customFormat="1" ht="12.75" x14ac:dyDescent="0.2"/>
    <row r="14433" s="197" customFormat="1" ht="12.75" x14ac:dyDescent="0.2"/>
    <row r="14434" s="197" customFormat="1" ht="12.75" x14ac:dyDescent="0.2"/>
    <row r="14435" s="197" customFormat="1" ht="12.75" x14ac:dyDescent="0.2"/>
    <row r="14436" s="197" customFormat="1" ht="12.75" x14ac:dyDescent="0.2"/>
    <row r="14437" s="197" customFormat="1" ht="12.75" x14ac:dyDescent="0.2"/>
    <row r="14438" s="197" customFormat="1" ht="12.75" x14ac:dyDescent="0.2"/>
    <row r="14439" s="197" customFormat="1" ht="12.75" x14ac:dyDescent="0.2"/>
    <row r="14440" s="197" customFormat="1" ht="12.75" x14ac:dyDescent="0.2"/>
    <row r="14441" s="197" customFormat="1" ht="12.75" x14ac:dyDescent="0.2"/>
    <row r="14442" s="197" customFormat="1" ht="12.75" x14ac:dyDescent="0.2"/>
    <row r="14443" s="197" customFormat="1" ht="12.75" x14ac:dyDescent="0.2"/>
    <row r="14444" s="197" customFormat="1" ht="12.75" x14ac:dyDescent="0.2"/>
    <row r="14445" s="197" customFormat="1" ht="12.75" x14ac:dyDescent="0.2"/>
    <row r="14446" s="197" customFormat="1" ht="12.75" x14ac:dyDescent="0.2"/>
    <row r="14447" s="197" customFormat="1" ht="12.75" x14ac:dyDescent="0.2"/>
    <row r="14448" s="197" customFormat="1" ht="12.75" x14ac:dyDescent="0.2"/>
    <row r="14449" s="197" customFormat="1" ht="12.75" x14ac:dyDescent="0.2"/>
    <row r="14450" s="197" customFormat="1" ht="12.75" x14ac:dyDescent="0.2"/>
    <row r="14451" s="197" customFormat="1" ht="12.75" x14ac:dyDescent="0.2"/>
    <row r="14452" s="197" customFormat="1" ht="12.75" x14ac:dyDescent="0.2"/>
    <row r="14453" s="197" customFormat="1" ht="12.75" x14ac:dyDescent="0.2"/>
    <row r="14454" s="197" customFormat="1" ht="12.75" x14ac:dyDescent="0.2"/>
    <row r="14455" s="197" customFormat="1" ht="12.75" x14ac:dyDescent="0.2"/>
    <row r="14456" s="197" customFormat="1" ht="12.75" x14ac:dyDescent="0.2"/>
    <row r="14457" s="197" customFormat="1" ht="12.75" x14ac:dyDescent="0.2"/>
    <row r="14458" s="197" customFormat="1" ht="12.75" x14ac:dyDescent="0.2"/>
    <row r="14459" s="197" customFormat="1" ht="12.75" x14ac:dyDescent="0.2"/>
    <row r="14460" s="197" customFormat="1" ht="12.75" x14ac:dyDescent="0.2"/>
    <row r="14461" s="197" customFormat="1" ht="12.75" x14ac:dyDescent="0.2"/>
    <row r="14462" s="197" customFormat="1" ht="12.75" x14ac:dyDescent="0.2"/>
    <row r="14463" s="197" customFormat="1" ht="12.75" x14ac:dyDescent="0.2"/>
    <row r="14464" s="197" customFormat="1" ht="12.75" x14ac:dyDescent="0.2"/>
    <row r="14465" s="197" customFormat="1" ht="12.75" x14ac:dyDescent="0.2"/>
    <row r="14466" s="197" customFormat="1" ht="12.75" x14ac:dyDescent="0.2"/>
    <row r="14467" s="197" customFormat="1" ht="12.75" x14ac:dyDescent="0.2"/>
    <row r="14468" s="197" customFormat="1" ht="12.75" x14ac:dyDescent="0.2"/>
    <row r="14469" s="197" customFormat="1" ht="12.75" x14ac:dyDescent="0.2"/>
    <row r="14470" s="197" customFormat="1" ht="12.75" x14ac:dyDescent="0.2"/>
    <row r="14471" s="197" customFormat="1" ht="12.75" x14ac:dyDescent="0.2"/>
    <row r="14472" s="197" customFormat="1" ht="12.75" x14ac:dyDescent="0.2"/>
    <row r="14473" s="197" customFormat="1" ht="12.75" x14ac:dyDescent="0.2"/>
    <row r="14474" s="197" customFormat="1" ht="12.75" x14ac:dyDescent="0.2"/>
    <row r="14475" s="197" customFormat="1" ht="12.75" x14ac:dyDescent="0.2"/>
    <row r="14476" s="197" customFormat="1" ht="12.75" x14ac:dyDescent="0.2"/>
    <row r="14477" s="197" customFormat="1" ht="12.75" x14ac:dyDescent="0.2"/>
    <row r="14478" s="197" customFormat="1" ht="12.75" x14ac:dyDescent="0.2"/>
    <row r="14479" s="197" customFormat="1" ht="12.75" x14ac:dyDescent="0.2"/>
    <row r="14480" s="197" customFormat="1" ht="12.75" x14ac:dyDescent="0.2"/>
    <row r="14481" s="197" customFormat="1" ht="12.75" x14ac:dyDescent="0.2"/>
    <row r="14482" s="197" customFormat="1" ht="12.75" x14ac:dyDescent="0.2"/>
    <row r="14483" s="197" customFormat="1" ht="12.75" x14ac:dyDescent="0.2"/>
    <row r="14484" s="197" customFormat="1" ht="12.75" x14ac:dyDescent="0.2"/>
    <row r="14485" s="197" customFormat="1" ht="12.75" x14ac:dyDescent="0.2"/>
    <row r="14486" s="197" customFormat="1" ht="12.75" x14ac:dyDescent="0.2"/>
    <row r="14487" s="197" customFormat="1" ht="12.75" x14ac:dyDescent="0.2"/>
    <row r="14488" s="197" customFormat="1" ht="12.75" x14ac:dyDescent="0.2"/>
    <row r="14489" s="197" customFormat="1" ht="12.75" x14ac:dyDescent="0.2"/>
    <row r="14490" s="197" customFormat="1" ht="12.75" x14ac:dyDescent="0.2"/>
    <row r="14491" s="197" customFormat="1" ht="12.75" x14ac:dyDescent="0.2"/>
    <row r="14492" s="197" customFormat="1" ht="12.75" x14ac:dyDescent="0.2"/>
    <row r="14493" s="197" customFormat="1" ht="12.75" x14ac:dyDescent="0.2"/>
    <row r="14494" s="197" customFormat="1" ht="12.75" x14ac:dyDescent="0.2"/>
    <row r="14495" s="197" customFormat="1" ht="12.75" x14ac:dyDescent="0.2"/>
    <row r="14496" s="197" customFormat="1" ht="12.75" x14ac:dyDescent="0.2"/>
    <row r="14497" s="197" customFormat="1" ht="12.75" x14ac:dyDescent="0.2"/>
    <row r="14498" s="197" customFormat="1" ht="12.75" x14ac:dyDescent="0.2"/>
    <row r="14499" s="197" customFormat="1" ht="12.75" x14ac:dyDescent="0.2"/>
    <row r="14500" s="197" customFormat="1" ht="12.75" x14ac:dyDescent="0.2"/>
    <row r="14501" s="197" customFormat="1" ht="12.75" x14ac:dyDescent="0.2"/>
    <row r="14502" s="197" customFormat="1" ht="12.75" x14ac:dyDescent="0.2"/>
    <row r="14503" s="197" customFormat="1" ht="12.75" x14ac:dyDescent="0.2"/>
    <row r="14504" s="197" customFormat="1" ht="12.75" x14ac:dyDescent="0.2"/>
    <row r="14505" s="197" customFormat="1" ht="12.75" x14ac:dyDescent="0.2"/>
    <row r="14506" s="197" customFormat="1" ht="12.75" x14ac:dyDescent="0.2"/>
    <row r="14507" s="197" customFormat="1" ht="12.75" x14ac:dyDescent="0.2"/>
    <row r="14508" s="197" customFormat="1" ht="12.75" x14ac:dyDescent="0.2"/>
    <row r="14509" s="197" customFormat="1" ht="12.75" x14ac:dyDescent="0.2"/>
    <row r="14510" s="197" customFormat="1" ht="12.75" x14ac:dyDescent="0.2"/>
    <row r="14511" s="197" customFormat="1" ht="12.75" x14ac:dyDescent="0.2"/>
    <row r="14512" s="197" customFormat="1" ht="12.75" x14ac:dyDescent="0.2"/>
    <row r="14513" s="197" customFormat="1" ht="12.75" x14ac:dyDescent="0.2"/>
    <row r="14514" s="197" customFormat="1" ht="12.75" x14ac:dyDescent="0.2"/>
    <row r="14515" s="197" customFormat="1" ht="12.75" x14ac:dyDescent="0.2"/>
    <row r="14516" s="197" customFormat="1" ht="12.75" x14ac:dyDescent="0.2"/>
    <row r="14517" s="197" customFormat="1" ht="12.75" x14ac:dyDescent="0.2"/>
    <row r="14518" s="197" customFormat="1" ht="12.75" x14ac:dyDescent="0.2"/>
    <row r="14519" s="197" customFormat="1" ht="12.75" x14ac:dyDescent="0.2"/>
    <row r="14520" s="197" customFormat="1" ht="12.75" x14ac:dyDescent="0.2"/>
    <row r="14521" s="197" customFormat="1" ht="12.75" x14ac:dyDescent="0.2"/>
    <row r="14522" s="197" customFormat="1" ht="12.75" x14ac:dyDescent="0.2"/>
    <row r="14523" s="197" customFormat="1" ht="12.75" x14ac:dyDescent="0.2"/>
    <row r="14524" s="197" customFormat="1" ht="12.75" x14ac:dyDescent="0.2"/>
    <row r="14525" s="197" customFormat="1" ht="12.75" x14ac:dyDescent="0.2"/>
    <row r="14526" s="197" customFormat="1" ht="12.75" x14ac:dyDescent="0.2"/>
    <row r="14527" s="197" customFormat="1" ht="12.75" x14ac:dyDescent="0.2"/>
    <row r="14528" s="197" customFormat="1" ht="12.75" x14ac:dyDescent="0.2"/>
    <row r="14529" s="197" customFormat="1" ht="12.75" x14ac:dyDescent="0.2"/>
    <row r="14530" s="197" customFormat="1" ht="12.75" x14ac:dyDescent="0.2"/>
    <row r="14531" s="197" customFormat="1" ht="12.75" x14ac:dyDescent="0.2"/>
    <row r="14532" s="197" customFormat="1" ht="12.75" x14ac:dyDescent="0.2"/>
    <row r="14533" s="197" customFormat="1" ht="12.75" x14ac:dyDescent="0.2"/>
    <row r="14534" s="197" customFormat="1" ht="12.75" x14ac:dyDescent="0.2"/>
    <row r="14535" s="197" customFormat="1" ht="12.75" x14ac:dyDescent="0.2"/>
    <row r="14536" s="197" customFormat="1" ht="12.75" x14ac:dyDescent="0.2"/>
    <row r="14537" s="197" customFormat="1" ht="12.75" x14ac:dyDescent="0.2"/>
    <row r="14538" s="197" customFormat="1" ht="12.75" x14ac:dyDescent="0.2"/>
    <row r="14539" s="197" customFormat="1" ht="12.75" x14ac:dyDescent="0.2"/>
    <row r="14540" s="197" customFormat="1" ht="12.75" x14ac:dyDescent="0.2"/>
    <row r="14541" s="197" customFormat="1" ht="12.75" x14ac:dyDescent="0.2"/>
    <row r="14542" s="197" customFormat="1" ht="12.75" x14ac:dyDescent="0.2"/>
    <row r="14543" s="197" customFormat="1" ht="12.75" x14ac:dyDescent="0.2"/>
    <row r="14544" s="197" customFormat="1" ht="12.75" x14ac:dyDescent="0.2"/>
    <row r="14545" s="197" customFormat="1" ht="12.75" x14ac:dyDescent="0.2"/>
    <row r="14546" s="197" customFormat="1" ht="12.75" x14ac:dyDescent="0.2"/>
    <row r="14547" s="197" customFormat="1" ht="12.75" x14ac:dyDescent="0.2"/>
    <row r="14548" s="197" customFormat="1" ht="12.75" x14ac:dyDescent="0.2"/>
    <row r="14549" s="197" customFormat="1" ht="12.75" x14ac:dyDescent="0.2"/>
    <row r="14550" s="197" customFormat="1" ht="12.75" x14ac:dyDescent="0.2"/>
    <row r="14551" s="197" customFormat="1" ht="12.75" x14ac:dyDescent="0.2"/>
    <row r="14552" s="197" customFormat="1" ht="12.75" x14ac:dyDescent="0.2"/>
    <row r="14553" s="197" customFormat="1" ht="12.75" x14ac:dyDescent="0.2"/>
    <row r="14554" s="197" customFormat="1" ht="12.75" x14ac:dyDescent="0.2"/>
    <row r="14555" s="197" customFormat="1" ht="12.75" x14ac:dyDescent="0.2"/>
    <row r="14556" s="197" customFormat="1" ht="12.75" x14ac:dyDescent="0.2"/>
    <row r="14557" s="197" customFormat="1" ht="12.75" x14ac:dyDescent="0.2"/>
    <row r="14558" s="197" customFormat="1" ht="12.75" x14ac:dyDescent="0.2"/>
    <row r="14559" s="197" customFormat="1" ht="12.75" x14ac:dyDescent="0.2"/>
    <row r="14560" s="197" customFormat="1" ht="12.75" x14ac:dyDescent="0.2"/>
    <row r="14561" s="197" customFormat="1" ht="12.75" x14ac:dyDescent="0.2"/>
    <row r="14562" s="197" customFormat="1" ht="12.75" x14ac:dyDescent="0.2"/>
    <row r="14563" s="197" customFormat="1" ht="12.75" x14ac:dyDescent="0.2"/>
    <row r="14564" s="197" customFormat="1" ht="12.75" x14ac:dyDescent="0.2"/>
    <row r="14565" s="197" customFormat="1" ht="12.75" x14ac:dyDescent="0.2"/>
    <row r="14566" s="197" customFormat="1" ht="12.75" x14ac:dyDescent="0.2"/>
    <row r="14567" s="197" customFormat="1" ht="12.75" x14ac:dyDescent="0.2"/>
    <row r="14568" s="197" customFormat="1" ht="12.75" x14ac:dyDescent="0.2"/>
    <row r="14569" s="197" customFormat="1" ht="12.75" x14ac:dyDescent="0.2"/>
    <row r="14570" s="197" customFormat="1" ht="12.75" x14ac:dyDescent="0.2"/>
    <row r="14571" s="197" customFormat="1" ht="12.75" x14ac:dyDescent="0.2"/>
    <row r="14572" s="197" customFormat="1" ht="12.75" x14ac:dyDescent="0.2"/>
    <row r="14573" s="197" customFormat="1" ht="12.75" x14ac:dyDescent="0.2"/>
    <row r="14574" s="197" customFormat="1" ht="12.75" x14ac:dyDescent="0.2"/>
    <row r="14575" s="197" customFormat="1" ht="12.75" x14ac:dyDescent="0.2"/>
    <row r="14576" s="197" customFormat="1" ht="12.75" x14ac:dyDescent="0.2"/>
    <row r="14577" s="197" customFormat="1" ht="12.75" x14ac:dyDescent="0.2"/>
    <row r="14578" s="197" customFormat="1" ht="12.75" x14ac:dyDescent="0.2"/>
    <row r="14579" s="197" customFormat="1" ht="12.75" x14ac:dyDescent="0.2"/>
    <row r="14580" s="197" customFormat="1" ht="12.75" x14ac:dyDescent="0.2"/>
    <row r="14581" s="197" customFormat="1" ht="12.75" x14ac:dyDescent="0.2"/>
    <row r="14582" s="197" customFormat="1" ht="12.75" x14ac:dyDescent="0.2"/>
    <row r="14583" s="197" customFormat="1" ht="12.75" x14ac:dyDescent="0.2"/>
    <row r="14584" s="197" customFormat="1" ht="12.75" x14ac:dyDescent="0.2"/>
    <row r="14585" s="197" customFormat="1" ht="12.75" x14ac:dyDescent="0.2"/>
    <row r="14586" s="197" customFormat="1" ht="12.75" x14ac:dyDescent="0.2"/>
    <row r="14587" s="197" customFormat="1" ht="12.75" x14ac:dyDescent="0.2"/>
    <row r="14588" s="197" customFormat="1" ht="12.75" x14ac:dyDescent="0.2"/>
    <row r="14589" s="197" customFormat="1" ht="12.75" x14ac:dyDescent="0.2"/>
    <row r="14590" s="197" customFormat="1" ht="12.75" x14ac:dyDescent="0.2"/>
    <row r="14591" s="197" customFormat="1" ht="12.75" x14ac:dyDescent="0.2"/>
    <row r="14592" s="197" customFormat="1" ht="12.75" x14ac:dyDescent="0.2"/>
    <row r="14593" s="197" customFormat="1" ht="12.75" x14ac:dyDescent="0.2"/>
    <row r="14594" s="197" customFormat="1" ht="12.75" x14ac:dyDescent="0.2"/>
    <row r="14595" s="197" customFormat="1" ht="12.75" x14ac:dyDescent="0.2"/>
    <row r="14596" s="197" customFormat="1" ht="12.75" x14ac:dyDescent="0.2"/>
    <row r="14597" s="197" customFormat="1" ht="12.75" x14ac:dyDescent="0.2"/>
    <row r="14598" s="197" customFormat="1" ht="12.75" x14ac:dyDescent="0.2"/>
    <row r="14599" s="197" customFormat="1" ht="12.75" x14ac:dyDescent="0.2"/>
    <row r="14600" s="197" customFormat="1" ht="12.75" x14ac:dyDescent="0.2"/>
    <row r="14601" s="197" customFormat="1" ht="12.75" x14ac:dyDescent="0.2"/>
    <row r="14602" s="197" customFormat="1" ht="12.75" x14ac:dyDescent="0.2"/>
    <row r="14603" s="197" customFormat="1" ht="12.75" x14ac:dyDescent="0.2"/>
    <row r="14604" s="197" customFormat="1" ht="12.75" x14ac:dyDescent="0.2"/>
    <row r="14605" s="197" customFormat="1" ht="12.75" x14ac:dyDescent="0.2"/>
    <row r="14606" s="197" customFormat="1" ht="12.75" x14ac:dyDescent="0.2"/>
    <row r="14607" s="197" customFormat="1" ht="12.75" x14ac:dyDescent="0.2"/>
    <row r="14608" s="197" customFormat="1" ht="12.75" x14ac:dyDescent="0.2"/>
    <row r="14609" s="197" customFormat="1" ht="12.75" x14ac:dyDescent="0.2"/>
    <row r="14610" s="197" customFormat="1" ht="12.75" x14ac:dyDescent="0.2"/>
    <row r="14611" s="197" customFormat="1" ht="12.75" x14ac:dyDescent="0.2"/>
    <row r="14612" s="197" customFormat="1" ht="12.75" x14ac:dyDescent="0.2"/>
    <row r="14613" s="197" customFormat="1" ht="12.75" x14ac:dyDescent="0.2"/>
    <row r="14614" s="197" customFormat="1" ht="12.75" x14ac:dyDescent="0.2"/>
    <row r="14615" s="197" customFormat="1" ht="12.75" x14ac:dyDescent="0.2"/>
    <row r="14616" s="197" customFormat="1" ht="12.75" x14ac:dyDescent="0.2"/>
    <row r="14617" s="197" customFormat="1" ht="12.75" x14ac:dyDescent="0.2"/>
    <row r="14618" s="197" customFormat="1" ht="12.75" x14ac:dyDescent="0.2"/>
    <row r="14619" s="197" customFormat="1" ht="12.75" x14ac:dyDescent="0.2"/>
    <row r="14620" s="197" customFormat="1" ht="12.75" x14ac:dyDescent="0.2"/>
    <row r="14621" s="197" customFormat="1" ht="12.75" x14ac:dyDescent="0.2"/>
    <row r="14622" s="197" customFormat="1" ht="12.75" x14ac:dyDescent="0.2"/>
    <row r="14623" s="197" customFormat="1" ht="12.75" x14ac:dyDescent="0.2"/>
    <row r="14624" s="197" customFormat="1" ht="12.75" x14ac:dyDescent="0.2"/>
    <row r="14625" s="197" customFormat="1" ht="12.75" x14ac:dyDescent="0.2"/>
    <row r="14626" s="197" customFormat="1" ht="12.75" x14ac:dyDescent="0.2"/>
    <row r="14627" s="197" customFormat="1" ht="12.75" x14ac:dyDescent="0.2"/>
    <row r="14628" s="197" customFormat="1" ht="12.75" x14ac:dyDescent="0.2"/>
    <row r="14629" s="197" customFormat="1" ht="12.75" x14ac:dyDescent="0.2"/>
    <row r="14630" s="197" customFormat="1" ht="12.75" x14ac:dyDescent="0.2"/>
    <row r="14631" s="197" customFormat="1" ht="12.75" x14ac:dyDescent="0.2"/>
    <row r="14632" s="197" customFormat="1" ht="12.75" x14ac:dyDescent="0.2"/>
    <row r="14633" s="197" customFormat="1" ht="12.75" x14ac:dyDescent="0.2"/>
    <row r="14634" s="197" customFormat="1" ht="12.75" x14ac:dyDescent="0.2"/>
    <row r="14635" s="197" customFormat="1" ht="12.75" x14ac:dyDescent="0.2"/>
    <row r="14636" s="197" customFormat="1" ht="12.75" x14ac:dyDescent="0.2"/>
    <row r="14637" s="197" customFormat="1" ht="12.75" x14ac:dyDescent="0.2"/>
    <row r="14638" s="197" customFormat="1" ht="12.75" x14ac:dyDescent="0.2"/>
    <row r="14639" s="197" customFormat="1" ht="12.75" x14ac:dyDescent="0.2"/>
    <row r="14640" s="197" customFormat="1" ht="12.75" x14ac:dyDescent="0.2"/>
    <row r="14641" s="197" customFormat="1" ht="12.75" x14ac:dyDescent="0.2"/>
    <row r="14642" s="197" customFormat="1" ht="12.75" x14ac:dyDescent="0.2"/>
    <row r="14643" s="197" customFormat="1" ht="12.75" x14ac:dyDescent="0.2"/>
    <row r="14644" s="197" customFormat="1" ht="12.75" x14ac:dyDescent="0.2"/>
    <row r="14645" s="197" customFormat="1" ht="12.75" x14ac:dyDescent="0.2"/>
    <row r="14646" s="197" customFormat="1" ht="12.75" x14ac:dyDescent="0.2"/>
    <row r="14647" s="197" customFormat="1" ht="12.75" x14ac:dyDescent="0.2"/>
    <row r="14648" s="197" customFormat="1" ht="12.75" x14ac:dyDescent="0.2"/>
    <row r="14649" s="197" customFormat="1" ht="12.75" x14ac:dyDescent="0.2"/>
    <row r="14650" s="197" customFormat="1" ht="12.75" x14ac:dyDescent="0.2"/>
    <row r="14651" s="197" customFormat="1" ht="12.75" x14ac:dyDescent="0.2"/>
    <row r="14652" s="197" customFormat="1" ht="12.75" x14ac:dyDescent="0.2"/>
    <row r="14653" s="197" customFormat="1" ht="12.75" x14ac:dyDescent="0.2"/>
    <row r="14654" s="197" customFormat="1" ht="12.75" x14ac:dyDescent="0.2"/>
    <row r="14655" s="197" customFormat="1" ht="12.75" x14ac:dyDescent="0.2"/>
    <row r="14656" s="197" customFormat="1" ht="12.75" x14ac:dyDescent="0.2"/>
    <row r="14657" s="197" customFormat="1" ht="12.75" x14ac:dyDescent="0.2"/>
    <row r="14658" s="197" customFormat="1" ht="12.75" x14ac:dyDescent="0.2"/>
    <row r="14659" s="197" customFormat="1" ht="12.75" x14ac:dyDescent="0.2"/>
    <row r="14660" s="197" customFormat="1" ht="12.75" x14ac:dyDescent="0.2"/>
    <row r="14661" s="197" customFormat="1" ht="12.75" x14ac:dyDescent="0.2"/>
    <row r="14662" s="197" customFormat="1" ht="12.75" x14ac:dyDescent="0.2"/>
    <row r="14663" s="197" customFormat="1" ht="12.75" x14ac:dyDescent="0.2"/>
    <row r="14664" s="197" customFormat="1" ht="12.75" x14ac:dyDescent="0.2"/>
    <row r="14665" s="197" customFormat="1" ht="12.75" x14ac:dyDescent="0.2"/>
    <row r="14666" s="197" customFormat="1" ht="12.75" x14ac:dyDescent="0.2"/>
    <row r="14667" s="197" customFormat="1" ht="12.75" x14ac:dyDescent="0.2"/>
    <row r="14668" s="197" customFormat="1" ht="12.75" x14ac:dyDescent="0.2"/>
    <row r="14669" s="197" customFormat="1" ht="12.75" x14ac:dyDescent="0.2"/>
    <row r="14670" s="197" customFormat="1" ht="12.75" x14ac:dyDescent="0.2"/>
    <row r="14671" s="197" customFormat="1" ht="12.75" x14ac:dyDescent="0.2"/>
    <row r="14672" s="197" customFormat="1" ht="12.75" x14ac:dyDescent="0.2"/>
    <row r="14673" s="197" customFormat="1" ht="12.75" x14ac:dyDescent="0.2"/>
    <row r="14674" s="197" customFormat="1" ht="12.75" x14ac:dyDescent="0.2"/>
    <row r="14675" s="197" customFormat="1" ht="12.75" x14ac:dyDescent="0.2"/>
    <row r="14676" s="197" customFormat="1" ht="12.75" x14ac:dyDescent="0.2"/>
    <row r="14677" s="197" customFormat="1" ht="12.75" x14ac:dyDescent="0.2"/>
    <row r="14678" s="197" customFormat="1" ht="12.75" x14ac:dyDescent="0.2"/>
    <row r="14679" s="197" customFormat="1" ht="12.75" x14ac:dyDescent="0.2"/>
    <row r="14680" s="197" customFormat="1" ht="12.75" x14ac:dyDescent="0.2"/>
    <row r="14681" s="197" customFormat="1" ht="12.75" x14ac:dyDescent="0.2"/>
    <row r="14682" s="197" customFormat="1" ht="12.75" x14ac:dyDescent="0.2"/>
    <row r="14683" s="197" customFormat="1" ht="12.75" x14ac:dyDescent="0.2"/>
    <row r="14684" s="197" customFormat="1" ht="12.75" x14ac:dyDescent="0.2"/>
    <row r="14685" s="197" customFormat="1" ht="12.75" x14ac:dyDescent="0.2"/>
    <row r="14686" s="197" customFormat="1" ht="12.75" x14ac:dyDescent="0.2"/>
    <row r="14687" s="197" customFormat="1" ht="12.75" x14ac:dyDescent="0.2"/>
    <row r="14688" s="197" customFormat="1" ht="12.75" x14ac:dyDescent="0.2"/>
    <row r="14689" s="197" customFormat="1" ht="12.75" x14ac:dyDescent="0.2"/>
    <row r="14690" s="197" customFormat="1" ht="12.75" x14ac:dyDescent="0.2"/>
    <row r="14691" s="197" customFormat="1" ht="12.75" x14ac:dyDescent="0.2"/>
    <row r="14692" s="197" customFormat="1" ht="12.75" x14ac:dyDescent="0.2"/>
    <row r="14693" s="197" customFormat="1" ht="12.75" x14ac:dyDescent="0.2"/>
    <row r="14694" s="197" customFormat="1" ht="12.75" x14ac:dyDescent="0.2"/>
    <row r="14695" s="197" customFormat="1" ht="12.75" x14ac:dyDescent="0.2"/>
    <row r="14696" s="197" customFormat="1" ht="12.75" x14ac:dyDescent="0.2"/>
    <row r="14697" s="197" customFormat="1" ht="12.75" x14ac:dyDescent="0.2"/>
    <row r="14698" s="197" customFormat="1" ht="12.75" x14ac:dyDescent="0.2"/>
    <row r="14699" s="197" customFormat="1" ht="12.75" x14ac:dyDescent="0.2"/>
    <row r="14700" s="197" customFormat="1" ht="12.75" x14ac:dyDescent="0.2"/>
    <row r="14701" s="197" customFormat="1" ht="12.75" x14ac:dyDescent="0.2"/>
    <row r="14702" s="197" customFormat="1" ht="12.75" x14ac:dyDescent="0.2"/>
    <row r="14703" s="197" customFormat="1" ht="12.75" x14ac:dyDescent="0.2"/>
    <row r="14704" s="197" customFormat="1" ht="12.75" x14ac:dyDescent="0.2"/>
    <row r="14705" s="197" customFormat="1" ht="12.75" x14ac:dyDescent="0.2"/>
    <row r="14706" s="197" customFormat="1" ht="12.75" x14ac:dyDescent="0.2"/>
    <row r="14707" s="197" customFormat="1" ht="12.75" x14ac:dyDescent="0.2"/>
    <row r="14708" s="197" customFormat="1" ht="12.75" x14ac:dyDescent="0.2"/>
    <row r="14709" s="197" customFormat="1" ht="12.75" x14ac:dyDescent="0.2"/>
    <row r="14710" s="197" customFormat="1" ht="12.75" x14ac:dyDescent="0.2"/>
    <row r="14711" s="197" customFormat="1" ht="12.75" x14ac:dyDescent="0.2"/>
    <row r="14712" s="197" customFormat="1" ht="12.75" x14ac:dyDescent="0.2"/>
    <row r="14713" s="197" customFormat="1" ht="12.75" x14ac:dyDescent="0.2"/>
    <row r="14714" s="197" customFormat="1" ht="12.75" x14ac:dyDescent="0.2"/>
    <row r="14715" s="197" customFormat="1" ht="12.75" x14ac:dyDescent="0.2"/>
    <row r="14716" s="197" customFormat="1" ht="12.75" x14ac:dyDescent="0.2"/>
    <row r="14717" s="197" customFormat="1" ht="12.75" x14ac:dyDescent="0.2"/>
    <row r="14718" s="197" customFormat="1" ht="12.75" x14ac:dyDescent="0.2"/>
    <row r="14719" s="197" customFormat="1" ht="12.75" x14ac:dyDescent="0.2"/>
    <row r="14720" s="197" customFormat="1" ht="12.75" x14ac:dyDescent="0.2"/>
    <row r="14721" s="197" customFormat="1" ht="12.75" x14ac:dyDescent="0.2"/>
    <row r="14722" s="197" customFormat="1" ht="12.75" x14ac:dyDescent="0.2"/>
    <row r="14723" s="197" customFormat="1" ht="12.75" x14ac:dyDescent="0.2"/>
    <row r="14724" s="197" customFormat="1" ht="12.75" x14ac:dyDescent="0.2"/>
    <row r="14725" s="197" customFormat="1" ht="12.75" x14ac:dyDescent="0.2"/>
    <row r="14726" s="197" customFormat="1" ht="12.75" x14ac:dyDescent="0.2"/>
    <row r="14727" s="197" customFormat="1" ht="12.75" x14ac:dyDescent="0.2"/>
    <row r="14728" s="197" customFormat="1" ht="12.75" x14ac:dyDescent="0.2"/>
    <row r="14729" s="197" customFormat="1" ht="12.75" x14ac:dyDescent="0.2"/>
    <row r="14730" s="197" customFormat="1" ht="12.75" x14ac:dyDescent="0.2"/>
    <row r="14731" s="197" customFormat="1" ht="12.75" x14ac:dyDescent="0.2"/>
    <row r="14732" s="197" customFormat="1" ht="12.75" x14ac:dyDescent="0.2"/>
    <row r="14733" s="197" customFormat="1" ht="12.75" x14ac:dyDescent="0.2"/>
    <row r="14734" s="197" customFormat="1" ht="12.75" x14ac:dyDescent="0.2"/>
    <row r="14735" s="197" customFormat="1" ht="12.75" x14ac:dyDescent="0.2"/>
    <row r="14736" s="197" customFormat="1" ht="12.75" x14ac:dyDescent="0.2"/>
    <row r="14737" s="197" customFormat="1" ht="12.75" x14ac:dyDescent="0.2"/>
    <row r="14738" s="197" customFormat="1" ht="12.75" x14ac:dyDescent="0.2"/>
    <row r="14739" s="197" customFormat="1" ht="12.75" x14ac:dyDescent="0.2"/>
    <row r="14740" s="197" customFormat="1" ht="12.75" x14ac:dyDescent="0.2"/>
    <row r="14741" s="197" customFormat="1" ht="12.75" x14ac:dyDescent="0.2"/>
    <row r="14742" s="197" customFormat="1" ht="12.75" x14ac:dyDescent="0.2"/>
    <row r="14743" s="197" customFormat="1" ht="12.75" x14ac:dyDescent="0.2"/>
    <row r="14744" s="197" customFormat="1" ht="12.75" x14ac:dyDescent="0.2"/>
    <row r="14745" s="197" customFormat="1" ht="12.75" x14ac:dyDescent="0.2"/>
    <row r="14746" s="197" customFormat="1" ht="12.75" x14ac:dyDescent="0.2"/>
    <row r="14747" s="197" customFormat="1" ht="12.75" x14ac:dyDescent="0.2"/>
    <row r="14748" s="197" customFormat="1" ht="12.75" x14ac:dyDescent="0.2"/>
    <row r="14749" s="197" customFormat="1" ht="12.75" x14ac:dyDescent="0.2"/>
    <row r="14750" s="197" customFormat="1" ht="12.75" x14ac:dyDescent="0.2"/>
    <row r="14751" s="197" customFormat="1" ht="12.75" x14ac:dyDescent="0.2"/>
    <row r="14752" s="197" customFormat="1" ht="12.75" x14ac:dyDescent="0.2"/>
    <row r="14753" s="197" customFormat="1" ht="12.75" x14ac:dyDescent="0.2"/>
    <row r="14754" s="197" customFormat="1" ht="12.75" x14ac:dyDescent="0.2"/>
    <row r="14755" s="197" customFormat="1" ht="12.75" x14ac:dyDescent="0.2"/>
    <row r="14756" s="197" customFormat="1" ht="12.75" x14ac:dyDescent="0.2"/>
    <row r="14757" s="197" customFormat="1" ht="12.75" x14ac:dyDescent="0.2"/>
    <row r="14758" s="197" customFormat="1" ht="12.75" x14ac:dyDescent="0.2"/>
    <row r="14759" s="197" customFormat="1" ht="12.75" x14ac:dyDescent="0.2"/>
    <row r="14760" s="197" customFormat="1" ht="12.75" x14ac:dyDescent="0.2"/>
    <row r="14761" s="197" customFormat="1" ht="12.75" x14ac:dyDescent="0.2"/>
    <row r="14762" s="197" customFormat="1" ht="12.75" x14ac:dyDescent="0.2"/>
    <row r="14763" s="197" customFormat="1" ht="12.75" x14ac:dyDescent="0.2"/>
    <row r="14764" s="197" customFormat="1" ht="12.75" x14ac:dyDescent="0.2"/>
    <row r="14765" s="197" customFormat="1" ht="12.75" x14ac:dyDescent="0.2"/>
    <row r="14766" s="197" customFormat="1" ht="12.75" x14ac:dyDescent="0.2"/>
    <row r="14767" s="197" customFormat="1" ht="12.75" x14ac:dyDescent="0.2"/>
    <row r="14768" s="197" customFormat="1" ht="12.75" x14ac:dyDescent="0.2"/>
    <row r="14769" s="197" customFormat="1" ht="12.75" x14ac:dyDescent="0.2"/>
    <row r="14770" s="197" customFormat="1" ht="12.75" x14ac:dyDescent="0.2"/>
    <row r="14771" s="197" customFormat="1" ht="12.75" x14ac:dyDescent="0.2"/>
    <row r="14772" s="197" customFormat="1" ht="12.75" x14ac:dyDescent="0.2"/>
    <row r="14773" s="197" customFormat="1" ht="12.75" x14ac:dyDescent="0.2"/>
    <row r="14774" s="197" customFormat="1" ht="12.75" x14ac:dyDescent="0.2"/>
    <row r="14775" s="197" customFormat="1" ht="12.75" x14ac:dyDescent="0.2"/>
    <row r="14776" s="197" customFormat="1" ht="12.75" x14ac:dyDescent="0.2"/>
    <row r="14777" s="197" customFormat="1" ht="12.75" x14ac:dyDescent="0.2"/>
    <row r="14778" s="197" customFormat="1" ht="12.75" x14ac:dyDescent="0.2"/>
    <row r="14779" s="197" customFormat="1" ht="12.75" x14ac:dyDescent="0.2"/>
    <row r="14780" s="197" customFormat="1" ht="12.75" x14ac:dyDescent="0.2"/>
    <row r="14781" s="197" customFormat="1" ht="12.75" x14ac:dyDescent="0.2"/>
    <row r="14782" s="197" customFormat="1" ht="12.75" x14ac:dyDescent="0.2"/>
    <row r="14783" s="197" customFormat="1" ht="12.75" x14ac:dyDescent="0.2"/>
    <row r="14784" s="197" customFormat="1" ht="12.75" x14ac:dyDescent="0.2"/>
    <row r="14785" s="197" customFormat="1" ht="12.75" x14ac:dyDescent="0.2"/>
    <row r="14786" s="197" customFormat="1" ht="12.75" x14ac:dyDescent="0.2"/>
    <row r="14787" s="197" customFormat="1" ht="12.75" x14ac:dyDescent="0.2"/>
    <row r="14788" s="197" customFormat="1" ht="12.75" x14ac:dyDescent="0.2"/>
    <row r="14789" s="197" customFormat="1" ht="12.75" x14ac:dyDescent="0.2"/>
    <row r="14790" s="197" customFormat="1" ht="12.75" x14ac:dyDescent="0.2"/>
    <row r="14791" s="197" customFormat="1" ht="12.75" x14ac:dyDescent="0.2"/>
    <row r="14792" s="197" customFormat="1" ht="12.75" x14ac:dyDescent="0.2"/>
    <row r="14793" s="197" customFormat="1" ht="12.75" x14ac:dyDescent="0.2"/>
    <row r="14794" s="197" customFormat="1" ht="12.75" x14ac:dyDescent="0.2"/>
    <row r="14795" s="197" customFormat="1" ht="12.75" x14ac:dyDescent="0.2"/>
    <row r="14796" s="197" customFormat="1" ht="12.75" x14ac:dyDescent="0.2"/>
    <row r="14797" s="197" customFormat="1" ht="12.75" x14ac:dyDescent="0.2"/>
    <row r="14798" s="197" customFormat="1" ht="12.75" x14ac:dyDescent="0.2"/>
    <row r="14799" s="197" customFormat="1" ht="12.75" x14ac:dyDescent="0.2"/>
    <row r="14800" s="197" customFormat="1" ht="12.75" x14ac:dyDescent="0.2"/>
    <row r="14801" s="197" customFormat="1" ht="12.75" x14ac:dyDescent="0.2"/>
    <row r="14802" s="197" customFormat="1" ht="12.75" x14ac:dyDescent="0.2"/>
    <row r="14803" s="197" customFormat="1" ht="12.75" x14ac:dyDescent="0.2"/>
    <row r="14804" s="197" customFormat="1" ht="12.75" x14ac:dyDescent="0.2"/>
    <row r="14805" s="197" customFormat="1" ht="12.75" x14ac:dyDescent="0.2"/>
    <row r="14806" s="197" customFormat="1" ht="12.75" x14ac:dyDescent="0.2"/>
    <row r="14807" s="197" customFormat="1" ht="12.75" x14ac:dyDescent="0.2"/>
    <row r="14808" s="197" customFormat="1" ht="12.75" x14ac:dyDescent="0.2"/>
    <row r="14809" s="197" customFormat="1" ht="12.75" x14ac:dyDescent="0.2"/>
    <row r="14810" s="197" customFormat="1" ht="12.75" x14ac:dyDescent="0.2"/>
    <row r="14811" s="197" customFormat="1" ht="12.75" x14ac:dyDescent="0.2"/>
    <row r="14812" s="197" customFormat="1" ht="12.75" x14ac:dyDescent="0.2"/>
    <row r="14813" s="197" customFormat="1" ht="12.75" x14ac:dyDescent="0.2"/>
    <row r="14814" s="197" customFormat="1" ht="12.75" x14ac:dyDescent="0.2"/>
    <row r="14815" s="197" customFormat="1" ht="12.75" x14ac:dyDescent="0.2"/>
    <row r="14816" s="197" customFormat="1" ht="12.75" x14ac:dyDescent="0.2"/>
    <row r="14817" s="197" customFormat="1" ht="12.75" x14ac:dyDescent="0.2"/>
    <row r="14818" s="197" customFormat="1" ht="12.75" x14ac:dyDescent="0.2"/>
    <row r="14819" s="197" customFormat="1" ht="12.75" x14ac:dyDescent="0.2"/>
    <row r="14820" s="197" customFormat="1" ht="12.75" x14ac:dyDescent="0.2"/>
    <row r="14821" s="197" customFormat="1" ht="12.75" x14ac:dyDescent="0.2"/>
    <row r="14822" s="197" customFormat="1" ht="12.75" x14ac:dyDescent="0.2"/>
    <row r="14823" s="197" customFormat="1" ht="12.75" x14ac:dyDescent="0.2"/>
    <row r="14824" s="197" customFormat="1" ht="12.75" x14ac:dyDescent="0.2"/>
    <row r="14825" s="197" customFormat="1" ht="12.75" x14ac:dyDescent="0.2"/>
    <row r="14826" s="197" customFormat="1" ht="12.75" x14ac:dyDescent="0.2"/>
    <row r="14827" s="197" customFormat="1" ht="12.75" x14ac:dyDescent="0.2"/>
    <row r="14828" s="197" customFormat="1" ht="12.75" x14ac:dyDescent="0.2"/>
    <row r="14829" s="197" customFormat="1" ht="12.75" x14ac:dyDescent="0.2"/>
    <row r="14830" s="197" customFormat="1" ht="12.75" x14ac:dyDescent="0.2"/>
    <row r="14831" s="197" customFormat="1" ht="12.75" x14ac:dyDescent="0.2"/>
    <row r="14832" s="197" customFormat="1" ht="12.75" x14ac:dyDescent="0.2"/>
    <row r="14833" s="197" customFormat="1" ht="12.75" x14ac:dyDescent="0.2"/>
    <row r="14834" s="197" customFormat="1" ht="12.75" x14ac:dyDescent="0.2"/>
    <row r="14835" s="197" customFormat="1" ht="12.75" x14ac:dyDescent="0.2"/>
    <row r="14836" s="197" customFormat="1" ht="12.75" x14ac:dyDescent="0.2"/>
    <row r="14837" s="197" customFormat="1" ht="12.75" x14ac:dyDescent="0.2"/>
    <row r="14838" s="197" customFormat="1" ht="12.75" x14ac:dyDescent="0.2"/>
    <row r="14839" s="197" customFormat="1" ht="12.75" x14ac:dyDescent="0.2"/>
    <row r="14840" s="197" customFormat="1" ht="12.75" x14ac:dyDescent="0.2"/>
    <row r="14841" s="197" customFormat="1" ht="12.75" x14ac:dyDescent="0.2"/>
    <row r="14842" s="197" customFormat="1" ht="12.75" x14ac:dyDescent="0.2"/>
    <row r="14843" s="197" customFormat="1" ht="12.75" x14ac:dyDescent="0.2"/>
    <row r="14844" s="197" customFormat="1" ht="12.75" x14ac:dyDescent="0.2"/>
    <row r="14845" s="197" customFormat="1" ht="12.75" x14ac:dyDescent="0.2"/>
    <row r="14846" s="197" customFormat="1" ht="12.75" x14ac:dyDescent="0.2"/>
    <row r="14847" s="197" customFormat="1" ht="12.75" x14ac:dyDescent="0.2"/>
    <row r="14848" s="197" customFormat="1" ht="12.75" x14ac:dyDescent="0.2"/>
    <row r="14849" s="197" customFormat="1" ht="12.75" x14ac:dyDescent="0.2"/>
    <row r="14850" s="197" customFormat="1" ht="12.75" x14ac:dyDescent="0.2"/>
    <row r="14851" s="197" customFormat="1" ht="12.75" x14ac:dyDescent="0.2"/>
    <row r="14852" s="197" customFormat="1" ht="12.75" x14ac:dyDescent="0.2"/>
    <row r="14853" s="197" customFormat="1" ht="12.75" x14ac:dyDescent="0.2"/>
    <row r="14854" s="197" customFormat="1" ht="12.75" x14ac:dyDescent="0.2"/>
    <row r="14855" s="197" customFormat="1" ht="12.75" x14ac:dyDescent="0.2"/>
    <row r="14856" s="197" customFormat="1" ht="12.75" x14ac:dyDescent="0.2"/>
    <row r="14857" s="197" customFormat="1" ht="12.75" x14ac:dyDescent="0.2"/>
    <row r="14858" s="197" customFormat="1" ht="12.75" x14ac:dyDescent="0.2"/>
    <row r="14859" s="197" customFormat="1" ht="12.75" x14ac:dyDescent="0.2"/>
    <row r="14860" s="197" customFormat="1" ht="12.75" x14ac:dyDescent="0.2"/>
    <row r="14861" s="197" customFormat="1" ht="12.75" x14ac:dyDescent="0.2"/>
    <row r="14862" s="197" customFormat="1" ht="12.75" x14ac:dyDescent="0.2"/>
    <row r="14863" s="197" customFormat="1" ht="12.75" x14ac:dyDescent="0.2"/>
    <row r="14864" s="197" customFormat="1" ht="12.75" x14ac:dyDescent="0.2"/>
    <row r="14865" s="197" customFormat="1" ht="12.75" x14ac:dyDescent="0.2"/>
    <row r="14866" s="197" customFormat="1" ht="12.75" x14ac:dyDescent="0.2"/>
    <row r="14867" s="197" customFormat="1" ht="12.75" x14ac:dyDescent="0.2"/>
    <row r="14868" s="197" customFormat="1" ht="12.75" x14ac:dyDescent="0.2"/>
    <row r="14869" s="197" customFormat="1" ht="12.75" x14ac:dyDescent="0.2"/>
    <row r="14870" s="197" customFormat="1" ht="12.75" x14ac:dyDescent="0.2"/>
    <row r="14871" s="197" customFormat="1" ht="12.75" x14ac:dyDescent="0.2"/>
    <row r="14872" s="197" customFormat="1" ht="12.75" x14ac:dyDescent="0.2"/>
    <row r="14873" s="197" customFormat="1" ht="12.75" x14ac:dyDescent="0.2"/>
    <row r="14874" s="197" customFormat="1" ht="12.75" x14ac:dyDescent="0.2"/>
    <row r="14875" s="197" customFormat="1" ht="12.75" x14ac:dyDescent="0.2"/>
    <row r="14876" s="197" customFormat="1" ht="12.75" x14ac:dyDescent="0.2"/>
    <row r="14877" s="197" customFormat="1" ht="12.75" x14ac:dyDescent="0.2"/>
    <row r="14878" s="197" customFormat="1" ht="12.75" x14ac:dyDescent="0.2"/>
    <row r="14879" s="197" customFormat="1" ht="12.75" x14ac:dyDescent="0.2"/>
    <row r="14880" s="197" customFormat="1" ht="12.75" x14ac:dyDescent="0.2"/>
    <row r="14881" s="197" customFormat="1" ht="12.75" x14ac:dyDescent="0.2"/>
    <row r="14882" s="197" customFormat="1" ht="12.75" x14ac:dyDescent="0.2"/>
    <row r="14883" s="197" customFormat="1" ht="12.75" x14ac:dyDescent="0.2"/>
    <row r="14884" s="197" customFormat="1" ht="12.75" x14ac:dyDescent="0.2"/>
    <row r="14885" s="197" customFormat="1" ht="12.75" x14ac:dyDescent="0.2"/>
    <row r="14886" s="197" customFormat="1" ht="12.75" x14ac:dyDescent="0.2"/>
    <row r="14887" s="197" customFormat="1" ht="12.75" x14ac:dyDescent="0.2"/>
    <row r="14888" s="197" customFormat="1" ht="12.75" x14ac:dyDescent="0.2"/>
    <row r="14889" s="197" customFormat="1" ht="12.75" x14ac:dyDescent="0.2"/>
    <row r="14890" s="197" customFormat="1" ht="12.75" x14ac:dyDescent="0.2"/>
    <row r="14891" s="197" customFormat="1" ht="12.75" x14ac:dyDescent="0.2"/>
    <row r="14892" s="197" customFormat="1" ht="12.75" x14ac:dyDescent="0.2"/>
    <row r="14893" s="197" customFormat="1" ht="12.75" x14ac:dyDescent="0.2"/>
    <row r="14894" s="197" customFormat="1" ht="12.75" x14ac:dyDescent="0.2"/>
    <row r="14895" s="197" customFormat="1" ht="12.75" x14ac:dyDescent="0.2"/>
    <row r="14896" s="197" customFormat="1" ht="12.75" x14ac:dyDescent="0.2"/>
    <row r="14897" s="197" customFormat="1" ht="12.75" x14ac:dyDescent="0.2"/>
    <row r="14898" s="197" customFormat="1" ht="12.75" x14ac:dyDescent="0.2"/>
    <row r="14899" s="197" customFormat="1" ht="12.75" x14ac:dyDescent="0.2"/>
    <row r="14900" s="197" customFormat="1" ht="12.75" x14ac:dyDescent="0.2"/>
    <row r="14901" s="197" customFormat="1" ht="12.75" x14ac:dyDescent="0.2"/>
    <row r="14902" s="197" customFormat="1" ht="12.75" x14ac:dyDescent="0.2"/>
    <row r="14903" s="197" customFormat="1" ht="12.75" x14ac:dyDescent="0.2"/>
    <row r="14904" s="197" customFormat="1" ht="12.75" x14ac:dyDescent="0.2"/>
    <row r="14905" s="197" customFormat="1" ht="12.75" x14ac:dyDescent="0.2"/>
    <row r="14906" s="197" customFormat="1" ht="12.75" x14ac:dyDescent="0.2"/>
    <row r="14907" s="197" customFormat="1" ht="12.75" x14ac:dyDescent="0.2"/>
    <row r="14908" s="197" customFormat="1" ht="12.75" x14ac:dyDescent="0.2"/>
    <row r="14909" s="197" customFormat="1" ht="12.75" x14ac:dyDescent="0.2"/>
    <row r="14910" s="197" customFormat="1" ht="12.75" x14ac:dyDescent="0.2"/>
    <row r="14911" s="197" customFormat="1" ht="12.75" x14ac:dyDescent="0.2"/>
    <row r="14912" s="197" customFormat="1" ht="12.75" x14ac:dyDescent="0.2"/>
    <row r="14913" s="197" customFormat="1" ht="12.75" x14ac:dyDescent="0.2"/>
    <row r="14914" s="197" customFormat="1" ht="12.75" x14ac:dyDescent="0.2"/>
    <row r="14915" s="197" customFormat="1" ht="12.75" x14ac:dyDescent="0.2"/>
    <row r="14916" s="197" customFormat="1" ht="12.75" x14ac:dyDescent="0.2"/>
    <row r="14917" s="197" customFormat="1" ht="12.75" x14ac:dyDescent="0.2"/>
    <row r="14918" s="197" customFormat="1" ht="12.75" x14ac:dyDescent="0.2"/>
    <row r="14919" s="197" customFormat="1" ht="12.75" x14ac:dyDescent="0.2"/>
    <row r="14920" s="197" customFormat="1" ht="12.75" x14ac:dyDescent="0.2"/>
    <row r="14921" s="197" customFormat="1" ht="12.75" x14ac:dyDescent="0.2"/>
    <row r="14922" s="197" customFormat="1" ht="12.75" x14ac:dyDescent="0.2"/>
    <row r="14923" s="197" customFormat="1" ht="12.75" x14ac:dyDescent="0.2"/>
    <row r="14924" s="197" customFormat="1" ht="12.75" x14ac:dyDescent="0.2"/>
    <row r="14925" s="197" customFormat="1" ht="12.75" x14ac:dyDescent="0.2"/>
    <row r="14926" s="197" customFormat="1" ht="12.75" x14ac:dyDescent="0.2"/>
    <row r="14927" s="197" customFormat="1" ht="12.75" x14ac:dyDescent="0.2"/>
    <row r="14928" s="197" customFormat="1" ht="12.75" x14ac:dyDescent="0.2"/>
    <row r="14929" s="197" customFormat="1" ht="12.75" x14ac:dyDescent="0.2"/>
    <row r="14930" s="197" customFormat="1" ht="12.75" x14ac:dyDescent="0.2"/>
    <row r="14931" s="197" customFormat="1" ht="12.75" x14ac:dyDescent="0.2"/>
    <row r="14932" s="197" customFormat="1" ht="12.75" x14ac:dyDescent="0.2"/>
    <row r="14933" s="197" customFormat="1" ht="12.75" x14ac:dyDescent="0.2"/>
    <row r="14934" s="197" customFormat="1" ht="12.75" x14ac:dyDescent="0.2"/>
    <row r="14935" s="197" customFormat="1" ht="12.75" x14ac:dyDescent="0.2"/>
    <row r="14936" s="197" customFormat="1" ht="12.75" x14ac:dyDescent="0.2"/>
    <row r="14937" s="197" customFormat="1" ht="12.75" x14ac:dyDescent="0.2"/>
    <row r="14938" s="197" customFormat="1" ht="12.75" x14ac:dyDescent="0.2"/>
    <row r="14939" s="197" customFormat="1" ht="12.75" x14ac:dyDescent="0.2"/>
    <row r="14940" s="197" customFormat="1" ht="12.75" x14ac:dyDescent="0.2"/>
    <row r="14941" s="197" customFormat="1" ht="12.75" x14ac:dyDescent="0.2"/>
    <row r="14942" s="197" customFormat="1" ht="12.75" x14ac:dyDescent="0.2"/>
    <row r="14943" s="197" customFormat="1" ht="12.75" x14ac:dyDescent="0.2"/>
    <row r="14944" s="197" customFormat="1" ht="12.75" x14ac:dyDescent="0.2"/>
    <row r="14945" s="197" customFormat="1" ht="12.75" x14ac:dyDescent="0.2"/>
    <row r="14946" s="197" customFormat="1" ht="12.75" x14ac:dyDescent="0.2"/>
    <row r="14947" s="197" customFormat="1" ht="12.75" x14ac:dyDescent="0.2"/>
    <row r="14948" s="197" customFormat="1" ht="12.75" x14ac:dyDescent="0.2"/>
    <row r="14949" s="197" customFormat="1" ht="12.75" x14ac:dyDescent="0.2"/>
    <row r="14950" s="197" customFormat="1" ht="12.75" x14ac:dyDescent="0.2"/>
    <row r="14951" s="197" customFormat="1" ht="12.75" x14ac:dyDescent="0.2"/>
    <row r="14952" s="197" customFormat="1" ht="12.75" x14ac:dyDescent="0.2"/>
    <row r="14953" s="197" customFormat="1" ht="12.75" x14ac:dyDescent="0.2"/>
    <row r="14954" s="197" customFormat="1" ht="12.75" x14ac:dyDescent="0.2"/>
    <row r="14955" s="197" customFormat="1" ht="12.75" x14ac:dyDescent="0.2"/>
    <row r="14956" s="197" customFormat="1" ht="12.75" x14ac:dyDescent="0.2"/>
    <row r="14957" s="197" customFormat="1" ht="12.75" x14ac:dyDescent="0.2"/>
    <row r="14958" s="197" customFormat="1" ht="12.75" x14ac:dyDescent="0.2"/>
    <row r="14959" s="197" customFormat="1" ht="12.75" x14ac:dyDescent="0.2"/>
    <row r="14960" s="197" customFormat="1" ht="12.75" x14ac:dyDescent="0.2"/>
    <row r="14961" s="197" customFormat="1" ht="12.75" x14ac:dyDescent="0.2"/>
    <row r="14962" s="197" customFormat="1" ht="12.75" x14ac:dyDescent="0.2"/>
    <row r="14963" s="197" customFormat="1" ht="12.75" x14ac:dyDescent="0.2"/>
    <row r="14964" s="197" customFormat="1" ht="12.75" x14ac:dyDescent="0.2"/>
    <row r="14965" s="197" customFormat="1" ht="12.75" x14ac:dyDescent="0.2"/>
    <row r="14966" s="197" customFormat="1" ht="12.75" x14ac:dyDescent="0.2"/>
    <row r="14967" s="197" customFormat="1" ht="12.75" x14ac:dyDescent="0.2"/>
    <row r="14968" s="197" customFormat="1" ht="12.75" x14ac:dyDescent="0.2"/>
    <row r="14969" s="197" customFormat="1" ht="12.75" x14ac:dyDescent="0.2"/>
    <row r="14970" s="197" customFormat="1" ht="12.75" x14ac:dyDescent="0.2"/>
    <row r="14971" s="197" customFormat="1" ht="12.75" x14ac:dyDescent="0.2"/>
    <row r="14972" s="197" customFormat="1" ht="12.75" x14ac:dyDescent="0.2"/>
    <row r="14973" s="197" customFormat="1" ht="12.75" x14ac:dyDescent="0.2"/>
    <row r="14974" s="197" customFormat="1" ht="12.75" x14ac:dyDescent="0.2"/>
    <row r="14975" s="197" customFormat="1" ht="12.75" x14ac:dyDescent="0.2"/>
    <row r="14976" s="197" customFormat="1" ht="12.75" x14ac:dyDescent="0.2"/>
    <row r="14977" s="197" customFormat="1" ht="12.75" x14ac:dyDescent="0.2"/>
    <row r="14978" s="197" customFormat="1" ht="12.75" x14ac:dyDescent="0.2"/>
    <row r="14979" s="197" customFormat="1" ht="12.75" x14ac:dyDescent="0.2"/>
    <row r="14980" s="197" customFormat="1" ht="12.75" x14ac:dyDescent="0.2"/>
    <row r="14981" s="197" customFormat="1" ht="12.75" x14ac:dyDescent="0.2"/>
    <row r="14982" s="197" customFormat="1" ht="12.75" x14ac:dyDescent="0.2"/>
    <row r="14983" s="197" customFormat="1" ht="12.75" x14ac:dyDescent="0.2"/>
    <row r="14984" s="197" customFormat="1" ht="12.75" x14ac:dyDescent="0.2"/>
    <row r="14985" s="197" customFormat="1" ht="12.75" x14ac:dyDescent="0.2"/>
    <row r="14986" s="197" customFormat="1" ht="12.75" x14ac:dyDescent="0.2"/>
    <row r="14987" s="197" customFormat="1" ht="12.75" x14ac:dyDescent="0.2"/>
    <row r="14988" s="197" customFormat="1" ht="12.75" x14ac:dyDescent="0.2"/>
    <row r="14989" s="197" customFormat="1" ht="12.75" x14ac:dyDescent="0.2"/>
    <row r="14990" s="197" customFormat="1" ht="12.75" x14ac:dyDescent="0.2"/>
    <row r="14991" s="197" customFormat="1" ht="12.75" x14ac:dyDescent="0.2"/>
    <row r="14992" s="197" customFormat="1" ht="12.75" x14ac:dyDescent="0.2"/>
    <row r="14993" s="197" customFormat="1" ht="12.75" x14ac:dyDescent="0.2"/>
    <row r="14994" s="197" customFormat="1" ht="12.75" x14ac:dyDescent="0.2"/>
    <row r="14995" s="197" customFormat="1" ht="12.75" x14ac:dyDescent="0.2"/>
    <row r="14996" s="197" customFormat="1" ht="12.75" x14ac:dyDescent="0.2"/>
    <row r="14997" s="197" customFormat="1" ht="12.75" x14ac:dyDescent="0.2"/>
    <row r="14998" s="197" customFormat="1" ht="12.75" x14ac:dyDescent="0.2"/>
    <row r="14999" s="197" customFormat="1" ht="12.75" x14ac:dyDescent="0.2"/>
    <row r="15000" s="197" customFormat="1" ht="12.75" x14ac:dyDescent="0.2"/>
    <row r="15001" s="197" customFormat="1" ht="12.75" x14ac:dyDescent="0.2"/>
    <row r="15002" s="197" customFormat="1" ht="12.75" x14ac:dyDescent="0.2"/>
    <row r="15003" s="197" customFormat="1" ht="12.75" x14ac:dyDescent="0.2"/>
    <row r="15004" s="197" customFormat="1" ht="12.75" x14ac:dyDescent="0.2"/>
    <row r="15005" s="197" customFormat="1" ht="12.75" x14ac:dyDescent="0.2"/>
    <row r="15006" s="197" customFormat="1" ht="12.75" x14ac:dyDescent="0.2"/>
    <row r="15007" s="197" customFormat="1" ht="12.75" x14ac:dyDescent="0.2"/>
    <row r="15008" s="197" customFormat="1" ht="12.75" x14ac:dyDescent="0.2"/>
    <row r="15009" s="197" customFormat="1" ht="12.75" x14ac:dyDescent="0.2"/>
    <row r="15010" s="197" customFormat="1" ht="12.75" x14ac:dyDescent="0.2"/>
    <row r="15011" s="197" customFormat="1" ht="12.75" x14ac:dyDescent="0.2"/>
    <row r="15012" s="197" customFormat="1" ht="12.75" x14ac:dyDescent="0.2"/>
    <row r="15013" s="197" customFormat="1" ht="12.75" x14ac:dyDescent="0.2"/>
    <row r="15014" s="197" customFormat="1" ht="12.75" x14ac:dyDescent="0.2"/>
    <row r="15015" s="197" customFormat="1" ht="12.75" x14ac:dyDescent="0.2"/>
    <row r="15016" s="197" customFormat="1" ht="12.75" x14ac:dyDescent="0.2"/>
    <row r="15017" s="197" customFormat="1" ht="12.75" x14ac:dyDescent="0.2"/>
    <row r="15018" s="197" customFormat="1" ht="12.75" x14ac:dyDescent="0.2"/>
    <row r="15019" s="197" customFormat="1" ht="12.75" x14ac:dyDescent="0.2"/>
    <row r="15020" s="197" customFormat="1" ht="12.75" x14ac:dyDescent="0.2"/>
    <row r="15021" s="197" customFormat="1" ht="12.75" x14ac:dyDescent="0.2"/>
    <row r="15022" s="197" customFormat="1" ht="12.75" x14ac:dyDescent="0.2"/>
    <row r="15023" s="197" customFormat="1" ht="12.75" x14ac:dyDescent="0.2"/>
    <row r="15024" s="197" customFormat="1" ht="12.75" x14ac:dyDescent="0.2"/>
    <row r="15025" s="197" customFormat="1" ht="12.75" x14ac:dyDescent="0.2"/>
    <row r="15026" s="197" customFormat="1" ht="12.75" x14ac:dyDescent="0.2"/>
    <row r="15027" s="197" customFormat="1" ht="12.75" x14ac:dyDescent="0.2"/>
    <row r="15028" s="197" customFormat="1" ht="12.75" x14ac:dyDescent="0.2"/>
    <row r="15029" s="197" customFormat="1" ht="12.75" x14ac:dyDescent="0.2"/>
    <row r="15030" s="197" customFormat="1" ht="12.75" x14ac:dyDescent="0.2"/>
    <row r="15031" s="197" customFormat="1" ht="12.75" x14ac:dyDescent="0.2"/>
    <row r="15032" s="197" customFormat="1" ht="12.75" x14ac:dyDescent="0.2"/>
    <row r="15033" s="197" customFormat="1" ht="12.75" x14ac:dyDescent="0.2"/>
    <row r="15034" s="197" customFormat="1" ht="12.75" x14ac:dyDescent="0.2"/>
    <row r="15035" s="197" customFormat="1" ht="12.75" x14ac:dyDescent="0.2"/>
    <row r="15036" s="197" customFormat="1" ht="12.75" x14ac:dyDescent="0.2"/>
    <row r="15037" s="197" customFormat="1" ht="12.75" x14ac:dyDescent="0.2"/>
    <row r="15038" s="197" customFormat="1" ht="12.75" x14ac:dyDescent="0.2"/>
    <row r="15039" s="197" customFormat="1" ht="12.75" x14ac:dyDescent="0.2"/>
    <row r="15040" s="197" customFormat="1" ht="12.75" x14ac:dyDescent="0.2"/>
    <row r="15041" s="197" customFormat="1" ht="12.75" x14ac:dyDescent="0.2"/>
    <row r="15042" s="197" customFormat="1" ht="12.75" x14ac:dyDescent="0.2"/>
    <row r="15043" s="197" customFormat="1" ht="12.75" x14ac:dyDescent="0.2"/>
    <row r="15044" s="197" customFormat="1" ht="12.75" x14ac:dyDescent="0.2"/>
    <row r="15045" s="197" customFormat="1" ht="12.75" x14ac:dyDescent="0.2"/>
    <row r="15046" s="197" customFormat="1" ht="12.75" x14ac:dyDescent="0.2"/>
    <row r="15047" s="197" customFormat="1" ht="12.75" x14ac:dyDescent="0.2"/>
    <row r="15048" s="197" customFormat="1" ht="12.75" x14ac:dyDescent="0.2"/>
    <row r="15049" s="197" customFormat="1" ht="12.75" x14ac:dyDescent="0.2"/>
    <row r="15050" s="197" customFormat="1" ht="12.75" x14ac:dyDescent="0.2"/>
    <row r="15051" s="197" customFormat="1" ht="12.75" x14ac:dyDescent="0.2"/>
    <row r="15052" s="197" customFormat="1" ht="12.75" x14ac:dyDescent="0.2"/>
    <row r="15053" s="197" customFormat="1" ht="12.75" x14ac:dyDescent="0.2"/>
    <row r="15054" s="197" customFormat="1" ht="12.75" x14ac:dyDescent="0.2"/>
    <row r="15055" s="197" customFormat="1" ht="12.75" x14ac:dyDescent="0.2"/>
    <row r="15056" s="197" customFormat="1" ht="12.75" x14ac:dyDescent="0.2"/>
    <row r="15057" s="197" customFormat="1" ht="12.75" x14ac:dyDescent="0.2"/>
    <row r="15058" s="197" customFormat="1" ht="12.75" x14ac:dyDescent="0.2"/>
    <row r="15059" s="197" customFormat="1" ht="12.75" x14ac:dyDescent="0.2"/>
    <row r="15060" s="197" customFormat="1" ht="12.75" x14ac:dyDescent="0.2"/>
    <row r="15061" s="197" customFormat="1" ht="12.75" x14ac:dyDescent="0.2"/>
    <row r="15062" s="197" customFormat="1" ht="12.75" x14ac:dyDescent="0.2"/>
    <row r="15063" s="197" customFormat="1" ht="12.75" x14ac:dyDescent="0.2"/>
    <row r="15064" s="197" customFormat="1" ht="12.75" x14ac:dyDescent="0.2"/>
    <row r="15065" s="197" customFormat="1" ht="12.75" x14ac:dyDescent="0.2"/>
    <row r="15066" s="197" customFormat="1" ht="12.75" x14ac:dyDescent="0.2"/>
    <row r="15067" s="197" customFormat="1" ht="12.75" x14ac:dyDescent="0.2"/>
    <row r="15068" s="197" customFormat="1" ht="12.75" x14ac:dyDescent="0.2"/>
    <row r="15069" s="197" customFormat="1" ht="12.75" x14ac:dyDescent="0.2"/>
    <row r="15070" s="197" customFormat="1" ht="12.75" x14ac:dyDescent="0.2"/>
    <row r="15071" s="197" customFormat="1" ht="12.75" x14ac:dyDescent="0.2"/>
    <row r="15072" s="197" customFormat="1" ht="12.75" x14ac:dyDescent="0.2"/>
    <row r="15073" s="197" customFormat="1" ht="12.75" x14ac:dyDescent="0.2"/>
    <row r="15074" s="197" customFormat="1" ht="12.75" x14ac:dyDescent="0.2"/>
    <row r="15075" s="197" customFormat="1" ht="12.75" x14ac:dyDescent="0.2"/>
    <row r="15076" s="197" customFormat="1" ht="12.75" x14ac:dyDescent="0.2"/>
    <row r="15077" s="197" customFormat="1" ht="12.75" x14ac:dyDescent="0.2"/>
    <row r="15078" s="197" customFormat="1" ht="12.75" x14ac:dyDescent="0.2"/>
    <row r="15079" s="197" customFormat="1" ht="12.75" x14ac:dyDescent="0.2"/>
    <row r="15080" s="197" customFormat="1" ht="12.75" x14ac:dyDescent="0.2"/>
    <row r="15081" s="197" customFormat="1" ht="12.75" x14ac:dyDescent="0.2"/>
    <row r="15082" s="197" customFormat="1" ht="12.75" x14ac:dyDescent="0.2"/>
    <row r="15083" s="197" customFormat="1" ht="12.75" x14ac:dyDescent="0.2"/>
    <row r="15084" s="197" customFormat="1" ht="12.75" x14ac:dyDescent="0.2"/>
    <row r="15085" s="197" customFormat="1" ht="12.75" x14ac:dyDescent="0.2"/>
    <row r="15086" s="197" customFormat="1" ht="12.75" x14ac:dyDescent="0.2"/>
    <row r="15087" s="197" customFormat="1" ht="12.75" x14ac:dyDescent="0.2"/>
    <row r="15088" s="197" customFormat="1" ht="12.75" x14ac:dyDescent="0.2"/>
    <row r="15089" s="197" customFormat="1" ht="12.75" x14ac:dyDescent="0.2"/>
    <row r="15090" s="197" customFormat="1" ht="12.75" x14ac:dyDescent="0.2"/>
    <row r="15091" s="197" customFormat="1" ht="12.75" x14ac:dyDescent="0.2"/>
    <row r="15092" s="197" customFormat="1" ht="12.75" x14ac:dyDescent="0.2"/>
    <row r="15093" s="197" customFormat="1" ht="12.75" x14ac:dyDescent="0.2"/>
    <row r="15094" s="197" customFormat="1" ht="12.75" x14ac:dyDescent="0.2"/>
    <row r="15095" s="197" customFormat="1" ht="12.75" x14ac:dyDescent="0.2"/>
    <row r="15096" s="197" customFormat="1" ht="12.75" x14ac:dyDescent="0.2"/>
    <row r="15097" s="197" customFormat="1" ht="12.75" x14ac:dyDescent="0.2"/>
    <row r="15098" s="197" customFormat="1" ht="12.75" x14ac:dyDescent="0.2"/>
    <row r="15099" s="197" customFormat="1" ht="12.75" x14ac:dyDescent="0.2"/>
    <row r="15100" s="197" customFormat="1" ht="12.75" x14ac:dyDescent="0.2"/>
    <row r="15101" s="197" customFormat="1" ht="12.75" x14ac:dyDescent="0.2"/>
    <row r="15102" s="197" customFormat="1" ht="12.75" x14ac:dyDescent="0.2"/>
    <row r="15103" s="197" customFormat="1" ht="12.75" x14ac:dyDescent="0.2"/>
    <row r="15104" s="197" customFormat="1" ht="12.75" x14ac:dyDescent="0.2"/>
    <row r="15105" s="197" customFormat="1" ht="12.75" x14ac:dyDescent="0.2"/>
    <row r="15106" s="197" customFormat="1" ht="12.75" x14ac:dyDescent="0.2"/>
    <row r="15107" s="197" customFormat="1" ht="12.75" x14ac:dyDescent="0.2"/>
    <row r="15108" s="197" customFormat="1" ht="12.75" x14ac:dyDescent="0.2"/>
    <row r="15109" s="197" customFormat="1" ht="12.75" x14ac:dyDescent="0.2"/>
    <row r="15110" s="197" customFormat="1" ht="12.75" x14ac:dyDescent="0.2"/>
    <row r="15111" s="197" customFormat="1" ht="12.75" x14ac:dyDescent="0.2"/>
    <row r="15112" s="197" customFormat="1" ht="12.75" x14ac:dyDescent="0.2"/>
    <row r="15113" s="197" customFormat="1" ht="12.75" x14ac:dyDescent="0.2"/>
    <row r="15114" s="197" customFormat="1" ht="12.75" x14ac:dyDescent="0.2"/>
    <row r="15115" s="197" customFormat="1" ht="12.75" x14ac:dyDescent="0.2"/>
    <row r="15116" s="197" customFormat="1" ht="12.75" x14ac:dyDescent="0.2"/>
    <row r="15117" s="197" customFormat="1" ht="12.75" x14ac:dyDescent="0.2"/>
    <row r="15118" s="197" customFormat="1" ht="12.75" x14ac:dyDescent="0.2"/>
    <row r="15119" s="197" customFormat="1" ht="12.75" x14ac:dyDescent="0.2"/>
    <row r="15120" s="197" customFormat="1" ht="12.75" x14ac:dyDescent="0.2"/>
    <row r="15121" s="197" customFormat="1" ht="12.75" x14ac:dyDescent="0.2"/>
    <row r="15122" s="197" customFormat="1" ht="12.75" x14ac:dyDescent="0.2"/>
    <row r="15123" s="197" customFormat="1" ht="12.75" x14ac:dyDescent="0.2"/>
    <row r="15124" s="197" customFormat="1" ht="12.75" x14ac:dyDescent="0.2"/>
    <row r="15125" s="197" customFormat="1" ht="12.75" x14ac:dyDescent="0.2"/>
    <row r="15126" s="197" customFormat="1" ht="12.75" x14ac:dyDescent="0.2"/>
    <row r="15127" s="197" customFormat="1" ht="12.75" x14ac:dyDescent="0.2"/>
    <row r="15128" s="197" customFormat="1" ht="12.75" x14ac:dyDescent="0.2"/>
    <row r="15129" s="197" customFormat="1" ht="12.75" x14ac:dyDescent="0.2"/>
    <row r="15130" s="197" customFormat="1" ht="12.75" x14ac:dyDescent="0.2"/>
    <row r="15131" s="197" customFormat="1" ht="12.75" x14ac:dyDescent="0.2"/>
    <row r="15132" s="197" customFormat="1" ht="12.75" x14ac:dyDescent="0.2"/>
    <row r="15133" s="197" customFormat="1" ht="12.75" x14ac:dyDescent="0.2"/>
    <row r="15134" s="197" customFormat="1" ht="12.75" x14ac:dyDescent="0.2"/>
    <row r="15135" s="197" customFormat="1" ht="12.75" x14ac:dyDescent="0.2"/>
    <row r="15136" s="197" customFormat="1" ht="12.75" x14ac:dyDescent="0.2"/>
    <row r="15137" s="197" customFormat="1" ht="12.75" x14ac:dyDescent="0.2"/>
    <row r="15138" s="197" customFormat="1" ht="12.75" x14ac:dyDescent="0.2"/>
    <row r="15139" s="197" customFormat="1" ht="12.75" x14ac:dyDescent="0.2"/>
    <row r="15140" s="197" customFormat="1" ht="12.75" x14ac:dyDescent="0.2"/>
    <row r="15141" s="197" customFormat="1" ht="12.75" x14ac:dyDescent="0.2"/>
    <row r="15142" s="197" customFormat="1" ht="12.75" x14ac:dyDescent="0.2"/>
    <row r="15143" s="197" customFormat="1" ht="12.75" x14ac:dyDescent="0.2"/>
    <row r="15144" s="197" customFormat="1" ht="12.75" x14ac:dyDescent="0.2"/>
    <row r="15145" s="197" customFormat="1" ht="12.75" x14ac:dyDescent="0.2"/>
    <row r="15146" s="197" customFormat="1" ht="12.75" x14ac:dyDescent="0.2"/>
    <row r="15147" s="197" customFormat="1" ht="12.75" x14ac:dyDescent="0.2"/>
    <row r="15148" s="197" customFormat="1" ht="12.75" x14ac:dyDescent="0.2"/>
    <row r="15149" s="197" customFormat="1" ht="12.75" x14ac:dyDescent="0.2"/>
    <row r="15150" s="197" customFormat="1" ht="12.75" x14ac:dyDescent="0.2"/>
    <row r="15151" s="197" customFormat="1" ht="12.75" x14ac:dyDescent="0.2"/>
    <row r="15152" s="197" customFormat="1" ht="12.75" x14ac:dyDescent="0.2"/>
    <row r="15153" s="197" customFormat="1" ht="12.75" x14ac:dyDescent="0.2"/>
    <row r="15154" s="197" customFormat="1" ht="12.75" x14ac:dyDescent="0.2"/>
    <row r="15155" s="197" customFormat="1" ht="12.75" x14ac:dyDescent="0.2"/>
    <row r="15156" s="197" customFormat="1" ht="12.75" x14ac:dyDescent="0.2"/>
    <row r="15157" s="197" customFormat="1" ht="12.75" x14ac:dyDescent="0.2"/>
    <row r="15158" s="197" customFormat="1" ht="12.75" x14ac:dyDescent="0.2"/>
    <row r="15159" s="197" customFormat="1" ht="12.75" x14ac:dyDescent="0.2"/>
    <row r="15160" s="197" customFormat="1" ht="12.75" x14ac:dyDescent="0.2"/>
    <row r="15161" s="197" customFormat="1" ht="12.75" x14ac:dyDescent="0.2"/>
    <row r="15162" s="197" customFormat="1" ht="12.75" x14ac:dyDescent="0.2"/>
    <row r="15163" s="197" customFormat="1" ht="12.75" x14ac:dyDescent="0.2"/>
    <row r="15164" s="197" customFormat="1" ht="12.75" x14ac:dyDescent="0.2"/>
    <row r="15165" s="197" customFormat="1" ht="12.75" x14ac:dyDescent="0.2"/>
    <row r="15166" s="197" customFormat="1" ht="12.75" x14ac:dyDescent="0.2"/>
    <row r="15167" s="197" customFormat="1" ht="12.75" x14ac:dyDescent="0.2"/>
    <row r="15168" s="197" customFormat="1" ht="12.75" x14ac:dyDescent="0.2"/>
    <row r="15169" s="197" customFormat="1" ht="12.75" x14ac:dyDescent="0.2"/>
    <row r="15170" s="197" customFormat="1" ht="12.75" x14ac:dyDescent="0.2"/>
    <row r="15171" s="197" customFormat="1" ht="12.75" x14ac:dyDescent="0.2"/>
    <row r="15172" s="197" customFormat="1" ht="12.75" x14ac:dyDescent="0.2"/>
    <row r="15173" s="197" customFormat="1" ht="12.75" x14ac:dyDescent="0.2"/>
    <row r="15174" s="197" customFormat="1" ht="12.75" x14ac:dyDescent="0.2"/>
    <row r="15175" s="197" customFormat="1" ht="12.75" x14ac:dyDescent="0.2"/>
    <row r="15176" s="197" customFormat="1" ht="12.75" x14ac:dyDescent="0.2"/>
    <row r="15177" s="197" customFormat="1" ht="12.75" x14ac:dyDescent="0.2"/>
    <row r="15178" s="197" customFormat="1" ht="12.75" x14ac:dyDescent="0.2"/>
    <row r="15179" s="197" customFormat="1" ht="12.75" x14ac:dyDescent="0.2"/>
    <row r="15180" s="197" customFormat="1" ht="12.75" x14ac:dyDescent="0.2"/>
    <row r="15181" s="197" customFormat="1" ht="12.75" x14ac:dyDescent="0.2"/>
    <row r="15182" s="197" customFormat="1" ht="12.75" x14ac:dyDescent="0.2"/>
    <row r="15183" s="197" customFormat="1" ht="12.75" x14ac:dyDescent="0.2"/>
    <row r="15184" s="197" customFormat="1" ht="12.75" x14ac:dyDescent="0.2"/>
    <row r="15185" s="197" customFormat="1" ht="12.75" x14ac:dyDescent="0.2"/>
    <row r="15186" s="197" customFormat="1" ht="12.75" x14ac:dyDescent="0.2"/>
    <row r="15187" s="197" customFormat="1" ht="12.75" x14ac:dyDescent="0.2"/>
    <row r="15188" s="197" customFormat="1" ht="12.75" x14ac:dyDescent="0.2"/>
    <row r="15189" s="197" customFormat="1" ht="12.75" x14ac:dyDescent="0.2"/>
    <row r="15190" s="197" customFormat="1" ht="12.75" x14ac:dyDescent="0.2"/>
    <row r="15191" s="197" customFormat="1" ht="12.75" x14ac:dyDescent="0.2"/>
    <row r="15192" s="197" customFormat="1" ht="12.75" x14ac:dyDescent="0.2"/>
    <row r="15193" s="197" customFormat="1" ht="12.75" x14ac:dyDescent="0.2"/>
    <row r="15194" s="197" customFormat="1" ht="12.75" x14ac:dyDescent="0.2"/>
    <row r="15195" s="197" customFormat="1" ht="12.75" x14ac:dyDescent="0.2"/>
    <row r="15196" s="197" customFormat="1" ht="12.75" x14ac:dyDescent="0.2"/>
    <row r="15197" s="197" customFormat="1" ht="12.75" x14ac:dyDescent="0.2"/>
    <row r="15198" s="197" customFormat="1" ht="12.75" x14ac:dyDescent="0.2"/>
    <row r="15199" s="197" customFormat="1" ht="12.75" x14ac:dyDescent="0.2"/>
    <row r="15200" s="197" customFormat="1" ht="12.75" x14ac:dyDescent="0.2"/>
    <row r="15201" s="197" customFormat="1" ht="12.75" x14ac:dyDescent="0.2"/>
    <row r="15202" s="197" customFormat="1" ht="12.75" x14ac:dyDescent="0.2"/>
    <row r="15203" s="197" customFormat="1" ht="12.75" x14ac:dyDescent="0.2"/>
    <row r="15204" s="197" customFormat="1" ht="12.75" x14ac:dyDescent="0.2"/>
    <row r="15205" s="197" customFormat="1" ht="12.75" x14ac:dyDescent="0.2"/>
    <row r="15206" s="197" customFormat="1" ht="12.75" x14ac:dyDescent="0.2"/>
    <row r="15207" s="197" customFormat="1" ht="12.75" x14ac:dyDescent="0.2"/>
    <row r="15208" s="197" customFormat="1" ht="12.75" x14ac:dyDescent="0.2"/>
    <row r="15209" s="197" customFormat="1" ht="12.75" x14ac:dyDescent="0.2"/>
    <row r="15210" s="197" customFormat="1" ht="12.75" x14ac:dyDescent="0.2"/>
    <row r="15211" s="197" customFormat="1" ht="12.75" x14ac:dyDescent="0.2"/>
    <row r="15212" s="197" customFormat="1" ht="12.75" x14ac:dyDescent="0.2"/>
    <row r="15213" s="197" customFormat="1" ht="12.75" x14ac:dyDescent="0.2"/>
    <row r="15214" s="197" customFormat="1" ht="12.75" x14ac:dyDescent="0.2"/>
    <row r="15215" s="197" customFormat="1" ht="12.75" x14ac:dyDescent="0.2"/>
    <row r="15216" s="197" customFormat="1" ht="12.75" x14ac:dyDescent="0.2"/>
    <row r="15217" s="197" customFormat="1" ht="12.75" x14ac:dyDescent="0.2"/>
    <row r="15218" s="197" customFormat="1" ht="12.75" x14ac:dyDescent="0.2"/>
    <row r="15219" s="197" customFormat="1" ht="12.75" x14ac:dyDescent="0.2"/>
    <row r="15220" s="197" customFormat="1" ht="12.75" x14ac:dyDescent="0.2"/>
    <row r="15221" s="197" customFormat="1" ht="12.75" x14ac:dyDescent="0.2"/>
    <row r="15222" s="197" customFormat="1" ht="12.75" x14ac:dyDescent="0.2"/>
    <row r="15223" s="197" customFormat="1" ht="12.75" x14ac:dyDescent="0.2"/>
    <row r="15224" s="197" customFormat="1" ht="12.75" x14ac:dyDescent="0.2"/>
    <row r="15225" s="197" customFormat="1" ht="12.75" x14ac:dyDescent="0.2"/>
    <row r="15226" s="197" customFormat="1" ht="12.75" x14ac:dyDescent="0.2"/>
    <row r="15227" s="197" customFormat="1" ht="12.75" x14ac:dyDescent="0.2"/>
    <row r="15228" s="197" customFormat="1" ht="12.75" x14ac:dyDescent="0.2"/>
    <row r="15229" s="197" customFormat="1" ht="12.75" x14ac:dyDescent="0.2"/>
    <row r="15230" s="197" customFormat="1" ht="12.75" x14ac:dyDescent="0.2"/>
    <row r="15231" s="197" customFormat="1" ht="12.75" x14ac:dyDescent="0.2"/>
    <row r="15232" s="197" customFormat="1" ht="12.75" x14ac:dyDescent="0.2"/>
    <row r="15233" s="197" customFormat="1" ht="12.75" x14ac:dyDescent="0.2"/>
    <row r="15234" s="197" customFormat="1" ht="12.75" x14ac:dyDescent="0.2"/>
    <row r="15235" s="197" customFormat="1" ht="12.75" x14ac:dyDescent="0.2"/>
    <row r="15236" s="197" customFormat="1" ht="12.75" x14ac:dyDescent="0.2"/>
    <row r="15237" s="197" customFormat="1" ht="12.75" x14ac:dyDescent="0.2"/>
    <row r="15238" s="197" customFormat="1" ht="12.75" x14ac:dyDescent="0.2"/>
    <row r="15239" s="197" customFormat="1" ht="12.75" x14ac:dyDescent="0.2"/>
    <row r="15240" s="197" customFormat="1" ht="12.75" x14ac:dyDescent="0.2"/>
    <row r="15241" s="197" customFormat="1" ht="12.75" x14ac:dyDescent="0.2"/>
    <row r="15242" s="197" customFormat="1" ht="12.75" x14ac:dyDescent="0.2"/>
    <row r="15243" s="197" customFormat="1" ht="12.75" x14ac:dyDescent="0.2"/>
    <row r="15244" s="197" customFormat="1" ht="12.75" x14ac:dyDescent="0.2"/>
    <row r="15245" s="197" customFormat="1" ht="12.75" x14ac:dyDescent="0.2"/>
    <row r="15246" s="197" customFormat="1" ht="12.75" x14ac:dyDescent="0.2"/>
    <row r="15247" s="197" customFormat="1" ht="12.75" x14ac:dyDescent="0.2"/>
    <row r="15248" s="197" customFormat="1" ht="12.75" x14ac:dyDescent="0.2"/>
    <row r="15249" s="197" customFormat="1" ht="12.75" x14ac:dyDescent="0.2"/>
    <row r="15250" s="197" customFormat="1" ht="12.75" x14ac:dyDescent="0.2"/>
    <row r="15251" s="197" customFormat="1" ht="12.75" x14ac:dyDescent="0.2"/>
    <row r="15252" s="197" customFormat="1" ht="12.75" x14ac:dyDescent="0.2"/>
    <row r="15253" s="197" customFormat="1" ht="12.75" x14ac:dyDescent="0.2"/>
    <row r="15254" s="197" customFormat="1" ht="12.75" x14ac:dyDescent="0.2"/>
    <row r="15255" s="197" customFormat="1" ht="12.75" x14ac:dyDescent="0.2"/>
    <row r="15256" s="197" customFormat="1" ht="12.75" x14ac:dyDescent="0.2"/>
    <row r="15257" s="197" customFormat="1" ht="12.75" x14ac:dyDescent="0.2"/>
    <row r="15258" s="197" customFormat="1" ht="12.75" x14ac:dyDescent="0.2"/>
    <row r="15259" s="197" customFormat="1" ht="12.75" x14ac:dyDescent="0.2"/>
    <row r="15260" s="197" customFormat="1" ht="12.75" x14ac:dyDescent="0.2"/>
    <row r="15261" s="197" customFormat="1" ht="12.75" x14ac:dyDescent="0.2"/>
    <row r="15262" s="197" customFormat="1" ht="12.75" x14ac:dyDescent="0.2"/>
    <row r="15263" s="197" customFormat="1" ht="12.75" x14ac:dyDescent="0.2"/>
    <row r="15264" s="197" customFormat="1" ht="12.75" x14ac:dyDescent="0.2"/>
    <row r="15265" s="197" customFormat="1" ht="12.75" x14ac:dyDescent="0.2"/>
    <row r="15266" s="197" customFormat="1" ht="12.75" x14ac:dyDescent="0.2"/>
    <row r="15267" s="197" customFormat="1" ht="12.75" x14ac:dyDescent="0.2"/>
    <row r="15268" s="197" customFormat="1" ht="12.75" x14ac:dyDescent="0.2"/>
    <row r="15269" s="197" customFormat="1" ht="12.75" x14ac:dyDescent="0.2"/>
    <row r="15270" s="197" customFormat="1" ht="12.75" x14ac:dyDescent="0.2"/>
    <row r="15271" s="197" customFormat="1" ht="12.75" x14ac:dyDescent="0.2"/>
    <row r="15272" s="197" customFormat="1" ht="12.75" x14ac:dyDescent="0.2"/>
    <row r="15273" s="197" customFormat="1" ht="12.75" x14ac:dyDescent="0.2"/>
    <row r="15274" s="197" customFormat="1" ht="12.75" x14ac:dyDescent="0.2"/>
    <row r="15275" s="197" customFormat="1" ht="12.75" x14ac:dyDescent="0.2"/>
    <row r="15276" s="197" customFormat="1" ht="12.75" x14ac:dyDescent="0.2"/>
    <row r="15277" s="197" customFormat="1" ht="12.75" x14ac:dyDescent="0.2"/>
    <row r="15278" s="197" customFormat="1" ht="12.75" x14ac:dyDescent="0.2"/>
    <row r="15279" s="197" customFormat="1" ht="12.75" x14ac:dyDescent="0.2"/>
    <row r="15280" s="197" customFormat="1" ht="12.75" x14ac:dyDescent="0.2"/>
    <row r="15281" s="197" customFormat="1" ht="12.75" x14ac:dyDescent="0.2"/>
    <row r="15282" s="197" customFormat="1" ht="12.75" x14ac:dyDescent="0.2"/>
    <row r="15283" s="197" customFormat="1" ht="12.75" x14ac:dyDescent="0.2"/>
    <row r="15284" s="197" customFormat="1" ht="12.75" x14ac:dyDescent="0.2"/>
    <row r="15285" s="197" customFormat="1" ht="12.75" x14ac:dyDescent="0.2"/>
    <row r="15286" s="197" customFormat="1" ht="12.75" x14ac:dyDescent="0.2"/>
    <row r="15287" s="197" customFormat="1" ht="12.75" x14ac:dyDescent="0.2"/>
    <row r="15288" s="197" customFormat="1" ht="12.75" x14ac:dyDescent="0.2"/>
    <row r="15289" s="197" customFormat="1" ht="12.75" x14ac:dyDescent="0.2"/>
    <row r="15290" s="197" customFormat="1" ht="12.75" x14ac:dyDescent="0.2"/>
    <row r="15291" s="197" customFormat="1" ht="12.75" x14ac:dyDescent="0.2"/>
    <row r="15292" s="197" customFormat="1" ht="12.75" x14ac:dyDescent="0.2"/>
    <row r="15293" s="197" customFormat="1" ht="12.75" x14ac:dyDescent="0.2"/>
    <row r="15294" s="197" customFormat="1" ht="12.75" x14ac:dyDescent="0.2"/>
    <row r="15295" s="197" customFormat="1" ht="12.75" x14ac:dyDescent="0.2"/>
    <row r="15296" s="197" customFormat="1" ht="12.75" x14ac:dyDescent="0.2"/>
    <row r="15297" s="197" customFormat="1" ht="12.75" x14ac:dyDescent="0.2"/>
    <row r="15298" s="197" customFormat="1" ht="12.75" x14ac:dyDescent="0.2"/>
    <row r="15299" s="197" customFormat="1" ht="12.75" x14ac:dyDescent="0.2"/>
    <row r="15300" s="197" customFormat="1" ht="12.75" x14ac:dyDescent="0.2"/>
    <row r="15301" s="197" customFormat="1" ht="12.75" x14ac:dyDescent="0.2"/>
    <row r="15302" s="197" customFormat="1" ht="12.75" x14ac:dyDescent="0.2"/>
    <row r="15303" s="197" customFormat="1" ht="12.75" x14ac:dyDescent="0.2"/>
    <row r="15304" s="197" customFormat="1" ht="12.75" x14ac:dyDescent="0.2"/>
    <row r="15305" s="197" customFormat="1" ht="12.75" x14ac:dyDescent="0.2"/>
    <row r="15306" s="197" customFormat="1" ht="12.75" x14ac:dyDescent="0.2"/>
    <row r="15307" s="197" customFormat="1" ht="12.75" x14ac:dyDescent="0.2"/>
    <row r="15308" s="197" customFormat="1" ht="12.75" x14ac:dyDescent="0.2"/>
    <row r="15309" s="197" customFormat="1" ht="12.75" x14ac:dyDescent="0.2"/>
    <row r="15310" s="197" customFormat="1" ht="12.75" x14ac:dyDescent="0.2"/>
    <row r="15311" s="197" customFormat="1" ht="12.75" x14ac:dyDescent="0.2"/>
    <row r="15312" s="197" customFormat="1" ht="12.75" x14ac:dyDescent="0.2"/>
    <row r="15313" s="197" customFormat="1" ht="12.75" x14ac:dyDescent="0.2"/>
    <row r="15314" s="197" customFormat="1" ht="12.75" x14ac:dyDescent="0.2"/>
    <row r="15315" s="197" customFormat="1" ht="12.75" x14ac:dyDescent="0.2"/>
    <row r="15316" s="197" customFormat="1" ht="12.75" x14ac:dyDescent="0.2"/>
    <row r="15317" s="197" customFormat="1" ht="12.75" x14ac:dyDescent="0.2"/>
    <row r="15318" s="197" customFormat="1" ht="12.75" x14ac:dyDescent="0.2"/>
    <row r="15319" s="197" customFormat="1" ht="12.75" x14ac:dyDescent="0.2"/>
    <row r="15320" s="197" customFormat="1" ht="12.75" x14ac:dyDescent="0.2"/>
    <row r="15321" s="197" customFormat="1" ht="12.75" x14ac:dyDescent="0.2"/>
    <row r="15322" s="197" customFormat="1" ht="12.75" x14ac:dyDescent="0.2"/>
    <row r="15323" s="197" customFormat="1" ht="12.75" x14ac:dyDescent="0.2"/>
    <row r="15324" s="197" customFormat="1" ht="12.75" x14ac:dyDescent="0.2"/>
    <row r="15325" s="197" customFormat="1" ht="12.75" x14ac:dyDescent="0.2"/>
    <row r="15326" s="197" customFormat="1" ht="12.75" x14ac:dyDescent="0.2"/>
    <row r="15327" s="197" customFormat="1" ht="12.75" x14ac:dyDescent="0.2"/>
    <row r="15328" s="197" customFormat="1" ht="12.75" x14ac:dyDescent="0.2"/>
    <row r="15329" s="197" customFormat="1" ht="12.75" x14ac:dyDescent="0.2"/>
    <row r="15330" s="197" customFormat="1" ht="12.75" x14ac:dyDescent="0.2"/>
    <row r="15331" s="197" customFormat="1" ht="12.75" x14ac:dyDescent="0.2"/>
    <row r="15332" s="197" customFormat="1" ht="12.75" x14ac:dyDescent="0.2"/>
    <row r="15333" s="197" customFormat="1" ht="12.75" x14ac:dyDescent="0.2"/>
    <row r="15334" s="197" customFormat="1" ht="12.75" x14ac:dyDescent="0.2"/>
    <row r="15335" s="197" customFormat="1" ht="12.75" x14ac:dyDescent="0.2"/>
    <row r="15336" s="197" customFormat="1" ht="12.75" x14ac:dyDescent="0.2"/>
    <row r="15337" s="197" customFormat="1" ht="12.75" x14ac:dyDescent="0.2"/>
    <row r="15338" s="197" customFormat="1" ht="12.75" x14ac:dyDescent="0.2"/>
    <row r="15339" s="197" customFormat="1" ht="12.75" x14ac:dyDescent="0.2"/>
    <row r="15340" s="197" customFormat="1" ht="12.75" x14ac:dyDescent="0.2"/>
    <row r="15341" s="197" customFormat="1" ht="12.75" x14ac:dyDescent="0.2"/>
    <row r="15342" s="197" customFormat="1" ht="12.75" x14ac:dyDescent="0.2"/>
    <row r="15343" s="197" customFormat="1" ht="12.75" x14ac:dyDescent="0.2"/>
    <row r="15344" s="197" customFormat="1" ht="12.75" x14ac:dyDescent="0.2"/>
    <row r="15345" s="197" customFormat="1" ht="12.75" x14ac:dyDescent="0.2"/>
    <row r="15346" s="197" customFormat="1" ht="12.75" x14ac:dyDescent="0.2"/>
    <row r="15347" s="197" customFormat="1" ht="12.75" x14ac:dyDescent="0.2"/>
    <row r="15348" s="197" customFormat="1" ht="12.75" x14ac:dyDescent="0.2"/>
    <row r="15349" s="197" customFormat="1" ht="12.75" x14ac:dyDescent="0.2"/>
    <row r="15350" s="197" customFormat="1" ht="12.75" x14ac:dyDescent="0.2"/>
    <row r="15351" s="197" customFormat="1" ht="12.75" x14ac:dyDescent="0.2"/>
    <row r="15352" s="197" customFormat="1" ht="12.75" x14ac:dyDescent="0.2"/>
    <row r="15353" s="197" customFormat="1" ht="12.75" x14ac:dyDescent="0.2"/>
    <row r="15354" s="197" customFormat="1" ht="12.75" x14ac:dyDescent="0.2"/>
    <row r="15355" s="197" customFormat="1" ht="12.75" x14ac:dyDescent="0.2"/>
    <row r="15356" s="197" customFormat="1" ht="12.75" x14ac:dyDescent="0.2"/>
    <row r="15357" s="197" customFormat="1" ht="12.75" x14ac:dyDescent="0.2"/>
    <row r="15358" s="197" customFormat="1" ht="12.75" x14ac:dyDescent="0.2"/>
    <row r="15359" s="197" customFormat="1" ht="12.75" x14ac:dyDescent="0.2"/>
    <row r="15360" s="197" customFormat="1" ht="12.75" x14ac:dyDescent="0.2"/>
    <row r="15361" s="197" customFormat="1" ht="12.75" x14ac:dyDescent="0.2"/>
    <row r="15362" s="197" customFormat="1" ht="12.75" x14ac:dyDescent="0.2"/>
    <row r="15363" s="197" customFormat="1" ht="12.75" x14ac:dyDescent="0.2"/>
    <row r="15364" s="197" customFormat="1" ht="12.75" x14ac:dyDescent="0.2"/>
    <row r="15365" s="197" customFormat="1" ht="12.75" x14ac:dyDescent="0.2"/>
    <row r="15366" s="197" customFormat="1" ht="12.75" x14ac:dyDescent="0.2"/>
    <row r="15367" s="197" customFormat="1" ht="12.75" x14ac:dyDescent="0.2"/>
    <row r="15368" s="197" customFormat="1" ht="12.75" x14ac:dyDescent="0.2"/>
    <row r="15369" s="197" customFormat="1" ht="12.75" x14ac:dyDescent="0.2"/>
    <row r="15370" s="197" customFormat="1" ht="12.75" x14ac:dyDescent="0.2"/>
    <row r="15371" s="197" customFormat="1" ht="12.75" x14ac:dyDescent="0.2"/>
    <row r="15372" s="197" customFormat="1" ht="12.75" x14ac:dyDescent="0.2"/>
    <row r="15373" s="197" customFormat="1" ht="12.75" x14ac:dyDescent="0.2"/>
    <row r="15374" s="197" customFormat="1" ht="12.75" x14ac:dyDescent="0.2"/>
    <row r="15375" s="197" customFormat="1" ht="12.75" x14ac:dyDescent="0.2"/>
    <row r="15376" s="197" customFormat="1" ht="12.75" x14ac:dyDescent="0.2"/>
    <row r="15377" s="197" customFormat="1" ht="12.75" x14ac:dyDescent="0.2"/>
    <row r="15378" s="197" customFormat="1" ht="12.75" x14ac:dyDescent="0.2"/>
    <row r="15379" s="197" customFormat="1" ht="12.75" x14ac:dyDescent="0.2"/>
    <row r="15380" s="197" customFormat="1" ht="12.75" x14ac:dyDescent="0.2"/>
    <row r="15381" s="197" customFormat="1" ht="12.75" x14ac:dyDescent="0.2"/>
    <row r="15382" s="197" customFormat="1" ht="12.75" x14ac:dyDescent="0.2"/>
    <row r="15383" s="197" customFormat="1" ht="12.75" x14ac:dyDescent="0.2"/>
    <row r="15384" s="197" customFormat="1" ht="12.75" x14ac:dyDescent="0.2"/>
    <row r="15385" s="197" customFormat="1" ht="12.75" x14ac:dyDescent="0.2"/>
    <row r="15386" s="197" customFormat="1" ht="12.75" x14ac:dyDescent="0.2"/>
    <row r="15387" s="197" customFormat="1" ht="12.75" x14ac:dyDescent="0.2"/>
    <row r="15388" s="197" customFormat="1" ht="12.75" x14ac:dyDescent="0.2"/>
    <row r="15389" s="197" customFormat="1" ht="12.75" x14ac:dyDescent="0.2"/>
    <row r="15390" s="197" customFormat="1" ht="12.75" x14ac:dyDescent="0.2"/>
    <row r="15391" s="197" customFormat="1" ht="12.75" x14ac:dyDescent="0.2"/>
    <row r="15392" s="197" customFormat="1" ht="12.75" x14ac:dyDescent="0.2"/>
    <row r="15393" s="197" customFormat="1" ht="12.75" x14ac:dyDescent="0.2"/>
    <row r="15394" s="197" customFormat="1" ht="12.75" x14ac:dyDescent="0.2"/>
    <row r="15395" s="197" customFormat="1" ht="12.75" x14ac:dyDescent="0.2"/>
    <row r="15396" s="197" customFormat="1" ht="12.75" x14ac:dyDescent="0.2"/>
    <row r="15397" s="197" customFormat="1" ht="12.75" x14ac:dyDescent="0.2"/>
    <row r="15398" s="197" customFormat="1" ht="12.75" x14ac:dyDescent="0.2"/>
    <row r="15399" s="197" customFormat="1" ht="12.75" x14ac:dyDescent="0.2"/>
    <row r="15400" s="197" customFormat="1" ht="12.75" x14ac:dyDescent="0.2"/>
    <row r="15401" s="197" customFormat="1" ht="12.75" x14ac:dyDescent="0.2"/>
    <row r="15402" s="197" customFormat="1" ht="12.75" x14ac:dyDescent="0.2"/>
    <row r="15403" s="197" customFormat="1" ht="12.75" x14ac:dyDescent="0.2"/>
    <row r="15404" s="197" customFormat="1" ht="12.75" x14ac:dyDescent="0.2"/>
    <row r="15405" s="197" customFormat="1" ht="12.75" x14ac:dyDescent="0.2"/>
    <row r="15406" s="197" customFormat="1" ht="12.75" x14ac:dyDescent="0.2"/>
    <row r="15407" s="197" customFormat="1" ht="12.75" x14ac:dyDescent="0.2"/>
    <row r="15408" s="197" customFormat="1" ht="12.75" x14ac:dyDescent="0.2"/>
    <row r="15409" s="197" customFormat="1" ht="12.75" x14ac:dyDescent="0.2"/>
    <row r="15410" s="197" customFormat="1" ht="12.75" x14ac:dyDescent="0.2"/>
    <row r="15411" s="197" customFormat="1" ht="12.75" x14ac:dyDescent="0.2"/>
    <row r="15412" s="197" customFormat="1" ht="12.75" x14ac:dyDescent="0.2"/>
    <row r="15413" s="197" customFormat="1" ht="12.75" x14ac:dyDescent="0.2"/>
    <row r="15414" s="197" customFormat="1" ht="12.75" x14ac:dyDescent="0.2"/>
    <row r="15415" s="197" customFormat="1" ht="12.75" x14ac:dyDescent="0.2"/>
    <row r="15416" s="197" customFormat="1" ht="12.75" x14ac:dyDescent="0.2"/>
    <row r="15417" s="197" customFormat="1" ht="12.75" x14ac:dyDescent="0.2"/>
    <row r="15418" s="197" customFormat="1" ht="12.75" x14ac:dyDescent="0.2"/>
    <row r="15419" s="197" customFormat="1" ht="12.75" x14ac:dyDescent="0.2"/>
    <row r="15420" s="197" customFormat="1" ht="12.75" x14ac:dyDescent="0.2"/>
    <row r="15421" s="197" customFormat="1" ht="12.75" x14ac:dyDescent="0.2"/>
    <row r="15422" s="197" customFormat="1" ht="12.75" x14ac:dyDescent="0.2"/>
    <row r="15423" s="197" customFormat="1" ht="12.75" x14ac:dyDescent="0.2"/>
    <row r="15424" s="197" customFormat="1" ht="12.75" x14ac:dyDescent="0.2"/>
    <row r="15425" s="197" customFormat="1" ht="12.75" x14ac:dyDescent="0.2"/>
    <row r="15426" s="197" customFormat="1" ht="12.75" x14ac:dyDescent="0.2"/>
    <row r="15427" s="197" customFormat="1" ht="12.75" x14ac:dyDescent="0.2"/>
    <row r="15428" s="197" customFormat="1" ht="12.75" x14ac:dyDescent="0.2"/>
    <row r="15429" s="197" customFormat="1" ht="12.75" x14ac:dyDescent="0.2"/>
    <row r="15430" s="197" customFormat="1" ht="12.75" x14ac:dyDescent="0.2"/>
    <row r="15431" s="197" customFormat="1" ht="12.75" x14ac:dyDescent="0.2"/>
    <row r="15432" s="197" customFormat="1" ht="12.75" x14ac:dyDescent="0.2"/>
    <row r="15433" s="197" customFormat="1" ht="12.75" x14ac:dyDescent="0.2"/>
    <row r="15434" s="197" customFormat="1" ht="12.75" x14ac:dyDescent="0.2"/>
    <row r="15435" s="197" customFormat="1" ht="12.75" x14ac:dyDescent="0.2"/>
    <row r="15436" s="197" customFormat="1" ht="12.75" x14ac:dyDescent="0.2"/>
    <row r="15437" s="197" customFormat="1" ht="12.75" x14ac:dyDescent="0.2"/>
    <row r="15438" s="197" customFormat="1" ht="12.75" x14ac:dyDescent="0.2"/>
    <row r="15439" s="197" customFormat="1" ht="12.75" x14ac:dyDescent="0.2"/>
    <row r="15440" s="197" customFormat="1" ht="12.75" x14ac:dyDescent="0.2"/>
    <row r="15441" s="197" customFormat="1" ht="12.75" x14ac:dyDescent="0.2"/>
    <row r="15442" s="197" customFormat="1" ht="12.75" x14ac:dyDescent="0.2"/>
    <row r="15443" s="197" customFormat="1" ht="12.75" x14ac:dyDescent="0.2"/>
    <row r="15444" s="197" customFormat="1" ht="12.75" x14ac:dyDescent="0.2"/>
    <row r="15445" s="197" customFormat="1" ht="12.75" x14ac:dyDescent="0.2"/>
    <row r="15446" s="197" customFormat="1" ht="12.75" x14ac:dyDescent="0.2"/>
    <row r="15447" s="197" customFormat="1" ht="12.75" x14ac:dyDescent="0.2"/>
    <row r="15448" s="197" customFormat="1" ht="12.75" x14ac:dyDescent="0.2"/>
    <row r="15449" s="197" customFormat="1" ht="12.75" x14ac:dyDescent="0.2"/>
    <row r="15450" s="197" customFormat="1" ht="12.75" x14ac:dyDescent="0.2"/>
    <row r="15451" s="197" customFormat="1" ht="12.75" x14ac:dyDescent="0.2"/>
    <row r="15452" s="197" customFormat="1" ht="12.75" x14ac:dyDescent="0.2"/>
    <row r="15453" s="197" customFormat="1" ht="12.75" x14ac:dyDescent="0.2"/>
    <row r="15454" s="197" customFormat="1" ht="12.75" x14ac:dyDescent="0.2"/>
    <row r="15455" s="197" customFormat="1" ht="12.75" x14ac:dyDescent="0.2"/>
    <row r="15456" s="197" customFormat="1" ht="12.75" x14ac:dyDescent="0.2"/>
    <row r="15457" s="197" customFormat="1" ht="12.75" x14ac:dyDescent="0.2"/>
    <row r="15458" s="197" customFormat="1" ht="12.75" x14ac:dyDescent="0.2"/>
    <row r="15459" s="197" customFormat="1" ht="12.75" x14ac:dyDescent="0.2"/>
    <row r="15460" s="197" customFormat="1" ht="12.75" x14ac:dyDescent="0.2"/>
    <row r="15461" s="197" customFormat="1" ht="12.75" x14ac:dyDescent="0.2"/>
    <row r="15462" s="197" customFormat="1" ht="12.75" x14ac:dyDescent="0.2"/>
    <row r="15463" s="197" customFormat="1" ht="12.75" x14ac:dyDescent="0.2"/>
    <row r="15464" s="197" customFormat="1" ht="12.75" x14ac:dyDescent="0.2"/>
    <row r="15465" s="197" customFormat="1" ht="12.75" x14ac:dyDescent="0.2"/>
    <row r="15466" s="197" customFormat="1" ht="12.75" x14ac:dyDescent="0.2"/>
    <row r="15467" s="197" customFormat="1" ht="12.75" x14ac:dyDescent="0.2"/>
    <row r="15468" s="197" customFormat="1" ht="12.75" x14ac:dyDescent="0.2"/>
    <row r="15469" s="197" customFormat="1" ht="12.75" x14ac:dyDescent="0.2"/>
    <row r="15470" s="197" customFormat="1" ht="12.75" x14ac:dyDescent="0.2"/>
    <row r="15471" s="197" customFormat="1" ht="12.75" x14ac:dyDescent="0.2"/>
    <row r="15472" s="197" customFormat="1" ht="12.75" x14ac:dyDescent="0.2"/>
    <row r="15473" s="197" customFormat="1" ht="12.75" x14ac:dyDescent="0.2"/>
    <row r="15474" s="197" customFormat="1" ht="12.75" x14ac:dyDescent="0.2"/>
    <row r="15475" s="197" customFormat="1" ht="12.75" x14ac:dyDescent="0.2"/>
    <row r="15476" s="197" customFormat="1" ht="12.75" x14ac:dyDescent="0.2"/>
    <row r="15477" s="197" customFormat="1" ht="12.75" x14ac:dyDescent="0.2"/>
    <row r="15478" s="197" customFormat="1" ht="12.75" x14ac:dyDescent="0.2"/>
    <row r="15479" s="197" customFormat="1" ht="12.75" x14ac:dyDescent="0.2"/>
    <row r="15480" s="197" customFormat="1" ht="12.75" x14ac:dyDescent="0.2"/>
    <row r="15481" s="197" customFormat="1" ht="12.75" x14ac:dyDescent="0.2"/>
    <row r="15482" s="197" customFormat="1" ht="12.75" x14ac:dyDescent="0.2"/>
    <row r="15483" s="197" customFormat="1" ht="12.75" x14ac:dyDescent="0.2"/>
    <row r="15484" s="197" customFormat="1" ht="12.75" x14ac:dyDescent="0.2"/>
    <row r="15485" s="197" customFormat="1" ht="12.75" x14ac:dyDescent="0.2"/>
    <row r="15486" s="197" customFormat="1" ht="12.75" x14ac:dyDescent="0.2"/>
    <row r="15487" s="197" customFormat="1" ht="12.75" x14ac:dyDescent="0.2"/>
    <row r="15488" s="197" customFormat="1" ht="12.75" x14ac:dyDescent="0.2"/>
    <row r="15489" s="197" customFormat="1" ht="12.75" x14ac:dyDescent="0.2"/>
    <row r="15490" s="197" customFormat="1" ht="12.75" x14ac:dyDescent="0.2"/>
    <row r="15491" s="197" customFormat="1" ht="12.75" x14ac:dyDescent="0.2"/>
    <row r="15492" s="197" customFormat="1" ht="12.75" x14ac:dyDescent="0.2"/>
    <row r="15493" s="197" customFormat="1" ht="12.75" x14ac:dyDescent="0.2"/>
    <row r="15494" s="197" customFormat="1" ht="12.75" x14ac:dyDescent="0.2"/>
    <row r="15495" s="197" customFormat="1" ht="12.75" x14ac:dyDescent="0.2"/>
    <row r="15496" s="197" customFormat="1" ht="12.75" x14ac:dyDescent="0.2"/>
    <row r="15497" s="197" customFormat="1" ht="12.75" x14ac:dyDescent="0.2"/>
    <row r="15498" s="197" customFormat="1" ht="12.75" x14ac:dyDescent="0.2"/>
    <row r="15499" s="197" customFormat="1" ht="12.75" x14ac:dyDescent="0.2"/>
    <row r="15500" s="197" customFormat="1" ht="12.75" x14ac:dyDescent="0.2"/>
    <row r="15501" s="197" customFormat="1" ht="12.75" x14ac:dyDescent="0.2"/>
    <row r="15502" s="197" customFormat="1" ht="12.75" x14ac:dyDescent="0.2"/>
    <row r="15503" s="197" customFormat="1" ht="12.75" x14ac:dyDescent="0.2"/>
    <row r="15504" s="197" customFormat="1" ht="12.75" x14ac:dyDescent="0.2"/>
    <row r="15505" s="197" customFormat="1" ht="12.75" x14ac:dyDescent="0.2"/>
    <row r="15506" s="197" customFormat="1" ht="12.75" x14ac:dyDescent="0.2"/>
    <row r="15507" s="197" customFormat="1" ht="12.75" x14ac:dyDescent="0.2"/>
    <row r="15508" s="197" customFormat="1" ht="12.75" x14ac:dyDescent="0.2"/>
    <row r="15509" s="197" customFormat="1" ht="12.75" x14ac:dyDescent="0.2"/>
    <row r="15510" s="197" customFormat="1" ht="12.75" x14ac:dyDescent="0.2"/>
    <row r="15511" s="197" customFormat="1" ht="12.75" x14ac:dyDescent="0.2"/>
    <row r="15512" s="197" customFormat="1" ht="12.75" x14ac:dyDescent="0.2"/>
    <row r="15513" s="197" customFormat="1" ht="12.75" x14ac:dyDescent="0.2"/>
    <row r="15514" s="197" customFormat="1" ht="12.75" x14ac:dyDescent="0.2"/>
    <row r="15515" s="197" customFormat="1" ht="12.75" x14ac:dyDescent="0.2"/>
    <row r="15516" s="197" customFormat="1" ht="12.75" x14ac:dyDescent="0.2"/>
    <row r="15517" s="197" customFormat="1" ht="12.75" x14ac:dyDescent="0.2"/>
    <row r="15518" s="197" customFormat="1" ht="12.75" x14ac:dyDescent="0.2"/>
    <row r="15519" s="197" customFormat="1" ht="12.75" x14ac:dyDescent="0.2"/>
    <row r="15520" s="197" customFormat="1" ht="12.75" x14ac:dyDescent="0.2"/>
    <row r="15521" s="197" customFormat="1" ht="12.75" x14ac:dyDescent="0.2"/>
    <row r="15522" s="197" customFormat="1" ht="12.75" x14ac:dyDescent="0.2"/>
    <row r="15523" s="197" customFormat="1" ht="12.75" x14ac:dyDescent="0.2"/>
    <row r="15524" s="197" customFormat="1" ht="12.75" x14ac:dyDescent="0.2"/>
    <row r="15525" s="197" customFormat="1" ht="12.75" x14ac:dyDescent="0.2"/>
    <row r="15526" s="197" customFormat="1" ht="12.75" x14ac:dyDescent="0.2"/>
    <row r="15527" s="197" customFormat="1" ht="12.75" x14ac:dyDescent="0.2"/>
    <row r="15528" s="197" customFormat="1" ht="12.75" x14ac:dyDescent="0.2"/>
    <row r="15529" s="197" customFormat="1" ht="12.75" x14ac:dyDescent="0.2"/>
    <row r="15530" s="197" customFormat="1" ht="12.75" x14ac:dyDescent="0.2"/>
    <row r="15531" s="197" customFormat="1" ht="12.75" x14ac:dyDescent="0.2"/>
    <row r="15532" s="197" customFormat="1" ht="12.75" x14ac:dyDescent="0.2"/>
    <row r="15533" s="197" customFormat="1" ht="12.75" x14ac:dyDescent="0.2"/>
    <row r="15534" s="197" customFormat="1" ht="12.75" x14ac:dyDescent="0.2"/>
    <row r="15535" s="197" customFormat="1" ht="12.75" x14ac:dyDescent="0.2"/>
    <row r="15536" s="197" customFormat="1" ht="12.75" x14ac:dyDescent="0.2"/>
    <row r="15537" s="197" customFormat="1" ht="12.75" x14ac:dyDescent="0.2"/>
    <row r="15538" s="197" customFormat="1" ht="12.75" x14ac:dyDescent="0.2"/>
    <row r="15539" s="197" customFormat="1" ht="12.75" x14ac:dyDescent="0.2"/>
    <row r="15540" s="197" customFormat="1" ht="12.75" x14ac:dyDescent="0.2"/>
    <row r="15541" s="197" customFormat="1" ht="12.75" x14ac:dyDescent="0.2"/>
    <row r="15542" s="197" customFormat="1" ht="12.75" x14ac:dyDescent="0.2"/>
    <row r="15543" s="197" customFormat="1" ht="12.75" x14ac:dyDescent="0.2"/>
    <row r="15544" s="197" customFormat="1" ht="12.75" x14ac:dyDescent="0.2"/>
    <row r="15545" s="197" customFormat="1" ht="12.75" x14ac:dyDescent="0.2"/>
    <row r="15546" s="197" customFormat="1" ht="12.75" x14ac:dyDescent="0.2"/>
    <row r="15547" s="197" customFormat="1" ht="12.75" x14ac:dyDescent="0.2"/>
    <row r="15548" s="197" customFormat="1" ht="12.75" x14ac:dyDescent="0.2"/>
    <row r="15549" s="197" customFormat="1" ht="12.75" x14ac:dyDescent="0.2"/>
    <row r="15550" s="197" customFormat="1" ht="12.75" x14ac:dyDescent="0.2"/>
    <row r="15551" s="197" customFormat="1" ht="12.75" x14ac:dyDescent="0.2"/>
    <row r="15552" s="197" customFormat="1" ht="12.75" x14ac:dyDescent="0.2"/>
    <row r="15553" s="197" customFormat="1" ht="12.75" x14ac:dyDescent="0.2"/>
    <row r="15554" s="197" customFormat="1" ht="12.75" x14ac:dyDescent="0.2"/>
    <row r="15555" s="197" customFormat="1" ht="12.75" x14ac:dyDescent="0.2"/>
    <row r="15556" s="197" customFormat="1" ht="12.75" x14ac:dyDescent="0.2"/>
    <row r="15557" s="197" customFormat="1" ht="12.75" x14ac:dyDescent="0.2"/>
    <row r="15558" s="197" customFormat="1" ht="12.75" x14ac:dyDescent="0.2"/>
    <row r="15559" s="197" customFormat="1" ht="12.75" x14ac:dyDescent="0.2"/>
    <row r="15560" s="197" customFormat="1" ht="12.75" x14ac:dyDescent="0.2"/>
    <row r="15561" s="197" customFormat="1" ht="12.75" x14ac:dyDescent="0.2"/>
    <row r="15562" s="197" customFormat="1" ht="12.75" x14ac:dyDescent="0.2"/>
    <row r="15563" s="197" customFormat="1" ht="12.75" x14ac:dyDescent="0.2"/>
    <row r="15564" s="197" customFormat="1" ht="12.75" x14ac:dyDescent="0.2"/>
    <row r="15565" s="197" customFormat="1" ht="12.75" x14ac:dyDescent="0.2"/>
    <row r="15566" s="197" customFormat="1" ht="12.75" x14ac:dyDescent="0.2"/>
    <row r="15567" s="197" customFormat="1" ht="12.75" x14ac:dyDescent="0.2"/>
    <row r="15568" s="197" customFormat="1" ht="12.75" x14ac:dyDescent="0.2"/>
    <row r="15569" s="197" customFormat="1" ht="12.75" x14ac:dyDescent="0.2"/>
    <row r="15570" s="197" customFormat="1" ht="12.75" x14ac:dyDescent="0.2"/>
    <row r="15571" s="197" customFormat="1" ht="12.75" x14ac:dyDescent="0.2"/>
    <row r="15572" s="197" customFormat="1" ht="12.75" x14ac:dyDescent="0.2"/>
    <row r="15573" s="197" customFormat="1" ht="12.75" x14ac:dyDescent="0.2"/>
    <row r="15574" s="197" customFormat="1" ht="12.75" x14ac:dyDescent="0.2"/>
    <row r="15575" s="197" customFormat="1" ht="12.75" x14ac:dyDescent="0.2"/>
    <row r="15576" s="197" customFormat="1" ht="12.75" x14ac:dyDescent="0.2"/>
    <row r="15577" s="197" customFormat="1" ht="12.75" x14ac:dyDescent="0.2"/>
    <row r="15578" s="197" customFormat="1" ht="12.75" x14ac:dyDescent="0.2"/>
    <row r="15579" s="197" customFormat="1" ht="12.75" x14ac:dyDescent="0.2"/>
    <row r="15580" s="197" customFormat="1" ht="12.75" x14ac:dyDescent="0.2"/>
    <row r="15581" s="197" customFormat="1" ht="12.75" x14ac:dyDescent="0.2"/>
    <row r="15582" s="197" customFormat="1" ht="12.75" x14ac:dyDescent="0.2"/>
    <row r="15583" s="197" customFormat="1" ht="12.75" x14ac:dyDescent="0.2"/>
    <row r="15584" s="197" customFormat="1" ht="12.75" x14ac:dyDescent="0.2"/>
    <row r="15585" s="197" customFormat="1" ht="12.75" x14ac:dyDescent="0.2"/>
    <row r="15586" s="197" customFormat="1" ht="12.75" x14ac:dyDescent="0.2"/>
    <row r="15587" s="197" customFormat="1" ht="12.75" x14ac:dyDescent="0.2"/>
    <row r="15588" s="197" customFormat="1" ht="12.75" x14ac:dyDescent="0.2"/>
    <row r="15589" s="197" customFormat="1" ht="12.75" x14ac:dyDescent="0.2"/>
    <row r="15590" s="197" customFormat="1" ht="12.75" x14ac:dyDescent="0.2"/>
    <row r="15591" s="197" customFormat="1" ht="12.75" x14ac:dyDescent="0.2"/>
    <row r="15592" s="197" customFormat="1" ht="12.75" x14ac:dyDescent="0.2"/>
    <row r="15593" s="197" customFormat="1" ht="12.75" x14ac:dyDescent="0.2"/>
    <row r="15594" s="197" customFormat="1" ht="12.75" x14ac:dyDescent="0.2"/>
    <row r="15595" s="197" customFormat="1" ht="12.75" x14ac:dyDescent="0.2"/>
    <row r="15596" s="197" customFormat="1" ht="12.75" x14ac:dyDescent="0.2"/>
    <row r="15597" s="197" customFormat="1" ht="12.75" x14ac:dyDescent="0.2"/>
    <row r="15598" s="197" customFormat="1" ht="12.75" x14ac:dyDescent="0.2"/>
    <row r="15599" s="197" customFormat="1" ht="12.75" x14ac:dyDescent="0.2"/>
    <row r="15600" s="197" customFormat="1" ht="12.75" x14ac:dyDescent="0.2"/>
    <row r="15601" s="197" customFormat="1" ht="12.75" x14ac:dyDescent="0.2"/>
    <row r="15602" s="197" customFormat="1" ht="12.75" x14ac:dyDescent="0.2"/>
    <row r="15603" s="197" customFormat="1" ht="12.75" x14ac:dyDescent="0.2"/>
    <row r="15604" s="197" customFormat="1" ht="12.75" x14ac:dyDescent="0.2"/>
    <row r="15605" s="197" customFormat="1" ht="12.75" x14ac:dyDescent="0.2"/>
    <row r="15606" s="197" customFormat="1" ht="12.75" x14ac:dyDescent="0.2"/>
    <row r="15607" s="197" customFormat="1" ht="12.75" x14ac:dyDescent="0.2"/>
    <row r="15608" s="197" customFormat="1" ht="12.75" x14ac:dyDescent="0.2"/>
    <row r="15609" s="197" customFormat="1" ht="12.75" x14ac:dyDescent="0.2"/>
    <row r="15610" s="197" customFormat="1" ht="12.75" x14ac:dyDescent="0.2"/>
    <row r="15611" s="197" customFormat="1" ht="12.75" x14ac:dyDescent="0.2"/>
    <row r="15612" s="197" customFormat="1" ht="12.75" x14ac:dyDescent="0.2"/>
    <row r="15613" s="197" customFormat="1" ht="12.75" x14ac:dyDescent="0.2"/>
    <row r="15614" s="197" customFormat="1" ht="12.75" x14ac:dyDescent="0.2"/>
    <row r="15615" s="197" customFormat="1" ht="12.75" x14ac:dyDescent="0.2"/>
    <row r="15616" s="197" customFormat="1" ht="12.75" x14ac:dyDescent="0.2"/>
    <row r="15617" s="197" customFormat="1" ht="12.75" x14ac:dyDescent="0.2"/>
    <row r="15618" s="197" customFormat="1" ht="12.75" x14ac:dyDescent="0.2"/>
    <row r="15619" s="197" customFormat="1" ht="12.75" x14ac:dyDescent="0.2"/>
    <row r="15620" s="197" customFormat="1" ht="12.75" x14ac:dyDescent="0.2"/>
    <row r="15621" s="197" customFormat="1" ht="12.75" x14ac:dyDescent="0.2"/>
    <row r="15622" s="197" customFormat="1" ht="12.75" x14ac:dyDescent="0.2"/>
    <row r="15623" s="197" customFormat="1" ht="12.75" x14ac:dyDescent="0.2"/>
    <row r="15624" s="197" customFormat="1" ht="12.75" x14ac:dyDescent="0.2"/>
    <row r="15625" s="197" customFormat="1" ht="12.75" x14ac:dyDescent="0.2"/>
    <row r="15626" s="197" customFormat="1" ht="12.75" x14ac:dyDescent="0.2"/>
    <row r="15627" s="197" customFormat="1" ht="12.75" x14ac:dyDescent="0.2"/>
    <row r="15628" s="197" customFormat="1" ht="12.75" x14ac:dyDescent="0.2"/>
    <row r="15629" s="197" customFormat="1" ht="12.75" x14ac:dyDescent="0.2"/>
    <row r="15630" s="197" customFormat="1" ht="12.75" x14ac:dyDescent="0.2"/>
    <row r="15631" s="197" customFormat="1" ht="12.75" x14ac:dyDescent="0.2"/>
    <row r="15632" s="197" customFormat="1" ht="12.75" x14ac:dyDescent="0.2"/>
    <row r="15633" s="197" customFormat="1" ht="12.75" x14ac:dyDescent="0.2"/>
    <row r="15634" s="197" customFormat="1" ht="12.75" x14ac:dyDescent="0.2"/>
    <row r="15635" s="197" customFormat="1" ht="12.75" x14ac:dyDescent="0.2"/>
    <row r="15636" s="197" customFormat="1" ht="12.75" x14ac:dyDescent="0.2"/>
    <row r="15637" s="197" customFormat="1" ht="12.75" x14ac:dyDescent="0.2"/>
    <row r="15638" s="197" customFormat="1" ht="12.75" x14ac:dyDescent="0.2"/>
    <row r="15639" s="197" customFormat="1" ht="12.75" x14ac:dyDescent="0.2"/>
    <row r="15640" s="197" customFormat="1" ht="12.75" x14ac:dyDescent="0.2"/>
    <row r="15641" s="197" customFormat="1" ht="12.75" x14ac:dyDescent="0.2"/>
    <row r="15642" s="197" customFormat="1" ht="12.75" x14ac:dyDescent="0.2"/>
    <row r="15643" s="197" customFormat="1" ht="12.75" x14ac:dyDescent="0.2"/>
    <row r="15644" s="197" customFormat="1" ht="12.75" x14ac:dyDescent="0.2"/>
    <row r="15645" s="197" customFormat="1" ht="12.75" x14ac:dyDescent="0.2"/>
    <row r="15646" s="197" customFormat="1" ht="12.75" x14ac:dyDescent="0.2"/>
    <row r="15647" s="197" customFormat="1" ht="12.75" x14ac:dyDescent="0.2"/>
    <row r="15648" s="197" customFormat="1" ht="12.75" x14ac:dyDescent="0.2"/>
    <row r="15649" s="197" customFormat="1" ht="12.75" x14ac:dyDescent="0.2"/>
    <row r="15650" s="197" customFormat="1" ht="12.75" x14ac:dyDescent="0.2"/>
    <row r="15651" s="197" customFormat="1" ht="12.75" x14ac:dyDescent="0.2"/>
    <row r="15652" s="197" customFormat="1" ht="12.75" x14ac:dyDescent="0.2"/>
    <row r="15653" s="197" customFormat="1" ht="12.75" x14ac:dyDescent="0.2"/>
    <row r="15654" s="197" customFormat="1" ht="12.75" x14ac:dyDescent="0.2"/>
    <row r="15655" s="197" customFormat="1" ht="12.75" x14ac:dyDescent="0.2"/>
    <row r="15656" s="197" customFormat="1" ht="12.75" x14ac:dyDescent="0.2"/>
    <row r="15657" s="197" customFormat="1" ht="12.75" x14ac:dyDescent="0.2"/>
    <row r="15658" s="197" customFormat="1" ht="12.75" x14ac:dyDescent="0.2"/>
    <row r="15659" s="197" customFormat="1" ht="12.75" x14ac:dyDescent="0.2"/>
    <row r="15660" s="197" customFormat="1" ht="12.75" x14ac:dyDescent="0.2"/>
    <row r="15661" s="197" customFormat="1" ht="12.75" x14ac:dyDescent="0.2"/>
    <row r="15662" s="197" customFormat="1" ht="12.75" x14ac:dyDescent="0.2"/>
    <row r="15663" s="197" customFormat="1" ht="12.75" x14ac:dyDescent="0.2"/>
    <row r="15664" s="197" customFormat="1" ht="12.75" x14ac:dyDescent="0.2"/>
    <row r="15665" s="197" customFormat="1" ht="12.75" x14ac:dyDescent="0.2"/>
    <row r="15666" s="197" customFormat="1" ht="12.75" x14ac:dyDescent="0.2"/>
    <row r="15667" s="197" customFormat="1" ht="12.75" x14ac:dyDescent="0.2"/>
    <row r="15668" s="197" customFormat="1" ht="12.75" x14ac:dyDescent="0.2"/>
    <row r="15669" s="197" customFormat="1" ht="12.75" x14ac:dyDescent="0.2"/>
    <row r="15670" s="197" customFormat="1" ht="12.75" x14ac:dyDescent="0.2"/>
    <row r="15671" s="197" customFormat="1" ht="12.75" x14ac:dyDescent="0.2"/>
    <row r="15672" s="197" customFormat="1" ht="12.75" x14ac:dyDescent="0.2"/>
    <row r="15673" s="197" customFormat="1" ht="12.75" x14ac:dyDescent="0.2"/>
    <row r="15674" s="197" customFormat="1" ht="12.75" x14ac:dyDescent="0.2"/>
    <row r="15675" s="197" customFormat="1" ht="12.75" x14ac:dyDescent="0.2"/>
    <row r="15676" s="197" customFormat="1" ht="12.75" x14ac:dyDescent="0.2"/>
    <row r="15677" s="197" customFormat="1" ht="12.75" x14ac:dyDescent="0.2"/>
    <row r="15678" s="197" customFormat="1" ht="12.75" x14ac:dyDescent="0.2"/>
    <row r="15679" s="197" customFormat="1" ht="12.75" x14ac:dyDescent="0.2"/>
    <row r="15680" s="197" customFormat="1" ht="12.75" x14ac:dyDescent="0.2"/>
    <row r="15681" s="197" customFormat="1" ht="12.75" x14ac:dyDescent="0.2"/>
    <row r="15682" s="197" customFormat="1" ht="12.75" x14ac:dyDescent="0.2"/>
    <row r="15683" s="197" customFormat="1" ht="12.75" x14ac:dyDescent="0.2"/>
    <row r="15684" s="197" customFormat="1" ht="12.75" x14ac:dyDescent="0.2"/>
    <row r="15685" s="197" customFormat="1" ht="12.75" x14ac:dyDescent="0.2"/>
    <row r="15686" s="197" customFormat="1" ht="12.75" x14ac:dyDescent="0.2"/>
    <row r="15687" s="197" customFormat="1" ht="12.75" x14ac:dyDescent="0.2"/>
    <row r="15688" s="197" customFormat="1" ht="12.75" x14ac:dyDescent="0.2"/>
    <row r="15689" s="197" customFormat="1" ht="12.75" x14ac:dyDescent="0.2"/>
    <row r="15690" s="197" customFormat="1" ht="12.75" x14ac:dyDescent="0.2"/>
    <row r="15691" s="197" customFormat="1" ht="12.75" x14ac:dyDescent="0.2"/>
    <row r="15692" s="197" customFormat="1" ht="12.75" x14ac:dyDescent="0.2"/>
    <row r="15693" s="197" customFormat="1" ht="12.75" x14ac:dyDescent="0.2"/>
    <row r="15694" s="197" customFormat="1" ht="12.75" x14ac:dyDescent="0.2"/>
    <row r="15695" s="197" customFormat="1" ht="12.75" x14ac:dyDescent="0.2"/>
    <row r="15696" s="197" customFormat="1" ht="12.75" x14ac:dyDescent="0.2"/>
    <row r="15697" s="197" customFormat="1" ht="12.75" x14ac:dyDescent="0.2"/>
    <row r="15698" s="197" customFormat="1" ht="12.75" x14ac:dyDescent="0.2"/>
    <row r="15699" s="197" customFormat="1" ht="12.75" x14ac:dyDescent="0.2"/>
    <row r="15700" s="197" customFormat="1" ht="12.75" x14ac:dyDescent="0.2"/>
    <row r="15701" s="197" customFormat="1" ht="12.75" x14ac:dyDescent="0.2"/>
    <row r="15702" s="197" customFormat="1" ht="12.75" x14ac:dyDescent="0.2"/>
    <row r="15703" s="197" customFormat="1" ht="12.75" x14ac:dyDescent="0.2"/>
    <row r="15704" s="197" customFormat="1" ht="12.75" x14ac:dyDescent="0.2"/>
    <row r="15705" s="197" customFormat="1" ht="12.75" x14ac:dyDescent="0.2"/>
    <row r="15706" s="197" customFormat="1" ht="12.75" x14ac:dyDescent="0.2"/>
    <row r="15707" s="197" customFormat="1" ht="12.75" x14ac:dyDescent="0.2"/>
    <row r="15708" s="197" customFormat="1" ht="12.75" x14ac:dyDescent="0.2"/>
    <row r="15709" s="197" customFormat="1" ht="12.75" x14ac:dyDescent="0.2"/>
    <row r="15710" s="197" customFormat="1" ht="12.75" x14ac:dyDescent="0.2"/>
    <row r="15711" s="197" customFormat="1" ht="12.75" x14ac:dyDescent="0.2"/>
    <row r="15712" s="197" customFormat="1" ht="12.75" x14ac:dyDescent="0.2"/>
    <row r="15713" s="197" customFormat="1" ht="12.75" x14ac:dyDescent="0.2"/>
    <row r="15714" s="197" customFormat="1" ht="12.75" x14ac:dyDescent="0.2"/>
    <row r="15715" s="197" customFormat="1" ht="12.75" x14ac:dyDescent="0.2"/>
    <row r="15716" s="197" customFormat="1" ht="12.75" x14ac:dyDescent="0.2"/>
    <row r="15717" s="197" customFormat="1" ht="12.75" x14ac:dyDescent="0.2"/>
    <row r="15718" s="197" customFormat="1" ht="12.75" x14ac:dyDescent="0.2"/>
    <row r="15719" s="197" customFormat="1" ht="12.75" x14ac:dyDescent="0.2"/>
    <row r="15720" s="197" customFormat="1" ht="12.75" x14ac:dyDescent="0.2"/>
    <row r="15721" s="197" customFormat="1" ht="12.75" x14ac:dyDescent="0.2"/>
    <row r="15722" s="197" customFormat="1" ht="12.75" x14ac:dyDescent="0.2"/>
    <row r="15723" s="197" customFormat="1" ht="12.75" x14ac:dyDescent="0.2"/>
    <row r="15724" s="197" customFormat="1" ht="12.75" x14ac:dyDescent="0.2"/>
    <row r="15725" s="197" customFormat="1" ht="12.75" x14ac:dyDescent="0.2"/>
    <row r="15726" s="197" customFormat="1" ht="12.75" x14ac:dyDescent="0.2"/>
    <row r="15727" s="197" customFormat="1" ht="12.75" x14ac:dyDescent="0.2"/>
    <row r="15728" s="197" customFormat="1" ht="12.75" x14ac:dyDescent="0.2"/>
    <row r="15729" s="197" customFormat="1" ht="12.75" x14ac:dyDescent="0.2"/>
    <row r="15730" s="197" customFormat="1" ht="12.75" x14ac:dyDescent="0.2"/>
    <row r="15731" s="197" customFormat="1" ht="12.75" x14ac:dyDescent="0.2"/>
    <row r="15732" s="197" customFormat="1" ht="12.75" x14ac:dyDescent="0.2"/>
    <row r="15733" s="197" customFormat="1" ht="12.75" x14ac:dyDescent="0.2"/>
    <row r="15734" s="197" customFormat="1" ht="12.75" x14ac:dyDescent="0.2"/>
    <row r="15735" s="197" customFormat="1" ht="12.75" x14ac:dyDescent="0.2"/>
    <row r="15736" s="197" customFormat="1" ht="12.75" x14ac:dyDescent="0.2"/>
    <row r="15737" s="197" customFormat="1" ht="12.75" x14ac:dyDescent="0.2"/>
    <row r="15738" s="197" customFormat="1" ht="12.75" x14ac:dyDescent="0.2"/>
    <row r="15739" s="197" customFormat="1" ht="12.75" x14ac:dyDescent="0.2"/>
    <row r="15740" s="197" customFormat="1" ht="12.75" x14ac:dyDescent="0.2"/>
    <row r="15741" s="197" customFormat="1" ht="12.75" x14ac:dyDescent="0.2"/>
    <row r="15742" s="197" customFormat="1" ht="12.75" x14ac:dyDescent="0.2"/>
    <row r="15743" s="197" customFormat="1" ht="12.75" x14ac:dyDescent="0.2"/>
    <row r="15744" s="197" customFormat="1" ht="12.75" x14ac:dyDescent="0.2"/>
    <row r="15745" s="197" customFormat="1" ht="12.75" x14ac:dyDescent="0.2"/>
    <row r="15746" s="197" customFormat="1" ht="12.75" x14ac:dyDescent="0.2"/>
    <row r="15747" s="197" customFormat="1" ht="12.75" x14ac:dyDescent="0.2"/>
    <row r="15748" s="197" customFormat="1" ht="12.75" x14ac:dyDescent="0.2"/>
    <row r="15749" s="197" customFormat="1" ht="12.75" x14ac:dyDescent="0.2"/>
    <row r="15750" s="197" customFormat="1" ht="12.75" x14ac:dyDescent="0.2"/>
    <row r="15751" s="197" customFormat="1" ht="12.75" x14ac:dyDescent="0.2"/>
    <row r="15752" s="197" customFormat="1" ht="12.75" x14ac:dyDescent="0.2"/>
    <row r="15753" s="197" customFormat="1" ht="12.75" x14ac:dyDescent="0.2"/>
    <row r="15754" s="197" customFormat="1" ht="12.75" x14ac:dyDescent="0.2"/>
    <row r="15755" s="197" customFormat="1" ht="12.75" x14ac:dyDescent="0.2"/>
    <row r="15756" s="197" customFormat="1" ht="12.75" x14ac:dyDescent="0.2"/>
    <row r="15757" s="197" customFormat="1" ht="12.75" x14ac:dyDescent="0.2"/>
    <row r="15758" s="197" customFormat="1" ht="12.75" x14ac:dyDescent="0.2"/>
    <row r="15759" s="197" customFormat="1" ht="12.75" x14ac:dyDescent="0.2"/>
    <row r="15760" s="197" customFormat="1" ht="12.75" x14ac:dyDescent="0.2"/>
    <row r="15761" s="197" customFormat="1" ht="12.75" x14ac:dyDescent="0.2"/>
    <row r="15762" s="197" customFormat="1" ht="12.75" x14ac:dyDescent="0.2"/>
    <row r="15763" s="197" customFormat="1" ht="12.75" x14ac:dyDescent="0.2"/>
    <row r="15764" s="197" customFormat="1" ht="12.75" x14ac:dyDescent="0.2"/>
    <row r="15765" s="197" customFormat="1" ht="12.75" x14ac:dyDescent="0.2"/>
    <row r="15766" s="197" customFormat="1" ht="12.75" x14ac:dyDescent="0.2"/>
    <row r="15767" s="197" customFormat="1" ht="12.75" x14ac:dyDescent="0.2"/>
    <row r="15768" s="197" customFormat="1" ht="12.75" x14ac:dyDescent="0.2"/>
    <row r="15769" s="197" customFormat="1" ht="12.75" x14ac:dyDescent="0.2"/>
    <row r="15770" s="197" customFormat="1" ht="12.75" x14ac:dyDescent="0.2"/>
    <row r="15771" s="197" customFormat="1" ht="12.75" x14ac:dyDescent="0.2"/>
    <row r="15772" s="197" customFormat="1" ht="12.75" x14ac:dyDescent="0.2"/>
    <row r="15773" s="197" customFormat="1" ht="12.75" x14ac:dyDescent="0.2"/>
    <row r="15774" s="197" customFormat="1" ht="12.75" x14ac:dyDescent="0.2"/>
    <row r="15775" s="197" customFormat="1" ht="12.75" x14ac:dyDescent="0.2"/>
    <row r="15776" s="197" customFormat="1" ht="12.75" x14ac:dyDescent="0.2"/>
    <row r="15777" s="197" customFormat="1" ht="12.75" x14ac:dyDescent="0.2"/>
    <row r="15778" s="197" customFormat="1" ht="12.75" x14ac:dyDescent="0.2"/>
    <row r="15779" s="197" customFormat="1" ht="12.75" x14ac:dyDescent="0.2"/>
    <row r="15780" s="197" customFormat="1" ht="12.75" x14ac:dyDescent="0.2"/>
    <row r="15781" s="197" customFormat="1" ht="12.75" x14ac:dyDescent="0.2"/>
    <row r="15782" s="197" customFormat="1" ht="12.75" x14ac:dyDescent="0.2"/>
    <row r="15783" s="197" customFormat="1" ht="12.75" x14ac:dyDescent="0.2"/>
    <row r="15784" s="197" customFormat="1" ht="12.75" x14ac:dyDescent="0.2"/>
    <row r="15785" s="197" customFormat="1" ht="12.75" x14ac:dyDescent="0.2"/>
    <row r="15786" s="197" customFormat="1" ht="12.75" x14ac:dyDescent="0.2"/>
    <row r="15787" s="197" customFormat="1" ht="12.75" x14ac:dyDescent="0.2"/>
    <row r="15788" s="197" customFormat="1" ht="12.75" x14ac:dyDescent="0.2"/>
    <row r="15789" s="197" customFormat="1" ht="12.75" x14ac:dyDescent="0.2"/>
    <row r="15790" s="197" customFormat="1" ht="12.75" x14ac:dyDescent="0.2"/>
    <row r="15791" s="197" customFormat="1" ht="12.75" x14ac:dyDescent="0.2"/>
    <row r="15792" s="197" customFormat="1" ht="12.75" x14ac:dyDescent="0.2"/>
    <row r="15793" s="197" customFormat="1" ht="12.75" x14ac:dyDescent="0.2"/>
    <row r="15794" s="197" customFormat="1" ht="12.75" x14ac:dyDescent="0.2"/>
    <row r="15795" s="197" customFormat="1" ht="12.75" x14ac:dyDescent="0.2"/>
    <row r="15796" s="197" customFormat="1" ht="12.75" x14ac:dyDescent="0.2"/>
    <row r="15797" s="197" customFormat="1" ht="12.75" x14ac:dyDescent="0.2"/>
    <row r="15798" s="197" customFormat="1" ht="12.75" x14ac:dyDescent="0.2"/>
    <row r="15799" s="197" customFormat="1" ht="12.75" x14ac:dyDescent="0.2"/>
    <row r="15800" s="197" customFormat="1" ht="12.75" x14ac:dyDescent="0.2"/>
    <row r="15801" s="197" customFormat="1" ht="12.75" x14ac:dyDescent="0.2"/>
    <row r="15802" s="197" customFormat="1" ht="12.75" x14ac:dyDescent="0.2"/>
    <row r="15803" s="197" customFormat="1" ht="12.75" x14ac:dyDescent="0.2"/>
    <row r="15804" s="197" customFormat="1" ht="12.75" x14ac:dyDescent="0.2"/>
    <row r="15805" s="197" customFormat="1" ht="12.75" x14ac:dyDescent="0.2"/>
    <row r="15806" s="197" customFormat="1" ht="12.75" x14ac:dyDescent="0.2"/>
    <row r="15807" s="197" customFormat="1" ht="12.75" x14ac:dyDescent="0.2"/>
    <row r="15808" s="197" customFormat="1" ht="12.75" x14ac:dyDescent="0.2"/>
    <row r="15809" s="197" customFormat="1" ht="12.75" x14ac:dyDescent="0.2"/>
    <row r="15810" s="197" customFormat="1" ht="12.75" x14ac:dyDescent="0.2"/>
    <row r="15811" s="197" customFormat="1" ht="12.75" x14ac:dyDescent="0.2"/>
    <row r="15812" s="197" customFormat="1" ht="12.75" x14ac:dyDescent="0.2"/>
    <row r="15813" s="197" customFormat="1" ht="12.75" x14ac:dyDescent="0.2"/>
    <row r="15814" s="197" customFormat="1" ht="12.75" x14ac:dyDescent="0.2"/>
    <row r="15815" s="197" customFormat="1" ht="12.75" x14ac:dyDescent="0.2"/>
    <row r="15816" s="197" customFormat="1" ht="12.75" x14ac:dyDescent="0.2"/>
    <row r="15817" s="197" customFormat="1" ht="12.75" x14ac:dyDescent="0.2"/>
    <row r="15818" s="197" customFormat="1" ht="12.75" x14ac:dyDescent="0.2"/>
    <row r="15819" s="197" customFormat="1" ht="12.75" x14ac:dyDescent="0.2"/>
    <row r="15820" s="197" customFormat="1" ht="12.75" x14ac:dyDescent="0.2"/>
    <row r="15821" s="197" customFormat="1" ht="12.75" x14ac:dyDescent="0.2"/>
    <row r="15822" s="197" customFormat="1" ht="12.75" x14ac:dyDescent="0.2"/>
    <row r="15823" s="197" customFormat="1" ht="12.75" x14ac:dyDescent="0.2"/>
    <row r="15824" s="197" customFormat="1" ht="12.75" x14ac:dyDescent="0.2"/>
    <row r="15825" s="197" customFormat="1" ht="12.75" x14ac:dyDescent="0.2"/>
    <row r="15826" s="197" customFormat="1" ht="12.75" x14ac:dyDescent="0.2"/>
    <row r="15827" s="197" customFormat="1" ht="12.75" x14ac:dyDescent="0.2"/>
    <row r="15828" s="197" customFormat="1" ht="12.75" x14ac:dyDescent="0.2"/>
    <row r="15829" s="197" customFormat="1" ht="12.75" x14ac:dyDescent="0.2"/>
    <row r="15830" s="197" customFormat="1" ht="12.75" x14ac:dyDescent="0.2"/>
    <row r="15831" s="197" customFormat="1" ht="12.75" x14ac:dyDescent="0.2"/>
    <row r="15832" s="197" customFormat="1" ht="12.75" x14ac:dyDescent="0.2"/>
    <row r="15833" s="197" customFormat="1" ht="12.75" x14ac:dyDescent="0.2"/>
    <row r="15834" s="197" customFormat="1" ht="12.75" x14ac:dyDescent="0.2"/>
    <row r="15835" s="197" customFormat="1" ht="12.75" x14ac:dyDescent="0.2"/>
    <row r="15836" s="197" customFormat="1" ht="12.75" x14ac:dyDescent="0.2"/>
    <row r="15837" s="197" customFormat="1" ht="12.75" x14ac:dyDescent="0.2"/>
    <row r="15838" s="197" customFormat="1" ht="12.75" x14ac:dyDescent="0.2"/>
    <row r="15839" s="197" customFormat="1" ht="12.75" x14ac:dyDescent="0.2"/>
    <row r="15840" s="197" customFormat="1" ht="12.75" x14ac:dyDescent="0.2"/>
    <row r="15841" s="197" customFormat="1" ht="12.75" x14ac:dyDescent="0.2"/>
    <row r="15842" s="197" customFormat="1" ht="12.75" x14ac:dyDescent="0.2"/>
    <row r="15843" s="197" customFormat="1" ht="12.75" x14ac:dyDescent="0.2"/>
    <row r="15844" s="197" customFormat="1" ht="12.75" x14ac:dyDescent="0.2"/>
    <row r="15845" s="197" customFormat="1" ht="12.75" x14ac:dyDescent="0.2"/>
    <row r="15846" s="197" customFormat="1" ht="12.75" x14ac:dyDescent="0.2"/>
    <row r="15847" s="197" customFormat="1" ht="12.75" x14ac:dyDescent="0.2"/>
    <row r="15848" s="197" customFormat="1" ht="12.75" x14ac:dyDescent="0.2"/>
    <row r="15849" s="197" customFormat="1" ht="12.75" x14ac:dyDescent="0.2"/>
    <row r="15850" s="197" customFormat="1" ht="12.75" x14ac:dyDescent="0.2"/>
    <row r="15851" s="197" customFormat="1" ht="12.75" x14ac:dyDescent="0.2"/>
    <row r="15852" s="197" customFormat="1" ht="12.75" x14ac:dyDescent="0.2"/>
    <row r="15853" s="197" customFormat="1" ht="12.75" x14ac:dyDescent="0.2"/>
    <row r="15854" s="197" customFormat="1" ht="12.75" x14ac:dyDescent="0.2"/>
    <row r="15855" s="197" customFormat="1" ht="12.75" x14ac:dyDescent="0.2"/>
    <row r="15856" s="197" customFormat="1" ht="12.75" x14ac:dyDescent="0.2"/>
    <row r="15857" s="197" customFormat="1" ht="12.75" x14ac:dyDescent="0.2"/>
    <row r="15858" s="197" customFormat="1" ht="12.75" x14ac:dyDescent="0.2"/>
    <row r="15859" s="197" customFormat="1" ht="12.75" x14ac:dyDescent="0.2"/>
    <row r="15860" s="197" customFormat="1" ht="12.75" x14ac:dyDescent="0.2"/>
    <row r="15861" s="197" customFormat="1" ht="12.75" x14ac:dyDescent="0.2"/>
    <row r="15862" s="197" customFormat="1" ht="12.75" x14ac:dyDescent="0.2"/>
    <row r="15863" s="197" customFormat="1" ht="12.75" x14ac:dyDescent="0.2"/>
    <row r="15864" s="197" customFormat="1" ht="12.75" x14ac:dyDescent="0.2"/>
    <row r="15865" s="197" customFormat="1" ht="12.75" x14ac:dyDescent="0.2"/>
    <row r="15866" s="197" customFormat="1" ht="12.75" x14ac:dyDescent="0.2"/>
    <row r="15867" s="197" customFormat="1" ht="12.75" x14ac:dyDescent="0.2"/>
    <row r="15868" s="197" customFormat="1" ht="12.75" x14ac:dyDescent="0.2"/>
    <row r="15869" s="197" customFormat="1" ht="12.75" x14ac:dyDescent="0.2"/>
    <row r="15870" s="197" customFormat="1" ht="12.75" x14ac:dyDescent="0.2"/>
    <row r="15871" s="197" customFormat="1" ht="12.75" x14ac:dyDescent="0.2"/>
    <row r="15872" s="197" customFormat="1" ht="12.75" x14ac:dyDescent="0.2"/>
    <row r="15873" s="197" customFormat="1" ht="12.75" x14ac:dyDescent="0.2"/>
    <row r="15874" s="197" customFormat="1" ht="12.75" x14ac:dyDescent="0.2"/>
    <row r="15875" s="197" customFormat="1" ht="12.75" x14ac:dyDescent="0.2"/>
    <row r="15876" s="197" customFormat="1" ht="12.75" x14ac:dyDescent="0.2"/>
    <row r="15877" s="197" customFormat="1" ht="12.75" x14ac:dyDescent="0.2"/>
    <row r="15878" s="197" customFormat="1" ht="12.75" x14ac:dyDescent="0.2"/>
    <row r="15879" s="197" customFormat="1" ht="12.75" x14ac:dyDescent="0.2"/>
    <row r="15880" s="197" customFormat="1" ht="12.75" x14ac:dyDescent="0.2"/>
    <row r="15881" s="197" customFormat="1" ht="12.75" x14ac:dyDescent="0.2"/>
    <row r="15882" s="197" customFormat="1" ht="12.75" x14ac:dyDescent="0.2"/>
    <row r="15883" s="197" customFormat="1" ht="12.75" x14ac:dyDescent="0.2"/>
    <row r="15884" s="197" customFormat="1" ht="12.75" x14ac:dyDescent="0.2"/>
    <row r="15885" s="197" customFormat="1" ht="12.75" x14ac:dyDescent="0.2"/>
    <row r="15886" s="197" customFormat="1" ht="12.75" x14ac:dyDescent="0.2"/>
    <row r="15887" s="197" customFormat="1" ht="12.75" x14ac:dyDescent="0.2"/>
    <row r="15888" s="197" customFormat="1" ht="12.75" x14ac:dyDescent="0.2"/>
    <row r="15889" s="197" customFormat="1" ht="12.75" x14ac:dyDescent="0.2"/>
    <row r="15890" s="197" customFormat="1" ht="12.75" x14ac:dyDescent="0.2"/>
    <row r="15891" s="197" customFormat="1" ht="12.75" x14ac:dyDescent="0.2"/>
    <row r="15892" s="197" customFormat="1" ht="12.75" x14ac:dyDescent="0.2"/>
    <row r="15893" s="197" customFormat="1" ht="12.75" x14ac:dyDescent="0.2"/>
    <row r="15894" s="197" customFormat="1" ht="12.75" x14ac:dyDescent="0.2"/>
    <row r="15895" s="197" customFormat="1" ht="12.75" x14ac:dyDescent="0.2"/>
    <row r="15896" s="197" customFormat="1" ht="12.75" x14ac:dyDescent="0.2"/>
    <row r="15897" s="197" customFormat="1" ht="12.75" x14ac:dyDescent="0.2"/>
    <row r="15898" s="197" customFormat="1" ht="12.75" x14ac:dyDescent="0.2"/>
    <row r="15899" s="197" customFormat="1" ht="12.75" x14ac:dyDescent="0.2"/>
    <row r="15900" s="197" customFormat="1" ht="12.75" x14ac:dyDescent="0.2"/>
    <row r="15901" s="197" customFormat="1" ht="12.75" x14ac:dyDescent="0.2"/>
    <row r="15902" s="197" customFormat="1" ht="12.75" x14ac:dyDescent="0.2"/>
    <row r="15903" s="197" customFormat="1" ht="12.75" x14ac:dyDescent="0.2"/>
    <row r="15904" s="197" customFormat="1" ht="12.75" x14ac:dyDescent="0.2"/>
    <row r="15905" s="197" customFormat="1" ht="12.75" x14ac:dyDescent="0.2"/>
    <row r="15906" s="197" customFormat="1" ht="12.75" x14ac:dyDescent="0.2"/>
    <row r="15907" s="197" customFormat="1" ht="12.75" x14ac:dyDescent="0.2"/>
    <row r="15908" s="197" customFormat="1" ht="12.75" x14ac:dyDescent="0.2"/>
    <row r="15909" s="197" customFormat="1" ht="12.75" x14ac:dyDescent="0.2"/>
    <row r="15910" s="197" customFormat="1" ht="12.75" x14ac:dyDescent="0.2"/>
    <row r="15911" s="197" customFormat="1" ht="12.75" x14ac:dyDescent="0.2"/>
    <row r="15912" s="197" customFormat="1" ht="12.75" x14ac:dyDescent="0.2"/>
    <row r="15913" s="197" customFormat="1" ht="12.75" x14ac:dyDescent="0.2"/>
    <row r="15914" s="197" customFormat="1" ht="12.75" x14ac:dyDescent="0.2"/>
    <row r="15915" s="197" customFormat="1" ht="12.75" x14ac:dyDescent="0.2"/>
    <row r="15916" s="197" customFormat="1" ht="12.75" x14ac:dyDescent="0.2"/>
    <row r="15917" s="197" customFormat="1" ht="12.75" x14ac:dyDescent="0.2"/>
    <row r="15918" s="197" customFormat="1" ht="12.75" x14ac:dyDescent="0.2"/>
    <row r="15919" s="197" customFormat="1" ht="12.75" x14ac:dyDescent="0.2"/>
    <row r="15920" s="197" customFormat="1" ht="12.75" x14ac:dyDescent="0.2"/>
    <row r="15921" s="197" customFormat="1" ht="12.75" x14ac:dyDescent="0.2"/>
    <row r="15922" s="197" customFormat="1" ht="12.75" x14ac:dyDescent="0.2"/>
    <row r="15923" s="197" customFormat="1" ht="12.75" x14ac:dyDescent="0.2"/>
    <row r="15924" s="197" customFormat="1" ht="12.75" x14ac:dyDescent="0.2"/>
    <row r="15925" s="197" customFormat="1" ht="12.75" x14ac:dyDescent="0.2"/>
    <row r="15926" s="197" customFormat="1" ht="12.75" x14ac:dyDescent="0.2"/>
    <row r="15927" s="197" customFormat="1" ht="12.75" x14ac:dyDescent="0.2"/>
    <row r="15928" s="197" customFormat="1" ht="12.75" x14ac:dyDescent="0.2"/>
    <row r="15929" s="197" customFormat="1" ht="12.75" x14ac:dyDescent="0.2"/>
    <row r="15930" s="197" customFormat="1" ht="12.75" x14ac:dyDescent="0.2"/>
    <row r="15931" s="197" customFormat="1" ht="12.75" x14ac:dyDescent="0.2"/>
    <row r="15932" s="197" customFormat="1" ht="12.75" x14ac:dyDescent="0.2"/>
    <row r="15933" s="197" customFormat="1" ht="12.75" x14ac:dyDescent="0.2"/>
    <row r="15934" s="197" customFormat="1" ht="12.75" x14ac:dyDescent="0.2"/>
    <row r="15935" s="197" customFormat="1" ht="12.75" x14ac:dyDescent="0.2"/>
    <row r="15936" s="197" customFormat="1" ht="12.75" x14ac:dyDescent="0.2"/>
    <row r="15937" s="197" customFormat="1" ht="12.75" x14ac:dyDescent="0.2"/>
    <row r="15938" s="197" customFormat="1" ht="12.75" x14ac:dyDescent="0.2"/>
    <row r="15939" s="197" customFormat="1" ht="12.75" x14ac:dyDescent="0.2"/>
    <row r="15940" s="197" customFormat="1" ht="12.75" x14ac:dyDescent="0.2"/>
    <row r="15941" s="197" customFormat="1" ht="12.75" x14ac:dyDescent="0.2"/>
    <row r="15942" s="197" customFormat="1" ht="12.75" x14ac:dyDescent="0.2"/>
    <row r="15943" s="197" customFormat="1" ht="12.75" x14ac:dyDescent="0.2"/>
    <row r="15944" s="197" customFormat="1" ht="12.75" x14ac:dyDescent="0.2"/>
    <row r="15945" s="197" customFormat="1" ht="12.75" x14ac:dyDescent="0.2"/>
    <row r="15946" s="197" customFormat="1" ht="12.75" x14ac:dyDescent="0.2"/>
    <row r="15947" s="197" customFormat="1" ht="12.75" x14ac:dyDescent="0.2"/>
    <row r="15948" s="197" customFormat="1" ht="12.75" x14ac:dyDescent="0.2"/>
    <row r="15949" s="197" customFormat="1" ht="12.75" x14ac:dyDescent="0.2"/>
    <row r="15950" s="197" customFormat="1" ht="12.75" x14ac:dyDescent="0.2"/>
    <row r="15951" s="197" customFormat="1" ht="12.75" x14ac:dyDescent="0.2"/>
    <row r="15952" s="197" customFormat="1" ht="12.75" x14ac:dyDescent="0.2"/>
    <row r="15953" s="197" customFormat="1" ht="12.75" x14ac:dyDescent="0.2"/>
    <row r="15954" s="197" customFormat="1" ht="12.75" x14ac:dyDescent="0.2"/>
    <row r="15955" s="197" customFormat="1" ht="12.75" x14ac:dyDescent="0.2"/>
    <row r="15956" s="197" customFormat="1" ht="12.75" x14ac:dyDescent="0.2"/>
    <row r="15957" s="197" customFormat="1" ht="12.75" x14ac:dyDescent="0.2"/>
    <row r="15958" s="197" customFormat="1" ht="12.75" x14ac:dyDescent="0.2"/>
    <row r="15959" s="197" customFormat="1" ht="12.75" x14ac:dyDescent="0.2"/>
    <row r="15960" s="197" customFormat="1" ht="12.75" x14ac:dyDescent="0.2"/>
    <row r="15961" s="197" customFormat="1" ht="12.75" x14ac:dyDescent="0.2"/>
    <row r="15962" s="197" customFormat="1" ht="12.75" x14ac:dyDescent="0.2"/>
    <row r="15963" s="197" customFormat="1" ht="12.75" x14ac:dyDescent="0.2"/>
    <row r="15964" s="197" customFormat="1" ht="12.75" x14ac:dyDescent="0.2"/>
    <row r="15965" s="197" customFormat="1" ht="12.75" x14ac:dyDescent="0.2"/>
    <row r="15966" s="197" customFormat="1" ht="12.75" x14ac:dyDescent="0.2"/>
    <row r="15967" s="197" customFormat="1" ht="12.75" x14ac:dyDescent="0.2"/>
    <row r="15968" s="197" customFormat="1" ht="12.75" x14ac:dyDescent="0.2"/>
    <row r="15969" s="197" customFormat="1" ht="12.75" x14ac:dyDescent="0.2"/>
    <row r="15970" s="197" customFormat="1" ht="12.75" x14ac:dyDescent="0.2"/>
    <row r="15971" s="197" customFormat="1" ht="12.75" x14ac:dyDescent="0.2"/>
    <row r="15972" s="197" customFormat="1" ht="12.75" x14ac:dyDescent="0.2"/>
    <row r="15973" s="197" customFormat="1" ht="12.75" x14ac:dyDescent="0.2"/>
    <row r="15974" s="197" customFormat="1" ht="12.75" x14ac:dyDescent="0.2"/>
    <row r="15975" s="197" customFormat="1" ht="12.75" x14ac:dyDescent="0.2"/>
    <row r="15976" s="197" customFormat="1" ht="12.75" x14ac:dyDescent="0.2"/>
    <row r="15977" s="197" customFormat="1" ht="12.75" x14ac:dyDescent="0.2"/>
    <row r="15978" s="197" customFormat="1" ht="12.75" x14ac:dyDescent="0.2"/>
    <row r="15979" s="197" customFormat="1" ht="12.75" x14ac:dyDescent="0.2"/>
    <row r="15980" s="197" customFormat="1" ht="12.75" x14ac:dyDescent="0.2"/>
    <row r="15981" s="197" customFormat="1" ht="12.75" x14ac:dyDescent="0.2"/>
    <row r="15982" s="197" customFormat="1" ht="12.75" x14ac:dyDescent="0.2"/>
    <row r="15983" s="197" customFormat="1" ht="12.75" x14ac:dyDescent="0.2"/>
    <row r="15984" s="197" customFormat="1" ht="12.75" x14ac:dyDescent="0.2"/>
    <row r="15985" s="197" customFormat="1" ht="12.75" x14ac:dyDescent="0.2"/>
    <row r="15986" s="197" customFormat="1" ht="12.75" x14ac:dyDescent="0.2"/>
    <row r="15987" s="197" customFormat="1" ht="12.75" x14ac:dyDescent="0.2"/>
    <row r="15988" s="197" customFormat="1" ht="12.75" x14ac:dyDescent="0.2"/>
    <row r="15989" s="197" customFormat="1" ht="12.75" x14ac:dyDescent="0.2"/>
    <row r="15990" s="197" customFormat="1" ht="12.75" x14ac:dyDescent="0.2"/>
    <row r="15991" s="197" customFormat="1" ht="12.75" x14ac:dyDescent="0.2"/>
    <row r="15992" s="197" customFormat="1" ht="12.75" x14ac:dyDescent="0.2"/>
    <row r="15993" s="197" customFormat="1" ht="12.75" x14ac:dyDescent="0.2"/>
    <row r="15994" s="197" customFormat="1" ht="12.75" x14ac:dyDescent="0.2"/>
    <row r="15995" s="197" customFormat="1" ht="12.75" x14ac:dyDescent="0.2"/>
    <row r="15996" s="197" customFormat="1" ht="12.75" x14ac:dyDescent="0.2"/>
    <row r="15997" s="197" customFormat="1" ht="12.75" x14ac:dyDescent="0.2"/>
    <row r="15998" s="197" customFormat="1" ht="12.75" x14ac:dyDescent="0.2"/>
    <row r="15999" s="197" customFormat="1" ht="12.75" x14ac:dyDescent="0.2"/>
    <row r="16000" s="197" customFormat="1" ht="12.75" x14ac:dyDescent="0.2"/>
    <row r="16001" s="197" customFormat="1" ht="12.75" x14ac:dyDescent="0.2"/>
    <row r="16002" s="197" customFormat="1" ht="12.75" x14ac:dyDescent="0.2"/>
    <row r="16003" s="197" customFormat="1" ht="12.75" x14ac:dyDescent="0.2"/>
    <row r="16004" s="197" customFormat="1" ht="12.75" x14ac:dyDescent="0.2"/>
    <row r="16005" s="197" customFormat="1" ht="12.75" x14ac:dyDescent="0.2"/>
    <row r="16006" s="197" customFormat="1" ht="12.75" x14ac:dyDescent="0.2"/>
    <row r="16007" s="197" customFormat="1" ht="12.75" x14ac:dyDescent="0.2"/>
    <row r="16008" s="197" customFormat="1" ht="12.75" x14ac:dyDescent="0.2"/>
    <row r="16009" s="197" customFormat="1" ht="12.75" x14ac:dyDescent="0.2"/>
    <row r="16010" s="197" customFormat="1" ht="12.75" x14ac:dyDescent="0.2"/>
    <row r="16011" s="197" customFormat="1" ht="12.75" x14ac:dyDescent="0.2"/>
    <row r="16012" s="197" customFormat="1" ht="12.75" x14ac:dyDescent="0.2"/>
    <row r="16013" s="197" customFormat="1" ht="12.75" x14ac:dyDescent="0.2"/>
    <row r="16014" s="197" customFormat="1" ht="12.75" x14ac:dyDescent="0.2"/>
    <row r="16015" s="197" customFormat="1" ht="12.75" x14ac:dyDescent="0.2"/>
    <row r="16016" s="197" customFormat="1" ht="12.75" x14ac:dyDescent="0.2"/>
    <row r="16017" s="197" customFormat="1" ht="12.75" x14ac:dyDescent="0.2"/>
    <row r="16018" s="197" customFormat="1" ht="12.75" x14ac:dyDescent="0.2"/>
    <row r="16019" s="197" customFormat="1" ht="12.75" x14ac:dyDescent="0.2"/>
    <row r="16020" s="197" customFormat="1" ht="12.75" x14ac:dyDescent="0.2"/>
    <row r="16021" s="197" customFormat="1" ht="12.75" x14ac:dyDescent="0.2"/>
    <row r="16022" s="197" customFormat="1" ht="12.75" x14ac:dyDescent="0.2"/>
    <row r="16023" s="197" customFormat="1" ht="12.75" x14ac:dyDescent="0.2"/>
    <row r="16024" s="197" customFormat="1" ht="12.75" x14ac:dyDescent="0.2"/>
    <row r="16025" s="197" customFormat="1" ht="12.75" x14ac:dyDescent="0.2"/>
    <row r="16026" s="197" customFormat="1" ht="12.75" x14ac:dyDescent="0.2"/>
    <row r="16027" s="197" customFormat="1" ht="12.75" x14ac:dyDescent="0.2"/>
    <row r="16028" s="197" customFormat="1" ht="12.75" x14ac:dyDescent="0.2"/>
    <row r="16029" s="197" customFormat="1" ht="12.75" x14ac:dyDescent="0.2"/>
    <row r="16030" s="197" customFormat="1" ht="12.75" x14ac:dyDescent="0.2"/>
    <row r="16031" s="197" customFormat="1" ht="12.75" x14ac:dyDescent="0.2"/>
    <row r="16032" s="197" customFormat="1" ht="12.75" x14ac:dyDescent="0.2"/>
    <row r="16033" s="197" customFormat="1" ht="12.75" x14ac:dyDescent="0.2"/>
    <row r="16034" s="197" customFormat="1" ht="12.75" x14ac:dyDescent="0.2"/>
    <row r="16035" s="197" customFormat="1" ht="12.75" x14ac:dyDescent="0.2"/>
    <row r="16036" s="197" customFormat="1" ht="12.75" x14ac:dyDescent="0.2"/>
    <row r="16037" s="197" customFormat="1" ht="12.75" x14ac:dyDescent="0.2"/>
    <row r="16038" s="197" customFormat="1" ht="12.75" x14ac:dyDescent="0.2"/>
    <row r="16039" s="197" customFormat="1" ht="12.75" x14ac:dyDescent="0.2"/>
    <row r="16040" s="197" customFormat="1" ht="12.75" x14ac:dyDescent="0.2"/>
    <row r="16041" s="197" customFormat="1" ht="12.75" x14ac:dyDescent="0.2"/>
    <row r="16042" s="197" customFormat="1" ht="12.75" x14ac:dyDescent="0.2"/>
    <row r="16043" s="197" customFormat="1" ht="12.75" x14ac:dyDescent="0.2"/>
    <row r="16044" s="197" customFormat="1" ht="12.75" x14ac:dyDescent="0.2"/>
    <row r="16045" s="197" customFormat="1" ht="12.75" x14ac:dyDescent="0.2"/>
    <row r="16046" s="197" customFormat="1" ht="12.75" x14ac:dyDescent="0.2"/>
    <row r="16047" s="197" customFormat="1" ht="12.75" x14ac:dyDescent="0.2"/>
    <row r="16048" s="197" customFormat="1" ht="12.75" x14ac:dyDescent="0.2"/>
    <row r="16049" s="197" customFormat="1" ht="12.75" x14ac:dyDescent="0.2"/>
    <row r="16050" s="197" customFormat="1" ht="12.75" x14ac:dyDescent="0.2"/>
    <row r="16051" s="197" customFormat="1" ht="12.75" x14ac:dyDescent="0.2"/>
    <row r="16052" s="197" customFormat="1" ht="12.75" x14ac:dyDescent="0.2"/>
    <row r="16053" s="197" customFormat="1" ht="12.75" x14ac:dyDescent="0.2"/>
    <row r="16054" s="197" customFormat="1" ht="12.75" x14ac:dyDescent="0.2"/>
    <row r="16055" s="197" customFormat="1" ht="12.75" x14ac:dyDescent="0.2"/>
    <row r="16056" s="197" customFormat="1" ht="12.75" x14ac:dyDescent="0.2"/>
    <row r="16057" s="197" customFormat="1" ht="12.75" x14ac:dyDescent="0.2"/>
    <row r="16058" s="197" customFormat="1" ht="12.75" x14ac:dyDescent="0.2"/>
    <row r="16059" s="197" customFormat="1" ht="12.75" x14ac:dyDescent="0.2"/>
    <row r="16060" s="197" customFormat="1" ht="12.75" x14ac:dyDescent="0.2"/>
    <row r="16061" s="197" customFormat="1" ht="12.75" x14ac:dyDescent="0.2"/>
    <row r="16062" s="197" customFormat="1" ht="12.75" x14ac:dyDescent="0.2"/>
    <row r="16063" s="197" customFormat="1" ht="12.75" x14ac:dyDescent="0.2"/>
    <row r="16064" s="197" customFormat="1" ht="12.75" x14ac:dyDescent="0.2"/>
    <row r="16065" s="197" customFormat="1" ht="12.75" x14ac:dyDescent="0.2"/>
    <row r="16066" s="197" customFormat="1" ht="12.75" x14ac:dyDescent="0.2"/>
    <row r="16067" s="197" customFormat="1" ht="12.75" x14ac:dyDescent="0.2"/>
    <row r="16068" s="197" customFormat="1" ht="12.75" x14ac:dyDescent="0.2"/>
    <row r="16069" s="197" customFormat="1" ht="12.75" x14ac:dyDescent="0.2"/>
    <row r="16070" s="197" customFormat="1" ht="12.75" x14ac:dyDescent="0.2"/>
    <row r="16071" s="197" customFormat="1" ht="12.75" x14ac:dyDescent="0.2"/>
    <row r="16072" s="197" customFormat="1" ht="12.75" x14ac:dyDescent="0.2"/>
    <row r="16073" s="197" customFormat="1" ht="12.75" x14ac:dyDescent="0.2"/>
    <row r="16074" s="197" customFormat="1" ht="12.75" x14ac:dyDescent="0.2"/>
    <row r="16075" s="197" customFormat="1" ht="12.75" x14ac:dyDescent="0.2"/>
    <row r="16076" s="197" customFormat="1" ht="12.75" x14ac:dyDescent="0.2"/>
    <row r="16077" s="197" customFormat="1" ht="12.75" x14ac:dyDescent="0.2"/>
    <row r="16078" s="197" customFormat="1" ht="12.75" x14ac:dyDescent="0.2"/>
    <row r="16079" s="197" customFormat="1" ht="12.75" x14ac:dyDescent="0.2"/>
    <row r="16080" s="197" customFormat="1" ht="12.75" x14ac:dyDescent="0.2"/>
    <row r="16081" s="197" customFormat="1" ht="12.75" x14ac:dyDescent="0.2"/>
    <row r="16082" s="197" customFormat="1" ht="12.75" x14ac:dyDescent="0.2"/>
    <row r="16083" s="197" customFormat="1" ht="12.75" x14ac:dyDescent="0.2"/>
    <row r="16084" s="197" customFormat="1" ht="12.75" x14ac:dyDescent="0.2"/>
    <row r="16085" s="197" customFormat="1" ht="12.75" x14ac:dyDescent="0.2"/>
    <row r="16086" s="197" customFormat="1" ht="12.75" x14ac:dyDescent="0.2"/>
    <row r="16087" s="197" customFormat="1" ht="12.75" x14ac:dyDescent="0.2"/>
    <row r="16088" s="197" customFormat="1" ht="12.75" x14ac:dyDescent="0.2"/>
    <row r="16089" s="197" customFormat="1" ht="12.75" x14ac:dyDescent="0.2"/>
    <row r="16090" s="197" customFormat="1" ht="12.75" x14ac:dyDescent="0.2"/>
    <row r="16091" s="197" customFormat="1" ht="12.75" x14ac:dyDescent="0.2"/>
    <row r="16092" s="197" customFormat="1" ht="12.75" x14ac:dyDescent="0.2"/>
    <row r="16093" s="197" customFormat="1" ht="12.75" x14ac:dyDescent="0.2"/>
    <row r="16094" s="197" customFormat="1" ht="12.75" x14ac:dyDescent="0.2"/>
    <row r="16095" s="197" customFormat="1" ht="12.75" x14ac:dyDescent="0.2"/>
    <row r="16096" s="197" customFormat="1" ht="12.75" x14ac:dyDescent="0.2"/>
    <row r="16097" s="197" customFormat="1" ht="12.75" x14ac:dyDescent="0.2"/>
    <row r="16098" s="197" customFormat="1" ht="12.75" x14ac:dyDescent="0.2"/>
    <row r="16099" s="197" customFormat="1" ht="12.75" x14ac:dyDescent="0.2"/>
    <row r="16100" s="197" customFormat="1" ht="12.75" x14ac:dyDescent="0.2"/>
    <row r="16101" s="197" customFormat="1" ht="12.75" x14ac:dyDescent="0.2"/>
    <row r="16102" s="197" customFormat="1" ht="12.75" x14ac:dyDescent="0.2"/>
    <row r="16103" s="197" customFormat="1" ht="12.75" x14ac:dyDescent="0.2"/>
    <row r="16104" s="197" customFormat="1" ht="12.75" x14ac:dyDescent="0.2"/>
    <row r="16105" s="197" customFormat="1" ht="12.75" x14ac:dyDescent="0.2"/>
    <row r="16106" s="197" customFormat="1" ht="12.75" x14ac:dyDescent="0.2"/>
    <row r="16107" s="197" customFormat="1" ht="12.75" x14ac:dyDescent="0.2"/>
    <row r="16108" s="197" customFormat="1" ht="12.75" x14ac:dyDescent="0.2"/>
    <row r="16109" s="197" customFormat="1" ht="12.75" x14ac:dyDescent="0.2"/>
    <row r="16110" s="197" customFormat="1" ht="12.75" x14ac:dyDescent="0.2"/>
    <row r="16111" s="197" customFormat="1" ht="12.75" x14ac:dyDescent="0.2"/>
    <row r="16112" s="197" customFormat="1" ht="12.75" x14ac:dyDescent="0.2"/>
    <row r="16113" s="197" customFormat="1" ht="12.75" x14ac:dyDescent="0.2"/>
    <row r="16114" s="197" customFormat="1" ht="12.75" x14ac:dyDescent="0.2"/>
    <row r="16115" s="197" customFormat="1" ht="12.75" x14ac:dyDescent="0.2"/>
    <row r="16116" s="197" customFormat="1" ht="12.75" x14ac:dyDescent="0.2"/>
    <row r="16117" s="197" customFormat="1" ht="12.75" x14ac:dyDescent="0.2"/>
    <row r="16118" s="197" customFormat="1" ht="12.75" x14ac:dyDescent="0.2"/>
    <row r="16119" s="197" customFormat="1" ht="12.75" x14ac:dyDescent="0.2"/>
    <row r="16120" s="197" customFormat="1" ht="12.75" x14ac:dyDescent="0.2"/>
    <row r="16121" s="197" customFormat="1" ht="12.75" x14ac:dyDescent="0.2"/>
    <row r="16122" s="197" customFormat="1" ht="12.75" x14ac:dyDescent="0.2"/>
    <row r="16123" s="197" customFormat="1" ht="12.75" x14ac:dyDescent="0.2"/>
    <row r="16124" s="197" customFormat="1" ht="12.75" x14ac:dyDescent="0.2"/>
    <row r="16125" s="197" customFormat="1" ht="12.75" x14ac:dyDescent="0.2"/>
    <row r="16126" s="197" customFormat="1" ht="12.75" x14ac:dyDescent="0.2"/>
    <row r="16127" s="197" customFormat="1" ht="12.75" x14ac:dyDescent="0.2"/>
    <row r="16128" s="197" customFormat="1" ht="12.75" x14ac:dyDescent="0.2"/>
    <row r="16129" s="197" customFormat="1" ht="12.75" x14ac:dyDescent="0.2"/>
    <row r="16130" s="197" customFormat="1" ht="12.75" x14ac:dyDescent="0.2"/>
    <row r="16131" s="197" customFormat="1" ht="12.75" x14ac:dyDescent="0.2"/>
    <row r="16132" s="197" customFormat="1" ht="12.75" x14ac:dyDescent="0.2"/>
    <row r="16133" s="197" customFormat="1" ht="12.75" x14ac:dyDescent="0.2"/>
    <row r="16134" s="197" customFormat="1" ht="12.75" x14ac:dyDescent="0.2"/>
    <row r="16135" s="197" customFormat="1" ht="12.75" x14ac:dyDescent="0.2"/>
    <row r="16136" s="197" customFormat="1" ht="12.75" x14ac:dyDescent="0.2"/>
    <row r="16137" s="197" customFormat="1" ht="12.75" x14ac:dyDescent="0.2"/>
    <row r="16138" s="197" customFormat="1" ht="12.75" x14ac:dyDescent="0.2"/>
    <row r="16139" s="197" customFormat="1" ht="12.75" x14ac:dyDescent="0.2"/>
    <row r="16140" s="197" customFormat="1" ht="12.75" x14ac:dyDescent="0.2"/>
    <row r="16141" s="197" customFormat="1" ht="12.75" x14ac:dyDescent="0.2"/>
    <row r="16142" s="197" customFormat="1" ht="12.75" x14ac:dyDescent="0.2"/>
    <row r="16143" s="197" customFormat="1" ht="12.75" x14ac:dyDescent="0.2"/>
    <row r="16144" s="197" customFormat="1" ht="12.75" x14ac:dyDescent="0.2"/>
    <row r="16145" s="197" customFormat="1" ht="12.75" x14ac:dyDescent="0.2"/>
    <row r="16146" s="197" customFormat="1" ht="12.75" x14ac:dyDescent="0.2"/>
    <row r="16147" s="197" customFormat="1" ht="12.75" x14ac:dyDescent="0.2"/>
    <row r="16148" s="197" customFormat="1" ht="12.75" x14ac:dyDescent="0.2"/>
    <row r="16149" s="197" customFormat="1" ht="12.75" x14ac:dyDescent="0.2"/>
    <row r="16150" s="197" customFormat="1" ht="12.75" x14ac:dyDescent="0.2"/>
    <row r="16151" s="197" customFormat="1" ht="12.75" x14ac:dyDescent="0.2"/>
    <row r="16152" s="197" customFormat="1" ht="12.75" x14ac:dyDescent="0.2"/>
    <row r="16153" s="197" customFormat="1" ht="12.75" x14ac:dyDescent="0.2"/>
    <row r="16154" s="197" customFormat="1" ht="12.75" x14ac:dyDescent="0.2"/>
    <row r="16155" s="197" customFormat="1" ht="12.75" x14ac:dyDescent="0.2"/>
    <row r="16156" s="197" customFormat="1" ht="12.75" x14ac:dyDescent="0.2"/>
    <row r="16157" s="197" customFormat="1" ht="12.75" x14ac:dyDescent="0.2"/>
    <row r="16158" s="197" customFormat="1" ht="12.75" x14ac:dyDescent="0.2"/>
    <row r="16159" s="197" customFormat="1" ht="12.75" x14ac:dyDescent="0.2"/>
    <row r="16160" s="197" customFormat="1" ht="12.75" x14ac:dyDescent="0.2"/>
    <row r="16161" s="197" customFormat="1" ht="12.75" x14ac:dyDescent="0.2"/>
    <row r="16162" s="197" customFormat="1" ht="12.75" x14ac:dyDescent="0.2"/>
    <row r="16163" s="197" customFormat="1" ht="12.75" x14ac:dyDescent="0.2"/>
    <row r="16164" s="197" customFormat="1" ht="12.75" x14ac:dyDescent="0.2"/>
    <row r="16165" s="197" customFormat="1" ht="12.75" x14ac:dyDescent="0.2"/>
    <row r="16166" s="197" customFormat="1" ht="12.75" x14ac:dyDescent="0.2"/>
    <row r="16167" s="197" customFormat="1" ht="12.75" x14ac:dyDescent="0.2"/>
    <row r="16168" s="197" customFormat="1" ht="12.75" x14ac:dyDescent="0.2"/>
    <row r="16169" s="197" customFormat="1" ht="12.75" x14ac:dyDescent="0.2"/>
    <row r="16170" s="197" customFormat="1" ht="12.75" x14ac:dyDescent="0.2"/>
    <row r="16171" s="197" customFormat="1" ht="12.75" x14ac:dyDescent="0.2"/>
    <row r="16172" s="197" customFormat="1" ht="12.75" x14ac:dyDescent="0.2"/>
    <row r="16173" s="197" customFormat="1" ht="12.75" x14ac:dyDescent="0.2"/>
    <row r="16174" s="197" customFormat="1" ht="12.75" x14ac:dyDescent="0.2"/>
    <row r="16175" s="197" customFormat="1" ht="12.75" x14ac:dyDescent="0.2"/>
    <row r="16176" s="197" customFormat="1" ht="12.75" x14ac:dyDescent="0.2"/>
    <row r="16177" s="197" customFormat="1" ht="12.75" x14ac:dyDescent="0.2"/>
    <row r="16178" s="197" customFormat="1" ht="12.75" x14ac:dyDescent="0.2"/>
    <row r="16179" s="197" customFormat="1" ht="12.75" x14ac:dyDescent="0.2"/>
    <row r="16180" s="197" customFormat="1" ht="12.75" x14ac:dyDescent="0.2"/>
    <row r="16181" s="197" customFormat="1" ht="12.75" x14ac:dyDescent="0.2"/>
    <row r="16182" s="197" customFormat="1" ht="12.75" x14ac:dyDescent="0.2"/>
    <row r="16183" s="197" customFormat="1" ht="12.75" x14ac:dyDescent="0.2"/>
    <row r="16184" s="197" customFormat="1" ht="12.75" x14ac:dyDescent="0.2"/>
    <row r="16185" s="197" customFormat="1" ht="12.75" x14ac:dyDescent="0.2"/>
    <row r="16186" s="197" customFormat="1" ht="12.75" x14ac:dyDescent="0.2"/>
    <row r="16187" s="197" customFormat="1" ht="12.75" x14ac:dyDescent="0.2"/>
    <row r="16188" s="197" customFormat="1" ht="12.75" x14ac:dyDescent="0.2"/>
    <row r="16189" s="197" customFormat="1" ht="12.75" x14ac:dyDescent="0.2"/>
    <row r="16190" s="197" customFormat="1" ht="12.75" x14ac:dyDescent="0.2"/>
    <row r="16191" s="197" customFormat="1" ht="12.75" x14ac:dyDescent="0.2"/>
    <row r="16192" s="197" customFormat="1" ht="12.75" x14ac:dyDescent="0.2"/>
    <row r="16193" s="197" customFormat="1" ht="12.75" x14ac:dyDescent="0.2"/>
    <row r="16194" s="197" customFormat="1" ht="12.75" x14ac:dyDescent="0.2"/>
    <row r="16195" s="197" customFormat="1" ht="12.75" x14ac:dyDescent="0.2"/>
    <row r="16196" s="197" customFormat="1" ht="12.75" x14ac:dyDescent="0.2"/>
    <row r="16197" s="197" customFormat="1" ht="12.75" x14ac:dyDescent="0.2"/>
    <row r="16198" s="197" customFormat="1" ht="12.75" x14ac:dyDescent="0.2"/>
    <row r="16199" s="197" customFormat="1" ht="12.75" x14ac:dyDescent="0.2"/>
    <row r="16200" s="197" customFormat="1" ht="12.75" x14ac:dyDescent="0.2"/>
    <row r="16201" s="197" customFormat="1" ht="12.75" x14ac:dyDescent="0.2"/>
    <row r="16202" s="197" customFormat="1" ht="12.75" x14ac:dyDescent="0.2"/>
    <row r="16203" s="197" customFormat="1" ht="12.75" x14ac:dyDescent="0.2"/>
    <row r="16204" s="197" customFormat="1" ht="12.75" x14ac:dyDescent="0.2"/>
    <row r="16205" s="197" customFormat="1" ht="12.75" x14ac:dyDescent="0.2"/>
    <row r="16206" s="197" customFormat="1" ht="12.75" x14ac:dyDescent="0.2"/>
    <row r="16207" s="197" customFormat="1" ht="12.75" x14ac:dyDescent="0.2"/>
    <row r="16208" s="197" customFormat="1" ht="12.75" x14ac:dyDescent="0.2"/>
    <row r="16209" s="197" customFormat="1" ht="12.75" x14ac:dyDescent="0.2"/>
    <row r="16210" s="197" customFormat="1" ht="12.75" x14ac:dyDescent="0.2"/>
    <row r="16211" s="197" customFormat="1" ht="12.75" x14ac:dyDescent="0.2"/>
    <row r="16212" s="197" customFormat="1" ht="12.75" x14ac:dyDescent="0.2"/>
    <row r="16213" s="197" customFormat="1" ht="12.75" x14ac:dyDescent="0.2"/>
    <row r="16214" s="197" customFormat="1" ht="12.75" x14ac:dyDescent="0.2"/>
    <row r="16215" s="197" customFormat="1" ht="12.75" x14ac:dyDescent="0.2"/>
    <row r="16216" s="197" customFormat="1" ht="12.75" x14ac:dyDescent="0.2"/>
    <row r="16217" s="197" customFormat="1" ht="12.75" x14ac:dyDescent="0.2"/>
    <row r="16218" s="197" customFormat="1" ht="12.75" x14ac:dyDescent="0.2"/>
    <row r="16219" s="197" customFormat="1" ht="12.75" x14ac:dyDescent="0.2"/>
    <row r="16220" s="197" customFormat="1" ht="12.75" x14ac:dyDescent="0.2"/>
    <row r="16221" s="197" customFormat="1" ht="12.75" x14ac:dyDescent="0.2"/>
    <row r="16222" s="197" customFormat="1" ht="12.75" x14ac:dyDescent="0.2"/>
    <row r="16223" s="197" customFormat="1" ht="12.75" x14ac:dyDescent="0.2"/>
    <row r="16224" s="197" customFormat="1" ht="12.75" x14ac:dyDescent="0.2"/>
    <row r="16225" s="197" customFormat="1" ht="12.75" x14ac:dyDescent="0.2"/>
    <row r="16226" s="197" customFormat="1" ht="12.75" x14ac:dyDescent="0.2"/>
    <row r="16227" s="197" customFormat="1" ht="12.75" x14ac:dyDescent="0.2"/>
    <row r="16228" s="197" customFormat="1" ht="12.75" x14ac:dyDescent="0.2"/>
    <row r="16229" s="197" customFormat="1" ht="12.75" x14ac:dyDescent="0.2"/>
    <row r="16230" s="197" customFormat="1" ht="12.75" x14ac:dyDescent="0.2"/>
    <row r="16231" s="197" customFormat="1" ht="12.75" x14ac:dyDescent="0.2"/>
    <row r="16232" s="197" customFormat="1" ht="12.75" x14ac:dyDescent="0.2"/>
    <row r="16233" s="197" customFormat="1" ht="12.75" x14ac:dyDescent="0.2"/>
    <row r="16234" s="197" customFormat="1" ht="12.75" x14ac:dyDescent="0.2"/>
    <row r="16235" s="197" customFormat="1" ht="12.75" x14ac:dyDescent="0.2"/>
    <row r="16236" s="197" customFormat="1" ht="12.75" x14ac:dyDescent="0.2"/>
    <row r="16237" s="197" customFormat="1" ht="12.75" x14ac:dyDescent="0.2"/>
    <row r="16238" s="197" customFormat="1" ht="12.75" x14ac:dyDescent="0.2"/>
    <row r="16239" s="197" customFormat="1" ht="12.75" x14ac:dyDescent="0.2"/>
    <row r="16240" s="197" customFormat="1" ht="12.75" x14ac:dyDescent="0.2"/>
    <row r="16241" s="197" customFormat="1" ht="12.75" x14ac:dyDescent="0.2"/>
    <row r="16242" s="197" customFormat="1" ht="12.75" x14ac:dyDescent="0.2"/>
    <row r="16243" s="197" customFormat="1" ht="12.75" x14ac:dyDescent="0.2"/>
    <row r="16244" s="197" customFormat="1" ht="12.75" x14ac:dyDescent="0.2"/>
    <row r="16245" s="197" customFormat="1" ht="12.75" x14ac:dyDescent="0.2"/>
    <row r="16246" s="197" customFormat="1" ht="12.75" x14ac:dyDescent="0.2"/>
    <row r="16247" s="197" customFormat="1" ht="12.75" x14ac:dyDescent="0.2"/>
    <row r="16248" s="197" customFormat="1" ht="12.75" x14ac:dyDescent="0.2"/>
    <row r="16249" s="197" customFormat="1" ht="12.75" x14ac:dyDescent="0.2"/>
    <row r="16250" s="197" customFormat="1" ht="12.75" x14ac:dyDescent="0.2"/>
    <row r="16251" s="197" customFormat="1" ht="12.75" x14ac:dyDescent="0.2"/>
    <row r="16252" s="197" customFormat="1" ht="12.75" x14ac:dyDescent="0.2"/>
    <row r="16253" s="197" customFormat="1" ht="12.75" x14ac:dyDescent="0.2"/>
    <row r="16254" s="197" customFormat="1" ht="12.75" x14ac:dyDescent="0.2"/>
    <row r="16255" s="197" customFormat="1" ht="12.75" x14ac:dyDescent="0.2"/>
    <row r="16256" s="197" customFormat="1" ht="12.75" x14ac:dyDescent="0.2"/>
    <row r="16257" s="197" customFormat="1" ht="12.75" x14ac:dyDescent="0.2"/>
    <row r="16258" s="197" customFormat="1" ht="12.75" x14ac:dyDescent="0.2"/>
    <row r="16259" s="197" customFormat="1" ht="12.75" x14ac:dyDescent="0.2"/>
    <row r="16260" s="197" customFormat="1" ht="12.75" x14ac:dyDescent="0.2"/>
    <row r="16261" s="197" customFormat="1" ht="12.75" x14ac:dyDescent="0.2"/>
    <row r="16262" s="197" customFormat="1" ht="12.75" x14ac:dyDescent="0.2"/>
    <row r="16263" s="197" customFormat="1" ht="12.75" x14ac:dyDescent="0.2"/>
    <row r="16264" s="197" customFormat="1" ht="12.75" x14ac:dyDescent="0.2"/>
    <row r="16265" s="197" customFormat="1" ht="12.75" x14ac:dyDescent="0.2"/>
    <row r="16266" s="197" customFormat="1" ht="12.75" x14ac:dyDescent="0.2"/>
    <row r="16267" s="197" customFormat="1" ht="12.75" x14ac:dyDescent="0.2"/>
    <row r="16268" s="197" customFormat="1" ht="12.75" x14ac:dyDescent="0.2"/>
    <row r="16269" s="197" customFormat="1" ht="12.75" x14ac:dyDescent="0.2"/>
    <row r="16270" s="197" customFormat="1" ht="12.75" x14ac:dyDescent="0.2"/>
    <row r="16271" s="197" customFormat="1" ht="12.75" x14ac:dyDescent="0.2"/>
    <row r="16272" s="197" customFormat="1" ht="12.75" x14ac:dyDescent="0.2"/>
    <row r="16273" s="197" customFormat="1" ht="12.75" x14ac:dyDescent="0.2"/>
    <row r="16274" s="197" customFormat="1" ht="12.75" x14ac:dyDescent="0.2"/>
    <row r="16275" s="197" customFormat="1" ht="12.75" x14ac:dyDescent="0.2"/>
    <row r="16276" s="197" customFormat="1" ht="12.75" x14ac:dyDescent="0.2"/>
    <row r="16277" s="197" customFormat="1" ht="12.75" x14ac:dyDescent="0.2"/>
    <row r="16278" s="197" customFormat="1" ht="12.75" x14ac:dyDescent="0.2"/>
    <row r="16279" s="197" customFormat="1" ht="12.75" x14ac:dyDescent="0.2"/>
    <row r="16280" s="197" customFormat="1" ht="12.75" x14ac:dyDescent="0.2"/>
    <row r="16281" s="197" customFormat="1" ht="12.75" x14ac:dyDescent="0.2"/>
    <row r="16282" s="197" customFormat="1" ht="12.75" x14ac:dyDescent="0.2"/>
    <row r="16283" s="197" customFormat="1" ht="12.75" x14ac:dyDescent="0.2"/>
    <row r="16284" s="197" customFormat="1" ht="12.75" x14ac:dyDescent="0.2"/>
    <row r="16285" s="197" customFormat="1" ht="12.75" x14ac:dyDescent="0.2"/>
    <row r="16286" s="197" customFormat="1" ht="12.75" x14ac:dyDescent="0.2"/>
    <row r="16287" s="197" customFormat="1" ht="12.75" x14ac:dyDescent="0.2"/>
    <row r="16288" s="197" customFormat="1" ht="12.75" x14ac:dyDescent="0.2"/>
    <row r="16289" s="197" customFormat="1" ht="12.75" x14ac:dyDescent="0.2"/>
    <row r="16290" s="197" customFormat="1" ht="12.75" x14ac:dyDescent="0.2"/>
    <row r="16291" s="197" customFormat="1" ht="12.75" x14ac:dyDescent="0.2"/>
    <row r="16292" s="197" customFormat="1" ht="12.75" x14ac:dyDescent="0.2"/>
    <row r="16293" s="197" customFormat="1" ht="12.75" x14ac:dyDescent="0.2"/>
    <row r="16294" s="197" customFormat="1" ht="12.75" x14ac:dyDescent="0.2"/>
    <row r="16295" s="197" customFormat="1" ht="12.75" x14ac:dyDescent="0.2"/>
    <row r="16296" s="197" customFormat="1" ht="12.75" x14ac:dyDescent="0.2"/>
    <row r="16297" s="197" customFormat="1" ht="12.75" x14ac:dyDescent="0.2"/>
    <row r="16298" s="197" customFormat="1" ht="12.75" x14ac:dyDescent="0.2"/>
    <row r="16299" s="197" customFormat="1" ht="12.75" x14ac:dyDescent="0.2"/>
    <row r="16300" s="197" customFormat="1" ht="12.75" x14ac:dyDescent="0.2"/>
    <row r="16301" s="197" customFormat="1" ht="12.75" x14ac:dyDescent="0.2"/>
    <row r="16302" s="197" customFormat="1" ht="12.75" x14ac:dyDescent="0.2"/>
    <row r="16303" s="197" customFormat="1" ht="12.75" x14ac:dyDescent="0.2"/>
    <row r="16304" s="197" customFormat="1" ht="12.75" x14ac:dyDescent="0.2"/>
    <row r="16305" s="197" customFormat="1" ht="12.75" x14ac:dyDescent="0.2"/>
    <row r="16306" s="197" customFormat="1" ht="12.75" x14ac:dyDescent="0.2"/>
    <row r="16307" s="197" customFormat="1" ht="12.75" x14ac:dyDescent="0.2"/>
    <row r="16308" s="197" customFormat="1" ht="12.75" x14ac:dyDescent="0.2"/>
    <row r="16309" s="197" customFormat="1" ht="12.75" x14ac:dyDescent="0.2"/>
    <row r="16310" s="197" customFormat="1" ht="12.75" x14ac:dyDescent="0.2"/>
    <row r="16311" s="197" customFormat="1" ht="12.75" x14ac:dyDescent="0.2"/>
    <row r="16312" s="197" customFormat="1" ht="12.75" x14ac:dyDescent="0.2"/>
    <row r="16313" s="197" customFormat="1" ht="12.75" x14ac:dyDescent="0.2"/>
    <row r="16314" s="197" customFormat="1" ht="12.75" x14ac:dyDescent="0.2"/>
    <row r="16315" s="197" customFormat="1" ht="12.75" x14ac:dyDescent="0.2"/>
    <row r="16316" s="197" customFormat="1" ht="12.75" x14ac:dyDescent="0.2"/>
    <row r="16317" s="197" customFormat="1" ht="12.75" x14ac:dyDescent="0.2"/>
    <row r="16318" s="197" customFormat="1" ht="12.75" x14ac:dyDescent="0.2"/>
    <row r="16319" s="197" customFormat="1" ht="12.75" x14ac:dyDescent="0.2"/>
    <row r="16320" s="197" customFormat="1" ht="12.75" x14ac:dyDescent="0.2"/>
    <row r="16321" s="197" customFormat="1" ht="12.75" x14ac:dyDescent="0.2"/>
    <row r="16322" s="197" customFormat="1" ht="12.75" x14ac:dyDescent="0.2"/>
    <row r="16323" s="197" customFormat="1" ht="12.75" x14ac:dyDescent="0.2"/>
    <row r="16324" s="197" customFormat="1" ht="12.75" x14ac:dyDescent="0.2"/>
    <row r="16325" s="197" customFormat="1" ht="12.75" x14ac:dyDescent="0.2"/>
    <row r="16326" s="197" customFormat="1" ht="12.75" x14ac:dyDescent="0.2"/>
    <row r="16327" s="197" customFormat="1" ht="12.75" x14ac:dyDescent="0.2"/>
    <row r="16328" s="197" customFormat="1" ht="12.75" x14ac:dyDescent="0.2"/>
    <row r="16329" s="197" customFormat="1" ht="12.75" x14ac:dyDescent="0.2"/>
    <row r="16330" s="197" customFormat="1" ht="12.75" x14ac:dyDescent="0.2"/>
    <row r="16331" s="197" customFormat="1" ht="12.75" x14ac:dyDescent="0.2"/>
    <row r="16332" s="197" customFormat="1" ht="12.75" x14ac:dyDescent="0.2"/>
    <row r="16333" s="197" customFormat="1" ht="12.75" x14ac:dyDescent="0.2"/>
    <row r="16334" s="197" customFormat="1" ht="12.75" x14ac:dyDescent="0.2"/>
    <row r="16335" s="197" customFormat="1" ht="12.75" x14ac:dyDescent="0.2"/>
    <row r="16336" s="197" customFormat="1" ht="12.75" x14ac:dyDescent="0.2"/>
    <row r="16337" s="197" customFormat="1" ht="12.75" x14ac:dyDescent="0.2"/>
    <row r="16338" s="197" customFormat="1" ht="12.75" x14ac:dyDescent="0.2"/>
    <row r="16339" s="197" customFormat="1" ht="12.75" x14ac:dyDescent="0.2"/>
    <row r="16340" s="197" customFormat="1" ht="12.75" x14ac:dyDescent="0.2"/>
    <row r="16341" s="197" customFormat="1" ht="12.75" x14ac:dyDescent="0.2"/>
    <row r="16342" s="197" customFormat="1" ht="12.75" x14ac:dyDescent="0.2"/>
    <row r="16343" s="197" customFormat="1" ht="12.75" x14ac:dyDescent="0.2"/>
    <row r="16344" s="197" customFormat="1" ht="12.75" x14ac:dyDescent="0.2"/>
    <row r="16345" s="197" customFormat="1" ht="12.75" x14ac:dyDescent="0.2"/>
    <row r="16346" s="197" customFormat="1" ht="12.75" x14ac:dyDescent="0.2"/>
    <row r="16347" s="197" customFormat="1" ht="12.75" x14ac:dyDescent="0.2"/>
    <row r="16348" s="197" customFormat="1" ht="12.75" x14ac:dyDescent="0.2"/>
    <row r="16349" s="197" customFormat="1" ht="12.75" x14ac:dyDescent="0.2"/>
    <row r="16350" s="197" customFormat="1" ht="12.75" x14ac:dyDescent="0.2"/>
    <row r="16351" s="197" customFormat="1" ht="12.75" x14ac:dyDescent="0.2"/>
    <row r="16352" s="197" customFormat="1" ht="12.75" x14ac:dyDescent="0.2"/>
    <row r="16353" s="197" customFormat="1" ht="12.75" x14ac:dyDescent="0.2"/>
    <row r="16354" s="197" customFormat="1" ht="12.75" x14ac:dyDescent="0.2"/>
    <row r="16355" s="197" customFormat="1" ht="12.75" x14ac:dyDescent="0.2"/>
    <row r="16356" s="197" customFormat="1" ht="12.75" x14ac:dyDescent="0.2"/>
    <row r="16357" s="197" customFormat="1" ht="12.75" x14ac:dyDescent="0.2"/>
    <row r="16358" s="197" customFormat="1" ht="12.75" x14ac:dyDescent="0.2"/>
    <row r="16359" s="197" customFormat="1" ht="12.75" x14ac:dyDescent="0.2"/>
    <row r="16360" s="197" customFormat="1" ht="12.75" x14ac:dyDescent="0.2"/>
    <row r="16361" s="197" customFormat="1" ht="12.75" x14ac:dyDescent="0.2"/>
    <row r="16362" s="197" customFormat="1" ht="12.75" x14ac:dyDescent="0.2"/>
    <row r="16363" s="197" customFormat="1" ht="12.75" x14ac:dyDescent="0.2"/>
    <row r="16364" s="197" customFormat="1" ht="12.75" x14ac:dyDescent="0.2"/>
    <row r="16365" s="197" customFormat="1" ht="12.75" x14ac:dyDescent="0.2"/>
    <row r="16366" s="197" customFormat="1" ht="12.75" x14ac:dyDescent="0.2"/>
    <row r="16367" s="197" customFormat="1" ht="12.75" x14ac:dyDescent="0.2"/>
    <row r="16368" s="197" customFormat="1" ht="12.75" x14ac:dyDescent="0.2"/>
    <row r="16369" s="197" customFormat="1" ht="12.75" x14ac:dyDescent="0.2"/>
    <row r="16370" s="197" customFormat="1" ht="12.75" x14ac:dyDescent="0.2"/>
    <row r="16371" s="197" customFormat="1" ht="12.75" x14ac:dyDescent="0.2"/>
    <row r="16372" s="197" customFormat="1" ht="12.75" x14ac:dyDescent="0.2"/>
    <row r="16373" s="197" customFormat="1" ht="12.75" x14ac:dyDescent="0.2"/>
    <row r="16374" s="197" customFormat="1" ht="12.75" x14ac:dyDescent="0.2"/>
    <row r="16375" s="197" customFormat="1" ht="12.75" x14ac:dyDescent="0.2"/>
    <row r="16376" s="197" customFormat="1" ht="12.75" x14ac:dyDescent="0.2"/>
    <row r="16377" s="197" customFormat="1" ht="12.75" x14ac:dyDescent="0.2"/>
    <row r="16378" s="197" customFormat="1" ht="12.75" x14ac:dyDescent="0.2"/>
    <row r="16379" s="197" customFormat="1" ht="12.75" x14ac:dyDescent="0.2"/>
    <row r="16380" s="197" customFormat="1" ht="12.75" x14ac:dyDescent="0.2"/>
    <row r="16381" s="197" customFormat="1" ht="12.75" x14ac:dyDescent="0.2"/>
    <row r="16382" s="197" customFormat="1" ht="12.75" x14ac:dyDescent="0.2"/>
    <row r="16383" s="197" customFormat="1" ht="12.75" x14ac:dyDescent="0.2"/>
    <row r="16384" s="197" customFormat="1" ht="12.75" x14ac:dyDescent="0.2"/>
    <row r="16385" s="197" customFormat="1" ht="12.75" x14ac:dyDescent="0.2"/>
    <row r="16386" s="197" customFormat="1" ht="12.75" x14ac:dyDescent="0.2"/>
    <row r="16387" s="197" customFormat="1" ht="12.75" x14ac:dyDescent="0.2"/>
    <row r="16388" s="197" customFormat="1" ht="12.75" x14ac:dyDescent="0.2"/>
    <row r="16389" s="197" customFormat="1" ht="12.75" x14ac:dyDescent="0.2"/>
    <row r="16390" s="197" customFormat="1" ht="12.75" x14ac:dyDescent="0.2"/>
    <row r="16391" s="197" customFormat="1" ht="12.75" x14ac:dyDescent="0.2"/>
    <row r="16392" s="197" customFormat="1" ht="12.75" x14ac:dyDescent="0.2"/>
    <row r="16393" s="197" customFormat="1" ht="12.75" x14ac:dyDescent="0.2"/>
    <row r="16394" s="197" customFormat="1" ht="12.75" x14ac:dyDescent="0.2"/>
    <row r="16395" s="197" customFormat="1" ht="12.75" x14ac:dyDescent="0.2"/>
    <row r="16396" s="197" customFormat="1" ht="12.75" x14ac:dyDescent="0.2"/>
    <row r="16397" s="197" customFormat="1" ht="12.75" x14ac:dyDescent="0.2"/>
    <row r="16398" s="197" customFormat="1" ht="12.75" x14ac:dyDescent="0.2"/>
    <row r="16399" s="197" customFormat="1" ht="12.75" x14ac:dyDescent="0.2"/>
    <row r="16400" s="197" customFormat="1" ht="12.75" x14ac:dyDescent="0.2"/>
    <row r="16401" s="197" customFormat="1" ht="12.75" x14ac:dyDescent="0.2"/>
    <row r="16402" s="197" customFormat="1" ht="12.75" x14ac:dyDescent="0.2"/>
    <row r="16403" s="197" customFormat="1" ht="12.75" x14ac:dyDescent="0.2"/>
    <row r="16404" s="197" customFormat="1" ht="12.75" x14ac:dyDescent="0.2"/>
    <row r="16405" s="197" customFormat="1" ht="12.75" x14ac:dyDescent="0.2"/>
    <row r="16406" s="197" customFormat="1" ht="12.75" x14ac:dyDescent="0.2"/>
    <row r="16407" s="197" customFormat="1" ht="12.75" x14ac:dyDescent="0.2"/>
    <row r="16408" s="197" customFormat="1" ht="12.75" x14ac:dyDescent="0.2"/>
    <row r="16409" s="197" customFormat="1" ht="12.75" x14ac:dyDescent="0.2"/>
    <row r="16410" s="197" customFormat="1" ht="12.75" x14ac:dyDescent="0.2"/>
    <row r="16411" s="197" customFormat="1" ht="12.75" x14ac:dyDescent="0.2"/>
    <row r="16412" s="197" customFormat="1" ht="12.75" x14ac:dyDescent="0.2"/>
    <row r="16413" s="197" customFormat="1" ht="12.75" x14ac:dyDescent="0.2"/>
    <row r="16414" s="197" customFormat="1" ht="12.75" x14ac:dyDescent="0.2"/>
    <row r="16415" s="197" customFormat="1" ht="12.75" x14ac:dyDescent="0.2"/>
    <row r="16416" s="197" customFormat="1" ht="12.75" x14ac:dyDescent="0.2"/>
    <row r="16417" s="197" customFormat="1" ht="12.75" x14ac:dyDescent="0.2"/>
    <row r="16418" s="197" customFormat="1" ht="12.75" x14ac:dyDescent="0.2"/>
    <row r="16419" s="197" customFormat="1" ht="12.75" x14ac:dyDescent="0.2"/>
    <row r="16420" s="197" customFormat="1" ht="12.75" x14ac:dyDescent="0.2"/>
    <row r="16421" s="197" customFormat="1" ht="12.75" x14ac:dyDescent="0.2"/>
    <row r="16422" s="197" customFormat="1" ht="12.75" x14ac:dyDescent="0.2"/>
    <row r="16423" s="197" customFormat="1" ht="12.75" x14ac:dyDescent="0.2"/>
    <row r="16424" s="197" customFormat="1" ht="12.75" x14ac:dyDescent="0.2"/>
    <row r="16425" s="197" customFormat="1" ht="12.75" x14ac:dyDescent="0.2"/>
    <row r="16426" s="197" customFormat="1" ht="12.75" x14ac:dyDescent="0.2"/>
    <row r="16427" s="197" customFormat="1" ht="12.75" x14ac:dyDescent="0.2"/>
    <row r="16428" s="197" customFormat="1" ht="12.75" x14ac:dyDescent="0.2"/>
    <row r="16429" s="197" customFormat="1" ht="12.75" x14ac:dyDescent="0.2"/>
    <row r="16430" s="197" customFormat="1" ht="12.75" x14ac:dyDescent="0.2"/>
    <row r="16431" s="197" customFormat="1" ht="12.75" x14ac:dyDescent="0.2"/>
    <row r="16432" s="197" customFormat="1" ht="12.75" x14ac:dyDescent="0.2"/>
    <row r="16433" s="197" customFormat="1" ht="12.75" x14ac:dyDescent="0.2"/>
    <row r="16434" s="197" customFormat="1" ht="12.75" x14ac:dyDescent="0.2"/>
    <row r="16435" s="197" customFormat="1" ht="12.75" x14ac:dyDescent="0.2"/>
    <row r="16436" s="197" customFormat="1" ht="12.75" x14ac:dyDescent="0.2"/>
    <row r="16437" s="197" customFormat="1" ht="12.75" x14ac:dyDescent="0.2"/>
    <row r="16438" s="197" customFormat="1" ht="12.75" x14ac:dyDescent="0.2"/>
    <row r="16439" s="197" customFormat="1" ht="12.75" x14ac:dyDescent="0.2"/>
    <row r="16440" s="197" customFormat="1" ht="12.75" x14ac:dyDescent="0.2"/>
    <row r="16441" s="197" customFormat="1" ht="12.75" x14ac:dyDescent="0.2"/>
    <row r="16442" s="197" customFormat="1" ht="12.75" x14ac:dyDescent="0.2"/>
    <row r="16443" s="197" customFormat="1" ht="12.75" x14ac:dyDescent="0.2"/>
    <row r="16444" s="197" customFormat="1" ht="12.75" x14ac:dyDescent="0.2"/>
    <row r="16445" s="197" customFormat="1" ht="12.75" x14ac:dyDescent="0.2"/>
    <row r="16446" s="197" customFormat="1" ht="12.75" x14ac:dyDescent="0.2"/>
    <row r="16447" s="197" customFormat="1" ht="12.75" x14ac:dyDescent="0.2"/>
    <row r="16448" s="197" customFormat="1" ht="12.75" x14ac:dyDescent="0.2"/>
    <row r="16449" s="197" customFormat="1" ht="12.75" x14ac:dyDescent="0.2"/>
    <row r="16450" s="197" customFormat="1" ht="12.75" x14ac:dyDescent="0.2"/>
    <row r="16451" s="197" customFormat="1" ht="12.75" x14ac:dyDescent="0.2"/>
    <row r="16452" s="197" customFormat="1" ht="12.75" x14ac:dyDescent="0.2"/>
    <row r="16453" s="197" customFormat="1" ht="12.75" x14ac:dyDescent="0.2"/>
    <row r="16454" s="197" customFormat="1" ht="12.75" x14ac:dyDescent="0.2"/>
    <row r="16455" s="197" customFormat="1" ht="12.75" x14ac:dyDescent="0.2"/>
    <row r="16456" s="197" customFormat="1" ht="12.75" x14ac:dyDescent="0.2"/>
    <row r="16457" s="197" customFormat="1" ht="12.75" x14ac:dyDescent="0.2"/>
    <row r="16458" s="197" customFormat="1" ht="12.75" x14ac:dyDescent="0.2"/>
    <row r="16459" s="197" customFormat="1" ht="12.75" x14ac:dyDescent="0.2"/>
    <row r="16460" s="197" customFormat="1" ht="12.75" x14ac:dyDescent="0.2"/>
    <row r="16461" s="197" customFormat="1" ht="12.75" x14ac:dyDescent="0.2"/>
    <row r="16462" s="197" customFormat="1" ht="12.75" x14ac:dyDescent="0.2"/>
    <row r="16463" s="197" customFormat="1" ht="12.75" x14ac:dyDescent="0.2"/>
    <row r="16464" s="197" customFormat="1" ht="12.75" x14ac:dyDescent="0.2"/>
    <row r="16465" s="197" customFormat="1" ht="12.75" x14ac:dyDescent="0.2"/>
    <row r="16466" s="197" customFormat="1" ht="12.75" x14ac:dyDescent="0.2"/>
    <row r="16467" s="197" customFormat="1" ht="12.75" x14ac:dyDescent="0.2"/>
    <row r="16468" s="197" customFormat="1" ht="12.75" x14ac:dyDescent="0.2"/>
    <row r="16469" s="197" customFormat="1" ht="12.75" x14ac:dyDescent="0.2"/>
    <row r="16470" s="197" customFormat="1" ht="12.75" x14ac:dyDescent="0.2"/>
    <row r="16471" s="197" customFormat="1" ht="12.75" x14ac:dyDescent="0.2"/>
    <row r="16472" s="197" customFormat="1" ht="12.75" x14ac:dyDescent="0.2"/>
    <row r="16473" s="197" customFormat="1" ht="12.75" x14ac:dyDescent="0.2"/>
    <row r="16474" s="197" customFormat="1" ht="12.75" x14ac:dyDescent="0.2"/>
    <row r="16475" s="197" customFormat="1" ht="12.75" x14ac:dyDescent="0.2"/>
    <row r="16476" s="197" customFormat="1" ht="12.75" x14ac:dyDescent="0.2"/>
    <row r="16477" s="197" customFormat="1" ht="12.75" x14ac:dyDescent="0.2"/>
    <row r="16478" s="197" customFormat="1" ht="12.75" x14ac:dyDescent="0.2"/>
    <row r="16479" s="197" customFormat="1" ht="12.75" x14ac:dyDescent="0.2"/>
    <row r="16480" s="197" customFormat="1" ht="12.75" x14ac:dyDescent="0.2"/>
    <row r="16481" s="197" customFormat="1" ht="12.75" x14ac:dyDescent="0.2"/>
    <row r="16482" s="197" customFormat="1" ht="12.75" x14ac:dyDescent="0.2"/>
    <row r="16483" s="197" customFormat="1" ht="12.75" x14ac:dyDescent="0.2"/>
    <row r="16484" s="197" customFormat="1" ht="12.75" x14ac:dyDescent="0.2"/>
    <row r="16485" s="197" customFormat="1" ht="12.75" x14ac:dyDescent="0.2"/>
    <row r="16486" s="197" customFormat="1" ht="12.75" x14ac:dyDescent="0.2"/>
    <row r="16487" s="197" customFormat="1" ht="12.75" x14ac:dyDescent="0.2"/>
    <row r="16488" s="197" customFormat="1" ht="12.75" x14ac:dyDescent="0.2"/>
    <row r="16489" s="197" customFormat="1" ht="12.75" x14ac:dyDescent="0.2"/>
    <row r="16490" s="197" customFormat="1" ht="12.75" x14ac:dyDescent="0.2"/>
    <row r="16491" s="197" customFormat="1" ht="12.75" x14ac:dyDescent="0.2"/>
    <row r="16492" s="197" customFormat="1" ht="12.75" x14ac:dyDescent="0.2"/>
    <row r="16493" s="197" customFormat="1" ht="12.75" x14ac:dyDescent="0.2"/>
    <row r="16494" s="197" customFormat="1" ht="12.75" x14ac:dyDescent="0.2"/>
    <row r="16495" s="197" customFormat="1" ht="12.75" x14ac:dyDescent="0.2"/>
    <row r="16496" s="197" customFormat="1" ht="12.75" x14ac:dyDescent="0.2"/>
    <row r="16497" s="197" customFormat="1" ht="12.75" x14ac:dyDescent="0.2"/>
    <row r="16498" s="197" customFormat="1" ht="12.75" x14ac:dyDescent="0.2"/>
    <row r="16499" s="197" customFormat="1" ht="12.75" x14ac:dyDescent="0.2"/>
    <row r="16500" s="197" customFormat="1" ht="12.75" x14ac:dyDescent="0.2"/>
    <row r="16501" s="197" customFormat="1" ht="12.75" x14ac:dyDescent="0.2"/>
    <row r="16502" s="197" customFormat="1" ht="12.75" x14ac:dyDescent="0.2"/>
    <row r="16503" s="197" customFormat="1" ht="12.75" x14ac:dyDescent="0.2"/>
    <row r="16504" s="197" customFormat="1" ht="12.75" x14ac:dyDescent="0.2"/>
    <row r="16505" s="197" customFormat="1" ht="12.75" x14ac:dyDescent="0.2"/>
    <row r="16506" s="197" customFormat="1" ht="12.75" x14ac:dyDescent="0.2"/>
    <row r="16507" s="197" customFormat="1" ht="12.75" x14ac:dyDescent="0.2"/>
    <row r="16508" s="197" customFormat="1" ht="12.75" x14ac:dyDescent="0.2"/>
    <row r="16509" s="197" customFormat="1" ht="12.75" x14ac:dyDescent="0.2"/>
    <row r="16510" s="197" customFormat="1" ht="12.75" x14ac:dyDescent="0.2"/>
    <row r="16511" s="197" customFormat="1" ht="12.75" x14ac:dyDescent="0.2"/>
    <row r="16512" s="197" customFormat="1" ht="12.75" x14ac:dyDescent="0.2"/>
    <row r="16513" s="197" customFormat="1" ht="12.75" x14ac:dyDescent="0.2"/>
    <row r="16514" s="197" customFormat="1" ht="12.75" x14ac:dyDescent="0.2"/>
    <row r="16515" s="197" customFormat="1" ht="12.75" x14ac:dyDescent="0.2"/>
    <row r="16516" s="197" customFormat="1" ht="12.75" x14ac:dyDescent="0.2"/>
    <row r="16517" s="197" customFormat="1" ht="12.75" x14ac:dyDescent="0.2"/>
    <row r="16518" s="197" customFormat="1" ht="12.75" x14ac:dyDescent="0.2"/>
    <row r="16519" s="197" customFormat="1" ht="12.75" x14ac:dyDescent="0.2"/>
    <row r="16520" s="197" customFormat="1" ht="12.75" x14ac:dyDescent="0.2"/>
    <row r="16521" s="197" customFormat="1" ht="12.75" x14ac:dyDescent="0.2"/>
    <row r="16522" s="197" customFormat="1" ht="12.75" x14ac:dyDescent="0.2"/>
    <row r="16523" s="197" customFormat="1" ht="12.75" x14ac:dyDescent="0.2"/>
    <row r="16524" s="197" customFormat="1" ht="12.75" x14ac:dyDescent="0.2"/>
    <row r="16525" s="197" customFormat="1" ht="12.75" x14ac:dyDescent="0.2"/>
    <row r="16526" s="197" customFormat="1" ht="12.75" x14ac:dyDescent="0.2"/>
    <row r="16527" s="197" customFormat="1" ht="12.75" x14ac:dyDescent="0.2"/>
    <row r="16528" s="197" customFormat="1" ht="12.75" x14ac:dyDescent="0.2"/>
    <row r="16529" s="197" customFormat="1" ht="12.75" x14ac:dyDescent="0.2"/>
    <row r="16530" s="197" customFormat="1" ht="12.75" x14ac:dyDescent="0.2"/>
    <row r="16531" s="197" customFormat="1" ht="12.75" x14ac:dyDescent="0.2"/>
    <row r="16532" s="197" customFormat="1" ht="12.75" x14ac:dyDescent="0.2"/>
    <row r="16533" s="197" customFormat="1" ht="12.75" x14ac:dyDescent="0.2"/>
    <row r="16534" s="197" customFormat="1" ht="12.75" x14ac:dyDescent="0.2"/>
    <row r="16535" s="197" customFormat="1" ht="12.75" x14ac:dyDescent="0.2"/>
    <row r="16536" s="197" customFormat="1" ht="12.75" x14ac:dyDescent="0.2"/>
    <row r="16537" s="197" customFormat="1" ht="12.75" x14ac:dyDescent="0.2"/>
    <row r="16538" s="197" customFormat="1" ht="12.75" x14ac:dyDescent="0.2"/>
    <row r="16539" s="197" customFormat="1" ht="12.75" x14ac:dyDescent="0.2"/>
    <row r="16540" s="197" customFormat="1" ht="12.75" x14ac:dyDescent="0.2"/>
    <row r="16541" s="197" customFormat="1" ht="12.75" x14ac:dyDescent="0.2"/>
    <row r="16542" s="197" customFormat="1" ht="12.75" x14ac:dyDescent="0.2"/>
    <row r="16543" s="197" customFormat="1" ht="12.75" x14ac:dyDescent="0.2"/>
    <row r="16544" s="197" customFormat="1" ht="12.75" x14ac:dyDescent="0.2"/>
    <row r="16545" s="197" customFormat="1" ht="12.75" x14ac:dyDescent="0.2"/>
    <row r="16546" s="197" customFormat="1" ht="12.75" x14ac:dyDescent="0.2"/>
    <row r="16547" s="197" customFormat="1" ht="12.75" x14ac:dyDescent="0.2"/>
    <row r="16548" s="197" customFormat="1" ht="12.75" x14ac:dyDescent="0.2"/>
    <row r="16549" s="197" customFormat="1" ht="12.75" x14ac:dyDescent="0.2"/>
    <row r="16550" s="197" customFormat="1" ht="12.75" x14ac:dyDescent="0.2"/>
    <row r="16551" s="197" customFormat="1" ht="12.75" x14ac:dyDescent="0.2"/>
    <row r="16552" s="197" customFormat="1" ht="12.75" x14ac:dyDescent="0.2"/>
    <row r="16553" s="197" customFormat="1" ht="12.75" x14ac:dyDescent="0.2"/>
    <row r="16554" s="197" customFormat="1" ht="12.75" x14ac:dyDescent="0.2"/>
    <row r="16555" s="197" customFormat="1" ht="12.75" x14ac:dyDescent="0.2"/>
    <row r="16556" s="197" customFormat="1" ht="12.75" x14ac:dyDescent="0.2"/>
    <row r="16557" s="197" customFormat="1" ht="12.75" x14ac:dyDescent="0.2"/>
    <row r="16558" s="197" customFormat="1" ht="12.75" x14ac:dyDescent="0.2"/>
    <row r="16559" s="197" customFormat="1" ht="12.75" x14ac:dyDescent="0.2"/>
    <row r="16560" s="197" customFormat="1" ht="12.75" x14ac:dyDescent="0.2"/>
    <row r="16561" s="197" customFormat="1" ht="12.75" x14ac:dyDescent="0.2"/>
    <row r="16562" s="197" customFormat="1" ht="12.75" x14ac:dyDescent="0.2"/>
    <row r="16563" s="197" customFormat="1" ht="12.75" x14ac:dyDescent="0.2"/>
    <row r="16564" s="197" customFormat="1" ht="12.75" x14ac:dyDescent="0.2"/>
    <row r="16565" s="197" customFormat="1" ht="12.75" x14ac:dyDescent="0.2"/>
    <row r="16566" s="197" customFormat="1" ht="12.75" x14ac:dyDescent="0.2"/>
    <row r="16567" s="197" customFormat="1" ht="12.75" x14ac:dyDescent="0.2"/>
    <row r="16568" s="197" customFormat="1" ht="12.75" x14ac:dyDescent="0.2"/>
    <row r="16569" s="197" customFormat="1" ht="12.75" x14ac:dyDescent="0.2"/>
    <row r="16570" s="197" customFormat="1" ht="12.75" x14ac:dyDescent="0.2"/>
    <row r="16571" s="197" customFormat="1" ht="12.75" x14ac:dyDescent="0.2"/>
    <row r="16572" s="197" customFormat="1" ht="12.75" x14ac:dyDescent="0.2"/>
    <row r="16573" s="197" customFormat="1" ht="12.75" x14ac:dyDescent="0.2"/>
    <row r="16574" s="197" customFormat="1" ht="12.75" x14ac:dyDescent="0.2"/>
    <row r="16575" s="197" customFormat="1" ht="12.75" x14ac:dyDescent="0.2"/>
    <row r="16576" s="197" customFormat="1" ht="12.75" x14ac:dyDescent="0.2"/>
    <row r="16577" s="197" customFormat="1" ht="12.75" x14ac:dyDescent="0.2"/>
    <row r="16578" s="197" customFormat="1" ht="12.75" x14ac:dyDescent="0.2"/>
    <row r="16579" s="197" customFormat="1" ht="12.75" x14ac:dyDescent="0.2"/>
    <row r="16580" s="197" customFormat="1" ht="12.75" x14ac:dyDescent="0.2"/>
    <row r="16581" s="197" customFormat="1" ht="12.75" x14ac:dyDescent="0.2"/>
    <row r="16582" s="197" customFormat="1" ht="12.75" x14ac:dyDescent="0.2"/>
    <row r="16583" s="197" customFormat="1" ht="12.75" x14ac:dyDescent="0.2"/>
    <row r="16584" s="197" customFormat="1" ht="12.75" x14ac:dyDescent="0.2"/>
    <row r="16585" s="197" customFormat="1" ht="12.75" x14ac:dyDescent="0.2"/>
    <row r="16586" s="197" customFormat="1" ht="12.75" x14ac:dyDescent="0.2"/>
    <row r="16587" s="197" customFormat="1" ht="12.75" x14ac:dyDescent="0.2"/>
    <row r="16588" s="197" customFormat="1" ht="12.75" x14ac:dyDescent="0.2"/>
    <row r="16589" s="197" customFormat="1" ht="12.75" x14ac:dyDescent="0.2"/>
    <row r="16590" s="197" customFormat="1" ht="12.75" x14ac:dyDescent="0.2"/>
    <row r="16591" s="197" customFormat="1" ht="12.75" x14ac:dyDescent="0.2"/>
    <row r="16592" s="197" customFormat="1" ht="12.75" x14ac:dyDescent="0.2"/>
    <row r="16593" s="197" customFormat="1" ht="12.75" x14ac:dyDescent="0.2"/>
    <row r="16594" s="197" customFormat="1" ht="12.75" x14ac:dyDescent="0.2"/>
    <row r="16595" s="197" customFormat="1" ht="12.75" x14ac:dyDescent="0.2"/>
    <row r="16596" s="197" customFormat="1" ht="12.75" x14ac:dyDescent="0.2"/>
    <row r="16597" s="197" customFormat="1" ht="12.75" x14ac:dyDescent="0.2"/>
    <row r="16598" s="197" customFormat="1" ht="12.75" x14ac:dyDescent="0.2"/>
    <row r="16599" s="197" customFormat="1" ht="12.75" x14ac:dyDescent="0.2"/>
    <row r="16600" s="197" customFormat="1" ht="12.75" x14ac:dyDescent="0.2"/>
    <row r="16601" s="197" customFormat="1" ht="12.75" x14ac:dyDescent="0.2"/>
    <row r="16602" s="197" customFormat="1" ht="12.75" x14ac:dyDescent="0.2"/>
    <row r="16603" s="197" customFormat="1" ht="12.75" x14ac:dyDescent="0.2"/>
    <row r="16604" s="197" customFormat="1" ht="12.75" x14ac:dyDescent="0.2"/>
    <row r="16605" s="197" customFormat="1" ht="12.75" x14ac:dyDescent="0.2"/>
    <row r="16606" s="197" customFormat="1" ht="12.75" x14ac:dyDescent="0.2"/>
    <row r="16607" s="197" customFormat="1" ht="12.75" x14ac:dyDescent="0.2"/>
    <row r="16608" s="197" customFormat="1" ht="12.75" x14ac:dyDescent="0.2"/>
    <row r="16609" s="197" customFormat="1" ht="12.75" x14ac:dyDescent="0.2"/>
    <row r="16610" s="197" customFormat="1" ht="12.75" x14ac:dyDescent="0.2"/>
    <row r="16611" s="197" customFormat="1" ht="12.75" x14ac:dyDescent="0.2"/>
    <row r="16612" s="197" customFormat="1" ht="12.75" x14ac:dyDescent="0.2"/>
    <row r="16613" s="197" customFormat="1" ht="12.75" x14ac:dyDescent="0.2"/>
    <row r="16614" s="197" customFormat="1" ht="12.75" x14ac:dyDescent="0.2"/>
    <row r="16615" s="197" customFormat="1" ht="12.75" x14ac:dyDescent="0.2"/>
    <row r="16616" s="197" customFormat="1" ht="12.75" x14ac:dyDescent="0.2"/>
    <row r="16617" s="197" customFormat="1" ht="12.75" x14ac:dyDescent="0.2"/>
    <row r="16618" s="197" customFormat="1" ht="12.75" x14ac:dyDescent="0.2"/>
    <row r="16619" s="197" customFormat="1" ht="12.75" x14ac:dyDescent="0.2"/>
    <row r="16620" s="197" customFormat="1" ht="12.75" x14ac:dyDescent="0.2"/>
    <row r="16621" s="197" customFormat="1" ht="12.75" x14ac:dyDescent="0.2"/>
    <row r="16622" s="197" customFormat="1" ht="12.75" x14ac:dyDescent="0.2"/>
    <row r="16623" s="197" customFormat="1" ht="12.75" x14ac:dyDescent="0.2"/>
    <row r="16624" s="197" customFormat="1" ht="12.75" x14ac:dyDescent="0.2"/>
    <row r="16625" s="197" customFormat="1" ht="12.75" x14ac:dyDescent="0.2"/>
    <row r="16626" s="197" customFormat="1" ht="12.75" x14ac:dyDescent="0.2"/>
    <row r="16627" s="197" customFormat="1" ht="12.75" x14ac:dyDescent="0.2"/>
    <row r="16628" s="197" customFormat="1" ht="12.75" x14ac:dyDescent="0.2"/>
    <row r="16629" s="197" customFormat="1" ht="12.75" x14ac:dyDescent="0.2"/>
    <row r="16630" s="197" customFormat="1" ht="12.75" x14ac:dyDescent="0.2"/>
    <row r="16631" s="197" customFormat="1" ht="12.75" x14ac:dyDescent="0.2"/>
    <row r="16632" s="197" customFormat="1" ht="12.75" x14ac:dyDescent="0.2"/>
    <row r="16633" s="197" customFormat="1" ht="12.75" x14ac:dyDescent="0.2"/>
    <row r="16634" s="197" customFormat="1" ht="12.75" x14ac:dyDescent="0.2"/>
    <row r="16635" s="197" customFormat="1" ht="12.75" x14ac:dyDescent="0.2"/>
    <row r="16636" s="197" customFormat="1" ht="12.75" x14ac:dyDescent="0.2"/>
    <row r="16637" s="197" customFormat="1" ht="12.75" x14ac:dyDescent="0.2"/>
    <row r="16638" s="197" customFormat="1" ht="12.75" x14ac:dyDescent="0.2"/>
    <row r="16639" s="197" customFormat="1" ht="12.75" x14ac:dyDescent="0.2"/>
    <row r="16640" s="197" customFormat="1" ht="12.75" x14ac:dyDescent="0.2"/>
    <row r="16641" s="197" customFormat="1" ht="12.75" x14ac:dyDescent="0.2"/>
    <row r="16642" s="197" customFormat="1" ht="12.75" x14ac:dyDescent="0.2"/>
    <row r="16643" s="197" customFormat="1" ht="12.75" x14ac:dyDescent="0.2"/>
    <row r="16644" s="197" customFormat="1" ht="12.75" x14ac:dyDescent="0.2"/>
    <row r="16645" s="197" customFormat="1" ht="12.75" x14ac:dyDescent="0.2"/>
    <row r="16646" s="197" customFormat="1" ht="12.75" x14ac:dyDescent="0.2"/>
    <row r="16647" s="197" customFormat="1" ht="12.75" x14ac:dyDescent="0.2"/>
    <row r="16648" s="197" customFormat="1" ht="12.75" x14ac:dyDescent="0.2"/>
    <row r="16649" s="197" customFormat="1" ht="12.75" x14ac:dyDescent="0.2"/>
    <row r="16650" s="197" customFormat="1" ht="12.75" x14ac:dyDescent="0.2"/>
    <row r="16651" s="197" customFormat="1" ht="12.75" x14ac:dyDescent="0.2"/>
    <row r="16652" s="197" customFormat="1" ht="12.75" x14ac:dyDescent="0.2"/>
    <row r="16653" s="197" customFormat="1" ht="12.75" x14ac:dyDescent="0.2"/>
    <row r="16654" s="197" customFormat="1" ht="12.75" x14ac:dyDescent="0.2"/>
    <row r="16655" s="197" customFormat="1" ht="12.75" x14ac:dyDescent="0.2"/>
    <row r="16656" s="197" customFormat="1" ht="12.75" x14ac:dyDescent="0.2"/>
    <row r="16657" s="197" customFormat="1" ht="12.75" x14ac:dyDescent="0.2"/>
    <row r="16658" s="197" customFormat="1" ht="12.75" x14ac:dyDescent="0.2"/>
    <row r="16659" s="197" customFormat="1" ht="12.75" x14ac:dyDescent="0.2"/>
    <row r="16660" s="197" customFormat="1" ht="12.75" x14ac:dyDescent="0.2"/>
    <row r="16661" s="197" customFormat="1" ht="12.75" x14ac:dyDescent="0.2"/>
    <row r="16662" s="197" customFormat="1" ht="12.75" x14ac:dyDescent="0.2"/>
    <row r="16663" s="197" customFormat="1" ht="12.75" x14ac:dyDescent="0.2"/>
    <row r="16664" s="197" customFormat="1" ht="12.75" x14ac:dyDescent="0.2"/>
    <row r="16665" s="197" customFormat="1" ht="12.75" x14ac:dyDescent="0.2"/>
    <row r="16666" s="197" customFormat="1" ht="12.75" x14ac:dyDescent="0.2"/>
    <row r="16667" s="197" customFormat="1" ht="12.75" x14ac:dyDescent="0.2"/>
    <row r="16668" s="197" customFormat="1" ht="12.75" x14ac:dyDescent="0.2"/>
    <row r="16669" s="197" customFormat="1" ht="12.75" x14ac:dyDescent="0.2"/>
    <row r="16670" s="197" customFormat="1" ht="12.75" x14ac:dyDescent="0.2"/>
    <row r="16671" s="197" customFormat="1" ht="12.75" x14ac:dyDescent="0.2"/>
    <row r="16672" s="197" customFormat="1" ht="12.75" x14ac:dyDescent="0.2"/>
    <row r="16673" s="197" customFormat="1" ht="12.75" x14ac:dyDescent="0.2"/>
    <row r="16674" s="197" customFormat="1" ht="12.75" x14ac:dyDescent="0.2"/>
    <row r="16675" s="197" customFormat="1" ht="12.75" x14ac:dyDescent="0.2"/>
    <row r="16676" s="197" customFormat="1" ht="12.75" x14ac:dyDescent="0.2"/>
    <row r="16677" s="197" customFormat="1" ht="12.75" x14ac:dyDescent="0.2"/>
    <row r="16678" s="197" customFormat="1" ht="12.75" x14ac:dyDescent="0.2"/>
    <row r="16679" s="197" customFormat="1" ht="12.75" x14ac:dyDescent="0.2"/>
    <row r="16680" s="197" customFormat="1" ht="12.75" x14ac:dyDescent="0.2"/>
    <row r="16681" s="197" customFormat="1" ht="12.75" x14ac:dyDescent="0.2"/>
    <row r="16682" s="197" customFormat="1" ht="12.75" x14ac:dyDescent="0.2"/>
    <row r="16683" s="197" customFormat="1" ht="12.75" x14ac:dyDescent="0.2"/>
    <row r="16684" s="197" customFormat="1" ht="12.75" x14ac:dyDescent="0.2"/>
    <row r="16685" s="197" customFormat="1" ht="12.75" x14ac:dyDescent="0.2"/>
    <row r="16686" s="197" customFormat="1" ht="12.75" x14ac:dyDescent="0.2"/>
    <row r="16687" s="197" customFormat="1" ht="12.75" x14ac:dyDescent="0.2"/>
    <row r="16688" s="197" customFormat="1" ht="12.75" x14ac:dyDescent="0.2"/>
    <row r="16689" s="197" customFormat="1" ht="12.75" x14ac:dyDescent="0.2"/>
    <row r="16690" s="197" customFormat="1" ht="12.75" x14ac:dyDescent="0.2"/>
    <row r="16691" s="197" customFormat="1" ht="12.75" x14ac:dyDescent="0.2"/>
    <row r="16692" s="197" customFormat="1" ht="12.75" x14ac:dyDescent="0.2"/>
    <row r="16693" s="197" customFormat="1" ht="12.75" x14ac:dyDescent="0.2"/>
    <row r="16694" s="197" customFormat="1" ht="12.75" x14ac:dyDescent="0.2"/>
    <row r="16695" s="197" customFormat="1" ht="12.75" x14ac:dyDescent="0.2"/>
    <row r="16696" s="197" customFormat="1" ht="12.75" x14ac:dyDescent="0.2"/>
    <row r="16697" s="197" customFormat="1" ht="12.75" x14ac:dyDescent="0.2"/>
    <row r="16698" s="197" customFormat="1" ht="12.75" x14ac:dyDescent="0.2"/>
    <row r="16699" s="197" customFormat="1" ht="12.75" x14ac:dyDescent="0.2"/>
    <row r="16700" s="197" customFormat="1" ht="12.75" x14ac:dyDescent="0.2"/>
    <row r="16701" s="197" customFormat="1" ht="12.75" x14ac:dyDescent="0.2"/>
    <row r="16702" s="197" customFormat="1" ht="12.75" x14ac:dyDescent="0.2"/>
    <row r="16703" s="197" customFormat="1" ht="12.75" x14ac:dyDescent="0.2"/>
    <row r="16704" s="197" customFormat="1" ht="12.75" x14ac:dyDescent="0.2"/>
    <row r="16705" s="197" customFormat="1" ht="12.75" x14ac:dyDescent="0.2"/>
    <row r="16706" s="197" customFormat="1" ht="12.75" x14ac:dyDescent="0.2"/>
    <row r="16707" s="197" customFormat="1" ht="12.75" x14ac:dyDescent="0.2"/>
    <row r="16708" s="197" customFormat="1" ht="12.75" x14ac:dyDescent="0.2"/>
    <row r="16709" s="197" customFormat="1" ht="12.75" x14ac:dyDescent="0.2"/>
    <row r="16710" s="197" customFormat="1" ht="12.75" x14ac:dyDescent="0.2"/>
    <row r="16711" s="197" customFormat="1" ht="12.75" x14ac:dyDescent="0.2"/>
    <row r="16712" s="197" customFormat="1" ht="12.75" x14ac:dyDescent="0.2"/>
    <row r="16713" s="197" customFormat="1" ht="12.75" x14ac:dyDescent="0.2"/>
    <row r="16714" s="197" customFormat="1" ht="12.75" x14ac:dyDescent="0.2"/>
    <row r="16715" s="197" customFormat="1" ht="12.75" x14ac:dyDescent="0.2"/>
    <row r="16716" s="197" customFormat="1" ht="12.75" x14ac:dyDescent="0.2"/>
    <row r="16717" s="197" customFormat="1" ht="12.75" x14ac:dyDescent="0.2"/>
    <row r="16718" s="197" customFormat="1" ht="12.75" x14ac:dyDescent="0.2"/>
    <row r="16719" s="197" customFormat="1" ht="12.75" x14ac:dyDescent="0.2"/>
    <row r="16720" s="197" customFormat="1" ht="12.75" x14ac:dyDescent="0.2"/>
    <row r="16721" s="197" customFormat="1" ht="12.75" x14ac:dyDescent="0.2"/>
    <row r="16722" s="197" customFormat="1" ht="12.75" x14ac:dyDescent="0.2"/>
    <row r="16723" s="197" customFormat="1" ht="12.75" x14ac:dyDescent="0.2"/>
    <row r="16724" s="197" customFormat="1" ht="12.75" x14ac:dyDescent="0.2"/>
    <row r="16725" s="197" customFormat="1" ht="12.75" x14ac:dyDescent="0.2"/>
    <row r="16726" s="197" customFormat="1" ht="12.75" x14ac:dyDescent="0.2"/>
    <row r="16727" s="197" customFormat="1" ht="12.75" x14ac:dyDescent="0.2"/>
    <row r="16728" s="197" customFormat="1" ht="12.75" x14ac:dyDescent="0.2"/>
    <row r="16729" s="197" customFormat="1" ht="12.75" x14ac:dyDescent="0.2"/>
    <row r="16730" s="197" customFormat="1" ht="12.75" x14ac:dyDescent="0.2"/>
    <row r="16731" s="197" customFormat="1" ht="12.75" x14ac:dyDescent="0.2"/>
    <row r="16732" s="197" customFormat="1" ht="12.75" x14ac:dyDescent="0.2"/>
    <row r="16733" s="197" customFormat="1" ht="12.75" x14ac:dyDescent="0.2"/>
    <row r="16734" s="197" customFormat="1" ht="12.75" x14ac:dyDescent="0.2"/>
    <row r="16735" s="197" customFormat="1" ht="12.75" x14ac:dyDescent="0.2"/>
    <row r="16736" s="197" customFormat="1" ht="12.75" x14ac:dyDescent="0.2"/>
    <row r="16737" s="197" customFormat="1" ht="12.75" x14ac:dyDescent="0.2"/>
    <row r="16738" s="197" customFormat="1" ht="12.75" x14ac:dyDescent="0.2"/>
    <row r="16739" s="197" customFormat="1" ht="12.75" x14ac:dyDescent="0.2"/>
    <row r="16740" s="197" customFormat="1" ht="12.75" x14ac:dyDescent="0.2"/>
    <row r="16741" s="197" customFormat="1" ht="12.75" x14ac:dyDescent="0.2"/>
    <row r="16742" s="197" customFormat="1" ht="12.75" x14ac:dyDescent="0.2"/>
    <row r="16743" s="197" customFormat="1" ht="12.75" x14ac:dyDescent="0.2"/>
    <row r="16744" s="197" customFormat="1" ht="12.75" x14ac:dyDescent="0.2"/>
    <row r="16745" s="197" customFormat="1" ht="12.75" x14ac:dyDescent="0.2"/>
    <row r="16746" s="197" customFormat="1" ht="12.75" x14ac:dyDescent="0.2"/>
    <row r="16747" s="197" customFormat="1" ht="12.75" x14ac:dyDescent="0.2"/>
    <row r="16748" s="197" customFormat="1" ht="12.75" x14ac:dyDescent="0.2"/>
    <row r="16749" s="197" customFormat="1" ht="12.75" x14ac:dyDescent="0.2"/>
    <row r="16750" s="197" customFormat="1" ht="12.75" x14ac:dyDescent="0.2"/>
    <row r="16751" s="197" customFormat="1" ht="12.75" x14ac:dyDescent="0.2"/>
    <row r="16752" s="197" customFormat="1" ht="12.75" x14ac:dyDescent="0.2"/>
    <row r="16753" s="197" customFormat="1" ht="12.75" x14ac:dyDescent="0.2"/>
    <row r="16754" s="197" customFormat="1" ht="12.75" x14ac:dyDescent="0.2"/>
    <row r="16755" s="197" customFormat="1" ht="12.75" x14ac:dyDescent="0.2"/>
    <row r="16756" s="197" customFormat="1" ht="12.75" x14ac:dyDescent="0.2"/>
    <row r="16757" s="197" customFormat="1" ht="12.75" x14ac:dyDescent="0.2"/>
    <row r="16758" s="197" customFormat="1" ht="12.75" x14ac:dyDescent="0.2"/>
    <row r="16759" s="197" customFormat="1" ht="12.75" x14ac:dyDescent="0.2"/>
    <row r="16760" s="197" customFormat="1" ht="12.75" x14ac:dyDescent="0.2"/>
    <row r="16761" s="197" customFormat="1" ht="12.75" x14ac:dyDescent="0.2"/>
    <row r="16762" s="197" customFormat="1" ht="12.75" x14ac:dyDescent="0.2"/>
    <row r="16763" s="197" customFormat="1" ht="12.75" x14ac:dyDescent="0.2"/>
    <row r="16764" s="197" customFormat="1" ht="12.75" x14ac:dyDescent="0.2"/>
    <row r="16765" s="197" customFormat="1" ht="12.75" x14ac:dyDescent="0.2"/>
    <row r="16766" s="197" customFormat="1" ht="12.75" x14ac:dyDescent="0.2"/>
    <row r="16767" s="197" customFormat="1" ht="12.75" x14ac:dyDescent="0.2"/>
    <row r="16768" s="197" customFormat="1" ht="12.75" x14ac:dyDescent="0.2"/>
    <row r="16769" s="197" customFormat="1" ht="12.75" x14ac:dyDescent="0.2"/>
    <row r="16770" s="197" customFormat="1" ht="12.75" x14ac:dyDescent="0.2"/>
    <row r="16771" s="197" customFormat="1" ht="12.75" x14ac:dyDescent="0.2"/>
    <row r="16772" s="197" customFormat="1" ht="12.75" x14ac:dyDescent="0.2"/>
    <row r="16773" s="197" customFormat="1" ht="12.75" x14ac:dyDescent="0.2"/>
    <row r="16774" s="197" customFormat="1" ht="12.75" x14ac:dyDescent="0.2"/>
    <row r="16775" s="197" customFormat="1" ht="12.75" x14ac:dyDescent="0.2"/>
    <row r="16776" s="197" customFormat="1" ht="12.75" x14ac:dyDescent="0.2"/>
    <row r="16777" s="197" customFormat="1" ht="12.75" x14ac:dyDescent="0.2"/>
    <row r="16778" s="197" customFormat="1" ht="12.75" x14ac:dyDescent="0.2"/>
    <row r="16779" s="197" customFormat="1" ht="12.75" x14ac:dyDescent="0.2"/>
    <row r="16780" s="197" customFormat="1" ht="12.75" x14ac:dyDescent="0.2"/>
    <row r="16781" s="197" customFormat="1" ht="12.75" x14ac:dyDescent="0.2"/>
    <row r="16782" s="197" customFormat="1" ht="12.75" x14ac:dyDescent="0.2"/>
    <row r="16783" s="197" customFormat="1" ht="12.75" x14ac:dyDescent="0.2"/>
    <row r="16784" s="197" customFormat="1" ht="12.75" x14ac:dyDescent="0.2"/>
    <row r="16785" s="197" customFormat="1" ht="12.75" x14ac:dyDescent="0.2"/>
    <row r="16786" s="197" customFormat="1" ht="12.75" x14ac:dyDescent="0.2"/>
    <row r="16787" s="197" customFormat="1" ht="12.75" x14ac:dyDescent="0.2"/>
    <row r="16788" s="197" customFormat="1" ht="12.75" x14ac:dyDescent="0.2"/>
    <row r="16789" s="197" customFormat="1" ht="12.75" x14ac:dyDescent="0.2"/>
    <row r="16790" s="197" customFormat="1" ht="12.75" x14ac:dyDescent="0.2"/>
    <row r="16791" s="197" customFormat="1" ht="12.75" x14ac:dyDescent="0.2"/>
    <row r="16792" s="197" customFormat="1" ht="12.75" x14ac:dyDescent="0.2"/>
    <row r="16793" s="197" customFormat="1" ht="12.75" x14ac:dyDescent="0.2"/>
    <row r="16794" s="197" customFormat="1" ht="12.75" x14ac:dyDescent="0.2"/>
    <row r="16795" s="197" customFormat="1" ht="12.75" x14ac:dyDescent="0.2"/>
    <row r="16796" s="197" customFormat="1" ht="12.75" x14ac:dyDescent="0.2"/>
    <row r="16797" s="197" customFormat="1" ht="12.75" x14ac:dyDescent="0.2"/>
    <row r="16798" s="197" customFormat="1" ht="12.75" x14ac:dyDescent="0.2"/>
    <row r="16799" s="197" customFormat="1" ht="12.75" x14ac:dyDescent="0.2"/>
    <row r="16800" s="197" customFormat="1" ht="12.75" x14ac:dyDescent="0.2"/>
    <row r="16801" s="197" customFormat="1" ht="12.75" x14ac:dyDescent="0.2"/>
    <row r="16802" s="197" customFormat="1" ht="12.75" x14ac:dyDescent="0.2"/>
    <row r="16803" s="197" customFormat="1" ht="12.75" x14ac:dyDescent="0.2"/>
    <row r="16804" s="197" customFormat="1" ht="12.75" x14ac:dyDescent="0.2"/>
    <row r="16805" s="197" customFormat="1" ht="12.75" x14ac:dyDescent="0.2"/>
    <row r="16806" s="197" customFormat="1" ht="12.75" x14ac:dyDescent="0.2"/>
    <row r="16807" s="197" customFormat="1" ht="12.75" x14ac:dyDescent="0.2"/>
    <row r="16808" s="197" customFormat="1" ht="12.75" x14ac:dyDescent="0.2"/>
    <row r="16809" s="197" customFormat="1" ht="12.75" x14ac:dyDescent="0.2"/>
    <row r="16810" s="197" customFormat="1" ht="12.75" x14ac:dyDescent="0.2"/>
    <row r="16811" s="197" customFormat="1" ht="12.75" x14ac:dyDescent="0.2"/>
    <row r="16812" s="197" customFormat="1" ht="12.75" x14ac:dyDescent="0.2"/>
    <row r="16813" s="197" customFormat="1" ht="12.75" x14ac:dyDescent="0.2"/>
    <row r="16814" s="197" customFormat="1" ht="12.75" x14ac:dyDescent="0.2"/>
    <row r="16815" s="197" customFormat="1" ht="12.75" x14ac:dyDescent="0.2"/>
    <row r="16816" s="197" customFormat="1" ht="12.75" x14ac:dyDescent="0.2"/>
    <row r="16817" s="197" customFormat="1" ht="12.75" x14ac:dyDescent="0.2"/>
    <row r="16818" s="197" customFormat="1" ht="12.75" x14ac:dyDescent="0.2"/>
    <row r="16819" s="197" customFormat="1" ht="12.75" x14ac:dyDescent="0.2"/>
    <row r="16820" s="197" customFormat="1" ht="12.75" x14ac:dyDescent="0.2"/>
    <row r="16821" s="197" customFormat="1" ht="12.75" x14ac:dyDescent="0.2"/>
    <row r="16822" s="197" customFormat="1" ht="12.75" x14ac:dyDescent="0.2"/>
    <row r="16823" s="197" customFormat="1" ht="12.75" x14ac:dyDescent="0.2"/>
    <row r="16824" s="197" customFormat="1" ht="12.75" x14ac:dyDescent="0.2"/>
    <row r="16825" s="197" customFormat="1" ht="12.75" x14ac:dyDescent="0.2"/>
    <row r="16826" s="197" customFormat="1" ht="12.75" x14ac:dyDescent="0.2"/>
    <row r="16827" s="197" customFormat="1" ht="12.75" x14ac:dyDescent="0.2"/>
    <row r="16828" s="197" customFormat="1" ht="12.75" x14ac:dyDescent="0.2"/>
    <row r="16829" s="197" customFormat="1" ht="12.75" x14ac:dyDescent="0.2"/>
    <row r="16830" s="197" customFormat="1" ht="12.75" x14ac:dyDescent="0.2"/>
    <row r="16831" s="197" customFormat="1" ht="12.75" x14ac:dyDescent="0.2"/>
    <row r="16832" s="197" customFormat="1" ht="12.75" x14ac:dyDescent="0.2"/>
    <row r="16833" s="197" customFormat="1" ht="12.75" x14ac:dyDescent="0.2"/>
    <row r="16834" s="197" customFormat="1" ht="12.75" x14ac:dyDescent="0.2"/>
    <row r="16835" s="197" customFormat="1" ht="12.75" x14ac:dyDescent="0.2"/>
    <row r="16836" s="197" customFormat="1" ht="12.75" x14ac:dyDescent="0.2"/>
    <row r="16837" s="197" customFormat="1" ht="12.75" x14ac:dyDescent="0.2"/>
    <row r="16838" s="197" customFormat="1" ht="12.75" x14ac:dyDescent="0.2"/>
    <row r="16839" s="197" customFormat="1" ht="12.75" x14ac:dyDescent="0.2"/>
    <row r="16840" s="197" customFormat="1" ht="12.75" x14ac:dyDescent="0.2"/>
    <row r="16841" s="197" customFormat="1" ht="12.75" x14ac:dyDescent="0.2"/>
    <row r="16842" s="197" customFormat="1" ht="12.75" x14ac:dyDescent="0.2"/>
    <row r="16843" s="197" customFormat="1" ht="12.75" x14ac:dyDescent="0.2"/>
    <row r="16844" s="197" customFormat="1" ht="12.75" x14ac:dyDescent="0.2"/>
    <row r="16845" s="197" customFormat="1" ht="12.75" x14ac:dyDescent="0.2"/>
    <row r="16846" s="197" customFormat="1" ht="12.75" x14ac:dyDescent="0.2"/>
    <row r="16847" s="197" customFormat="1" ht="12.75" x14ac:dyDescent="0.2"/>
    <row r="16848" s="197" customFormat="1" ht="12.75" x14ac:dyDescent="0.2"/>
    <row r="16849" s="197" customFormat="1" ht="12.75" x14ac:dyDescent="0.2"/>
    <row r="16850" s="197" customFormat="1" ht="12.75" x14ac:dyDescent="0.2"/>
    <row r="16851" s="197" customFormat="1" ht="12.75" x14ac:dyDescent="0.2"/>
    <row r="16852" s="197" customFormat="1" ht="12.75" x14ac:dyDescent="0.2"/>
    <row r="16853" s="197" customFormat="1" ht="12.75" x14ac:dyDescent="0.2"/>
    <row r="16854" s="197" customFormat="1" ht="12.75" x14ac:dyDescent="0.2"/>
    <row r="16855" s="197" customFormat="1" ht="12.75" x14ac:dyDescent="0.2"/>
    <row r="16856" s="197" customFormat="1" ht="12.75" x14ac:dyDescent="0.2"/>
    <row r="16857" s="197" customFormat="1" ht="12.75" x14ac:dyDescent="0.2"/>
    <row r="16858" s="197" customFormat="1" ht="12.75" x14ac:dyDescent="0.2"/>
    <row r="16859" s="197" customFormat="1" ht="12.75" x14ac:dyDescent="0.2"/>
    <row r="16860" s="197" customFormat="1" ht="12.75" x14ac:dyDescent="0.2"/>
    <row r="16861" s="197" customFormat="1" ht="12.75" x14ac:dyDescent="0.2"/>
    <row r="16862" s="197" customFormat="1" ht="12.75" x14ac:dyDescent="0.2"/>
    <row r="16863" s="197" customFormat="1" ht="12.75" x14ac:dyDescent="0.2"/>
    <row r="16864" s="197" customFormat="1" ht="12.75" x14ac:dyDescent="0.2"/>
    <row r="16865" s="197" customFormat="1" ht="12.75" x14ac:dyDescent="0.2"/>
    <row r="16866" s="197" customFormat="1" ht="12.75" x14ac:dyDescent="0.2"/>
    <row r="16867" s="197" customFormat="1" ht="12.75" x14ac:dyDescent="0.2"/>
    <row r="16868" s="197" customFormat="1" ht="12.75" x14ac:dyDescent="0.2"/>
    <row r="16869" s="197" customFormat="1" ht="12.75" x14ac:dyDescent="0.2"/>
    <row r="16870" s="197" customFormat="1" ht="12.75" x14ac:dyDescent="0.2"/>
    <row r="16871" s="197" customFormat="1" ht="12.75" x14ac:dyDescent="0.2"/>
    <row r="16872" s="197" customFormat="1" ht="12.75" x14ac:dyDescent="0.2"/>
    <row r="16873" s="197" customFormat="1" ht="12.75" x14ac:dyDescent="0.2"/>
    <row r="16874" s="197" customFormat="1" ht="12.75" x14ac:dyDescent="0.2"/>
    <row r="16875" s="197" customFormat="1" ht="12.75" x14ac:dyDescent="0.2"/>
    <row r="16876" s="197" customFormat="1" ht="12.75" x14ac:dyDescent="0.2"/>
    <row r="16877" s="197" customFormat="1" ht="12.75" x14ac:dyDescent="0.2"/>
    <row r="16878" s="197" customFormat="1" ht="12.75" x14ac:dyDescent="0.2"/>
    <row r="16879" s="197" customFormat="1" ht="12.75" x14ac:dyDescent="0.2"/>
    <row r="16880" s="197" customFormat="1" ht="12.75" x14ac:dyDescent="0.2"/>
    <row r="16881" s="197" customFormat="1" ht="12.75" x14ac:dyDescent="0.2"/>
    <row r="16882" s="197" customFormat="1" ht="12.75" x14ac:dyDescent="0.2"/>
    <row r="16883" s="197" customFormat="1" ht="12.75" x14ac:dyDescent="0.2"/>
    <row r="16884" s="197" customFormat="1" ht="12.75" x14ac:dyDescent="0.2"/>
    <row r="16885" s="197" customFormat="1" ht="12.75" x14ac:dyDescent="0.2"/>
    <row r="16886" s="197" customFormat="1" ht="12.75" x14ac:dyDescent="0.2"/>
    <row r="16887" s="197" customFormat="1" ht="12.75" x14ac:dyDescent="0.2"/>
    <row r="16888" s="197" customFormat="1" ht="12.75" x14ac:dyDescent="0.2"/>
    <row r="16889" s="197" customFormat="1" ht="12.75" x14ac:dyDescent="0.2"/>
    <row r="16890" s="197" customFormat="1" ht="12.75" x14ac:dyDescent="0.2"/>
    <row r="16891" s="197" customFormat="1" ht="12.75" x14ac:dyDescent="0.2"/>
    <row r="16892" s="197" customFormat="1" ht="12.75" x14ac:dyDescent="0.2"/>
    <row r="16893" s="197" customFormat="1" ht="12.75" x14ac:dyDescent="0.2"/>
    <row r="16894" s="197" customFormat="1" ht="12.75" x14ac:dyDescent="0.2"/>
    <row r="16895" s="197" customFormat="1" ht="12.75" x14ac:dyDescent="0.2"/>
    <row r="16896" s="197" customFormat="1" ht="12.75" x14ac:dyDescent="0.2"/>
    <row r="16897" s="197" customFormat="1" ht="12.75" x14ac:dyDescent="0.2"/>
    <row r="16898" s="197" customFormat="1" ht="12.75" x14ac:dyDescent="0.2"/>
    <row r="16899" s="197" customFormat="1" ht="12.75" x14ac:dyDescent="0.2"/>
    <row r="16900" s="197" customFormat="1" ht="12.75" x14ac:dyDescent="0.2"/>
    <row r="16901" s="197" customFormat="1" ht="12.75" x14ac:dyDescent="0.2"/>
    <row r="16902" s="197" customFormat="1" ht="12.75" x14ac:dyDescent="0.2"/>
    <row r="16903" s="197" customFormat="1" ht="12.75" x14ac:dyDescent="0.2"/>
    <row r="16904" s="197" customFormat="1" ht="12.75" x14ac:dyDescent="0.2"/>
    <row r="16905" s="197" customFormat="1" ht="12.75" x14ac:dyDescent="0.2"/>
    <row r="16906" s="197" customFormat="1" ht="12.75" x14ac:dyDescent="0.2"/>
    <row r="16907" s="197" customFormat="1" ht="12.75" x14ac:dyDescent="0.2"/>
    <row r="16908" s="197" customFormat="1" ht="12.75" x14ac:dyDescent="0.2"/>
    <row r="16909" s="197" customFormat="1" ht="12.75" x14ac:dyDescent="0.2"/>
    <row r="16910" s="197" customFormat="1" ht="12.75" x14ac:dyDescent="0.2"/>
    <row r="16911" s="197" customFormat="1" ht="12.75" x14ac:dyDescent="0.2"/>
    <row r="16912" s="197" customFormat="1" ht="12.75" x14ac:dyDescent="0.2"/>
    <row r="16913" s="197" customFormat="1" ht="12.75" x14ac:dyDescent="0.2"/>
    <row r="16914" s="197" customFormat="1" ht="12.75" x14ac:dyDescent="0.2"/>
    <row r="16915" s="197" customFormat="1" ht="12.75" x14ac:dyDescent="0.2"/>
    <row r="16916" s="197" customFormat="1" ht="12.75" x14ac:dyDescent="0.2"/>
    <row r="16917" s="197" customFormat="1" ht="12.75" x14ac:dyDescent="0.2"/>
    <row r="16918" s="197" customFormat="1" ht="12.75" x14ac:dyDescent="0.2"/>
    <row r="16919" s="197" customFormat="1" ht="12.75" x14ac:dyDescent="0.2"/>
    <row r="16920" s="197" customFormat="1" ht="12.75" x14ac:dyDescent="0.2"/>
    <row r="16921" s="197" customFormat="1" ht="12.75" x14ac:dyDescent="0.2"/>
    <row r="16922" s="197" customFormat="1" ht="12.75" x14ac:dyDescent="0.2"/>
    <row r="16923" s="197" customFormat="1" ht="12.75" x14ac:dyDescent="0.2"/>
    <row r="16924" s="197" customFormat="1" ht="12.75" x14ac:dyDescent="0.2"/>
    <row r="16925" s="197" customFormat="1" ht="12.75" x14ac:dyDescent="0.2"/>
    <row r="16926" s="197" customFormat="1" ht="12.75" x14ac:dyDescent="0.2"/>
    <row r="16927" s="197" customFormat="1" ht="12.75" x14ac:dyDescent="0.2"/>
    <row r="16928" s="197" customFormat="1" ht="12.75" x14ac:dyDescent="0.2"/>
    <row r="16929" s="197" customFormat="1" ht="12.75" x14ac:dyDescent="0.2"/>
    <row r="16930" s="197" customFormat="1" ht="12.75" x14ac:dyDescent="0.2"/>
    <row r="16931" s="197" customFormat="1" ht="12.75" x14ac:dyDescent="0.2"/>
    <row r="16932" s="197" customFormat="1" ht="12.75" x14ac:dyDescent="0.2"/>
    <row r="16933" s="197" customFormat="1" ht="12.75" x14ac:dyDescent="0.2"/>
    <row r="16934" s="197" customFormat="1" ht="12.75" x14ac:dyDescent="0.2"/>
    <row r="16935" s="197" customFormat="1" ht="12.75" x14ac:dyDescent="0.2"/>
    <row r="16936" s="197" customFormat="1" ht="12.75" x14ac:dyDescent="0.2"/>
    <row r="16937" s="197" customFormat="1" ht="12.75" x14ac:dyDescent="0.2"/>
    <row r="16938" s="197" customFormat="1" ht="12.75" x14ac:dyDescent="0.2"/>
    <row r="16939" s="197" customFormat="1" ht="12.75" x14ac:dyDescent="0.2"/>
    <row r="16940" s="197" customFormat="1" ht="12.75" x14ac:dyDescent="0.2"/>
    <row r="16941" s="197" customFormat="1" ht="12.75" x14ac:dyDescent="0.2"/>
    <row r="16942" s="197" customFormat="1" ht="12.75" x14ac:dyDescent="0.2"/>
    <row r="16943" s="197" customFormat="1" ht="12.75" x14ac:dyDescent="0.2"/>
    <row r="16944" s="197" customFormat="1" ht="12.75" x14ac:dyDescent="0.2"/>
    <row r="16945" s="197" customFormat="1" ht="12.75" x14ac:dyDescent="0.2"/>
    <row r="16946" s="197" customFormat="1" ht="12.75" x14ac:dyDescent="0.2"/>
    <row r="16947" s="197" customFormat="1" ht="12.75" x14ac:dyDescent="0.2"/>
    <row r="16948" s="197" customFormat="1" ht="12.75" x14ac:dyDescent="0.2"/>
    <row r="16949" s="197" customFormat="1" ht="12.75" x14ac:dyDescent="0.2"/>
    <row r="16950" s="197" customFormat="1" ht="12.75" x14ac:dyDescent="0.2"/>
    <row r="16951" s="197" customFormat="1" ht="12.75" x14ac:dyDescent="0.2"/>
    <row r="16952" s="197" customFormat="1" ht="12.75" x14ac:dyDescent="0.2"/>
    <row r="16953" s="197" customFormat="1" ht="12.75" x14ac:dyDescent="0.2"/>
    <row r="16954" s="197" customFormat="1" ht="12.75" x14ac:dyDescent="0.2"/>
    <row r="16955" s="197" customFormat="1" ht="12.75" x14ac:dyDescent="0.2"/>
    <row r="16956" s="197" customFormat="1" ht="12.75" x14ac:dyDescent="0.2"/>
    <row r="16957" s="197" customFormat="1" ht="12.75" x14ac:dyDescent="0.2"/>
    <row r="16958" s="197" customFormat="1" ht="12.75" x14ac:dyDescent="0.2"/>
    <row r="16959" s="197" customFormat="1" ht="12.75" x14ac:dyDescent="0.2"/>
    <row r="16960" s="197" customFormat="1" ht="12.75" x14ac:dyDescent="0.2"/>
    <row r="16961" s="197" customFormat="1" ht="12.75" x14ac:dyDescent="0.2"/>
    <row r="16962" s="197" customFormat="1" ht="12.75" x14ac:dyDescent="0.2"/>
    <row r="16963" s="197" customFormat="1" ht="12.75" x14ac:dyDescent="0.2"/>
    <row r="16964" s="197" customFormat="1" ht="12.75" x14ac:dyDescent="0.2"/>
    <row r="16965" s="197" customFormat="1" ht="12.75" x14ac:dyDescent="0.2"/>
    <row r="16966" s="197" customFormat="1" ht="12.75" x14ac:dyDescent="0.2"/>
    <row r="16967" s="197" customFormat="1" ht="12.75" x14ac:dyDescent="0.2"/>
    <row r="16968" s="197" customFormat="1" ht="12.75" x14ac:dyDescent="0.2"/>
    <row r="16969" s="197" customFormat="1" ht="12.75" x14ac:dyDescent="0.2"/>
    <row r="16970" s="197" customFormat="1" ht="12.75" x14ac:dyDescent="0.2"/>
    <row r="16971" s="197" customFormat="1" ht="12.75" x14ac:dyDescent="0.2"/>
    <row r="16972" s="197" customFormat="1" ht="12.75" x14ac:dyDescent="0.2"/>
    <row r="16973" s="197" customFormat="1" ht="12.75" x14ac:dyDescent="0.2"/>
    <row r="16974" s="197" customFormat="1" ht="12.75" x14ac:dyDescent="0.2"/>
    <row r="16975" s="197" customFormat="1" ht="12.75" x14ac:dyDescent="0.2"/>
    <row r="16976" s="197" customFormat="1" ht="12.75" x14ac:dyDescent="0.2"/>
    <row r="16977" s="197" customFormat="1" ht="12.75" x14ac:dyDescent="0.2"/>
    <row r="16978" s="197" customFormat="1" ht="12.75" x14ac:dyDescent="0.2"/>
    <row r="16979" s="197" customFormat="1" ht="12.75" x14ac:dyDescent="0.2"/>
    <row r="16980" s="197" customFormat="1" ht="12.75" x14ac:dyDescent="0.2"/>
    <row r="16981" s="197" customFormat="1" ht="12.75" x14ac:dyDescent="0.2"/>
    <row r="16982" s="197" customFormat="1" ht="12.75" x14ac:dyDescent="0.2"/>
    <row r="16983" s="197" customFormat="1" ht="12.75" x14ac:dyDescent="0.2"/>
    <row r="16984" s="197" customFormat="1" ht="12.75" x14ac:dyDescent="0.2"/>
    <row r="16985" s="197" customFormat="1" ht="12.75" x14ac:dyDescent="0.2"/>
    <row r="16986" s="197" customFormat="1" ht="12.75" x14ac:dyDescent="0.2"/>
    <row r="16987" s="197" customFormat="1" ht="12.75" x14ac:dyDescent="0.2"/>
    <row r="16988" s="197" customFormat="1" ht="12.75" x14ac:dyDescent="0.2"/>
    <row r="16989" s="197" customFormat="1" ht="12.75" x14ac:dyDescent="0.2"/>
    <row r="16990" s="197" customFormat="1" ht="12.75" x14ac:dyDescent="0.2"/>
    <row r="16991" s="197" customFormat="1" ht="12.75" x14ac:dyDescent="0.2"/>
    <row r="16992" s="197" customFormat="1" ht="12.75" x14ac:dyDescent="0.2"/>
    <row r="16993" s="197" customFormat="1" ht="12.75" x14ac:dyDescent="0.2"/>
    <row r="16994" s="197" customFormat="1" ht="12.75" x14ac:dyDescent="0.2"/>
    <row r="16995" s="197" customFormat="1" ht="12.75" x14ac:dyDescent="0.2"/>
    <row r="16996" s="197" customFormat="1" ht="12.75" x14ac:dyDescent="0.2"/>
    <row r="16997" s="197" customFormat="1" ht="12.75" x14ac:dyDescent="0.2"/>
    <row r="16998" s="197" customFormat="1" ht="12.75" x14ac:dyDescent="0.2"/>
    <row r="16999" s="197" customFormat="1" ht="12.75" x14ac:dyDescent="0.2"/>
    <row r="17000" s="197" customFormat="1" ht="12.75" x14ac:dyDescent="0.2"/>
    <row r="17001" s="197" customFormat="1" ht="12.75" x14ac:dyDescent="0.2"/>
    <row r="17002" s="197" customFormat="1" ht="12.75" x14ac:dyDescent="0.2"/>
    <row r="17003" s="197" customFormat="1" ht="12.75" x14ac:dyDescent="0.2"/>
    <row r="17004" s="197" customFormat="1" ht="12.75" x14ac:dyDescent="0.2"/>
    <row r="17005" s="197" customFormat="1" ht="12.75" x14ac:dyDescent="0.2"/>
    <row r="17006" s="197" customFormat="1" ht="12.75" x14ac:dyDescent="0.2"/>
    <row r="17007" s="197" customFormat="1" ht="12.75" x14ac:dyDescent="0.2"/>
    <row r="17008" s="197" customFormat="1" ht="12.75" x14ac:dyDescent="0.2"/>
    <row r="17009" s="197" customFormat="1" ht="12.75" x14ac:dyDescent="0.2"/>
    <row r="17010" s="197" customFormat="1" ht="12.75" x14ac:dyDescent="0.2"/>
    <row r="17011" s="197" customFormat="1" ht="12.75" x14ac:dyDescent="0.2"/>
    <row r="17012" s="197" customFormat="1" ht="12.75" x14ac:dyDescent="0.2"/>
    <row r="17013" s="197" customFormat="1" ht="12.75" x14ac:dyDescent="0.2"/>
    <row r="17014" s="197" customFormat="1" ht="12.75" x14ac:dyDescent="0.2"/>
    <row r="17015" s="197" customFormat="1" ht="12.75" x14ac:dyDescent="0.2"/>
    <row r="17016" s="197" customFormat="1" ht="12.75" x14ac:dyDescent="0.2"/>
    <row r="17017" s="197" customFormat="1" ht="12.75" x14ac:dyDescent="0.2"/>
    <row r="17018" s="197" customFormat="1" ht="12.75" x14ac:dyDescent="0.2"/>
    <row r="17019" s="197" customFormat="1" ht="12.75" x14ac:dyDescent="0.2"/>
    <row r="17020" s="197" customFormat="1" ht="12.75" x14ac:dyDescent="0.2"/>
    <row r="17021" s="197" customFormat="1" ht="12.75" x14ac:dyDescent="0.2"/>
    <row r="17022" s="197" customFormat="1" ht="12.75" x14ac:dyDescent="0.2"/>
    <row r="17023" s="197" customFormat="1" ht="12.75" x14ac:dyDescent="0.2"/>
    <row r="17024" s="197" customFormat="1" ht="12.75" x14ac:dyDescent="0.2"/>
    <row r="17025" s="197" customFormat="1" ht="12.75" x14ac:dyDescent="0.2"/>
    <row r="17026" s="197" customFormat="1" ht="12.75" x14ac:dyDescent="0.2"/>
    <row r="17027" s="197" customFormat="1" ht="12.75" x14ac:dyDescent="0.2"/>
    <row r="17028" s="197" customFormat="1" ht="12.75" x14ac:dyDescent="0.2"/>
    <row r="17029" s="197" customFormat="1" ht="12.75" x14ac:dyDescent="0.2"/>
    <row r="17030" s="197" customFormat="1" ht="12.75" x14ac:dyDescent="0.2"/>
    <row r="17031" s="197" customFormat="1" ht="12.75" x14ac:dyDescent="0.2"/>
    <row r="17032" s="197" customFormat="1" ht="12.75" x14ac:dyDescent="0.2"/>
    <row r="17033" s="197" customFormat="1" ht="12.75" x14ac:dyDescent="0.2"/>
    <row r="17034" s="197" customFormat="1" ht="12.75" x14ac:dyDescent="0.2"/>
    <row r="17035" s="197" customFormat="1" ht="12.75" x14ac:dyDescent="0.2"/>
    <row r="17036" s="197" customFormat="1" ht="12.75" x14ac:dyDescent="0.2"/>
    <row r="17037" s="197" customFormat="1" ht="12.75" x14ac:dyDescent="0.2"/>
    <row r="17038" s="197" customFormat="1" ht="12.75" x14ac:dyDescent="0.2"/>
    <row r="17039" s="197" customFormat="1" ht="12.75" x14ac:dyDescent="0.2"/>
    <row r="17040" s="197" customFormat="1" ht="12.75" x14ac:dyDescent="0.2"/>
    <row r="17041" s="197" customFormat="1" ht="12.75" x14ac:dyDescent="0.2"/>
    <row r="17042" s="197" customFormat="1" ht="12.75" x14ac:dyDescent="0.2"/>
    <row r="17043" s="197" customFormat="1" ht="12.75" x14ac:dyDescent="0.2"/>
    <row r="17044" s="197" customFormat="1" ht="12.75" x14ac:dyDescent="0.2"/>
    <row r="17045" s="197" customFormat="1" ht="12.75" x14ac:dyDescent="0.2"/>
    <row r="17046" s="197" customFormat="1" ht="12.75" x14ac:dyDescent="0.2"/>
    <row r="17047" s="197" customFormat="1" ht="12.75" x14ac:dyDescent="0.2"/>
    <row r="17048" s="197" customFormat="1" ht="12.75" x14ac:dyDescent="0.2"/>
    <row r="17049" s="197" customFormat="1" ht="12.75" x14ac:dyDescent="0.2"/>
    <row r="17050" s="197" customFormat="1" ht="12.75" x14ac:dyDescent="0.2"/>
    <row r="17051" s="197" customFormat="1" ht="12.75" x14ac:dyDescent="0.2"/>
    <row r="17052" s="197" customFormat="1" ht="12.75" x14ac:dyDescent="0.2"/>
    <row r="17053" s="197" customFormat="1" ht="12.75" x14ac:dyDescent="0.2"/>
    <row r="17054" s="197" customFormat="1" ht="12.75" x14ac:dyDescent="0.2"/>
    <row r="17055" s="197" customFormat="1" ht="12.75" x14ac:dyDescent="0.2"/>
    <row r="17056" s="197" customFormat="1" ht="12.75" x14ac:dyDescent="0.2"/>
    <row r="17057" s="197" customFormat="1" ht="12.75" x14ac:dyDescent="0.2"/>
    <row r="17058" s="197" customFormat="1" ht="12.75" x14ac:dyDescent="0.2"/>
    <row r="17059" s="197" customFormat="1" ht="12.75" x14ac:dyDescent="0.2"/>
    <row r="17060" s="197" customFormat="1" ht="12.75" x14ac:dyDescent="0.2"/>
    <row r="17061" s="197" customFormat="1" ht="12.75" x14ac:dyDescent="0.2"/>
    <row r="17062" s="197" customFormat="1" ht="12.75" x14ac:dyDescent="0.2"/>
    <row r="17063" s="197" customFormat="1" ht="12.75" x14ac:dyDescent="0.2"/>
    <row r="17064" s="197" customFormat="1" ht="12.75" x14ac:dyDescent="0.2"/>
    <row r="17065" s="197" customFormat="1" ht="12.75" x14ac:dyDescent="0.2"/>
    <row r="17066" s="197" customFormat="1" ht="12.75" x14ac:dyDescent="0.2"/>
    <row r="17067" s="197" customFormat="1" ht="12.75" x14ac:dyDescent="0.2"/>
    <row r="17068" s="197" customFormat="1" ht="12.75" x14ac:dyDescent="0.2"/>
    <row r="17069" s="197" customFormat="1" ht="12.75" x14ac:dyDescent="0.2"/>
    <row r="17070" s="197" customFormat="1" ht="12.75" x14ac:dyDescent="0.2"/>
    <row r="17071" s="197" customFormat="1" ht="12.75" x14ac:dyDescent="0.2"/>
    <row r="17072" s="197" customFormat="1" ht="12.75" x14ac:dyDescent="0.2"/>
    <row r="17073" s="197" customFormat="1" ht="12.75" x14ac:dyDescent="0.2"/>
    <row r="17074" s="197" customFormat="1" ht="12.75" x14ac:dyDescent="0.2"/>
    <row r="17075" s="197" customFormat="1" ht="12.75" x14ac:dyDescent="0.2"/>
    <row r="17076" s="197" customFormat="1" ht="12.75" x14ac:dyDescent="0.2"/>
    <row r="17077" s="197" customFormat="1" ht="12.75" x14ac:dyDescent="0.2"/>
    <row r="17078" s="197" customFormat="1" ht="12.75" x14ac:dyDescent="0.2"/>
    <row r="17079" s="197" customFormat="1" ht="12.75" x14ac:dyDescent="0.2"/>
    <row r="17080" s="197" customFormat="1" ht="12.75" x14ac:dyDescent="0.2"/>
    <row r="17081" s="197" customFormat="1" ht="12.75" x14ac:dyDescent="0.2"/>
    <row r="17082" s="197" customFormat="1" ht="12.75" x14ac:dyDescent="0.2"/>
    <row r="17083" s="197" customFormat="1" ht="12.75" x14ac:dyDescent="0.2"/>
    <row r="17084" s="197" customFormat="1" ht="12.75" x14ac:dyDescent="0.2"/>
    <row r="17085" s="197" customFormat="1" ht="12.75" x14ac:dyDescent="0.2"/>
    <row r="17086" s="197" customFormat="1" ht="12.75" x14ac:dyDescent="0.2"/>
    <row r="17087" s="197" customFormat="1" ht="12.75" x14ac:dyDescent="0.2"/>
    <row r="17088" s="197" customFormat="1" ht="12.75" x14ac:dyDescent="0.2"/>
    <row r="17089" s="197" customFormat="1" ht="12.75" x14ac:dyDescent="0.2"/>
    <row r="17090" s="197" customFormat="1" ht="12.75" x14ac:dyDescent="0.2"/>
    <row r="17091" s="197" customFormat="1" ht="12.75" x14ac:dyDescent="0.2"/>
    <row r="17092" s="197" customFormat="1" ht="12.75" x14ac:dyDescent="0.2"/>
    <row r="17093" s="197" customFormat="1" ht="12.75" x14ac:dyDescent="0.2"/>
    <row r="17094" s="197" customFormat="1" ht="12.75" x14ac:dyDescent="0.2"/>
    <row r="17095" s="197" customFormat="1" ht="12.75" x14ac:dyDescent="0.2"/>
    <row r="17096" s="197" customFormat="1" ht="12.75" x14ac:dyDescent="0.2"/>
    <row r="17097" s="197" customFormat="1" ht="12.75" x14ac:dyDescent="0.2"/>
    <row r="17098" s="197" customFormat="1" ht="12.75" x14ac:dyDescent="0.2"/>
    <row r="17099" s="197" customFormat="1" ht="12.75" x14ac:dyDescent="0.2"/>
    <row r="17100" s="197" customFormat="1" ht="12.75" x14ac:dyDescent="0.2"/>
    <row r="17101" s="197" customFormat="1" ht="12.75" x14ac:dyDescent="0.2"/>
    <row r="17102" s="197" customFormat="1" ht="12.75" x14ac:dyDescent="0.2"/>
    <row r="17103" s="197" customFormat="1" ht="12.75" x14ac:dyDescent="0.2"/>
    <row r="17104" s="197" customFormat="1" ht="12.75" x14ac:dyDescent="0.2"/>
    <row r="17105" s="197" customFormat="1" ht="12.75" x14ac:dyDescent="0.2"/>
    <row r="17106" s="197" customFormat="1" ht="12.75" x14ac:dyDescent="0.2"/>
    <row r="17107" s="197" customFormat="1" ht="12.75" x14ac:dyDescent="0.2"/>
    <row r="17108" s="197" customFormat="1" ht="12.75" x14ac:dyDescent="0.2"/>
    <row r="17109" s="197" customFormat="1" ht="12.75" x14ac:dyDescent="0.2"/>
    <row r="17110" s="197" customFormat="1" ht="12.75" x14ac:dyDescent="0.2"/>
    <row r="17111" s="197" customFormat="1" ht="12.75" x14ac:dyDescent="0.2"/>
    <row r="17112" s="197" customFormat="1" ht="12.75" x14ac:dyDescent="0.2"/>
    <row r="17113" s="197" customFormat="1" ht="12.75" x14ac:dyDescent="0.2"/>
    <row r="17114" s="197" customFormat="1" ht="12.75" x14ac:dyDescent="0.2"/>
    <row r="17115" s="197" customFormat="1" ht="12.75" x14ac:dyDescent="0.2"/>
    <row r="17116" s="197" customFormat="1" ht="12.75" x14ac:dyDescent="0.2"/>
    <row r="17117" s="197" customFormat="1" ht="12.75" x14ac:dyDescent="0.2"/>
    <row r="17118" s="197" customFormat="1" ht="12.75" x14ac:dyDescent="0.2"/>
    <row r="17119" s="197" customFormat="1" ht="12.75" x14ac:dyDescent="0.2"/>
    <row r="17120" s="197" customFormat="1" ht="12.75" x14ac:dyDescent="0.2"/>
    <row r="17121" s="197" customFormat="1" ht="12.75" x14ac:dyDescent="0.2"/>
    <row r="17122" s="197" customFormat="1" ht="12.75" x14ac:dyDescent="0.2"/>
    <row r="17123" s="197" customFormat="1" ht="12.75" x14ac:dyDescent="0.2"/>
    <row r="17124" s="197" customFormat="1" ht="12.75" x14ac:dyDescent="0.2"/>
    <row r="17125" s="197" customFormat="1" ht="12.75" x14ac:dyDescent="0.2"/>
    <row r="17126" s="197" customFormat="1" ht="12.75" x14ac:dyDescent="0.2"/>
    <row r="17127" s="197" customFormat="1" ht="12.75" x14ac:dyDescent="0.2"/>
    <row r="17128" s="197" customFormat="1" ht="12.75" x14ac:dyDescent="0.2"/>
    <row r="17129" s="197" customFormat="1" ht="12.75" x14ac:dyDescent="0.2"/>
    <row r="17130" s="197" customFormat="1" ht="12.75" x14ac:dyDescent="0.2"/>
    <row r="17131" s="197" customFormat="1" ht="12.75" x14ac:dyDescent="0.2"/>
    <row r="17132" s="197" customFormat="1" ht="12.75" x14ac:dyDescent="0.2"/>
    <row r="17133" s="197" customFormat="1" ht="12.75" x14ac:dyDescent="0.2"/>
    <row r="17134" s="197" customFormat="1" ht="12.75" x14ac:dyDescent="0.2"/>
    <row r="17135" s="197" customFormat="1" ht="12.75" x14ac:dyDescent="0.2"/>
    <row r="17136" s="197" customFormat="1" ht="12.75" x14ac:dyDescent="0.2"/>
    <row r="17137" s="197" customFormat="1" ht="12.75" x14ac:dyDescent="0.2"/>
    <row r="17138" s="197" customFormat="1" ht="12.75" x14ac:dyDescent="0.2"/>
    <row r="17139" s="197" customFormat="1" ht="12.75" x14ac:dyDescent="0.2"/>
    <row r="17140" s="197" customFormat="1" ht="12.75" x14ac:dyDescent="0.2"/>
    <row r="17141" s="197" customFormat="1" ht="12.75" x14ac:dyDescent="0.2"/>
    <row r="17142" s="197" customFormat="1" ht="12.75" x14ac:dyDescent="0.2"/>
    <row r="17143" s="197" customFormat="1" ht="12.75" x14ac:dyDescent="0.2"/>
    <row r="17144" s="197" customFormat="1" ht="12.75" x14ac:dyDescent="0.2"/>
    <row r="17145" s="197" customFormat="1" ht="12.75" x14ac:dyDescent="0.2"/>
    <row r="17146" s="197" customFormat="1" ht="12.75" x14ac:dyDescent="0.2"/>
    <row r="17147" s="197" customFormat="1" ht="12.75" x14ac:dyDescent="0.2"/>
    <row r="17148" s="197" customFormat="1" ht="12.75" x14ac:dyDescent="0.2"/>
    <row r="17149" s="197" customFormat="1" ht="12.75" x14ac:dyDescent="0.2"/>
    <row r="17150" s="197" customFormat="1" ht="12.75" x14ac:dyDescent="0.2"/>
    <row r="17151" s="197" customFormat="1" ht="12.75" x14ac:dyDescent="0.2"/>
    <row r="17152" s="197" customFormat="1" ht="12.75" x14ac:dyDescent="0.2"/>
    <row r="17153" s="197" customFormat="1" ht="12.75" x14ac:dyDescent="0.2"/>
    <row r="17154" s="197" customFormat="1" ht="12.75" x14ac:dyDescent="0.2"/>
    <row r="17155" s="197" customFormat="1" ht="12.75" x14ac:dyDescent="0.2"/>
    <row r="17156" s="197" customFormat="1" ht="12.75" x14ac:dyDescent="0.2"/>
    <row r="17157" s="197" customFormat="1" ht="12.75" x14ac:dyDescent="0.2"/>
    <row r="17158" s="197" customFormat="1" ht="12.75" x14ac:dyDescent="0.2"/>
    <row r="17159" s="197" customFormat="1" ht="12.75" x14ac:dyDescent="0.2"/>
    <row r="17160" s="197" customFormat="1" ht="12.75" x14ac:dyDescent="0.2"/>
    <row r="17161" s="197" customFormat="1" ht="12.75" x14ac:dyDescent="0.2"/>
    <row r="17162" s="197" customFormat="1" ht="12.75" x14ac:dyDescent="0.2"/>
    <row r="17163" s="197" customFormat="1" ht="12.75" x14ac:dyDescent="0.2"/>
    <row r="17164" s="197" customFormat="1" ht="12.75" x14ac:dyDescent="0.2"/>
    <row r="17165" s="197" customFormat="1" ht="12.75" x14ac:dyDescent="0.2"/>
    <row r="17166" s="197" customFormat="1" ht="12.75" x14ac:dyDescent="0.2"/>
    <row r="17167" s="197" customFormat="1" ht="12.75" x14ac:dyDescent="0.2"/>
    <row r="17168" s="197" customFormat="1" ht="12.75" x14ac:dyDescent="0.2"/>
    <row r="17169" s="197" customFormat="1" ht="12.75" x14ac:dyDescent="0.2"/>
    <row r="17170" s="197" customFormat="1" ht="12.75" x14ac:dyDescent="0.2"/>
    <row r="17171" s="197" customFormat="1" ht="12.75" x14ac:dyDescent="0.2"/>
    <row r="17172" s="197" customFormat="1" ht="12.75" x14ac:dyDescent="0.2"/>
    <row r="17173" s="197" customFormat="1" ht="12.75" x14ac:dyDescent="0.2"/>
    <row r="17174" s="197" customFormat="1" ht="12.75" x14ac:dyDescent="0.2"/>
    <row r="17175" s="197" customFormat="1" ht="12.75" x14ac:dyDescent="0.2"/>
    <row r="17176" s="197" customFormat="1" ht="12.75" x14ac:dyDescent="0.2"/>
    <row r="17177" s="197" customFormat="1" ht="12.75" x14ac:dyDescent="0.2"/>
    <row r="17178" s="197" customFormat="1" ht="12.75" x14ac:dyDescent="0.2"/>
    <row r="17179" s="197" customFormat="1" ht="12.75" x14ac:dyDescent="0.2"/>
    <row r="17180" s="197" customFormat="1" ht="12.75" x14ac:dyDescent="0.2"/>
    <row r="17181" s="197" customFormat="1" ht="12.75" x14ac:dyDescent="0.2"/>
    <row r="17182" s="197" customFormat="1" ht="12.75" x14ac:dyDescent="0.2"/>
    <row r="17183" s="197" customFormat="1" ht="12.75" x14ac:dyDescent="0.2"/>
    <row r="17184" s="197" customFormat="1" ht="12.75" x14ac:dyDescent="0.2"/>
    <row r="17185" s="197" customFormat="1" ht="12.75" x14ac:dyDescent="0.2"/>
    <row r="17186" s="197" customFormat="1" ht="12.75" x14ac:dyDescent="0.2"/>
    <row r="17187" s="197" customFormat="1" ht="12.75" x14ac:dyDescent="0.2"/>
    <row r="17188" s="197" customFormat="1" ht="12.75" x14ac:dyDescent="0.2"/>
    <row r="17189" s="197" customFormat="1" ht="12.75" x14ac:dyDescent="0.2"/>
    <row r="17190" s="197" customFormat="1" ht="12.75" x14ac:dyDescent="0.2"/>
    <row r="17191" s="197" customFormat="1" ht="12.75" x14ac:dyDescent="0.2"/>
    <row r="17192" s="197" customFormat="1" ht="12.75" x14ac:dyDescent="0.2"/>
    <row r="17193" s="197" customFormat="1" ht="12.75" x14ac:dyDescent="0.2"/>
    <row r="17194" s="197" customFormat="1" ht="12.75" x14ac:dyDescent="0.2"/>
    <row r="17195" s="197" customFormat="1" ht="12.75" x14ac:dyDescent="0.2"/>
    <row r="17196" s="197" customFormat="1" ht="12.75" x14ac:dyDescent="0.2"/>
    <row r="17197" s="197" customFormat="1" ht="12.75" x14ac:dyDescent="0.2"/>
    <row r="17198" s="197" customFormat="1" ht="12.75" x14ac:dyDescent="0.2"/>
    <row r="17199" s="197" customFormat="1" ht="12.75" x14ac:dyDescent="0.2"/>
    <row r="17200" s="197" customFormat="1" ht="12.75" x14ac:dyDescent="0.2"/>
    <row r="17201" s="197" customFormat="1" ht="12.75" x14ac:dyDescent="0.2"/>
    <row r="17202" s="197" customFormat="1" ht="12.75" x14ac:dyDescent="0.2"/>
    <row r="17203" s="197" customFormat="1" ht="12.75" x14ac:dyDescent="0.2"/>
    <row r="17204" s="197" customFormat="1" ht="12.75" x14ac:dyDescent="0.2"/>
    <row r="17205" s="197" customFormat="1" ht="12.75" x14ac:dyDescent="0.2"/>
    <row r="17206" s="197" customFormat="1" ht="12.75" x14ac:dyDescent="0.2"/>
    <row r="17207" s="197" customFormat="1" ht="12.75" x14ac:dyDescent="0.2"/>
    <row r="17208" s="197" customFormat="1" ht="12.75" x14ac:dyDescent="0.2"/>
    <row r="17209" s="197" customFormat="1" ht="12.75" x14ac:dyDescent="0.2"/>
    <row r="17210" s="197" customFormat="1" ht="12.75" x14ac:dyDescent="0.2"/>
    <row r="17211" s="197" customFormat="1" ht="12.75" x14ac:dyDescent="0.2"/>
    <row r="17212" s="197" customFormat="1" ht="12.75" x14ac:dyDescent="0.2"/>
    <row r="17213" s="197" customFormat="1" ht="12.75" x14ac:dyDescent="0.2"/>
    <row r="17214" s="197" customFormat="1" ht="12.75" x14ac:dyDescent="0.2"/>
    <row r="17215" s="197" customFormat="1" ht="12.75" x14ac:dyDescent="0.2"/>
    <row r="17216" s="197" customFormat="1" ht="12.75" x14ac:dyDescent="0.2"/>
    <row r="17217" s="197" customFormat="1" ht="12.75" x14ac:dyDescent="0.2"/>
    <row r="17218" s="197" customFormat="1" ht="12.75" x14ac:dyDescent="0.2"/>
    <row r="17219" s="197" customFormat="1" ht="12.75" x14ac:dyDescent="0.2"/>
    <row r="17220" s="197" customFormat="1" ht="12.75" x14ac:dyDescent="0.2"/>
    <row r="17221" s="197" customFormat="1" ht="12.75" x14ac:dyDescent="0.2"/>
    <row r="17222" s="197" customFormat="1" ht="12.75" x14ac:dyDescent="0.2"/>
    <row r="17223" s="197" customFormat="1" ht="12.75" x14ac:dyDescent="0.2"/>
    <row r="17224" s="197" customFormat="1" ht="12.75" x14ac:dyDescent="0.2"/>
    <row r="17225" s="197" customFormat="1" ht="12.75" x14ac:dyDescent="0.2"/>
    <row r="17226" s="197" customFormat="1" ht="12.75" x14ac:dyDescent="0.2"/>
    <row r="17227" s="197" customFormat="1" ht="12.75" x14ac:dyDescent="0.2"/>
    <row r="17228" s="197" customFormat="1" ht="12.75" x14ac:dyDescent="0.2"/>
    <row r="17229" s="197" customFormat="1" ht="12.75" x14ac:dyDescent="0.2"/>
    <row r="17230" s="197" customFormat="1" ht="12.75" x14ac:dyDescent="0.2"/>
    <row r="17231" s="197" customFormat="1" ht="12.75" x14ac:dyDescent="0.2"/>
    <row r="17232" s="197" customFormat="1" ht="12.75" x14ac:dyDescent="0.2"/>
    <row r="17233" s="197" customFormat="1" ht="12.75" x14ac:dyDescent="0.2"/>
    <row r="17234" s="197" customFormat="1" ht="12.75" x14ac:dyDescent="0.2"/>
    <row r="17235" s="197" customFormat="1" ht="12.75" x14ac:dyDescent="0.2"/>
    <row r="17236" s="197" customFormat="1" ht="12.75" x14ac:dyDescent="0.2"/>
    <row r="17237" s="197" customFormat="1" ht="12.75" x14ac:dyDescent="0.2"/>
    <row r="17238" s="197" customFormat="1" ht="12.75" x14ac:dyDescent="0.2"/>
    <row r="17239" s="197" customFormat="1" ht="12.75" x14ac:dyDescent="0.2"/>
    <row r="17240" s="197" customFormat="1" ht="12.75" x14ac:dyDescent="0.2"/>
    <row r="17241" s="197" customFormat="1" ht="12.75" x14ac:dyDescent="0.2"/>
    <row r="17242" s="197" customFormat="1" ht="12.75" x14ac:dyDescent="0.2"/>
    <row r="17243" s="197" customFormat="1" ht="12.75" x14ac:dyDescent="0.2"/>
    <row r="17244" s="197" customFormat="1" ht="12.75" x14ac:dyDescent="0.2"/>
    <row r="17245" s="197" customFormat="1" ht="12.75" x14ac:dyDescent="0.2"/>
    <row r="17246" s="197" customFormat="1" ht="12.75" x14ac:dyDescent="0.2"/>
    <row r="17247" s="197" customFormat="1" ht="12.75" x14ac:dyDescent="0.2"/>
    <row r="17248" s="197" customFormat="1" ht="12.75" x14ac:dyDescent="0.2"/>
    <row r="17249" s="197" customFormat="1" ht="12.75" x14ac:dyDescent="0.2"/>
    <row r="17250" s="197" customFormat="1" ht="12.75" x14ac:dyDescent="0.2"/>
    <row r="17251" s="197" customFormat="1" ht="12.75" x14ac:dyDescent="0.2"/>
    <row r="17252" s="197" customFormat="1" ht="12.75" x14ac:dyDescent="0.2"/>
    <row r="17253" s="197" customFormat="1" ht="12.75" x14ac:dyDescent="0.2"/>
    <row r="17254" s="197" customFormat="1" ht="12.75" x14ac:dyDescent="0.2"/>
    <row r="17255" s="197" customFormat="1" ht="12.75" x14ac:dyDescent="0.2"/>
    <row r="17256" s="197" customFormat="1" ht="12.75" x14ac:dyDescent="0.2"/>
    <row r="17257" s="197" customFormat="1" ht="12.75" x14ac:dyDescent="0.2"/>
    <row r="17258" s="197" customFormat="1" ht="12.75" x14ac:dyDescent="0.2"/>
    <row r="17259" s="197" customFormat="1" ht="12.75" x14ac:dyDescent="0.2"/>
    <row r="17260" s="197" customFormat="1" ht="12.75" x14ac:dyDescent="0.2"/>
    <row r="17261" s="197" customFormat="1" ht="12.75" x14ac:dyDescent="0.2"/>
    <row r="17262" s="197" customFormat="1" ht="12.75" x14ac:dyDescent="0.2"/>
    <row r="17263" s="197" customFormat="1" ht="12.75" x14ac:dyDescent="0.2"/>
    <row r="17264" s="197" customFormat="1" ht="12.75" x14ac:dyDescent="0.2"/>
    <row r="17265" s="197" customFormat="1" ht="12.75" x14ac:dyDescent="0.2"/>
    <row r="17266" s="197" customFormat="1" ht="12.75" x14ac:dyDescent="0.2"/>
    <row r="17267" s="197" customFormat="1" ht="12.75" x14ac:dyDescent="0.2"/>
    <row r="17268" s="197" customFormat="1" ht="12.75" x14ac:dyDescent="0.2"/>
    <row r="17269" s="197" customFormat="1" ht="12.75" x14ac:dyDescent="0.2"/>
    <row r="17270" s="197" customFormat="1" ht="12.75" x14ac:dyDescent="0.2"/>
    <row r="17271" s="197" customFormat="1" ht="12.75" x14ac:dyDescent="0.2"/>
    <row r="17272" s="197" customFormat="1" ht="12.75" x14ac:dyDescent="0.2"/>
    <row r="17273" s="197" customFormat="1" ht="12.75" x14ac:dyDescent="0.2"/>
    <row r="17274" s="197" customFormat="1" ht="12.75" x14ac:dyDescent="0.2"/>
    <row r="17275" s="197" customFormat="1" ht="12.75" x14ac:dyDescent="0.2"/>
    <row r="17276" s="197" customFormat="1" ht="12.75" x14ac:dyDescent="0.2"/>
    <row r="17277" s="197" customFormat="1" ht="12.75" x14ac:dyDescent="0.2"/>
    <row r="17278" s="197" customFormat="1" ht="12.75" x14ac:dyDescent="0.2"/>
    <row r="17279" s="197" customFormat="1" ht="12.75" x14ac:dyDescent="0.2"/>
    <row r="17280" s="197" customFormat="1" ht="12.75" x14ac:dyDescent="0.2"/>
    <row r="17281" s="197" customFormat="1" ht="12.75" x14ac:dyDescent="0.2"/>
    <row r="17282" s="197" customFormat="1" ht="12.75" x14ac:dyDescent="0.2"/>
    <row r="17283" s="197" customFormat="1" ht="12.75" x14ac:dyDescent="0.2"/>
    <row r="17284" s="197" customFormat="1" ht="12.75" x14ac:dyDescent="0.2"/>
    <row r="17285" s="197" customFormat="1" ht="12.75" x14ac:dyDescent="0.2"/>
    <row r="17286" s="197" customFormat="1" ht="12.75" x14ac:dyDescent="0.2"/>
    <row r="17287" s="197" customFormat="1" ht="12.75" x14ac:dyDescent="0.2"/>
    <row r="17288" s="197" customFormat="1" ht="12.75" x14ac:dyDescent="0.2"/>
    <row r="17289" s="197" customFormat="1" ht="12.75" x14ac:dyDescent="0.2"/>
    <row r="17290" s="197" customFormat="1" ht="12.75" x14ac:dyDescent="0.2"/>
    <row r="17291" s="197" customFormat="1" ht="12.75" x14ac:dyDescent="0.2"/>
    <row r="17292" s="197" customFormat="1" ht="12.75" x14ac:dyDescent="0.2"/>
    <row r="17293" s="197" customFormat="1" ht="12.75" x14ac:dyDescent="0.2"/>
    <row r="17294" s="197" customFormat="1" ht="12.75" x14ac:dyDescent="0.2"/>
    <row r="17295" s="197" customFormat="1" ht="12.75" x14ac:dyDescent="0.2"/>
    <row r="17296" s="197" customFormat="1" ht="12.75" x14ac:dyDescent="0.2"/>
    <row r="17297" s="197" customFormat="1" ht="12.75" x14ac:dyDescent="0.2"/>
    <row r="17298" s="197" customFormat="1" ht="12.75" x14ac:dyDescent="0.2"/>
    <row r="17299" s="197" customFormat="1" ht="12.75" x14ac:dyDescent="0.2"/>
    <row r="17300" s="197" customFormat="1" ht="12.75" x14ac:dyDescent="0.2"/>
    <row r="17301" s="197" customFormat="1" ht="12.75" x14ac:dyDescent="0.2"/>
    <row r="17302" s="197" customFormat="1" ht="12.75" x14ac:dyDescent="0.2"/>
    <row r="17303" s="197" customFormat="1" ht="12.75" x14ac:dyDescent="0.2"/>
    <row r="17304" s="197" customFormat="1" ht="12.75" x14ac:dyDescent="0.2"/>
    <row r="17305" s="197" customFormat="1" ht="12.75" x14ac:dyDescent="0.2"/>
    <row r="17306" s="197" customFormat="1" ht="12.75" x14ac:dyDescent="0.2"/>
    <row r="17307" s="197" customFormat="1" ht="12.75" x14ac:dyDescent="0.2"/>
    <row r="17308" s="197" customFormat="1" ht="12.75" x14ac:dyDescent="0.2"/>
    <row r="17309" s="197" customFormat="1" ht="12.75" x14ac:dyDescent="0.2"/>
    <row r="17310" s="197" customFormat="1" ht="12.75" x14ac:dyDescent="0.2"/>
    <row r="17311" s="197" customFormat="1" ht="12.75" x14ac:dyDescent="0.2"/>
    <row r="17312" s="197" customFormat="1" ht="12.75" x14ac:dyDescent="0.2"/>
    <row r="17313" s="197" customFormat="1" ht="12.75" x14ac:dyDescent="0.2"/>
    <row r="17314" s="197" customFormat="1" ht="12.75" x14ac:dyDescent="0.2"/>
    <row r="17315" s="197" customFormat="1" ht="12.75" x14ac:dyDescent="0.2"/>
    <row r="17316" s="197" customFormat="1" ht="12.75" x14ac:dyDescent="0.2"/>
    <row r="17317" s="197" customFormat="1" ht="12.75" x14ac:dyDescent="0.2"/>
    <row r="17318" s="197" customFormat="1" ht="12.75" x14ac:dyDescent="0.2"/>
    <row r="17319" s="197" customFormat="1" ht="12.75" x14ac:dyDescent="0.2"/>
    <row r="17320" s="197" customFormat="1" ht="12.75" x14ac:dyDescent="0.2"/>
    <row r="17321" s="197" customFormat="1" ht="12.75" x14ac:dyDescent="0.2"/>
    <row r="17322" s="197" customFormat="1" ht="12.75" x14ac:dyDescent="0.2"/>
    <row r="17323" s="197" customFormat="1" ht="12.75" x14ac:dyDescent="0.2"/>
    <row r="17324" s="197" customFormat="1" ht="12.75" x14ac:dyDescent="0.2"/>
    <row r="17325" s="197" customFormat="1" ht="12.75" x14ac:dyDescent="0.2"/>
    <row r="17326" s="197" customFormat="1" ht="12.75" x14ac:dyDescent="0.2"/>
    <row r="17327" s="197" customFormat="1" ht="12.75" x14ac:dyDescent="0.2"/>
    <row r="17328" s="197" customFormat="1" ht="12.75" x14ac:dyDescent="0.2"/>
    <row r="17329" s="197" customFormat="1" ht="12.75" x14ac:dyDescent="0.2"/>
    <row r="17330" s="197" customFormat="1" ht="12.75" x14ac:dyDescent="0.2"/>
    <row r="17331" s="197" customFormat="1" ht="12.75" x14ac:dyDescent="0.2"/>
    <row r="17332" s="197" customFormat="1" ht="12.75" x14ac:dyDescent="0.2"/>
    <row r="17333" s="197" customFormat="1" ht="12.75" x14ac:dyDescent="0.2"/>
    <row r="17334" s="197" customFormat="1" ht="12.75" x14ac:dyDescent="0.2"/>
    <row r="17335" s="197" customFormat="1" ht="12.75" x14ac:dyDescent="0.2"/>
    <row r="17336" s="197" customFormat="1" ht="12.75" x14ac:dyDescent="0.2"/>
    <row r="17337" s="197" customFormat="1" ht="12.75" x14ac:dyDescent="0.2"/>
    <row r="17338" s="197" customFormat="1" ht="12.75" x14ac:dyDescent="0.2"/>
    <row r="17339" s="197" customFormat="1" ht="12.75" x14ac:dyDescent="0.2"/>
    <row r="17340" s="197" customFormat="1" ht="12.75" x14ac:dyDescent="0.2"/>
    <row r="17341" s="197" customFormat="1" ht="12.75" x14ac:dyDescent="0.2"/>
    <row r="17342" s="197" customFormat="1" ht="12.75" x14ac:dyDescent="0.2"/>
    <row r="17343" s="197" customFormat="1" ht="12.75" x14ac:dyDescent="0.2"/>
    <row r="17344" s="197" customFormat="1" ht="12.75" x14ac:dyDescent="0.2"/>
    <row r="17345" s="197" customFormat="1" ht="12.75" x14ac:dyDescent="0.2"/>
    <row r="17346" s="197" customFormat="1" ht="12.75" x14ac:dyDescent="0.2"/>
    <row r="17347" s="197" customFormat="1" ht="12.75" x14ac:dyDescent="0.2"/>
    <row r="17348" s="197" customFormat="1" ht="12.75" x14ac:dyDescent="0.2"/>
    <row r="17349" s="197" customFormat="1" ht="12.75" x14ac:dyDescent="0.2"/>
    <row r="17350" s="197" customFormat="1" ht="12.75" x14ac:dyDescent="0.2"/>
    <row r="17351" s="197" customFormat="1" ht="12.75" x14ac:dyDescent="0.2"/>
    <row r="17352" s="197" customFormat="1" ht="12.75" x14ac:dyDescent="0.2"/>
    <row r="17353" s="197" customFormat="1" ht="12.75" x14ac:dyDescent="0.2"/>
    <row r="17354" s="197" customFormat="1" ht="12.75" x14ac:dyDescent="0.2"/>
    <row r="17355" s="197" customFormat="1" ht="12.75" x14ac:dyDescent="0.2"/>
    <row r="17356" s="197" customFormat="1" ht="12.75" x14ac:dyDescent="0.2"/>
    <row r="17357" s="197" customFormat="1" ht="12.75" x14ac:dyDescent="0.2"/>
    <row r="17358" s="197" customFormat="1" ht="12.75" x14ac:dyDescent="0.2"/>
    <row r="17359" s="197" customFormat="1" ht="12.75" x14ac:dyDescent="0.2"/>
    <row r="17360" s="197" customFormat="1" ht="12.75" x14ac:dyDescent="0.2"/>
    <row r="17361" s="197" customFormat="1" ht="12.75" x14ac:dyDescent="0.2"/>
    <row r="17362" s="197" customFormat="1" ht="12.75" x14ac:dyDescent="0.2"/>
    <row r="17363" s="197" customFormat="1" ht="12.75" x14ac:dyDescent="0.2"/>
    <row r="17364" s="197" customFormat="1" ht="12.75" x14ac:dyDescent="0.2"/>
    <row r="17365" s="197" customFormat="1" ht="12.75" x14ac:dyDescent="0.2"/>
    <row r="17366" s="197" customFormat="1" ht="12.75" x14ac:dyDescent="0.2"/>
    <row r="17367" s="197" customFormat="1" ht="12.75" x14ac:dyDescent="0.2"/>
    <row r="17368" s="197" customFormat="1" ht="12.75" x14ac:dyDescent="0.2"/>
    <row r="17369" s="197" customFormat="1" ht="12.75" x14ac:dyDescent="0.2"/>
    <row r="17370" s="197" customFormat="1" ht="12.75" x14ac:dyDescent="0.2"/>
    <row r="17371" s="197" customFormat="1" ht="12.75" x14ac:dyDescent="0.2"/>
    <row r="17372" s="197" customFormat="1" ht="12.75" x14ac:dyDescent="0.2"/>
    <row r="17373" s="197" customFormat="1" ht="12.75" x14ac:dyDescent="0.2"/>
    <row r="17374" s="197" customFormat="1" ht="12.75" x14ac:dyDescent="0.2"/>
    <row r="17375" s="197" customFormat="1" ht="12.75" x14ac:dyDescent="0.2"/>
    <row r="17376" s="197" customFormat="1" ht="12.75" x14ac:dyDescent="0.2"/>
    <row r="17377" s="197" customFormat="1" ht="12.75" x14ac:dyDescent="0.2"/>
    <row r="17378" s="197" customFormat="1" ht="12.75" x14ac:dyDescent="0.2"/>
    <row r="17379" s="197" customFormat="1" ht="12.75" x14ac:dyDescent="0.2"/>
    <row r="17380" s="197" customFormat="1" ht="12.75" x14ac:dyDescent="0.2"/>
    <row r="17381" s="197" customFormat="1" ht="12.75" x14ac:dyDescent="0.2"/>
    <row r="17382" s="197" customFormat="1" ht="12.75" x14ac:dyDescent="0.2"/>
    <row r="17383" s="197" customFormat="1" ht="12.75" x14ac:dyDescent="0.2"/>
    <row r="17384" s="197" customFormat="1" ht="12.75" x14ac:dyDescent="0.2"/>
    <row r="17385" s="197" customFormat="1" ht="12.75" x14ac:dyDescent="0.2"/>
    <row r="17386" s="197" customFormat="1" ht="12.75" x14ac:dyDescent="0.2"/>
    <row r="17387" s="197" customFormat="1" ht="12.75" x14ac:dyDescent="0.2"/>
    <row r="17388" s="197" customFormat="1" ht="12.75" x14ac:dyDescent="0.2"/>
    <row r="17389" s="197" customFormat="1" ht="12.75" x14ac:dyDescent="0.2"/>
    <row r="17390" s="197" customFormat="1" ht="12.75" x14ac:dyDescent="0.2"/>
    <row r="17391" s="197" customFormat="1" ht="12.75" x14ac:dyDescent="0.2"/>
    <row r="17392" s="197" customFormat="1" ht="12.75" x14ac:dyDescent="0.2"/>
    <row r="17393" s="197" customFormat="1" ht="12.75" x14ac:dyDescent="0.2"/>
    <row r="17394" s="197" customFormat="1" ht="12.75" x14ac:dyDescent="0.2"/>
    <row r="17395" s="197" customFormat="1" ht="12.75" x14ac:dyDescent="0.2"/>
    <row r="17396" s="197" customFormat="1" ht="12.75" x14ac:dyDescent="0.2"/>
    <row r="17397" s="197" customFormat="1" ht="12.75" x14ac:dyDescent="0.2"/>
    <row r="17398" s="197" customFormat="1" ht="12.75" x14ac:dyDescent="0.2"/>
    <row r="17399" s="197" customFormat="1" ht="12.75" x14ac:dyDescent="0.2"/>
    <row r="17400" s="197" customFormat="1" ht="12.75" x14ac:dyDescent="0.2"/>
    <row r="17401" s="197" customFormat="1" ht="12.75" x14ac:dyDescent="0.2"/>
    <row r="17402" s="197" customFormat="1" ht="12.75" x14ac:dyDescent="0.2"/>
    <row r="17403" s="197" customFormat="1" ht="12.75" x14ac:dyDescent="0.2"/>
    <row r="17404" s="197" customFormat="1" ht="12.75" x14ac:dyDescent="0.2"/>
    <row r="17405" s="197" customFormat="1" ht="12.75" x14ac:dyDescent="0.2"/>
    <row r="17406" s="197" customFormat="1" ht="12.75" x14ac:dyDescent="0.2"/>
    <row r="17407" s="197" customFormat="1" ht="12.75" x14ac:dyDescent="0.2"/>
    <row r="17408" s="197" customFormat="1" ht="12.75" x14ac:dyDescent="0.2"/>
    <row r="17409" s="197" customFormat="1" ht="12.75" x14ac:dyDescent="0.2"/>
    <row r="17410" s="197" customFormat="1" ht="12.75" x14ac:dyDescent="0.2"/>
    <row r="17411" s="197" customFormat="1" ht="12.75" x14ac:dyDescent="0.2"/>
    <row r="17412" s="197" customFormat="1" ht="12.75" x14ac:dyDescent="0.2"/>
    <row r="17413" s="197" customFormat="1" ht="12.75" x14ac:dyDescent="0.2"/>
    <row r="17414" s="197" customFormat="1" ht="12.75" x14ac:dyDescent="0.2"/>
    <row r="17415" s="197" customFormat="1" ht="12.75" x14ac:dyDescent="0.2"/>
    <row r="17416" s="197" customFormat="1" ht="12.75" x14ac:dyDescent="0.2"/>
    <row r="17417" s="197" customFormat="1" ht="12.75" x14ac:dyDescent="0.2"/>
    <row r="17418" s="197" customFormat="1" ht="12.75" x14ac:dyDescent="0.2"/>
    <row r="17419" s="197" customFormat="1" ht="12.75" x14ac:dyDescent="0.2"/>
    <row r="17420" s="197" customFormat="1" ht="12.75" x14ac:dyDescent="0.2"/>
    <row r="17421" s="197" customFormat="1" ht="12.75" x14ac:dyDescent="0.2"/>
    <row r="17422" s="197" customFormat="1" ht="12.75" x14ac:dyDescent="0.2"/>
    <row r="17423" s="197" customFormat="1" ht="12.75" x14ac:dyDescent="0.2"/>
    <row r="17424" s="197" customFormat="1" ht="12.75" x14ac:dyDescent="0.2"/>
    <row r="17425" s="197" customFormat="1" ht="12.75" x14ac:dyDescent="0.2"/>
    <row r="17426" s="197" customFormat="1" ht="12.75" x14ac:dyDescent="0.2"/>
    <row r="17427" s="197" customFormat="1" ht="12.75" x14ac:dyDescent="0.2"/>
    <row r="17428" s="197" customFormat="1" ht="12.75" x14ac:dyDescent="0.2"/>
    <row r="17429" s="197" customFormat="1" ht="12.75" x14ac:dyDescent="0.2"/>
    <row r="17430" s="197" customFormat="1" ht="12.75" x14ac:dyDescent="0.2"/>
    <row r="17431" s="197" customFormat="1" ht="12.75" x14ac:dyDescent="0.2"/>
    <row r="17432" s="197" customFormat="1" ht="12.75" x14ac:dyDescent="0.2"/>
    <row r="17433" s="197" customFormat="1" ht="12.75" x14ac:dyDescent="0.2"/>
    <row r="17434" s="197" customFormat="1" ht="12.75" x14ac:dyDescent="0.2"/>
    <row r="17435" s="197" customFormat="1" ht="12.75" x14ac:dyDescent="0.2"/>
    <row r="17436" s="197" customFormat="1" ht="12.75" x14ac:dyDescent="0.2"/>
    <row r="17437" s="197" customFormat="1" ht="12.75" x14ac:dyDescent="0.2"/>
    <row r="17438" s="197" customFormat="1" ht="12.75" x14ac:dyDescent="0.2"/>
    <row r="17439" s="197" customFormat="1" ht="12.75" x14ac:dyDescent="0.2"/>
    <row r="17440" s="197" customFormat="1" ht="12.75" x14ac:dyDescent="0.2"/>
    <row r="17441" s="197" customFormat="1" ht="12.75" x14ac:dyDescent="0.2"/>
    <row r="17442" s="197" customFormat="1" ht="12.75" x14ac:dyDescent="0.2"/>
    <row r="17443" s="197" customFormat="1" ht="12.75" x14ac:dyDescent="0.2"/>
    <row r="17444" s="197" customFormat="1" ht="12.75" x14ac:dyDescent="0.2"/>
    <row r="17445" s="197" customFormat="1" ht="12.75" x14ac:dyDescent="0.2"/>
    <row r="17446" s="197" customFormat="1" ht="12.75" x14ac:dyDescent="0.2"/>
    <row r="17447" s="197" customFormat="1" ht="12.75" x14ac:dyDescent="0.2"/>
    <row r="17448" s="197" customFormat="1" ht="12.75" x14ac:dyDescent="0.2"/>
    <row r="17449" s="197" customFormat="1" ht="12.75" x14ac:dyDescent="0.2"/>
    <row r="17450" s="197" customFormat="1" ht="12.75" x14ac:dyDescent="0.2"/>
    <row r="17451" s="197" customFormat="1" ht="12.75" x14ac:dyDescent="0.2"/>
    <row r="17452" s="197" customFormat="1" ht="12.75" x14ac:dyDescent="0.2"/>
    <row r="17453" s="197" customFormat="1" ht="12.75" x14ac:dyDescent="0.2"/>
    <row r="17454" s="197" customFormat="1" ht="12.75" x14ac:dyDescent="0.2"/>
    <row r="17455" s="197" customFormat="1" ht="12.75" x14ac:dyDescent="0.2"/>
    <row r="17456" s="197" customFormat="1" ht="12.75" x14ac:dyDescent="0.2"/>
    <row r="17457" s="197" customFormat="1" ht="12.75" x14ac:dyDescent="0.2"/>
    <row r="17458" s="197" customFormat="1" ht="12.75" x14ac:dyDescent="0.2"/>
    <row r="17459" s="197" customFormat="1" ht="12.75" x14ac:dyDescent="0.2"/>
    <row r="17460" s="197" customFormat="1" ht="12.75" x14ac:dyDescent="0.2"/>
    <row r="17461" s="197" customFormat="1" ht="12.75" x14ac:dyDescent="0.2"/>
    <row r="17462" s="197" customFormat="1" ht="12.75" x14ac:dyDescent="0.2"/>
    <row r="17463" s="197" customFormat="1" ht="12.75" x14ac:dyDescent="0.2"/>
    <row r="17464" s="197" customFormat="1" ht="12.75" x14ac:dyDescent="0.2"/>
    <row r="17465" s="197" customFormat="1" ht="12.75" x14ac:dyDescent="0.2"/>
    <row r="17466" s="197" customFormat="1" ht="12.75" x14ac:dyDescent="0.2"/>
    <row r="17467" s="197" customFormat="1" ht="12.75" x14ac:dyDescent="0.2"/>
    <row r="17468" s="197" customFormat="1" ht="12.75" x14ac:dyDescent="0.2"/>
    <row r="17469" s="197" customFormat="1" ht="12.75" x14ac:dyDescent="0.2"/>
    <row r="17470" s="197" customFormat="1" ht="12.75" x14ac:dyDescent="0.2"/>
    <row r="17471" s="197" customFormat="1" ht="12.75" x14ac:dyDescent="0.2"/>
    <row r="17472" s="197" customFormat="1" ht="12.75" x14ac:dyDescent="0.2"/>
    <row r="17473" s="197" customFormat="1" ht="12.75" x14ac:dyDescent="0.2"/>
    <row r="17474" s="197" customFormat="1" ht="12.75" x14ac:dyDescent="0.2"/>
    <row r="17475" s="197" customFormat="1" ht="12.75" x14ac:dyDescent="0.2"/>
    <row r="17476" s="197" customFormat="1" ht="12.75" x14ac:dyDescent="0.2"/>
    <row r="17477" s="197" customFormat="1" ht="12.75" x14ac:dyDescent="0.2"/>
    <row r="17478" s="197" customFormat="1" ht="12.75" x14ac:dyDescent="0.2"/>
    <row r="17479" s="197" customFormat="1" ht="12.75" x14ac:dyDescent="0.2"/>
    <row r="17480" s="197" customFormat="1" ht="12.75" x14ac:dyDescent="0.2"/>
    <row r="17481" s="197" customFormat="1" ht="12.75" x14ac:dyDescent="0.2"/>
    <row r="17482" s="197" customFormat="1" ht="12.75" x14ac:dyDescent="0.2"/>
    <row r="17483" s="197" customFormat="1" ht="12.75" x14ac:dyDescent="0.2"/>
    <row r="17484" s="197" customFormat="1" ht="12.75" x14ac:dyDescent="0.2"/>
    <row r="17485" s="197" customFormat="1" ht="12.75" x14ac:dyDescent="0.2"/>
    <row r="17486" s="197" customFormat="1" ht="12.75" x14ac:dyDescent="0.2"/>
    <row r="17487" s="197" customFormat="1" ht="12.75" x14ac:dyDescent="0.2"/>
    <row r="17488" s="197" customFormat="1" ht="12.75" x14ac:dyDescent="0.2"/>
    <row r="17489" s="197" customFormat="1" ht="12.75" x14ac:dyDescent="0.2"/>
    <row r="17490" s="197" customFormat="1" ht="12.75" x14ac:dyDescent="0.2"/>
    <row r="17491" s="197" customFormat="1" ht="12.75" x14ac:dyDescent="0.2"/>
    <row r="17492" s="197" customFormat="1" ht="12.75" x14ac:dyDescent="0.2"/>
    <row r="17493" s="197" customFormat="1" ht="12.75" x14ac:dyDescent="0.2"/>
    <row r="17494" s="197" customFormat="1" ht="12.75" x14ac:dyDescent="0.2"/>
    <row r="17495" s="197" customFormat="1" ht="12.75" x14ac:dyDescent="0.2"/>
    <row r="17496" s="197" customFormat="1" ht="12.75" x14ac:dyDescent="0.2"/>
    <row r="17497" s="197" customFormat="1" ht="12.75" x14ac:dyDescent="0.2"/>
    <row r="17498" s="197" customFormat="1" ht="12.75" x14ac:dyDescent="0.2"/>
    <row r="17499" s="197" customFormat="1" ht="12.75" x14ac:dyDescent="0.2"/>
    <row r="17500" s="197" customFormat="1" ht="12.75" x14ac:dyDescent="0.2"/>
    <row r="17501" s="197" customFormat="1" ht="12.75" x14ac:dyDescent="0.2"/>
    <row r="17502" s="197" customFormat="1" ht="12.75" x14ac:dyDescent="0.2"/>
    <row r="17503" s="197" customFormat="1" ht="12.75" x14ac:dyDescent="0.2"/>
    <row r="17504" s="197" customFormat="1" ht="12.75" x14ac:dyDescent="0.2"/>
    <row r="17505" s="197" customFormat="1" ht="12.75" x14ac:dyDescent="0.2"/>
    <row r="17506" s="197" customFormat="1" ht="12.75" x14ac:dyDescent="0.2"/>
    <row r="17507" s="197" customFormat="1" ht="12.75" x14ac:dyDescent="0.2"/>
    <row r="17508" s="197" customFormat="1" ht="12.75" x14ac:dyDescent="0.2"/>
    <row r="17509" s="197" customFormat="1" ht="12.75" x14ac:dyDescent="0.2"/>
    <row r="17510" s="197" customFormat="1" ht="12.75" x14ac:dyDescent="0.2"/>
    <row r="17511" s="197" customFormat="1" ht="12.75" x14ac:dyDescent="0.2"/>
    <row r="17512" s="197" customFormat="1" ht="12.75" x14ac:dyDescent="0.2"/>
    <row r="17513" s="197" customFormat="1" ht="12.75" x14ac:dyDescent="0.2"/>
    <row r="17514" s="197" customFormat="1" ht="12.75" x14ac:dyDescent="0.2"/>
    <row r="17515" s="197" customFormat="1" ht="12.75" x14ac:dyDescent="0.2"/>
    <row r="17516" s="197" customFormat="1" ht="12.75" x14ac:dyDescent="0.2"/>
    <row r="17517" s="197" customFormat="1" ht="12.75" x14ac:dyDescent="0.2"/>
    <row r="17518" s="197" customFormat="1" ht="12.75" x14ac:dyDescent="0.2"/>
    <row r="17519" s="197" customFormat="1" ht="12.75" x14ac:dyDescent="0.2"/>
    <row r="17520" s="197" customFormat="1" ht="12.75" x14ac:dyDescent="0.2"/>
    <row r="17521" s="197" customFormat="1" ht="12.75" x14ac:dyDescent="0.2"/>
    <row r="17522" s="197" customFormat="1" ht="12.75" x14ac:dyDescent="0.2"/>
    <row r="17523" s="197" customFormat="1" ht="12.75" x14ac:dyDescent="0.2"/>
    <row r="17524" s="197" customFormat="1" ht="12.75" x14ac:dyDescent="0.2"/>
    <row r="17525" s="197" customFormat="1" ht="12.75" x14ac:dyDescent="0.2"/>
    <row r="17526" s="197" customFormat="1" ht="12.75" x14ac:dyDescent="0.2"/>
    <row r="17527" s="197" customFormat="1" ht="12.75" x14ac:dyDescent="0.2"/>
    <row r="17528" s="197" customFormat="1" ht="12.75" x14ac:dyDescent="0.2"/>
    <row r="17529" s="197" customFormat="1" ht="12.75" x14ac:dyDescent="0.2"/>
    <row r="17530" s="197" customFormat="1" ht="12.75" x14ac:dyDescent="0.2"/>
    <row r="17531" s="197" customFormat="1" ht="12.75" x14ac:dyDescent="0.2"/>
    <row r="17532" s="197" customFormat="1" ht="12.75" x14ac:dyDescent="0.2"/>
    <row r="17533" s="197" customFormat="1" ht="12.75" x14ac:dyDescent="0.2"/>
    <row r="17534" s="197" customFormat="1" ht="12.75" x14ac:dyDescent="0.2"/>
    <row r="17535" s="197" customFormat="1" ht="12.75" x14ac:dyDescent="0.2"/>
    <row r="17536" s="197" customFormat="1" ht="12.75" x14ac:dyDescent="0.2"/>
    <row r="17537" s="197" customFormat="1" ht="12.75" x14ac:dyDescent="0.2"/>
    <row r="17538" s="197" customFormat="1" ht="12.75" x14ac:dyDescent="0.2"/>
    <row r="17539" s="197" customFormat="1" ht="12.75" x14ac:dyDescent="0.2"/>
    <row r="17540" s="197" customFormat="1" ht="12.75" x14ac:dyDescent="0.2"/>
    <row r="17541" s="197" customFormat="1" ht="12.75" x14ac:dyDescent="0.2"/>
    <row r="17542" s="197" customFormat="1" ht="12.75" x14ac:dyDescent="0.2"/>
    <row r="17543" s="197" customFormat="1" ht="12.75" x14ac:dyDescent="0.2"/>
    <row r="17544" s="197" customFormat="1" ht="12.75" x14ac:dyDescent="0.2"/>
    <row r="17545" s="197" customFormat="1" ht="12.75" x14ac:dyDescent="0.2"/>
    <row r="17546" s="197" customFormat="1" ht="12.75" x14ac:dyDescent="0.2"/>
    <row r="17547" s="197" customFormat="1" ht="12.75" x14ac:dyDescent="0.2"/>
    <row r="17548" s="197" customFormat="1" ht="12.75" x14ac:dyDescent="0.2"/>
    <row r="17549" s="197" customFormat="1" ht="12.75" x14ac:dyDescent="0.2"/>
    <row r="17550" s="197" customFormat="1" ht="12.75" x14ac:dyDescent="0.2"/>
    <row r="17551" s="197" customFormat="1" ht="12.75" x14ac:dyDescent="0.2"/>
    <row r="17552" s="197" customFormat="1" ht="12.75" x14ac:dyDescent="0.2"/>
    <row r="17553" s="197" customFormat="1" ht="12.75" x14ac:dyDescent="0.2"/>
    <row r="17554" s="197" customFormat="1" ht="12.75" x14ac:dyDescent="0.2"/>
    <row r="17555" s="197" customFormat="1" ht="12.75" x14ac:dyDescent="0.2"/>
    <row r="17556" s="197" customFormat="1" ht="12.75" x14ac:dyDescent="0.2"/>
    <row r="17557" s="197" customFormat="1" ht="12.75" x14ac:dyDescent="0.2"/>
    <row r="17558" s="197" customFormat="1" ht="12.75" x14ac:dyDescent="0.2"/>
    <row r="17559" s="197" customFormat="1" ht="12.75" x14ac:dyDescent="0.2"/>
    <row r="17560" s="197" customFormat="1" ht="12.75" x14ac:dyDescent="0.2"/>
    <row r="17561" s="197" customFormat="1" ht="12.75" x14ac:dyDescent="0.2"/>
    <row r="17562" s="197" customFormat="1" ht="12.75" x14ac:dyDescent="0.2"/>
    <row r="17563" s="197" customFormat="1" ht="12.75" x14ac:dyDescent="0.2"/>
    <row r="17564" s="197" customFormat="1" ht="12.75" x14ac:dyDescent="0.2"/>
    <row r="17565" s="197" customFormat="1" ht="12.75" x14ac:dyDescent="0.2"/>
    <row r="17566" s="197" customFormat="1" ht="12.75" x14ac:dyDescent="0.2"/>
    <row r="17567" s="197" customFormat="1" ht="12.75" x14ac:dyDescent="0.2"/>
    <row r="17568" s="197" customFormat="1" ht="12.75" x14ac:dyDescent="0.2"/>
    <row r="17569" s="197" customFormat="1" ht="12.75" x14ac:dyDescent="0.2"/>
    <row r="17570" s="197" customFormat="1" ht="12.75" x14ac:dyDescent="0.2"/>
    <row r="17571" s="197" customFormat="1" ht="12.75" x14ac:dyDescent="0.2"/>
    <row r="17572" s="197" customFormat="1" ht="12.75" x14ac:dyDescent="0.2"/>
    <row r="17573" s="197" customFormat="1" ht="12.75" x14ac:dyDescent="0.2"/>
    <row r="17574" s="197" customFormat="1" ht="12.75" x14ac:dyDescent="0.2"/>
    <row r="17575" s="197" customFormat="1" ht="12.75" x14ac:dyDescent="0.2"/>
    <row r="17576" s="197" customFormat="1" ht="12.75" x14ac:dyDescent="0.2"/>
    <row r="17577" s="197" customFormat="1" ht="12.75" x14ac:dyDescent="0.2"/>
    <row r="17578" s="197" customFormat="1" ht="12.75" x14ac:dyDescent="0.2"/>
    <row r="17579" s="197" customFormat="1" ht="12.75" x14ac:dyDescent="0.2"/>
    <row r="17580" s="197" customFormat="1" ht="12.75" x14ac:dyDescent="0.2"/>
    <row r="17581" s="197" customFormat="1" ht="12.75" x14ac:dyDescent="0.2"/>
    <row r="17582" s="197" customFormat="1" ht="12.75" x14ac:dyDescent="0.2"/>
    <row r="17583" s="197" customFormat="1" ht="12.75" x14ac:dyDescent="0.2"/>
    <row r="17584" s="197" customFormat="1" ht="12.75" x14ac:dyDescent="0.2"/>
    <row r="17585" s="197" customFormat="1" ht="12.75" x14ac:dyDescent="0.2"/>
    <row r="17586" s="197" customFormat="1" ht="12.75" x14ac:dyDescent="0.2"/>
    <row r="17587" s="197" customFormat="1" ht="12.75" x14ac:dyDescent="0.2"/>
    <row r="17588" s="197" customFormat="1" ht="12.75" x14ac:dyDescent="0.2"/>
    <row r="17589" s="197" customFormat="1" ht="12.75" x14ac:dyDescent="0.2"/>
    <row r="17590" s="197" customFormat="1" ht="12.75" x14ac:dyDescent="0.2"/>
    <row r="17591" s="197" customFormat="1" ht="12.75" x14ac:dyDescent="0.2"/>
    <row r="17592" s="197" customFormat="1" ht="12.75" x14ac:dyDescent="0.2"/>
    <row r="17593" s="197" customFormat="1" ht="12.75" x14ac:dyDescent="0.2"/>
    <row r="17594" s="197" customFormat="1" ht="12.75" x14ac:dyDescent="0.2"/>
    <row r="17595" s="197" customFormat="1" ht="12.75" x14ac:dyDescent="0.2"/>
    <row r="17596" s="197" customFormat="1" ht="12.75" x14ac:dyDescent="0.2"/>
    <row r="17597" s="197" customFormat="1" ht="12.75" x14ac:dyDescent="0.2"/>
    <row r="17598" s="197" customFormat="1" ht="12.75" x14ac:dyDescent="0.2"/>
    <row r="17599" s="197" customFormat="1" ht="12.75" x14ac:dyDescent="0.2"/>
    <row r="17600" s="197" customFormat="1" ht="12.75" x14ac:dyDescent="0.2"/>
    <row r="17601" s="197" customFormat="1" ht="12.75" x14ac:dyDescent="0.2"/>
    <row r="17602" s="197" customFormat="1" ht="12.75" x14ac:dyDescent="0.2"/>
    <row r="17603" s="197" customFormat="1" ht="12.75" x14ac:dyDescent="0.2"/>
    <row r="17604" s="197" customFormat="1" ht="12.75" x14ac:dyDescent="0.2"/>
    <row r="17605" s="197" customFormat="1" ht="12.75" x14ac:dyDescent="0.2"/>
    <row r="17606" s="197" customFormat="1" ht="12.75" x14ac:dyDescent="0.2"/>
    <row r="17607" s="197" customFormat="1" ht="12.75" x14ac:dyDescent="0.2"/>
    <row r="17608" s="197" customFormat="1" ht="12.75" x14ac:dyDescent="0.2"/>
    <row r="17609" s="197" customFormat="1" ht="12.75" x14ac:dyDescent="0.2"/>
    <row r="17610" s="197" customFormat="1" ht="12.75" x14ac:dyDescent="0.2"/>
    <row r="17611" s="197" customFormat="1" ht="12.75" x14ac:dyDescent="0.2"/>
    <row r="17612" s="197" customFormat="1" ht="12.75" x14ac:dyDescent="0.2"/>
    <row r="17613" s="197" customFormat="1" ht="12.75" x14ac:dyDescent="0.2"/>
    <row r="17614" s="197" customFormat="1" ht="12.75" x14ac:dyDescent="0.2"/>
    <row r="17615" s="197" customFormat="1" ht="12.75" x14ac:dyDescent="0.2"/>
    <row r="17616" s="197" customFormat="1" ht="12.75" x14ac:dyDescent="0.2"/>
    <row r="17617" s="197" customFormat="1" ht="12.75" x14ac:dyDescent="0.2"/>
    <row r="17618" s="197" customFormat="1" ht="12.75" x14ac:dyDescent="0.2"/>
    <row r="17619" s="197" customFormat="1" ht="12.75" x14ac:dyDescent="0.2"/>
    <row r="17620" s="197" customFormat="1" ht="12.75" x14ac:dyDescent="0.2"/>
    <row r="17621" s="197" customFormat="1" ht="12.75" x14ac:dyDescent="0.2"/>
    <row r="17622" s="197" customFormat="1" ht="12.75" x14ac:dyDescent="0.2"/>
    <row r="17623" s="197" customFormat="1" ht="12.75" x14ac:dyDescent="0.2"/>
    <row r="17624" s="197" customFormat="1" ht="12.75" x14ac:dyDescent="0.2"/>
    <row r="17625" s="197" customFormat="1" ht="12.75" x14ac:dyDescent="0.2"/>
    <row r="17626" s="197" customFormat="1" ht="12.75" x14ac:dyDescent="0.2"/>
    <row r="17627" s="197" customFormat="1" ht="12.75" x14ac:dyDescent="0.2"/>
    <row r="17628" s="197" customFormat="1" ht="12.75" x14ac:dyDescent="0.2"/>
    <row r="17629" s="197" customFormat="1" ht="12.75" x14ac:dyDescent="0.2"/>
    <row r="17630" s="197" customFormat="1" ht="12.75" x14ac:dyDescent="0.2"/>
    <row r="17631" s="197" customFormat="1" ht="12.75" x14ac:dyDescent="0.2"/>
    <row r="17632" s="197" customFormat="1" ht="12.75" x14ac:dyDescent="0.2"/>
    <row r="17633" s="197" customFormat="1" ht="12.75" x14ac:dyDescent="0.2"/>
    <row r="17634" s="197" customFormat="1" ht="12.75" x14ac:dyDescent="0.2"/>
    <row r="17635" s="197" customFormat="1" ht="12.75" x14ac:dyDescent="0.2"/>
    <row r="17636" s="197" customFormat="1" ht="12.75" x14ac:dyDescent="0.2"/>
    <row r="17637" s="197" customFormat="1" ht="12.75" x14ac:dyDescent="0.2"/>
    <row r="17638" s="197" customFormat="1" ht="12.75" x14ac:dyDescent="0.2"/>
    <row r="17639" s="197" customFormat="1" ht="12.75" x14ac:dyDescent="0.2"/>
    <row r="17640" s="197" customFormat="1" ht="12.75" x14ac:dyDescent="0.2"/>
    <row r="17641" s="197" customFormat="1" ht="12.75" x14ac:dyDescent="0.2"/>
    <row r="17642" s="197" customFormat="1" ht="12.75" x14ac:dyDescent="0.2"/>
    <row r="17643" s="197" customFormat="1" ht="12.75" x14ac:dyDescent="0.2"/>
    <row r="17644" s="197" customFormat="1" ht="12.75" x14ac:dyDescent="0.2"/>
    <row r="17645" s="197" customFormat="1" ht="12.75" x14ac:dyDescent="0.2"/>
    <row r="17646" s="197" customFormat="1" ht="12.75" x14ac:dyDescent="0.2"/>
    <row r="17647" s="197" customFormat="1" ht="12.75" x14ac:dyDescent="0.2"/>
    <row r="17648" s="197" customFormat="1" ht="12.75" x14ac:dyDescent="0.2"/>
    <row r="17649" s="197" customFormat="1" ht="12.75" x14ac:dyDescent="0.2"/>
    <row r="17650" s="197" customFormat="1" ht="12.75" x14ac:dyDescent="0.2"/>
    <row r="17651" s="197" customFormat="1" ht="12.75" x14ac:dyDescent="0.2"/>
    <row r="17652" s="197" customFormat="1" ht="12.75" x14ac:dyDescent="0.2"/>
    <row r="17653" s="197" customFormat="1" ht="12.75" x14ac:dyDescent="0.2"/>
    <row r="17654" s="197" customFormat="1" ht="12.75" x14ac:dyDescent="0.2"/>
    <row r="17655" s="197" customFormat="1" ht="12.75" x14ac:dyDescent="0.2"/>
    <row r="17656" s="197" customFormat="1" ht="12.75" x14ac:dyDescent="0.2"/>
    <row r="17657" s="197" customFormat="1" ht="12.75" x14ac:dyDescent="0.2"/>
    <row r="17658" s="197" customFormat="1" ht="12.75" x14ac:dyDescent="0.2"/>
    <row r="17659" s="197" customFormat="1" ht="12.75" x14ac:dyDescent="0.2"/>
    <row r="17660" s="197" customFormat="1" ht="12.75" x14ac:dyDescent="0.2"/>
    <row r="17661" s="197" customFormat="1" ht="12.75" x14ac:dyDescent="0.2"/>
    <row r="17662" s="197" customFormat="1" ht="12.75" x14ac:dyDescent="0.2"/>
    <row r="17663" s="197" customFormat="1" ht="12.75" x14ac:dyDescent="0.2"/>
    <row r="17664" s="197" customFormat="1" ht="12.75" x14ac:dyDescent="0.2"/>
    <row r="17665" s="197" customFormat="1" ht="12.75" x14ac:dyDescent="0.2"/>
    <row r="17666" s="197" customFormat="1" ht="12.75" x14ac:dyDescent="0.2"/>
    <row r="17667" s="197" customFormat="1" ht="12.75" x14ac:dyDescent="0.2"/>
    <row r="17668" s="197" customFormat="1" ht="12.75" x14ac:dyDescent="0.2"/>
    <row r="17669" s="197" customFormat="1" ht="12.75" x14ac:dyDescent="0.2"/>
    <row r="17670" s="197" customFormat="1" ht="12.75" x14ac:dyDescent="0.2"/>
    <row r="17671" s="197" customFormat="1" ht="12.75" x14ac:dyDescent="0.2"/>
    <row r="17672" s="197" customFormat="1" ht="12.75" x14ac:dyDescent="0.2"/>
    <row r="17673" s="197" customFormat="1" ht="12.75" x14ac:dyDescent="0.2"/>
    <row r="17674" s="197" customFormat="1" ht="12.75" x14ac:dyDescent="0.2"/>
    <row r="17675" s="197" customFormat="1" ht="12.75" x14ac:dyDescent="0.2"/>
    <row r="17676" s="197" customFormat="1" ht="12.75" x14ac:dyDescent="0.2"/>
    <row r="17677" s="197" customFormat="1" ht="12.75" x14ac:dyDescent="0.2"/>
    <row r="17678" s="197" customFormat="1" ht="12.75" x14ac:dyDescent="0.2"/>
    <row r="17679" s="197" customFormat="1" ht="12.75" x14ac:dyDescent="0.2"/>
    <row r="17680" s="197" customFormat="1" ht="12.75" x14ac:dyDescent="0.2"/>
    <row r="17681" s="197" customFormat="1" ht="12.75" x14ac:dyDescent="0.2"/>
    <row r="17682" s="197" customFormat="1" ht="12.75" x14ac:dyDescent="0.2"/>
    <row r="17683" s="197" customFormat="1" ht="12.75" x14ac:dyDescent="0.2"/>
    <row r="17684" s="197" customFormat="1" ht="12.75" x14ac:dyDescent="0.2"/>
    <row r="17685" s="197" customFormat="1" ht="12.75" x14ac:dyDescent="0.2"/>
    <row r="17686" s="197" customFormat="1" ht="12.75" x14ac:dyDescent="0.2"/>
    <row r="17687" s="197" customFormat="1" ht="12.75" x14ac:dyDescent="0.2"/>
    <row r="17688" s="197" customFormat="1" ht="12.75" x14ac:dyDescent="0.2"/>
    <row r="17689" s="197" customFormat="1" ht="12.75" x14ac:dyDescent="0.2"/>
    <row r="17690" s="197" customFormat="1" ht="12.75" x14ac:dyDescent="0.2"/>
    <row r="17691" s="197" customFormat="1" ht="12.75" x14ac:dyDescent="0.2"/>
    <row r="17692" s="197" customFormat="1" ht="12.75" x14ac:dyDescent="0.2"/>
    <row r="17693" s="197" customFormat="1" ht="12.75" x14ac:dyDescent="0.2"/>
    <row r="17694" s="197" customFormat="1" ht="12.75" x14ac:dyDescent="0.2"/>
    <row r="17695" s="197" customFormat="1" ht="12.75" x14ac:dyDescent="0.2"/>
    <row r="17696" s="197" customFormat="1" ht="12.75" x14ac:dyDescent="0.2"/>
    <row r="17697" s="197" customFormat="1" ht="12.75" x14ac:dyDescent="0.2"/>
    <row r="17698" s="197" customFormat="1" ht="12.75" x14ac:dyDescent="0.2"/>
    <row r="17699" s="197" customFormat="1" ht="12.75" x14ac:dyDescent="0.2"/>
    <row r="17700" s="197" customFormat="1" ht="12.75" x14ac:dyDescent="0.2"/>
    <row r="17701" s="197" customFormat="1" ht="12.75" x14ac:dyDescent="0.2"/>
    <row r="17702" s="197" customFormat="1" ht="12.75" x14ac:dyDescent="0.2"/>
    <row r="17703" s="197" customFormat="1" ht="12.75" x14ac:dyDescent="0.2"/>
    <row r="17704" s="197" customFormat="1" ht="12.75" x14ac:dyDescent="0.2"/>
    <row r="17705" s="197" customFormat="1" ht="12.75" x14ac:dyDescent="0.2"/>
    <row r="17706" s="197" customFormat="1" ht="12.75" x14ac:dyDescent="0.2"/>
    <row r="17707" s="197" customFormat="1" ht="12.75" x14ac:dyDescent="0.2"/>
    <row r="17708" s="197" customFormat="1" ht="12.75" x14ac:dyDescent="0.2"/>
    <row r="17709" s="197" customFormat="1" ht="12.75" x14ac:dyDescent="0.2"/>
    <row r="17710" s="197" customFormat="1" ht="12.75" x14ac:dyDescent="0.2"/>
    <row r="17711" s="197" customFormat="1" ht="12.75" x14ac:dyDescent="0.2"/>
    <row r="17712" s="197" customFormat="1" ht="12.75" x14ac:dyDescent="0.2"/>
    <row r="17713" s="197" customFormat="1" ht="12.75" x14ac:dyDescent="0.2"/>
    <row r="17714" s="197" customFormat="1" ht="12.75" x14ac:dyDescent="0.2"/>
    <row r="17715" s="197" customFormat="1" ht="12.75" x14ac:dyDescent="0.2"/>
    <row r="17716" s="197" customFormat="1" ht="12.75" x14ac:dyDescent="0.2"/>
    <row r="17717" s="197" customFormat="1" ht="12.75" x14ac:dyDescent="0.2"/>
    <row r="17718" s="197" customFormat="1" ht="12.75" x14ac:dyDescent="0.2"/>
    <row r="17719" s="197" customFormat="1" ht="12.75" x14ac:dyDescent="0.2"/>
    <row r="17720" s="197" customFormat="1" ht="12.75" x14ac:dyDescent="0.2"/>
    <row r="17721" s="197" customFormat="1" ht="12.75" x14ac:dyDescent="0.2"/>
    <row r="17722" s="197" customFormat="1" ht="12.75" x14ac:dyDescent="0.2"/>
    <row r="17723" s="197" customFormat="1" ht="12.75" x14ac:dyDescent="0.2"/>
    <row r="17724" s="197" customFormat="1" ht="12.75" x14ac:dyDescent="0.2"/>
    <row r="17725" s="197" customFormat="1" ht="12.75" x14ac:dyDescent="0.2"/>
    <row r="17726" s="197" customFormat="1" ht="12.75" x14ac:dyDescent="0.2"/>
    <row r="17727" s="197" customFormat="1" ht="12.75" x14ac:dyDescent="0.2"/>
    <row r="17728" s="197" customFormat="1" ht="12.75" x14ac:dyDescent="0.2"/>
    <row r="17729" s="197" customFormat="1" ht="12.75" x14ac:dyDescent="0.2"/>
    <row r="17730" s="197" customFormat="1" ht="12.75" x14ac:dyDescent="0.2"/>
    <row r="17731" s="197" customFormat="1" ht="12.75" x14ac:dyDescent="0.2"/>
    <row r="17732" s="197" customFormat="1" ht="12.75" x14ac:dyDescent="0.2"/>
    <row r="17733" s="197" customFormat="1" ht="12.75" x14ac:dyDescent="0.2"/>
    <row r="17734" s="197" customFormat="1" ht="12.75" x14ac:dyDescent="0.2"/>
    <row r="17735" s="197" customFormat="1" ht="12.75" x14ac:dyDescent="0.2"/>
    <row r="17736" s="197" customFormat="1" ht="12.75" x14ac:dyDescent="0.2"/>
    <row r="17737" s="197" customFormat="1" ht="12.75" x14ac:dyDescent="0.2"/>
    <row r="17738" s="197" customFormat="1" ht="12.75" x14ac:dyDescent="0.2"/>
    <row r="17739" s="197" customFormat="1" ht="12.75" x14ac:dyDescent="0.2"/>
    <row r="17740" s="197" customFormat="1" ht="12.75" x14ac:dyDescent="0.2"/>
    <row r="17741" s="197" customFormat="1" ht="12.75" x14ac:dyDescent="0.2"/>
    <row r="17742" s="197" customFormat="1" ht="12.75" x14ac:dyDescent="0.2"/>
    <row r="17743" s="197" customFormat="1" ht="12.75" x14ac:dyDescent="0.2"/>
    <row r="17744" s="197" customFormat="1" ht="12.75" x14ac:dyDescent="0.2"/>
    <row r="17745" s="197" customFormat="1" ht="12.75" x14ac:dyDescent="0.2"/>
    <row r="17746" s="197" customFormat="1" ht="12.75" x14ac:dyDescent="0.2"/>
    <row r="17747" s="197" customFormat="1" ht="12.75" x14ac:dyDescent="0.2"/>
    <row r="17748" s="197" customFormat="1" ht="12.75" x14ac:dyDescent="0.2"/>
    <row r="17749" s="197" customFormat="1" ht="12.75" x14ac:dyDescent="0.2"/>
    <row r="17750" s="197" customFormat="1" ht="12.75" x14ac:dyDescent="0.2"/>
    <row r="17751" s="197" customFormat="1" ht="12.75" x14ac:dyDescent="0.2"/>
    <row r="17752" s="197" customFormat="1" ht="12.75" x14ac:dyDescent="0.2"/>
    <row r="17753" s="197" customFormat="1" ht="12.75" x14ac:dyDescent="0.2"/>
    <row r="17754" s="197" customFormat="1" ht="12.75" x14ac:dyDescent="0.2"/>
    <row r="17755" s="197" customFormat="1" ht="12.75" x14ac:dyDescent="0.2"/>
    <row r="17756" s="197" customFormat="1" ht="12.75" x14ac:dyDescent="0.2"/>
    <row r="17757" s="197" customFormat="1" ht="12.75" x14ac:dyDescent="0.2"/>
    <row r="17758" s="197" customFormat="1" ht="12.75" x14ac:dyDescent="0.2"/>
    <row r="17759" s="197" customFormat="1" ht="12.75" x14ac:dyDescent="0.2"/>
    <row r="17760" s="197" customFormat="1" ht="12.75" x14ac:dyDescent="0.2"/>
    <row r="17761" s="197" customFormat="1" ht="12.75" x14ac:dyDescent="0.2"/>
    <row r="17762" s="197" customFormat="1" ht="12.75" x14ac:dyDescent="0.2"/>
    <row r="17763" s="197" customFormat="1" ht="12.75" x14ac:dyDescent="0.2"/>
    <row r="17764" s="197" customFormat="1" ht="12.75" x14ac:dyDescent="0.2"/>
    <row r="17765" s="197" customFormat="1" ht="12.75" x14ac:dyDescent="0.2"/>
    <row r="17766" s="197" customFormat="1" ht="12.75" x14ac:dyDescent="0.2"/>
    <row r="17767" s="197" customFormat="1" ht="12.75" x14ac:dyDescent="0.2"/>
    <row r="17768" s="197" customFormat="1" ht="12.75" x14ac:dyDescent="0.2"/>
    <row r="17769" s="197" customFormat="1" ht="12.75" x14ac:dyDescent="0.2"/>
    <row r="17770" s="197" customFormat="1" ht="12.75" x14ac:dyDescent="0.2"/>
    <row r="17771" s="197" customFormat="1" ht="12.75" x14ac:dyDescent="0.2"/>
    <row r="17772" s="197" customFormat="1" ht="12.75" x14ac:dyDescent="0.2"/>
    <row r="17773" s="197" customFormat="1" ht="12.75" x14ac:dyDescent="0.2"/>
    <row r="17774" s="197" customFormat="1" ht="12.75" x14ac:dyDescent="0.2"/>
    <row r="17775" s="197" customFormat="1" ht="12.75" x14ac:dyDescent="0.2"/>
    <row r="17776" s="197" customFormat="1" ht="12.75" x14ac:dyDescent="0.2"/>
    <row r="17777" s="197" customFormat="1" ht="12.75" x14ac:dyDescent="0.2"/>
    <row r="17778" s="197" customFormat="1" ht="12.75" x14ac:dyDescent="0.2"/>
    <row r="17779" s="197" customFormat="1" ht="12.75" x14ac:dyDescent="0.2"/>
    <row r="17780" s="197" customFormat="1" ht="12.75" x14ac:dyDescent="0.2"/>
    <row r="17781" s="197" customFormat="1" ht="12.75" x14ac:dyDescent="0.2"/>
    <row r="17782" s="197" customFormat="1" ht="12.75" x14ac:dyDescent="0.2"/>
    <row r="17783" s="197" customFormat="1" ht="12.75" x14ac:dyDescent="0.2"/>
    <row r="17784" s="197" customFormat="1" ht="12.75" x14ac:dyDescent="0.2"/>
    <row r="17785" s="197" customFormat="1" ht="12.75" x14ac:dyDescent="0.2"/>
    <row r="17786" s="197" customFormat="1" ht="12.75" x14ac:dyDescent="0.2"/>
    <row r="17787" s="197" customFormat="1" ht="12.75" x14ac:dyDescent="0.2"/>
    <row r="17788" s="197" customFormat="1" ht="12.75" x14ac:dyDescent="0.2"/>
    <row r="17789" s="197" customFormat="1" ht="12.75" x14ac:dyDescent="0.2"/>
    <row r="17790" s="197" customFormat="1" ht="12.75" x14ac:dyDescent="0.2"/>
    <row r="17791" s="197" customFormat="1" ht="12.75" x14ac:dyDescent="0.2"/>
    <row r="17792" s="197" customFormat="1" ht="12.75" x14ac:dyDescent="0.2"/>
    <row r="17793" s="197" customFormat="1" ht="12.75" x14ac:dyDescent="0.2"/>
    <row r="17794" s="197" customFormat="1" ht="12.75" x14ac:dyDescent="0.2"/>
    <row r="17795" s="197" customFormat="1" ht="12.75" x14ac:dyDescent="0.2"/>
    <row r="17796" s="197" customFormat="1" ht="12.75" x14ac:dyDescent="0.2"/>
    <row r="17797" s="197" customFormat="1" ht="12.75" x14ac:dyDescent="0.2"/>
    <row r="17798" s="197" customFormat="1" ht="12.75" x14ac:dyDescent="0.2"/>
    <row r="17799" s="197" customFormat="1" ht="12.75" x14ac:dyDescent="0.2"/>
    <row r="17800" s="197" customFormat="1" ht="12.75" x14ac:dyDescent="0.2"/>
    <row r="17801" s="197" customFormat="1" ht="12.75" x14ac:dyDescent="0.2"/>
    <row r="17802" s="197" customFormat="1" ht="12.75" x14ac:dyDescent="0.2"/>
    <row r="17803" s="197" customFormat="1" ht="12.75" x14ac:dyDescent="0.2"/>
    <row r="17804" s="197" customFormat="1" ht="12.75" x14ac:dyDescent="0.2"/>
    <row r="17805" s="197" customFormat="1" ht="12.75" x14ac:dyDescent="0.2"/>
    <row r="17806" s="197" customFormat="1" ht="12.75" x14ac:dyDescent="0.2"/>
    <row r="17807" s="197" customFormat="1" ht="12.75" x14ac:dyDescent="0.2"/>
    <row r="17808" s="197" customFormat="1" ht="12.75" x14ac:dyDescent="0.2"/>
    <row r="17809" s="197" customFormat="1" ht="12.75" x14ac:dyDescent="0.2"/>
    <row r="17810" s="197" customFormat="1" ht="12.75" x14ac:dyDescent="0.2"/>
    <row r="17811" s="197" customFormat="1" ht="12.75" x14ac:dyDescent="0.2"/>
    <row r="17812" s="197" customFormat="1" ht="12.75" x14ac:dyDescent="0.2"/>
    <row r="17813" s="197" customFormat="1" ht="12.75" x14ac:dyDescent="0.2"/>
    <row r="17814" s="197" customFormat="1" ht="12.75" x14ac:dyDescent="0.2"/>
    <row r="17815" s="197" customFormat="1" ht="12.75" x14ac:dyDescent="0.2"/>
    <row r="17816" s="197" customFormat="1" ht="12.75" x14ac:dyDescent="0.2"/>
    <row r="17817" s="197" customFormat="1" ht="12.75" x14ac:dyDescent="0.2"/>
    <row r="17818" s="197" customFormat="1" ht="12.75" x14ac:dyDescent="0.2"/>
    <row r="17819" s="197" customFormat="1" ht="12.75" x14ac:dyDescent="0.2"/>
    <row r="17820" s="197" customFormat="1" ht="12.75" x14ac:dyDescent="0.2"/>
    <row r="17821" s="197" customFormat="1" ht="12.75" x14ac:dyDescent="0.2"/>
    <row r="17822" s="197" customFormat="1" ht="12.75" x14ac:dyDescent="0.2"/>
    <row r="17823" s="197" customFormat="1" ht="12.75" x14ac:dyDescent="0.2"/>
    <row r="17824" s="197" customFormat="1" ht="12.75" x14ac:dyDescent="0.2"/>
    <row r="17825" s="197" customFormat="1" ht="12.75" x14ac:dyDescent="0.2"/>
    <row r="17826" s="197" customFormat="1" ht="12.75" x14ac:dyDescent="0.2"/>
    <row r="17827" s="197" customFormat="1" ht="12.75" x14ac:dyDescent="0.2"/>
    <row r="17828" s="197" customFormat="1" ht="12.75" x14ac:dyDescent="0.2"/>
    <row r="17829" s="197" customFormat="1" ht="12.75" x14ac:dyDescent="0.2"/>
    <row r="17830" s="197" customFormat="1" ht="12.75" x14ac:dyDescent="0.2"/>
    <row r="17831" s="197" customFormat="1" ht="12.75" x14ac:dyDescent="0.2"/>
    <row r="17832" s="197" customFormat="1" ht="12.75" x14ac:dyDescent="0.2"/>
    <row r="17833" s="197" customFormat="1" ht="12.75" x14ac:dyDescent="0.2"/>
    <row r="17834" s="197" customFormat="1" ht="12.75" x14ac:dyDescent="0.2"/>
    <row r="17835" s="197" customFormat="1" ht="12.75" x14ac:dyDescent="0.2"/>
    <row r="17836" s="197" customFormat="1" ht="12.75" x14ac:dyDescent="0.2"/>
    <row r="17837" s="197" customFormat="1" ht="12.75" x14ac:dyDescent="0.2"/>
    <row r="17838" s="197" customFormat="1" ht="12.75" x14ac:dyDescent="0.2"/>
    <row r="17839" s="197" customFormat="1" ht="12.75" x14ac:dyDescent="0.2"/>
    <row r="17840" s="197" customFormat="1" ht="12.75" x14ac:dyDescent="0.2"/>
    <row r="17841" s="197" customFormat="1" ht="12.75" x14ac:dyDescent="0.2"/>
    <row r="17842" s="197" customFormat="1" ht="12.75" x14ac:dyDescent="0.2"/>
    <row r="17843" s="197" customFormat="1" ht="12.75" x14ac:dyDescent="0.2"/>
    <row r="17844" s="197" customFormat="1" ht="12.75" x14ac:dyDescent="0.2"/>
    <row r="17845" s="197" customFormat="1" ht="12.75" x14ac:dyDescent="0.2"/>
    <row r="17846" s="197" customFormat="1" ht="12.75" x14ac:dyDescent="0.2"/>
    <row r="17847" s="197" customFormat="1" ht="12.75" x14ac:dyDescent="0.2"/>
    <row r="17848" s="197" customFormat="1" ht="12.75" x14ac:dyDescent="0.2"/>
    <row r="17849" s="197" customFormat="1" ht="12.75" x14ac:dyDescent="0.2"/>
    <row r="17850" s="197" customFormat="1" ht="12.75" x14ac:dyDescent="0.2"/>
    <row r="17851" s="197" customFormat="1" ht="12.75" x14ac:dyDescent="0.2"/>
    <row r="17852" s="197" customFormat="1" ht="12.75" x14ac:dyDescent="0.2"/>
    <row r="17853" s="197" customFormat="1" ht="12.75" x14ac:dyDescent="0.2"/>
    <row r="17854" s="197" customFormat="1" ht="12.75" x14ac:dyDescent="0.2"/>
    <row r="17855" s="197" customFormat="1" ht="12.75" x14ac:dyDescent="0.2"/>
    <row r="17856" s="197" customFormat="1" ht="12.75" x14ac:dyDescent="0.2"/>
    <row r="17857" s="197" customFormat="1" ht="12.75" x14ac:dyDescent="0.2"/>
    <row r="17858" s="197" customFormat="1" ht="12.75" x14ac:dyDescent="0.2"/>
    <row r="17859" s="197" customFormat="1" ht="12.75" x14ac:dyDescent="0.2"/>
    <row r="17860" s="197" customFormat="1" ht="12.75" x14ac:dyDescent="0.2"/>
    <row r="17861" s="197" customFormat="1" ht="12.75" x14ac:dyDescent="0.2"/>
    <row r="17862" s="197" customFormat="1" ht="12.75" x14ac:dyDescent="0.2"/>
    <row r="17863" s="197" customFormat="1" ht="12.75" x14ac:dyDescent="0.2"/>
    <row r="17864" s="197" customFormat="1" ht="12.75" x14ac:dyDescent="0.2"/>
    <row r="17865" s="197" customFormat="1" ht="12.75" x14ac:dyDescent="0.2"/>
    <row r="17866" s="197" customFormat="1" ht="12.75" x14ac:dyDescent="0.2"/>
    <row r="17867" s="197" customFormat="1" ht="12.75" x14ac:dyDescent="0.2"/>
    <row r="17868" s="197" customFormat="1" ht="12.75" x14ac:dyDescent="0.2"/>
    <row r="17869" s="197" customFormat="1" ht="12.75" x14ac:dyDescent="0.2"/>
    <row r="17870" s="197" customFormat="1" ht="12.75" x14ac:dyDescent="0.2"/>
    <row r="17871" s="197" customFormat="1" ht="12.75" x14ac:dyDescent="0.2"/>
    <row r="17872" s="197" customFormat="1" ht="12.75" x14ac:dyDescent="0.2"/>
    <row r="17873" s="197" customFormat="1" ht="12.75" x14ac:dyDescent="0.2"/>
    <row r="17874" s="197" customFormat="1" ht="12.75" x14ac:dyDescent="0.2"/>
    <row r="17875" s="197" customFormat="1" ht="12.75" x14ac:dyDescent="0.2"/>
    <row r="17876" s="197" customFormat="1" ht="12.75" x14ac:dyDescent="0.2"/>
    <row r="17877" s="197" customFormat="1" ht="12.75" x14ac:dyDescent="0.2"/>
    <row r="17878" s="197" customFormat="1" ht="12.75" x14ac:dyDescent="0.2"/>
    <row r="17879" s="197" customFormat="1" ht="12.75" x14ac:dyDescent="0.2"/>
    <row r="17880" s="197" customFormat="1" ht="12.75" x14ac:dyDescent="0.2"/>
    <row r="17881" s="197" customFormat="1" ht="12.75" x14ac:dyDescent="0.2"/>
    <row r="17882" s="197" customFormat="1" ht="12.75" x14ac:dyDescent="0.2"/>
    <row r="17883" s="197" customFormat="1" ht="12.75" x14ac:dyDescent="0.2"/>
    <row r="17884" s="197" customFormat="1" ht="12.75" x14ac:dyDescent="0.2"/>
    <row r="17885" s="197" customFormat="1" ht="12.75" x14ac:dyDescent="0.2"/>
    <row r="17886" s="197" customFormat="1" ht="12.75" x14ac:dyDescent="0.2"/>
    <row r="17887" s="197" customFormat="1" ht="12.75" x14ac:dyDescent="0.2"/>
    <row r="17888" s="197" customFormat="1" ht="12.75" x14ac:dyDescent="0.2"/>
    <row r="17889" s="197" customFormat="1" ht="12.75" x14ac:dyDescent="0.2"/>
    <row r="17890" s="197" customFormat="1" ht="12.75" x14ac:dyDescent="0.2"/>
    <row r="17891" s="197" customFormat="1" ht="12.75" x14ac:dyDescent="0.2"/>
    <row r="17892" s="197" customFormat="1" ht="12.75" x14ac:dyDescent="0.2"/>
    <row r="17893" s="197" customFormat="1" ht="12.75" x14ac:dyDescent="0.2"/>
    <row r="17894" s="197" customFormat="1" ht="12.75" x14ac:dyDescent="0.2"/>
    <row r="17895" s="197" customFormat="1" ht="12.75" x14ac:dyDescent="0.2"/>
    <row r="17896" s="197" customFormat="1" ht="12.75" x14ac:dyDescent="0.2"/>
    <row r="17897" s="197" customFormat="1" ht="12.75" x14ac:dyDescent="0.2"/>
    <row r="17898" s="197" customFormat="1" ht="12.75" x14ac:dyDescent="0.2"/>
    <row r="17899" s="197" customFormat="1" ht="12.75" x14ac:dyDescent="0.2"/>
    <row r="17900" s="197" customFormat="1" ht="12.75" x14ac:dyDescent="0.2"/>
    <row r="17901" s="197" customFormat="1" ht="12.75" x14ac:dyDescent="0.2"/>
    <row r="17902" s="197" customFormat="1" ht="12.75" x14ac:dyDescent="0.2"/>
    <row r="17903" s="197" customFormat="1" ht="12.75" x14ac:dyDescent="0.2"/>
    <row r="17904" s="197" customFormat="1" ht="12.75" x14ac:dyDescent="0.2"/>
    <row r="17905" s="197" customFormat="1" ht="12.75" x14ac:dyDescent="0.2"/>
    <row r="17906" s="197" customFormat="1" ht="12.75" x14ac:dyDescent="0.2"/>
    <row r="17907" s="197" customFormat="1" ht="12.75" x14ac:dyDescent="0.2"/>
    <row r="17908" s="197" customFormat="1" ht="12.75" x14ac:dyDescent="0.2"/>
    <row r="17909" s="197" customFormat="1" ht="12.75" x14ac:dyDescent="0.2"/>
    <row r="17910" s="197" customFormat="1" ht="12.75" x14ac:dyDescent="0.2"/>
    <row r="17911" s="197" customFormat="1" ht="12.75" x14ac:dyDescent="0.2"/>
    <row r="17912" s="197" customFormat="1" ht="12.75" x14ac:dyDescent="0.2"/>
    <row r="17913" s="197" customFormat="1" ht="12.75" x14ac:dyDescent="0.2"/>
    <row r="17914" s="197" customFormat="1" ht="12.75" x14ac:dyDescent="0.2"/>
    <row r="17915" s="197" customFormat="1" ht="12.75" x14ac:dyDescent="0.2"/>
    <row r="17916" s="197" customFormat="1" ht="12.75" x14ac:dyDescent="0.2"/>
    <row r="17917" s="197" customFormat="1" ht="12.75" x14ac:dyDescent="0.2"/>
    <row r="17918" s="197" customFormat="1" ht="12.75" x14ac:dyDescent="0.2"/>
    <row r="17919" s="197" customFormat="1" ht="12.75" x14ac:dyDescent="0.2"/>
    <row r="17920" s="197" customFormat="1" ht="12.75" x14ac:dyDescent="0.2"/>
    <row r="17921" s="197" customFormat="1" ht="12.75" x14ac:dyDescent="0.2"/>
    <row r="17922" s="197" customFormat="1" ht="12.75" x14ac:dyDescent="0.2"/>
    <row r="17923" s="197" customFormat="1" ht="12.75" x14ac:dyDescent="0.2"/>
    <row r="17924" s="197" customFormat="1" ht="12.75" x14ac:dyDescent="0.2"/>
    <row r="17925" s="197" customFormat="1" ht="12.75" x14ac:dyDescent="0.2"/>
    <row r="17926" s="197" customFormat="1" ht="12.75" x14ac:dyDescent="0.2"/>
    <row r="17927" s="197" customFormat="1" ht="12.75" x14ac:dyDescent="0.2"/>
    <row r="17928" s="197" customFormat="1" ht="12.75" x14ac:dyDescent="0.2"/>
    <row r="17929" s="197" customFormat="1" ht="12.75" x14ac:dyDescent="0.2"/>
    <row r="17930" s="197" customFormat="1" ht="12.75" x14ac:dyDescent="0.2"/>
    <row r="17931" s="197" customFormat="1" ht="12.75" x14ac:dyDescent="0.2"/>
    <row r="17932" s="197" customFormat="1" ht="12.75" x14ac:dyDescent="0.2"/>
    <row r="17933" s="197" customFormat="1" ht="12.75" x14ac:dyDescent="0.2"/>
    <row r="17934" s="197" customFormat="1" ht="12.75" x14ac:dyDescent="0.2"/>
    <row r="17935" s="197" customFormat="1" ht="12.75" x14ac:dyDescent="0.2"/>
    <row r="17936" s="197" customFormat="1" ht="12.75" x14ac:dyDescent="0.2"/>
    <row r="17937" s="197" customFormat="1" ht="12.75" x14ac:dyDescent="0.2"/>
    <row r="17938" s="197" customFormat="1" ht="12.75" x14ac:dyDescent="0.2"/>
    <row r="17939" s="197" customFormat="1" ht="12.75" x14ac:dyDescent="0.2"/>
    <row r="17940" s="197" customFormat="1" ht="12.75" x14ac:dyDescent="0.2"/>
    <row r="17941" s="197" customFormat="1" ht="12.75" x14ac:dyDescent="0.2"/>
    <row r="17942" s="197" customFormat="1" ht="12.75" x14ac:dyDescent="0.2"/>
    <row r="17943" s="197" customFormat="1" ht="12.75" x14ac:dyDescent="0.2"/>
    <row r="17944" s="197" customFormat="1" ht="12.75" x14ac:dyDescent="0.2"/>
    <row r="17945" s="197" customFormat="1" ht="12.75" x14ac:dyDescent="0.2"/>
    <row r="17946" s="197" customFormat="1" ht="12.75" x14ac:dyDescent="0.2"/>
    <row r="17947" s="197" customFormat="1" ht="12.75" x14ac:dyDescent="0.2"/>
    <row r="17948" s="197" customFormat="1" ht="12.75" x14ac:dyDescent="0.2"/>
    <row r="17949" s="197" customFormat="1" ht="12.75" x14ac:dyDescent="0.2"/>
    <row r="17950" s="197" customFormat="1" ht="12.75" x14ac:dyDescent="0.2"/>
    <row r="17951" s="197" customFormat="1" ht="12.75" x14ac:dyDescent="0.2"/>
    <row r="17952" s="197" customFormat="1" ht="12.75" x14ac:dyDescent="0.2"/>
    <row r="17953" s="197" customFormat="1" ht="12.75" x14ac:dyDescent="0.2"/>
    <row r="17954" s="197" customFormat="1" ht="12.75" x14ac:dyDescent="0.2"/>
    <row r="17955" s="197" customFormat="1" ht="12.75" x14ac:dyDescent="0.2"/>
    <row r="17956" s="197" customFormat="1" ht="12.75" x14ac:dyDescent="0.2"/>
    <row r="17957" s="197" customFormat="1" ht="12.75" x14ac:dyDescent="0.2"/>
    <row r="17958" s="197" customFormat="1" ht="12.75" x14ac:dyDescent="0.2"/>
    <row r="17959" s="197" customFormat="1" ht="12.75" x14ac:dyDescent="0.2"/>
    <row r="17960" s="197" customFormat="1" ht="12.75" x14ac:dyDescent="0.2"/>
    <row r="17961" s="197" customFormat="1" ht="12.75" x14ac:dyDescent="0.2"/>
    <row r="17962" s="197" customFormat="1" ht="12.75" x14ac:dyDescent="0.2"/>
    <row r="17963" s="197" customFormat="1" ht="12.75" x14ac:dyDescent="0.2"/>
    <row r="17964" s="197" customFormat="1" ht="12.75" x14ac:dyDescent="0.2"/>
    <row r="17965" s="197" customFormat="1" ht="12.75" x14ac:dyDescent="0.2"/>
    <row r="17966" s="197" customFormat="1" ht="12.75" x14ac:dyDescent="0.2"/>
    <row r="17967" s="197" customFormat="1" ht="12.75" x14ac:dyDescent="0.2"/>
    <row r="17968" s="197" customFormat="1" ht="12.75" x14ac:dyDescent="0.2"/>
    <row r="17969" s="197" customFormat="1" ht="12.75" x14ac:dyDescent="0.2"/>
    <row r="17970" s="197" customFormat="1" ht="12.75" x14ac:dyDescent="0.2"/>
    <row r="17971" s="197" customFormat="1" ht="12.75" x14ac:dyDescent="0.2"/>
    <row r="17972" s="197" customFormat="1" ht="12.75" x14ac:dyDescent="0.2"/>
    <row r="17973" s="197" customFormat="1" ht="12.75" x14ac:dyDescent="0.2"/>
    <row r="17974" s="197" customFormat="1" ht="12.75" x14ac:dyDescent="0.2"/>
    <row r="17975" s="197" customFormat="1" ht="12.75" x14ac:dyDescent="0.2"/>
    <row r="17976" s="197" customFormat="1" ht="12.75" x14ac:dyDescent="0.2"/>
    <row r="17977" s="197" customFormat="1" ht="12.75" x14ac:dyDescent="0.2"/>
    <row r="17978" s="197" customFormat="1" ht="12.75" x14ac:dyDescent="0.2"/>
    <row r="17979" s="197" customFormat="1" ht="12.75" x14ac:dyDescent="0.2"/>
    <row r="17980" s="197" customFormat="1" ht="12.75" x14ac:dyDescent="0.2"/>
    <row r="17981" s="197" customFormat="1" ht="12.75" x14ac:dyDescent="0.2"/>
    <row r="17982" s="197" customFormat="1" ht="12.75" x14ac:dyDescent="0.2"/>
    <row r="17983" s="197" customFormat="1" ht="12.75" x14ac:dyDescent="0.2"/>
    <row r="17984" s="197" customFormat="1" ht="12.75" x14ac:dyDescent="0.2"/>
    <row r="17985" s="197" customFormat="1" ht="12.75" x14ac:dyDescent="0.2"/>
    <row r="17986" s="197" customFormat="1" ht="12.75" x14ac:dyDescent="0.2"/>
    <row r="17987" s="197" customFormat="1" ht="12.75" x14ac:dyDescent="0.2"/>
    <row r="17988" s="197" customFormat="1" ht="12.75" x14ac:dyDescent="0.2"/>
    <row r="17989" s="197" customFormat="1" ht="12.75" x14ac:dyDescent="0.2"/>
    <row r="17990" s="197" customFormat="1" ht="12.75" x14ac:dyDescent="0.2"/>
    <row r="17991" s="197" customFormat="1" ht="12.75" x14ac:dyDescent="0.2"/>
    <row r="17992" s="197" customFormat="1" ht="12.75" x14ac:dyDescent="0.2"/>
    <row r="17993" s="197" customFormat="1" ht="12.75" x14ac:dyDescent="0.2"/>
    <row r="17994" s="197" customFormat="1" ht="12.75" x14ac:dyDescent="0.2"/>
    <row r="17995" s="197" customFormat="1" ht="12.75" x14ac:dyDescent="0.2"/>
    <row r="17996" s="197" customFormat="1" ht="12.75" x14ac:dyDescent="0.2"/>
    <row r="17997" s="197" customFormat="1" ht="12.75" x14ac:dyDescent="0.2"/>
    <row r="17998" s="197" customFormat="1" ht="12.75" x14ac:dyDescent="0.2"/>
    <row r="17999" s="197" customFormat="1" ht="12.75" x14ac:dyDescent="0.2"/>
    <row r="18000" s="197" customFormat="1" ht="12.75" x14ac:dyDescent="0.2"/>
    <row r="18001" s="197" customFormat="1" ht="12.75" x14ac:dyDescent="0.2"/>
    <row r="18002" s="197" customFormat="1" ht="12.75" x14ac:dyDescent="0.2"/>
    <row r="18003" s="197" customFormat="1" ht="12.75" x14ac:dyDescent="0.2"/>
    <row r="18004" s="197" customFormat="1" ht="12.75" x14ac:dyDescent="0.2"/>
    <row r="18005" s="197" customFormat="1" ht="12.75" x14ac:dyDescent="0.2"/>
    <row r="18006" s="197" customFormat="1" ht="12.75" x14ac:dyDescent="0.2"/>
    <row r="18007" s="197" customFormat="1" ht="12.75" x14ac:dyDescent="0.2"/>
    <row r="18008" s="197" customFormat="1" ht="12.75" x14ac:dyDescent="0.2"/>
    <row r="18009" s="197" customFormat="1" ht="12.75" x14ac:dyDescent="0.2"/>
    <row r="18010" s="197" customFormat="1" ht="12.75" x14ac:dyDescent="0.2"/>
    <row r="18011" s="197" customFormat="1" ht="12.75" x14ac:dyDescent="0.2"/>
    <row r="18012" s="197" customFormat="1" ht="12.75" x14ac:dyDescent="0.2"/>
    <row r="18013" s="197" customFormat="1" ht="12.75" x14ac:dyDescent="0.2"/>
    <row r="18014" s="197" customFormat="1" ht="12.75" x14ac:dyDescent="0.2"/>
    <row r="18015" s="197" customFormat="1" ht="12.75" x14ac:dyDescent="0.2"/>
    <row r="18016" s="197" customFormat="1" ht="12.75" x14ac:dyDescent="0.2"/>
    <row r="18017" s="197" customFormat="1" ht="12.75" x14ac:dyDescent="0.2"/>
    <row r="18018" s="197" customFormat="1" ht="12.75" x14ac:dyDescent="0.2"/>
    <row r="18019" s="197" customFormat="1" ht="12.75" x14ac:dyDescent="0.2"/>
    <row r="18020" s="197" customFormat="1" ht="12.75" x14ac:dyDescent="0.2"/>
    <row r="18021" s="197" customFormat="1" ht="12.75" x14ac:dyDescent="0.2"/>
    <row r="18022" s="197" customFormat="1" ht="12.75" x14ac:dyDescent="0.2"/>
    <row r="18023" s="197" customFormat="1" ht="12.75" x14ac:dyDescent="0.2"/>
    <row r="18024" s="197" customFormat="1" ht="12.75" x14ac:dyDescent="0.2"/>
    <row r="18025" s="197" customFormat="1" ht="12.75" x14ac:dyDescent="0.2"/>
    <row r="18026" s="197" customFormat="1" ht="12.75" x14ac:dyDescent="0.2"/>
    <row r="18027" s="197" customFormat="1" ht="12.75" x14ac:dyDescent="0.2"/>
    <row r="18028" s="197" customFormat="1" ht="12.75" x14ac:dyDescent="0.2"/>
    <row r="18029" s="197" customFormat="1" ht="12.75" x14ac:dyDescent="0.2"/>
    <row r="18030" s="197" customFormat="1" ht="12.75" x14ac:dyDescent="0.2"/>
    <row r="18031" s="197" customFormat="1" ht="12.75" x14ac:dyDescent="0.2"/>
    <row r="18032" s="197" customFormat="1" ht="12.75" x14ac:dyDescent="0.2"/>
    <row r="18033" s="197" customFormat="1" ht="12.75" x14ac:dyDescent="0.2"/>
    <row r="18034" s="197" customFormat="1" ht="12.75" x14ac:dyDescent="0.2"/>
    <row r="18035" s="197" customFormat="1" ht="12.75" x14ac:dyDescent="0.2"/>
    <row r="18036" s="197" customFormat="1" ht="12.75" x14ac:dyDescent="0.2"/>
    <row r="18037" s="197" customFormat="1" ht="12.75" x14ac:dyDescent="0.2"/>
    <row r="18038" s="197" customFormat="1" ht="12.75" x14ac:dyDescent="0.2"/>
    <row r="18039" s="197" customFormat="1" ht="12.75" x14ac:dyDescent="0.2"/>
    <row r="18040" s="197" customFormat="1" ht="12.75" x14ac:dyDescent="0.2"/>
    <row r="18041" s="197" customFormat="1" ht="12.75" x14ac:dyDescent="0.2"/>
    <row r="18042" s="197" customFormat="1" ht="12.75" x14ac:dyDescent="0.2"/>
    <row r="18043" s="197" customFormat="1" ht="12.75" x14ac:dyDescent="0.2"/>
    <row r="18044" s="197" customFormat="1" ht="12.75" x14ac:dyDescent="0.2"/>
    <row r="18045" s="197" customFormat="1" ht="12.75" x14ac:dyDescent="0.2"/>
    <row r="18046" s="197" customFormat="1" ht="12.75" x14ac:dyDescent="0.2"/>
    <row r="18047" s="197" customFormat="1" ht="12.75" x14ac:dyDescent="0.2"/>
    <row r="18048" s="197" customFormat="1" ht="12.75" x14ac:dyDescent="0.2"/>
    <row r="18049" s="197" customFormat="1" ht="12.75" x14ac:dyDescent="0.2"/>
    <row r="18050" s="197" customFormat="1" ht="12.75" x14ac:dyDescent="0.2"/>
    <row r="18051" s="197" customFormat="1" ht="12.75" x14ac:dyDescent="0.2"/>
    <row r="18052" s="197" customFormat="1" ht="12.75" x14ac:dyDescent="0.2"/>
    <row r="18053" s="197" customFormat="1" ht="12.75" x14ac:dyDescent="0.2"/>
    <row r="18054" s="197" customFormat="1" ht="12.75" x14ac:dyDescent="0.2"/>
    <row r="18055" s="197" customFormat="1" ht="12.75" x14ac:dyDescent="0.2"/>
    <row r="18056" s="197" customFormat="1" ht="12.75" x14ac:dyDescent="0.2"/>
    <row r="18057" s="197" customFormat="1" ht="12.75" x14ac:dyDescent="0.2"/>
    <row r="18058" s="197" customFormat="1" ht="12.75" x14ac:dyDescent="0.2"/>
    <row r="18059" s="197" customFormat="1" ht="12.75" x14ac:dyDescent="0.2"/>
    <row r="18060" s="197" customFormat="1" ht="12.75" x14ac:dyDescent="0.2"/>
    <row r="18061" s="197" customFormat="1" ht="12.75" x14ac:dyDescent="0.2"/>
    <row r="18062" s="197" customFormat="1" ht="12.75" x14ac:dyDescent="0.2"/>
    <row r="18063" s="197" customFormat="1" ht="12.75" x14ac:dyDescent="0.2"/>
    <row r="18064" s="197" customFormat="1" ht="12.75" x14ac:dyDescent="0.2"/>
    <row r="18065" s="197" customFormat="1" ht="12.75" x14ac:dyDescent="0.2"/>
    <row r="18066" s="197" customFormat="1" ht="12.75" x14ac:dyDescent="0.2"/>
    <row r="18067" s="197" customFormat="1" ht="12.75" x14ac:dyDescent="0.2"/>
    <row r="18068" s="197" customFormat="1" ht="12.75" x14ac:dyDescent="0.2"/>
    <row r="18069" s="197" customFormat="1" ht="12.75" x14ac:dyDescent="0.2"/>
    <row r="18070" s="197" customFormat="1" ht="12.75" x14ac:dyDescent="0.2"/>
    <row r="18071" s="197" customFormat="1" ht="12.75" x14ac:dyDescent="0.2"/>
    <row r="18072" s="197" customFormat="1" ht="12.75" x14ac:dyDescent="0.2"/>
    <row r="18073" s="197" customFormat="1" ht="12.75" x14ac:dyDescent="0.2"/>
    <row r="18074" s="197" customFormat="1" ht="12.75" x14ac:dyDescent="0.2"/>
    <row r="18075" s="197" customFormat="1" ht="12.75" x14ac:dyDescent="0.2"/>
    <row r="18076" s="197" customFormat="1" ht="12.75" x14ac:dyDescent="0.2"/>
    <row r="18077" s="197" customFormat="1" ht="12.75" x14ac:dyDescent="0.2"/>
    <row r="18078" s="197" customFormat="1" ht="12.75" x14ac:dyDescent="0.2"/>
    <row r="18079" s="197" customFormat="1" ht="12.75" x14ac:dyDescent="0.2"/>
    <row r="18080" s="197" customFormat="1" ht="12.75" x14ac:dyDescent="0.2"/>
    <row r="18081" s="197" customFormat="1" ht="12.75" x14ac:dyDescent="0.2"/>
    <row r="18082" s="197" customFormat="1" ht="12.75" x14ac:dyDescent="0.2"/>
    <row r="18083" s="197" customFormat="1" ht="12.75" x14ac:dyDescent="0.2"/>
    <row r="18084" s="197" customFormat="1" ht="12.75" x14ac:dyDescent="0.2"/>
    <row r="18085" s="197" customFormat="1" ht="12.75" x14ac:dyDescent="0.2"/>
    <row r="18086" s="197" customFormat="1" ht="12.75" x14ac:dyDescent="0.2"/>
    <row r="18087" s="197" customFormat="1" ht="12.75" x14ac:dyDescent="0.2"/>
    <row r="18088" s="197" customFormat="1" ht="12.75" x14ac:dyDescent="0.2"/>
    <row r="18089" s="197" customFormat="1" ht="12.75" x14ac:dyDescent="0.2"/>
    <row r="18090" s="197" customFormat="1" ht="12.75" x14ac:dyDescent="0.2"/>
    <row r="18091" s="197" customFormat="1" ht="12.75" x14ac:dyDescent="0.2"/>
    <row r="18092" s="197" customFormat="1" ht="12.75" x14ac:dyDescent="0.2"/>
    <row r="18093" s="197" customFormat="1" ht="12.75" x14ac:dyDescent="0.2"/>
    <row r="18094" s="197" customFormat="1" ht="12.75" x14ac:dyDescent="0.2"/>
    <row r="18095" s="197" customFormat="1" ht="12.75" x14ac:dyDescent="0.2"/>
    <row r="18096" s="197" customFormat="1" ht="12.75" x14ac:dyDescent="0.2"/>
    <row r="18097" s="197" customFormat="1" ht="12.75" x14ac:dyDescent="0.2"/>
    <row r="18098" s="197" customFormat="1" ht="12.75" x14ac:dyDescent="0.2"/>
    <row r="18099" s="197" customFormat="1" ht="12.75" x14ac:dyDescent="0.2"/>
    <row r="18100" s="197" customFormat="1" ht="12.75" x14ac:dyDescent="0.2"/>
    <row r="18101" s="197" customFormat="1" ht="12.75" x14ac:dyDescent="0.2"/>
    <row r="18102" s="197" customFormat="1" ht="12.75" x14ac:dyDescent="0.2"/>
    <row r="18103" s="197" customFormat="1" ht="12.75" x14ac:dyDescent="0.2"/>
    <row r="18104" s="197" customFormat="1" ht="12.75" x14ac:dyDescent="0.2"/>
    <row r="18105" s="197" customFormat="1" ht="12.75" x14ac:dyDescent="0.2"/>
    <row r="18106" s="197" customFormat="1" ht="12.75" x14ac:dyDescent="0.2"/>
    <row r="18107" s="197" customFormat="1" ht="12.75" x14ac:dyDescent="0.2"/>
    <row r="18108" s="197" customFormat="1" ht="12.75" x14ac:dyDescent="0.2"/>
    <row r="18109" s="197" customFormat="1" ht="12.75" x14ac:dyDescent="0.2"/>
    <row r="18110" s="197" customFormat="1" ht="12.75" x14ac:dyDescent="0.2"/>
    <row r="18111" s="197" customFormat="1" ht="12.75" x14ac:dyDescent="0.2"/>
    <row r="18112" s="197" customFormat="1" ht="12.75" x14ac:dyDescent="0.2"/>
    <row r="18113" s="197" customFormat="1" ht="12.75" x14ac:dyDescent="0.2"/>
    <row r="18114" s="197" customFormat="1" ht="12.75" x14ac:dyDescent="0.2"/>
    <row r="18115" s="197" customFormat="1" ht="12.75" x14ac:dyDescent="0.2"/>
    <row r="18116" s="197" customFormat="1" ht="12.75" x14ac:dyDescent="0.2"/>
    <row r="18117" s="197" customFormat="1" ht="12.75" x14ac:dyDescent="0.2"/>
    <row r="18118" s="197" customFormat="1" ht="12.75" x14ac:dyDescent="0.2"/>
    <row r="18119" s="197" customFormat="1" ht="12.75" x14ac:dyDescent="0.2"/>
    <row r="18120" s="197" customFormat="1" ht="12.75" x14ac:dyDescent="0.2"/>
    <row r="18121" s="197" customFormat="1" ht="12.75" x14ac:dyDescent="0.2"/>
    <row r="18122" s="197" customFormat="1" ht="12.75" x14ac:dyDescent="0.2"/>
    <row r="18123" s="197" customFormat="1" ht="12.75" x14ac:dyDescent="0.2"/>
    <row r="18124" s="197" customFormat="1" ht="12.75" x14ac:dyDescent="0.2"/>
    <row r="18125" s="197" customFormat="1" ht="12.75" x14ac:dyDescent="0.2"/>
    <row r="18126" s="197" customFormat="1" ht="12.75" x14ac:dyDescent="0.2"/>
    <row r="18127" s="197" customFormat="1" ht="12.75" x14ac:dyDescent="0.2"/>
    <row r="18128" s="197" customFormat="1" ht="12.75" x14ac:dyDescent="0.2"/>
    <row r="18129" s="197" customFormat="1" ht="12.75" x14ac:dyDescent="0.2"/>
    <row r="18130" s="197" customFormat="1" ht="12.75" x14ac:dyDescent="0.2"/>
    <row r="18131" s="197" customFormat="1" ht="12.75" x14ac:dyDescent="0.2"/>
    <row r="18132" s="197" customFormat="1" ht="12.75" x14ac:dyDescent="0.2"/>
    <row r="18133" s="197" customFormat="1" ht="12.75" x14ac:dyDescent="0.2"/>
    <row r="18134" s="197" customFormat="1" ht="12.75" x14ac:dyDescent="0.2"/>
    <row r="18135" s="197" customFormat="1" ht="12.75" x14ac:dyDescent="0.2"/>
    <row r="18136" s="197" customFormat="1" ht="12.75" x14ac:dyDescent="0.2"/>
    <row r="18137" s="197" customFormat="1" ht="12.75" x14ac:dyDescent="0.2"/>
    <row r="18138" s="197" customFormat="1" ht="12.75" x14ac:dyDescent="0.2"/>
    <row r="18139" s="197" customFormat="1" ht="12.75" x14ac:dyDescent="0.2"/>
    <row r="18140" s="197" customFormat="1" ht="12.75" x14ac:dyDescent="0.2"/>
    <row r="18141" s="197" customFormat="1" ht="12.75" x14ac:dyDescent="0.2"/>
    <row r="18142" s="197" customFormat="1" ht="12.75" x14ac:dyDescent="0.2"/>
    <row r="18143" s="197" customFormat="1" ht="12.75" x14ac:dyDescent="0.2"/>
    <row r="18144" s="197" customFormat="1" ht="12.75" x14ac:dyDescent="0.2"/>
    <row r="18145" s="197" customFormat="1" ht="12.75" x14ac:dyDescent="0.2"/>
    <row r="18146" s="197" customFormat="1" ht="12.75" x14ac:dyDescent="0.2"/>
    <row r="18147" s="197" customFormat="1" ht="12.75" x14ac:dyDescent="0.2"/>
    <row r="18148" s="197" customFormat="1" ht="12.75" x14ac:dyDescent="0.2"/>
    <row r="18149" s="197" customFormat="1" ht="12.75" x14ac:dyDescent="0.2"/>
    <row r="18150" s="197" customFormat="1" ht="12.75" x14ac:dyDescent="0.2"/>
    <row r="18151" s="197" customFormat="1" ht="12.75" x14ac:dyDescent="0.2"/>
    <row r="18152" s="197" customFormat="1" ht="12.75" x14ac:dyDescent="0.2"/>
    <row r="18153" s="197" customFormat="1" ht="12.75" x14ac:dyDescent="0.2"/>
    <row r="18154" s="197" customFormat="1" ht="12.75" x14ac:dyDescent="0.2"/>
    <row r="18155" s="197" customFormat="1" ht="12.75" x14ac:dyDescent="0.2"/>
    <row r="18156" s="197" customFormat="1" ht="12.75" x14ac:dyDescent="0.2"/>
    <row r="18157" s="197" customFormat="1" ht="12.75" x14ac:dyDescent="0.2"/>
    <row r="18158" s="197" customFormat="1" ht="12.75" x14ac:dyDescent="0.2"/>
    <row r="18159" s="197" customFormat="1" ht="12.75" x14ac:dyDescent="0.2"/>
    <row r="18160" s="197" customFormat="1" ht="12.75" x14ac:dyDescent="0.2"/>
    <row r="18161" s="197" customFormat="1" ht="12.75" x14ac:dyDescent="0.2"/>
    <row r="18162" s="197" customFormat="1" ht="12.75" x14ac:dyDescent="0.2"/>
    <row r="18163" s="197" customFormat="1" ht="12.75" x14ac:dyDescent="0.2"/>
    <row r="18164" s="197" customFormat="1" ht="12.75" x14ac:dyDescent="0.2"/>
    <row r="18165" s="197" customFormat="1" ht="12.75" x14ac:dyDescent="0.2"/>
    <row r="18166" s="197" customFormat="1" ht="12.75" x14ac:dyDescent="0.2"/>
    <row r="18167" s="197" customFormat="1" ht="12.75" x14ac:dyDescent="0.2"/>
    <row r="18168" s="197" customFormat="1" ht="12.75" x14ac:dyDescent="0.2"/>
    <row r="18169" s="197" customFormat="1" ht="12.75" x14ac:dyDescent="0.2"/>
    <row r="18170" s="197" customFormat="1" ht="12.75" x14ac:dyDescent="0.2"/>
    <row r="18171" s="197" customFormat="1" ht="12.75" x14ac:dyDescent="0.2"/>
    <row r="18172" s="197" customFormat="1" ht="12.75" x14ac:dyDescent="0.2"/>
    <row r="18173" s="197" customFormat="1" ht="12.75" x14ac:dyDescent="0.2"/>
    <row r="18174" s="197" customFormat="1" ht="12.75" x14ac:dyDescent="0.2"/>
    <row r="18175" s="197" customFormat="1" ht="12.75" x14ac:dyDescent="0.2"/>
    <row r="18176" s="197" customFormat="1" ht="12.75" x14ac:dyDescent="0.2"/>
    <row r="18177" s="197" customFormat="1" ht="12.75" x14ac:dyDescent="0.2"/>
    <row r="18178" s="197" customFormat="1" ht="12.75" x14ac:dyDescent="0.2"/>
    <row r="18179" s="197" customFormat="1" ht="12.75" x14ac:dyDescent="0.2"/>
    <row r="18180" s="197" customFormat="1" ht="12.75" x14ac:dyDescent="0.2"/>
    <row r="18181" s="197" customFormat="1" ht="12.75" x14ac:dyDescent="0.2"/>
    <row r="18182" s="197" customFormat="1" ht="12.75" x14ac:dyDescent="0.2"/>
    <row r="18183" s="197" customFormat="1" ht="12.75" x14ac:dyDescent="0.2"/>
    <row r="18184" s="197" customFormat="1" ht="12.75" x14ac:dyDescent="0.2"/>
    <row r="18185" s="197" customFormat="1" ht="12.75" x14ac:dyDescent="0.2"/>
    <row r="18186" s="197" customFormat="1" ht="12.75" x14ac:dyDescent="0.2"/>
    <row r="18187" s="197" customFormat="1" ht="12.75" x14ac:dyDescent="0.2"/>
    <row r="18188" s="197" customFormat="1" ht="12.75" x14ac:dyDescent="0.2"/>
    <row r="18189" s="197" customFormat="1" ht="12.75" x14ac:dyDescent="0.2"/>
    <row r="18190" s="197" customFormat="1" ht="12.75" x14ac:dyDescent="0.2"/>
    <row r="18191" s="197" customFormat="1" ht="12.75" x14ac:dyDescent="0.2"/>
    <row r="18192" s="197" customFormat="1" ht="12.75" x14ac:dyDescent="0.2"/>
    <row r="18193" s="197" customFormat="1" ht="12.75" x14ac:dyDescent="0.2"/>
    <row r="18194" s="197" customFormat="1" ht="12.75" x14ac:dyDescent="0.2"/>
    <row r="18195" s="197" customFormat="1" ht="12.75" x14ac:dyDescent="0.2"/>
    <row r="18196" s="197" customFormat="1" ht="12.75" x14ac:dyDescent="0.2"/>
    <row r="18197" s="197" customFormat="1" ht="12.75" x14ac:dyDescent="0.2"/>
    <row r="18198" s="197" customFormat="1" ht="12.75" x14ac:dyDescent="0.2"/>
    <row r="18199" s="197" customFormat="1" ht="12.75" x14ac:dyDescent="0.2"/>
    <row r="18200" s="197" customFormat="1" ht="12.75" x14ac:dyDescent="0.2"/>
    <row r="18201" s="197" customFormat="1" ht="12.75" x14ac:dyDescent="0.2"/>
    <row r="18202" s="197" customFormat="1" ht="12.75" x14ac:dyDescent="0.2"/>
    <row r="18203" s="197" customFormat="1" ht="12.75" x14ac:dyDescent="0.2"/>
    <row r="18204" s="197" customFormat="1" ht="12.75" x14ac:dyDescent="0.2"/>
    <row r="18205" s="197" customFormat="1" ht="12.75" x14ac:dyDescent="0.2"/>
    <row r="18206" s="197" customFormat="1" ht="12.75" x14ac:dyDescent="0.2"/>
    <row r="18207" s="197" customFormat="1" ht="12.75" x14ac:dyDescent="0.2"/>
    <row r="18208" s="197" customFormat="1" ht="12.75" x14ac:dyDescent="0.2"/>
    <row r="18209" s="197" customFormat="1" ht="12.75" x14ac:dyDescent="0.2"/>
    <row r="18210" s="197" customFormat="1" ht="12.75" x14ac:dyDescent="0.2"/>
    <row r="18211" s="197" customFormat="1" ht="12.75" x14ac:dyDescent="0.2"/>
    <row r="18212" s="197" customFormat="1" ht="12.75" x14ac:dyDescent="0.2"/>
    <row r="18213" s="197" customFormat="1" ht="12.75" x14ac:dyDescent="0.2"/>
    <row r="18214" s="197" customFormat="1" ht="12.75" x14ac:dyDescent="0.2"/>
    <row r="18215" s="197" customFormat="1" ht="12.75" x14ac:dyDescent="0.2"/>
    <row r="18216" s="197" customFormat="1" ht="12.75" x14ac:dyDescent="0.2"/>
    <row r="18217" s="197" customFormat="1" ht="12.75" x14ac:dyDescent="0.2"/>
    <row r="18218" s="197" customFormat="1" ht="12.75" x14ac:dyDescent="0.2"/>
    <row r="18219" s="197" customFormat="1" ht="12.75" x14ac:dyDescent="0.2"/>
    <row r="18220" s="197" customFormat="1" ht="12.75" x14ac:dyDescent="0.2"/>
    <row r="18221" s="197" customFormat="1" ht="12.75" x14ac:dyDescent="0.2"/>
    <row r="18222" s="197" customFormat="1" ht="12.75" x14ac:dyDescent="0.2"/>
    <row r="18223" s="197" customFormat="1" ht="12.75" x14ac:dyDescent="0.2"/>
    <row r="18224" s="197" customFormat="1" ht="12.75" x14ac:dyDescent="0.2"/>
    <row r="18225" s="197" customFormat="1" ht="12.75" x14ac:dyDescent="0.2"/>
    <row r="18226" s="197" customFormat="1" ht="12.75" x14ac:dyDescent="0.2"/>
    <row r="18227" s="197" customFormat="1" ht="12.75" x14ac:dyDescent="0.2"/>
    <row r="18228" s="197" customFormat="1" ht="12.75" x14ac:dyDescent="0.2"/>
    <row r="18229" s="197" customFormat="1" ht="12.75" x14ac:dyDescent="0.2"/>
    <row r="18230" s="197" customFormat="1" ht="12.75" x14ac:dyDescent="0.2"/>
    <row r="18231" s="197" customFormat="1" ht="12.75" x14ac:dyDescent="0.2"/>
    <row r="18232" s="197" customFormat="1" ht="12.75" x14ac:dyDescent="0.2"/>
    <row r="18233" s="197" customFormat="1" ht="12.75" x14ac:dyDescent="0.2"/>
    <row r="18234" s="197" customFormat="1" ht="12.75" x14ac:dyDescent="0.2"/>
    <row r="18235" s="197" customFormat="1" ht="12.75" x14ac:dyDescent="0.2"/>
    <row r="18236" s="197" customFormat="1" ht="12.75" x14ac:dyDescent="0.2"/>
    <row r="18237" s="197" customFormat="1" ht="12.75" x14ac:dyDescent="0.2"/>
    <row r="18238" s="197" customFormat="1" ht="12.75" x14ac:dyDescent="0.2"/>
    <row r="18239" s="197" customFormat="1" ht="12.75" x14ac:dyDescent="0.2"/>
    <row r="18240" s="197" customFormat="1" ht="12.75" x14ac:dyDescent="0.2"/>
    <row r="18241" s="197" customFormat="1" ht="12.75" x14ac:dyDescent="0.2"/>
    <row r="18242" s="197" customFormat="1" ht="12.75" x14ac:dyDescent="0.2"/>
    <row r="18243" s="197" customFormat="1" ht="12.75" x14ac:dyDescent="0.2"/>
    <row r="18244" s="197" customFormat="1" ht="12.75" x14ac:dyDescent="0.2"/>
    <row r="18245" s="197" customFormat="1" ht="12.75" x14ac:dyDescent="0.2"/>
    <row r="18246" s="197" customFormat="1" ht="12.75" x14ac:dyDescent="0.2"/>
    <row r="18247" s="197" customFormat="1" ht="12.75" x14ac:dyDescent="0.2"/>
    <row r="18248" s="197" customFormat="1" ht="12.75" x14ac:dyDescent="0.2"/>
    <row r="18249" s="197" customFormat="1" ht="12.75" x14ac:dyDescent="0.2"/>
    <row r="18250" s="197" customFormat="1" ht="12.75" x14ac:dyDescent="0.2"/>
    <row r="18251" s="197" customFormat="1" ht="12.75" x14ac:dyDescent="0.2"/>
    <row r="18252" s="197" customFormat="1" ht="12.75" x14ac:dyDescent="0.2"/>
    <row r="18253" s="197" customFormat="1" ht="12.75" x14ac:dyDescent="0.2"/>
    <row r="18254" s="197" customFormat="1" ht="12.75" x14ac:dyDescent="0.2"/>
    <row r="18255" s="197" customFormat="1" ht="12.75" x14ac:dyDescent="0.2"/>
    <row r="18256" s="197" customFormat="1" ht="12.75" x14ac:dyDescent="0.2"/>
    <row r="18257" s="197" customFormat="1" ht="12.75" x14ac:dyDescent="0.2"/>
    <row r="18258" s="197" customFormat="1" ht="12.75" x14ac:dyDescent="0.2"/>
    <row r="18259" s="197" customFormat="1" ht="12.75" x14ac:dyDescent="0.2"/>
    <row r="18260" s="197" customFormat="1" ht="12.75" x14ac:dyDescent="0.2"/>
    <row r="18261" s="197" customFormat="1" ht="12.75" x14ac:dyDescent="0.2"/>
    <row r="18262" s="197" customFormat="1" ht="12.75" x14ac:dyDescent="0.2"/>
    <row r="18263" s="197" customFormat="1" ht="12.75" x14ac:dyDescent="0.2"/>
    <row r="18264" s="197" customFormat="1" ht="12.75" x14ac:dyDescent="0.2"/>
    <row r="18265" s="197" customFormat="1" ht="12.75" x14ac:dyDescent="0.2"/>
    <row r="18266" s="197" customFormat="1" ht="12.75" x14ac:dyDescent="0.2"/>
    <row r="18267" s="197" customFormat="1" ht="12.75" x14ac:dyDescent="0.2"/>
    <row r="18268" s="197" customFormat="1" ht="12.75" x14ac:dyDescent="0.2"/>
    <row r="18269" s="197" customFormat="1" ht="12.75" x14ac:dyDescent="0.2"/>
    <row r="18270" s="197" customFormat="1" ht="12.75" x14ac:dyDescent="0.2"/>
    <row r="18271" s="197" customFormat="1" ht="12.75" x14ac:dyDescent="0.2"/>
    <row r="18272" s="197" customFormat="1" ht="12.75" x14ac:dyDescent="0.2"/>
    <row r="18273" s="197" customFormat="1" ht="12.75" x14ac:dyDescent="0.2"/>
    <row r="18274" s="197" customFormat="1" ht="12.75" x14ac:dyDescent="0.2"/>
    <row r="18275" s="197" customFormat="1" ht="12.75" x14ac:dyDescent="0.2"/>
    <row r="18276" s="197" customFormat="1" ht="12.75" x14ac:dyDescent="0.2"/>
    <row r="18277" s="197" customFormat="1" ht="12.75" x14ac:dyDescent="0.2"/>
    <row r="18278" s="197" customFormat="1" ht="12.75" x14ac:dyDescent="0.2"/>
    <row r="18279" s="197" customFormat="1" ht="12.75" x14ac:dyDescent="0.2"/>
    <row r="18280" s="197" customFormat="1" ht="12.75" x14ac:dyDescent="0.2"/>
    <row r="18281" s="197" customFormat="1" ht="12.75" x14ac:dyDescent="0.2"/>
    <row r="18282" s="197" customFormat="1" ht="12.75" x14ac:dyDescent="0.2"/>
    <row r="18283" s="197" customFormat="1" ht="12.75" x14ac:dyDescent="0.2"/>
    <row r="18284" s="197" customFormat="1" ht="12.75" x14ac:dyDescent="0.2"/>
    <row r="18285" s="197" customFormat="1" ht="12.75" x14ac:dyDescent="0.2"/>
    <row r="18286" s="197" customFormat="1" ht="12.75" x14ac:dyDescent="0.2"/>
    <row r="18287" s="197" customFormat="1" ht="12.75" x14ac:dyDescent="0.2"/>
    <row r="18288" s="197" customFormat="1" ht="12.75" x14ac:dyDescent="0.2"/>
    <row r="18289" s="197" customFormat="1" ht="12.75" x14ac:dyDescent="0.2"/>
    <row r="18290" s="197" customFormat="1" ht="12.75" x14ac:dyDescent="0.2"/>
    <row r="18291" s="197" customFormat="1" ht="12.75" x14ac:dyDescent="0.2"/>
    <row r="18292" s="197" customFormat="1" ht="12.75" x14ac:dyDescent="0.2"/>
    <row r="18293" s="197" customFormat="1" ht="12.75" x14ac:dyDescent="0.2"/>
    <row r="18294" s="197" customFormat="1" ht="12.75" x14ac:dyDescent="0.2"/>
    <row r="18295" s="197" customFormat="1" ht="12.75" x14ac:dyDescent="0.2"/>
    <row r="18296" s="197" customFormat="1" ht="12.75" x14ac:dyDescent="0.2"/>
    <row r="18297" s="197" customFormat="1" ht="12.75" x14ac:dyDescent="0.2"/>
    <row r="18298" s="197" customFormat="1" ht="12.75" x14ac:dyDescent="0.2"/>
    <row r="18299" s="197" customFormat="1" ht="12.75" x14ac:dyDescent="0.2"/>
    <row r="18300" s="197" customFormat="1" ht="12.75" x14ac:dyDescent="0.2"/>
    <row r="18301" s="197" customFormat="1" ht="12.75" x14ac:dyDescent="0.2"/>
    <row r="18302" s="197" customFormat="1" ht="12.75" x14ac:dyDescent="0.2"/>
    <row r="18303" s="197" customFormat="1" ht="12.75" x14ac:dyDescent="0.2"/>
    <row r="18304" s="197" customFormat="1" ht="12.75" x14ac:dyDescent="0.2"/>
    <row r="18305" s="197" customFormat="1" ht="12.75" x14ac:dyDescent="0.2"/>
    <row r="18306" s="197" customFormat="1" ht="12.75" x14ac:dyDescent="0.2"/>
    <row r="18307" s="197" customFormat="1" ht="12.75" x14ac:dyDescent="0.2"/>
    <row r="18308" s="197" customFormat="1" ht="12.75" x14ac:dyDescent="0.2"/>
    <row r="18309" s="197" customFormat="1" ht="12.75" x14ac:dyDescent="0.2"/>
    <row r="18310" s="197" customFormat="1" ht="12.75" x14ac:dyDescent="0.2"/>
    <row r="18311" s="197" customFormat="1" ht="12.75" x14ac:dyDescent="0.2"/>
    <row r="18312" s="197" customFormat="1" ht="12.75" x14ac:dyDescent="0.2"/>
    <row r="18313" s="197" customFormat="1" ht="12.75" x14ac:dyDescent="0.2"/>
    <row r="18314" s="197" customFormat="1" ht="12.75" x14ac:dyDescent="0.2"/>
    <row r="18315" s="197" customFormat="1" ht="12.75" x14ac:dyDescent="0.2"/>
    <row r="18316" s="197" customFormat="1" ht="12.75" x14ac:dyDescent="0.2"/>
    <row r="18317" s="197" customFormat="1" ht="12.75" x14ac:dyDescent="0.2"/>
    <row r="18318" s="197" customFormat="1" ht="12.75" x14ac:dyDescent="0.2"/>
    <row r="18319" s="197" customFormat="1" ht="12.75" x14ac:dyDescent="0.2"/>
    <row r="18320" s="197" customFormat="1" ht="12.75" x14ac:dyDescent="0.2"/>
    <row r="18321" s="197" customFormat="1" ht="12.75" x14ac:dyDescent="0.2"/>
    <row r="18322" s="197" customFormat="1" ht="12.75" x14ac:dyDescent="0.2"/>
    <row r="18323" s="197" customFormat="1" ht="12.75" x14ac:dyDescent="0.2"/>
    <row r="18324" s="197" customFormat="1" ht="12.75" x14ac:dyDescent="0.2"/>
    <row r="18325" s="197" customFormat="1" ht="12.75" x14ac:dyDescent="0.2"/>
    <row r="18326" s="197" customFormat="1" ht="12.75" x14ac:dyDescent="0.2"/>
    <row r="18327" s="197" customFormat="1" ht="12.75" x14ac:dyDescent="0.2"/>
    <row r="18328" s="197" customFormat="1" ht="12.75" x14ac:dyDescent="0.2"/>
    <row r="18329" s="197" customFormat="1" ht="12.75" x14ac:dyDescent="0.2"/>
    <row r="18330" s="197" customFormat="1" ht="12.75" x14ac:dyDescent="0.2"/>
    <row r="18331" s="197" customFormat="1" ht="12.75" x14ac:dyDescent="0.2"/>
    <row r="18332" s="197" customFormat="1" ht="12.75" x14ac:dyDescent="0.2"/>
    <row r="18333" s="197" customFormat="1" ht="12.75" x14ac:dyDescent="0.2"/>
    <row r="18334" s="197" customFormat="1" ht="12.75" x14ac:dyDescent="0.2"/>
    <row r="18335" s="197" customFormat="1" ht="12.75" x14ac:dyDescent="0.2"/>
    <row r="18336" s="197" customFormat="1" ht="12.75" x14ac:dyDescent="0.2"/>
    <row r="18337" s="197" customFormat="1" ht="12.75" x14ac:dyDescent="0.2"/>
    <row r="18338" s="197" customFormat="1" ht="12.75" x14ac:dyDescent="0.2"/>
    <row r="18339" s="197" customFormat="1" ht="12.75" x14ac:dyDescent="0.2"/>
    <row r="18340" s="197" customFormat="1" ht="12.75" x14ac:dyDescent="0.2"/>
    <row r="18341" s="197" customFormat="1" ht="12.75" x14ac:dyDescent="0.2"/>
    <row r="18342" s="197" customFormat="1" ht="12.75" x14ac:dyDescent="0.2"/>
    <row r="18343" s="197" customFormat="1" ht="12.75" x14ac:dyDescent="0.2"/>
    <row r="18344" s="197" customFormat="1" ht="12.75" x14ac:dyDescent="0.2"/>
    <row r="18345" s="197" customFormat="1" ht="12.75" x14ac:dyDescent="0.2"/>
    <row r="18346" s="197" customFormat="1" ht="12.75" x14ac:dyDescent="0.2"/>
    <row r="18347" s="197" customFormat="1" ht="12.75" x14ac:dyDescent="0.2"/>
    <row r="18348" s="197" customFormat="1" ht="12.75" x14ac:dyDescent="0.2"/>
    <row r="18349" s="197" customFormat="1" ht="12.75" x14ac:dyDescent="0.2"/>
    <row r="18350" s="197" customFormat="1" ht="12.75" x14ac:dyDescent="0.2"/>
    <row r="18351" s="197" customFormat="1" ht="12.75" x14ac:dyDescent="0.2"/>
    <row r="18352" s="197" customFormat="1" ht="12.75" x14ac:dyDescent="0.2"/>
    <row r="18353" s="197" customFormat="1" ht="12.75" x14ac:dyDescent="0.2"/>
    <row r="18354" s="197" customFormat="1" ht="12.75" x14ac:dyDescent="0.2"/>
    <row r="18355" s="197" customFormat="1" ht="12.75" x14ac:dyDescent="0.2"/>
    <row r="18356" s="197" customFormat="1" ht="12.75" x14ac:dyDescent="0.2"/>
    <row r="18357" s="197" customFormat="1" ht="12.75" x14ac:dyDescent="0.2"/>
    <row r="18358" s="197" customFormat="1" ht="12.75" x14ac:dyDescent="0.2"/>
    <row r="18359" s="197" customFormat="1" ht="12.75" x14ac:dyDescent="0.2"/>
    <row r="18360" s="197" customFormat="1" ht="12.75" x14ac:dyDescent="0.2"/>
    <row r="18361" s="197" customFormat="1" ht="12.75" x14ac:dyDescent="0.2"/>
    <row r="18362" s="197" customFormat="1" ht="12.75" x14ac:dyDescent="0.2"/>
    <row r="18363" s="197" customFormat="1" ht="12.75" x14ac:dyDescent="0.2"/>
    <row r="18364" s="197" customFormat="1" ht="12.75" x14ac:dyDescent="0.2"/>
    <row r="18365" s="197" customFormat="1" ht="12.75" x14ac:dyDescent="0.2"/>
    <row r="18366" s="197" customFormat="1" ht="12.75" x14ac:dyDescent="0.2"/>
    <row r="18367" s="197" customFormat="1" ht="12.75" x14ac:dyDescent="0.2"/>
    <row r="18368" s="197" customFormat="1" ht="12.75" x14ac:dyDescent="0.2"/>
    <row r="18369" s="197" customFormat="1" ht="12.75" x14ac:dyDescent="0.2"/>
    <row r="18370" s="197" customFormat="1" ht="12.75" x14ac:dyDescent="0.2"/>
    <row r="18371" s="197" customFormat="1" ht="12.75" x14ac:dyDescent="0.2"/>
    <row r="18372" s="197" customFormat="1" ht="12.75" x14ac:dyDescent="0.2"/>
    <row r="18373" s="197" customFormat="1" ht="12.75" x14ac:dyDescent="0.2"/>
    <row r="18374" s="197" customFormat="1" ht="12.75" x14ac:dyDescent="0.2"/>
    <row r="18375" s="197" customFormat="1" ht="12.75" x14ac:dyDescent="0.2"/>
    <row r="18376" s="197" customFormat="1" ht="12.75" x14ac:dyDescent="0.2"/>
    <row r="18377" s="197" customFormat="1" ht="12.75" x14ac:dyDescent="0.2"/>
    <row r="18378" s="197" customFormat="1" ht="12.75" x14ac:dyDescent="0.2"/>
    <row r="18379" s="197" customFormat="1" ht="12.75" x14ac:dyDescent="0.2"/>
    <row r="18380" s="197" customFormat="1" ht="12.75" x14ac:dyDescent="0.2"/>
    <row r="18381" s="197" customFormat="1" ht="12.75" x14ac:dyDescent="0.2"/>
    <row r="18382" s="197" customFormat="1" ht="12.75" x14ac:dyDescent="0.2"/>
    <row r="18383" s="197" customFormat="1" ht="12.75" x14ac:dyDescent="0.2"/>
    <row r="18384" s="197" customFormat="1" ht="12.75" x14ac:dyDescent="0.2"/>
    <row r="18385" s="197" customFormat="1" ht="12.75" x14ac:dyDescent="0.2"/>
    <row r="18386" s="197" customFormat="1" ht="12.75" x14ac:dyDescent="0.2"/>
    <row r="18387" s="197" customFormat="1" ht="12.75" x14ac:dyDescent="0.2"/>
    <row r="18388" s="197" customFormat="1" ht="12.75" x14ac:dyDescent="0.2"/>
    <row r="18389" s="197" customFormat="1" ht="12.75" x14ac:dyDescent="0.2"/>
    <row r="18390" s="197" customFormat="1" ht="12.75" x14ac:dyDescent="0.2"/>
    <row r="18391" s="197" customFormat="1" ht="12.75" x14ac:dyDescent="0.2"/>
    <row r="18392" s="197" customFormat="1" ht="12.75" x14ac:dyDescent="0.2"/>
    <row r="18393" s="197" customFormat="1" ht="12.75" x14ac:dyDescent="0.2"/>
    <row r="18394" s="197" customFormat="1" ht="12.75" x14ac:dyDescent="0.2"/>
    <row r="18395" s="197" customFormat="1" ht="12.75" x14ac:dyDescent="0.2"/>
    <row r="18396" s="197" customFormat="1" ht="12.75" x14ac:dyDescent="0.2"/>
    <row r="18397" s="197" customFormat="1" ht="12.75" x14ac:dyDescent="0.2"/>
    <row r="18398" s="197" customFormat="1" ht="12.75" x14ac:dyDescent="0.2"/>
    <row r="18399" s="197" customFormat="1" ht="12.75" x14ac:dyDescent="0.2"/>
    <row r="18400" s="197" customFormat="1" ht="12.75" x14ac:dyDescent="0.2"/>
    <row r="18401" s="197" customFormat="1" ht="12.75" x14ac:dyDescent="0.2"/>
    <row r="18402" s="197" customFormat="1" ht="12.75" x14ac:dyDescent="0.2"/>
    <row r="18403" s="197" customFormat="1" ht="12.75" x14ac:dyDescent="0.2"/>
    <row r="18404" s="197" customFormat="1" ht="12.75" x14ac:dyDescent="0.2"/>
    <row r="18405" s="197" customFormat="1" ht="12.75" x14ac:dyDescent="0.2"/>
    <row r="18406" s="197" customFormat="1" ht="12.75" x14ac:dyDescent="0.2"/>
    <row r="18407" s="197" customFormat="1" ht="12.75" x14ac:dyDescent="0.2"/>
    <row r="18408" s="197" customFormat="1" ht="12.75" x14ac:dyDescent="0.2"/>
    <row r="18409" s="197" customFormat="1" ht="12.75" x14ac:dyDescent="0.2"/>
    <row r="18410" s="197" customFormat="1" ht="12.75" x14ac:dyDescent="0.2"/>
    <row r="18411" s="197" customFormat="1" ht="12.75" x14ac:dyDescent="0.2"/>
    <row r="18412" s="197" customFormat="1" ht="12.75" x14ac:dyDescent="0.2"/>
    <row r="18413" s="197" customFormat="1" ht="12.75" x14ac:dyDescent="0.2"/>
    <row r="18414" s="197" customFormat="1" ht="12.75" x14ac:dyDescent="0.2"/>
    <row r="18415" s="197" customFormat="1" ht="12.75" x14ac:dyDescent="0.2"/>
    <row r="18416" s="197" customFormat="1" ht="12.75" x14ac:dyDescent="0.2"/>
    <row r="18417" s="197" customFormat="1" ht="12.75" x14ac:dyDescent="0.2"/>
    <row r="18418" s="197" customFormat="1" ht="12.75" x14ac:dyDescent="0.2"/>
    <row r="18419" s="197" customFormat="1" ht="12.75" x14ac:dyDescent="0.2"/>
    <row r="18420" s="197" customFormat="1" ht="12.75" x14ac:dyDescent="0.2"/>
    <row r="18421" s="197" customFormat="1" ht="12.75" x14ac:dyDescent="0.2"/>
    <row r="18422" s="197" customFormat="1" ht="12.75" x14ac:dyDescent="0.2"/>
    <row r="18423" s="197" customFormat="1" ht="12.75" x14ac:dyDescent="0.2"/>
    <row r="18424" s="197" customFormat="1" ht="12.75" x14ac:dyDescent="0.2"/>
    <row r="18425" s="197" customFormat="1" ht="12.75" x14ac:dyDescent="0.2"/>
    <row r="18426" s="197" customFormat="1" ht="12.75" x14ac:dyDescent="0.2"/>
    <row r="18427" s="197" customFormat="1" ht="12.75" x14ac:dyDescent="0.2"/>
    <row r="18428" s="197" customFormat="1" ht="12.75" x14ac:dyDescent="0.2"/>
    <row r="18429" s="197" customFormat="1" ht="12.75" x14ac:dyDescent="0.2"/>
    <row r="18430" s="197" customFormat="1" ht="12.75" x14ac:dyDescent="0.2"/>
    <row r="18431" s="197" customFormat="1" ht="12.75" x14ac:dyDescent="0.2"/>
    <row r="18432" s="197" customFormat="1" ht="12.75" x14ac:dyDescent="0.2"/>
    <row r="18433" s="197" customFormat="1" ht="12.75" x14ac:dyDescent="0.2"/>
    <row r="18434" s="197" customFormat="1" ht="12.75" x14ac:dyDescent="0.2"/>
    <row r="18435" s="197" customFormat="1" ht="12.75" x14ac:dyDescent="0.2"/>
    <row r="18436" s="197" customFormat="1" ht="12.75" x14ac:dyDescent="0.2"/>
    <row r="18437" s="197" customFormat="1" ht="12.75" x14ac:dyDescent="0.2"/>
    <row r="18438" s="197" customFormat="1" ht="12.75" x14ac:dyDescent="0.2"/>
    <row r="18439" s="197" customFormat="1" ht="12.75" x14ac:dyDescent="0.2"/>
    <row r="18440" s="197" customFormat="1" ht="12.75" x14ac:dyDescent="0.2"/>
    <row r="18441" s="197" customFormat="1" ht="12.75" x14ac:dyDescent="0.2"/>
    <row r="18442" s="197" customFormat="1" ht="12.75" x14ac:dyDescent="0.2"/>
    <row r="18443" s="197" customFormat="1" ht="12.75" x14ac:dyDescent="0.2"/>
    <row r="18444" s="197" customFormat="1" ht="12.75" x14ac:dyDescent="0.2"/>
    <row r="18445" s="197" customFormat="1" ht="12.75" x14ac:dyDescent="0.2"/>
    <row r="18446" s="197" customFormat="1" ht="12.75" x14ac:dyDescent="0.2"/>
    <row r="18447" s="197" customFormat="1" ht="12.75" x14ac:dyDescent="0.2"/>
    <row r="18448" s="197" customFormat="1" ht="12.75" x14ac:dyDescent="0.2"/>
    <row r="18449" s="197" customFormat="1" ht="12.75" x14ac:dyDescent="0.2"/>
    <row r="18450" s="197" customFormat="1" ht="12.75" x14ac:dyDescent="0.2"/>
    <row r="18451" s="197" customFormat="1" ht="12.75" x14ac:dyDescent="0.2"/>
    <row r="18452" s="197" customFormat="1" ht="12.75" x14ac:dyDescent="0.2"/>
    <row r="18453" s="197" customFormat="1" ht="12.75" x14ac:dyDescent="0.2"/>
    <row r="18454" s="197" customFormat="1" ht="12.75" x14ac:dyDescent="0.2"/>
    <row r="18455" s="197" customFormat="1" ht="12.75" x14ac:dyDescent="0.2"/>
    <row r="18456" s="197" customFormat="1" ht="12.75" x14ac:dyDescent="0.2"/>
    <row r="18457" s="197" customFormat="1" ht="12.75" x14ac:dyDescent="0.2"/>
    <row r="18458" s="197" customFormat="1" ht="12.75" x14ac:dyDescent="0.2"/>
    <row r="18459" s="197" customFormat="1" ht="12.75" x14ac:dyDescent="0.2"/>
    <row r="18460" s="197" customFormat="1" ht="12.75" x14ac:dyDescent="0.2"/>
    <row r="18461" s="197" customFormat="1" ht="12.75" x14ac:dyDescent="0.2"/>
    <row r="18462" s="197" customFormat="1" ht="12.75" x14ac:dyDescent="0.2"/>
    <row r="18463" s="197" customFormat="1" ht="12.75" x14ac:dyDescent="0.2"/>
    <row r="18464" s="197" customFormat="1" ht="12.75" x14ac:dyDescent="0.2"/>
    <row r="18465" s="197" customFormat="1" ht="12.75" x14ac:dyDescent="0.2"/>
    <row r="18466" s="197" customFormat="1" ht="12.75" x14ac:dyDescent="0.2"/>
    <row r="18467" s="197" customFormat="1" ht="12.75" x14ac:dyDescent="0.2"/>
    <row r="18468" s="197" customFormat="1" ht="12.75" x14ac:dyDescent="0.2"/>
    <row r="18469" s="197" customFormat="1" ht="12.75" x14ac:dyDescent="0.2"/>
    <row r="18470" s="197" customFormat="1" ht="12.75" x14ac:dyDescent="0.2"/>
    <row r="18471" s="197" customFormat="1" ht="12.75" x14ac:dyDescent="0.2"/>
    <row r="18472" s="197" customFormat="1" ht="12.75" x14ac:dyDescent="0.2"/>
    <row r="18473" s="197" customFormat="1" ht="12.75" x14ac:dyDescent="0.2"/>
    <row r="18474" s="197" customFormat="1" ht="12.75" x14ac:dyDescent="0.2"/>
    <row r="18475" s="197" customFormat="1" ht="12.75" x14ac:dyDescent="0.2"/>
    <row r="18476" s="197" customFormat="1" ht="12.75" x14ac:dyDescent="0.2"/>
    <row r="18477" s="197" customFormat="1" ht="12.75" x14ac:dyDescent="0.2"/>
    <row r="18478" s="197" customFormat="1" ht="12.75" x14ac:dyDescent="0.2"/>
    <row r="18479" s="197" customFormat="1" ht="12.75" x14ac:dyDescent="0.2"/>
    <row r="18480" s="197" customFormat="1" ht="12.75" x14ac:dyDescent="0.2"/>
    <row r="18481" s="197" customFormat="1" ht="12.75" x14ac:dyDescent="0.2"/>
    <row r="18482" s="197" customFormat="1" ht="12.75" x14ac:dyDescent="0.2"/>
    <row r="18483" s="197" customFormat="1" ht="12.75" x14ac:dyDescent="0.2"/>
    <row r="18484" s="197" customFormat="1" ht="12.75" x14ac:dyDescent="0.2"/>
    <row r="18485" s="197" customFormat="1" ht="12.75" x14ac:dyDescent="0.2"/>
    <row r="18486" s="197" customFormat="1" ht="12.75" x14ac:dyDescent="0.2"/>
    <row r="18487" s="197" customFormat="1" ht="12.75" x14ac:dyDescent="0.2"/>
    <row r="18488" s="197" customFormat="1" ht="12.75" x14ac:dyDescent="0.2"/>
    <row r="18489" s="197" customFormat="1" ht="12.75" x14ac:dyDescent="0.2"/>
    <row r="18490" s="197" customFormat="1" ht="12.75" x14ac:dyDescent="0.2"/>
    <row r="18491" s="197" customFormat="1" ht="12.75" x14ac:dyDescent="0.2"/>
    <row r="18492" s="197" customFormat="1" ht="12.75" x14ac:dyDescent="0.2"/>
    <row r="18493" s="197" customFormat="1" ht="12.75" x14ac:dyDescent="0.2"/>
    <row r="18494" s="197" customFormat="1" ht="12.75" x14ac:dyDescent="0.2"/>
    <row r="18495" s="197" customFormat="1" ht="12.75" x14ac:dyDescent="0.2"/>
    <row r="18496" s="197" customFormat="1" ht="12.75" x14ac:dyDescent="0.2"/>
    <row r="18497" s="197" customFormat="1" ht="12.75" x14ac:dyDescent="0.2"/>
    <row r="18498" s="197" customFormat="1" ht="12.75" x14ac:dyDescent="0.2"/>
    <row r="18499" s="197" customFormat="1" ht="12.75" x14ac:dyDescent="0.2"/>
    <row r="18500" s="197" customFormat="1" ht="12.75" x14ac:dyDescent="0.2"/>
    <row r="18501" s="197" customFormat="1" ht="12.75" x14ac:dyDescent="0.2"/>
    <row r="18502" s="197" customFormat="1" ht="12.75" x14ac:dyDescent="0.2"/>
    <row r="18503" s="197" customFormat="1" ht="12.75" x14ac:dyDescent="0.2"/>
    <row r="18504" s="197" customFormat="1" ht="12.75" x14ac:dyDescent="0.2"/>
    <row r="18505" s="197" customFormat="1" ht="12.75" x14ac:dyDescent="0.2"/>
    <row r="18506" s="197" customFormat="1" ht="12.75" x14ac:dyDescent="0.2"/>
    <row r="18507" s="197" customFormat="1" ht="12.75" x14ac:dyDescent="0.2"/>
    <row r="18508" s="197" customFormat="1" ht="12.75" x14ac:dyDescent="0.2"/>
    <row r="18509" s="197" customFormat="1" ht="12.75" x14ac:dyDescent="0.2"/>
    <row r="18510" s="197" customFormat="1" ht="12.75" x14ac:dyDescent="0.2"/>
    <row r="18511" s="197" customFormat="1" ht="12.75" x14ac:dyDescent="0.2"/>
    <row r="18512" s="197" customFormat="1" ht="12.75" x14ac:dyDescent="0.2"/>
    <row r="18513" s="197" customFormat="1" ht="12.75" x14ac:dyDescent="0.2"/>
    <row r="18514" s="197" customFormat="1" ht="12.75" x14ac:dyDescent="0.2"/>
    <row r="18515" s="197" customFormat="1" ht="12.75" x14ac:dyDescent="0.2"/>
    <row r="18516" s="197" customFormat="1" ht="12.75" x14ac:dyDescent="0.2"/>
    <row r="18517" s="197" customFormat="1" ht="12.75" x14ac:dyDescent="0.2"/>
    <row r="18518" s="197" customFormat="1" ht="12.75" x14ac:dyDescent="0.2"/>
    <row r="18519" s="197" customFormat="1" ht="12.75" x14ac:dyDescent="0.2"/>
    <row r="18520" s="197" customFormat="1" ht="12.75" x14ac:dyDescent="0.2"/>
    <row r="18521" s="197" customFormat="1" ht="12.75" x14ac:dyDescent="0.2"/>
    <row r="18522" s="197" customFormat="1" ht="12.75" x14ac:dyDescent="0.2"/>
    <row r="18523" s="197" customFormat="1" ht="12.75" x14ac:dyDescent="0.2"/>
    <row r="18524" s="197" customFormat="1" ht="12.75" x14ac:dyDescent="0.2"/>
    <row r="18525" s="197" customFormat="1" ht="12.75" x14ac:dyDescent="0.2"/>
    <row r="18526" s="197" customFormat="1" ht="12.75" x14ac:dyDescent="0.2"/>
    <row r="18527" s="197" customFormat="1" ht="12.75" x14ac:dyDescent="0.2"/>
    <row r="18528" s="197" customFormat="1" ht="12.75" x14ac:dyDescent="0.2"/>
    <row r="18529" s="197" customFormat="1" ht="12.75" x14ac:dyDescent="0.2"/>
    <row r="18530" s="197" customFormat="1" ht="12.75" x14ac:dyDescent="0.2"/>
    <row r="18531" s="197" customFormat="1" ht="12.75" x14ac:dyDescent="0.2"/>
    <row r="18532" s="197" customFormat="1" ht="12.75" x14ac:dyDescent="0.2"/>
    <row r="18533" s="197" customFormat="1" ht="12.75" x14ac:dyDescent="0.2"/>
    <row r="18534" s="197" customFormat="1" ht="12.75" x14ac:dyDescent="0.2"/>
    <row r="18535" s="197" customFormat="1" ht="12.75" x14ac:dyDescent="0.2"/>
    <row r="18536" s="197" customFormat="1" ht="12.75" x14ac:dyDescent="0.2"/>
    <row r="18537" s="197" customFormat="1" ht="12.75" x14ac:dyDescent="0.2"/>
    <row r="18538" s="197" customFormat="1" ht="12.75" x14ac:dyDescent="0.2"/>
    <row r="18539" s="197" customFormat="1" ht="12.75" x14ac:dyDescent="0.2"/>
    <row r="18540" s="197" customFormat="1" ht="12.75" x14ac:dyDescent="0.2"/>
    <row r="18541" s="197" customFormat="1" ht="12.75" x14ac:dyDescent="0.2"/>
    <row r="18542" s="197" customFormat="1" ht="12.75" x14ac:dyDescent="0.2"/>
    <row r="18543" s="197" customFormat="1" ht="12.75" x14ac:dyDescent="0.2"/>
    <row r="18544" s="197" customFormat="1" ht="12.75" x14ac:dyDescent="0.2"/>
    <row r="18545" s="197" customFormat="1" ht="12.75" x14ac:dyDescent="0.2"/>
    <row r="18546" s="197" customFormat="1" ht="12.75" x14ac:dyDescent="0.2"/>
    <row r="18547" s="197" customFormat="1" ht="12.75" x14ac:dyDescent="0.2"/>
    <row r="18548" s="197" customFormat="1" ht="12.75" x14ac:dyDescent="0.2"/>
    <row r="18549" s="197" customFormat="1" ht="12.75" x14ac:dyDescent="0.2"/>
    <row r="18550" s="197" customFormat="1" ht="12.75" x14ac:dyDescent="0.2"/>
    <row r="18551" s="197" customFormat="1" ht="12.75" x14ac:dyDescent="0.2"/>
    <row r="18552" s="197" customFormat="1" ht="12.75" x14ac:dyDescent="0.2"/>
    <row r="18553" s="197" customFormat="1" ht="12.75" x14ac:dyDescent="0.2"/>
    <row r="18554" s="197" customFormat="1" ht="12.75" x14ac:dyDescent="0.2"/>
    <row r="18555" s="197" customFormat="1" ht="12.75" x14ac:dyDescent="0.2"/>
    <row r="18556" s="197" customFormat="1" ht="12.75" x14ac:dyDescent="0.2"/>
    <row r="18557" s="197" customFormat="1" ht="12.75" x14ac:dyDescent="0.2"/>
    <row r="18558" s="197" customFormat="1" ht="12.75" x14ac:dyDescent="0.2"/>
    <row r="18559" s="197" customFormat="1" ht="12.75" x14ac:dyDescent="0.2"/>
    <row r="18560" s="197" customFormat="1" ht="12.75" x14ac:dyDescent="0.2"/>
    <row r="18561" s="197" customFormat="1" ht="12.75" x14ac:dyDescent="0.2"/>
    <row r="18562" s="197" customFormat="1" ht="12.75" x14ac:dyDescent="0.2"/>
    <row r="18563" s="197" customFormat="1" ht="12.75" x14ac:dyDescent="0.2"/>
    <row r="18564" s="197" customFormat="1" ht="12.75" x14ac:dyDescent="0.2"/>
    <row r="18565" s="197" customFormat="1" ht="12.75" x14ac:dyDescent="0.2"/>
    <row r="18566" s="197" customFormat="1" ht="12.75" x14ac:dyDescent="0.2"/>
    <row r="18567" s="197" customFormat="1" ht="12.75" x14ac:dyDescent="0.2"/>
    <row r="18568" s="197" customFormat="1" ht="12.75" x14ac:dyDescent="0.2"/>
    <row r="18569" s="197" customFormat="1" ht="12.75" x14ac:dyDescent="0.2"/>
    <row r="18570" s="197" customFormat="1" ht="12.75" x14ac:dyDescent="0.2"/>
    <row r="18571" s="197" customFormat="1" ht="12.75" x14ac:dyDescent="0.2"/>
    <row r="18572" s="197" customFormat="1" ht="12.75" x14ac:dyDescent="0.2"/>
    <row r="18573" s="197" customFormat="1" ht="12.75" x14ac:dyDescent="0.2"/>
    <row r="18574" s="197" customFormat="1" ht="12.75" x14ac:dyDescent="0.2"/>
    <row r="18575" s="197" customFormat="1" ht="12.75" x14ac:dyDescent="0.2"/>
    <row r="18576" s="197" customFormat="1" ht="12.75" x14ac:dyDescent="0.2"/>
    <row r="18577" s="197" customFormat="1" ht="12.75" x14ac:dyDescent="0.2"/>
    <row r="18578" s="197" customFormat="1" ht="12.75" x14ac:dyDescent="0.2"/>
    <row r="18579" s="197" customFormat="1" ht="12.75" x14ac:dyDescent="0.2"/>
    <row r="18580" s="197" customFormat="1" ht="12.75" x14ac:dyDescent="0.2"/>
    <row r="18581" s="197" customFormat="1" ht="12.75" x14ac:dyDescent="0.2"/>
    <row r="18582" s="197" customFormat="1" ht="12.75" x14ac:dyDescent="0.2"/>
    <row r="18583" s="197" customFormat="1" ht="12.75" x14ac:dyDescent="0.2"/>
    <row r="18584" s="197" customFormat="1" ht="12.75" x14ac:dyDescent="0.2"/>
    <row r="18585" s="197" customFormat="1" ht="12.75" x14ac:dyDescent="0.2"/>
    <row r="18586" s="197" customFormat="1" ht="12.75" x14ac:dyDescent="0.2"/>
    <row r="18587" s="197" customFormat="1" ht="12.75" x14ac:dyDescent="0.2"/>
    <row r="18588" s="197" customFormat="1" ht="12.75" x14ac:dyDescent="0.2"/>
    <row r="18589" s="197" customFormat="1" ht="12.75" x14ac:dyDescent="0.2"/>
    <row r="18590" s="197" customFormat="1" ht="12.75" x14ac:dyDescent="0.2"/>
    <row r="18591" s="197" customFormat="1" ht="12.75" x14ac:dyDescent="0.2"/>
    <row r="18592" s="197" customFormat="1" ht="12.75" x14ac:dyDescent="0.2"/>
    <row r="18593" s="197" customFormat="1" ht="12.75" x14ac:dyDescent="0.2"/>
    <row r="18594" s="197" customFormat="1" ht="12.75" x14ac:dyDescent="0.2"/>
    <row r="18595" s="197" customFormat="1" ht="12.75" x14ac:dyDescent="0.2"/>
    <row r="18596" s="197" customFormat="1" ht="12.75" x14ac:dyDescent="0.2"/>
    <row r="18597" s="197" customFormat="1" ht="12.75" x14ac:dyDescent="0.2"/>
    <row r="18598" s="197" customFormat="1" ht="12.75" x14ac:dyDescent="0.2"/>
    <row r="18599" s="197" customFormat="1" ht="12.75" x14ac:dyDescent="0.2"/>
    <row r="18600" s="197" customFormat="1" ht="12.75" x14ac:dyDescent="0.2"/>
    <row r="18601" s="197" customFormat="1" ht="12.75" x14ac:dyDescent="0.2"/>
    <row r="18602" s="197" customFormat="1" ht="12.75" x14ac:dyDescent="0.2"/>
    <row r="18603" s="197" customFormat="1" ht="12.75" x14ac:dyDescent="0.2"/>
    <row r="18604" s="197" customFormat="1" ht="12.75" x14ac:dyDescent="0.2"/>
    <row r="18605" s="197" customFormat="1" ht="12.75" x14ac:dyDescent="0.2"/>
    <row r="18606" s="197" customFormat="1" ht="12.75" x14ac:dyDescent="0.2"/>
    <row r="18607" s="197" customFormat="1" ht="12.75" x14ac:dyDescent="0.2"/>
    <row r="18608" s="197" customFormat="1" ht="12.75" x14ac:dyDescent="0.2"/>
    <row r="18609" s="197" customFormat="1" ht="12.75" x14ac:dyDescent="0.2"/>
    <row r="18610" s="197" customFormat="1" ht="12.75" x14ac:dyDescent="0.2"/>
    <row r="18611" s="197" customFormat="1" ht="12.75" x14ac:dyDescent="0.2"/>
    <row r="18612" s="197" customFormat="1" ht="12.75" x14ac:dyDescent="0.2"/>
    <row r="18613" s="197" customFormat="1" ht="12.75" x14ac:dyDescent="0.2"/>
    <row r="18614" s="197" customFormat="1" ht="12.75" x14ac:dyDescent="0.2"/>
    <row r="18615" s="197" customFormat="1" ht="12.75" x14ac:dyDescent="0.2"/>
    <row r="18616" s="197" customFormat="1" ht="12.75" x14ac:dyDescent="0.2"/>
    <row r="18617" s="197" customFormat="1" ht="12.75" x14ac:dyDescent="0.2"/>
    <row r="18618" s="197" customFormat="1" ht="12.75" x14ac:dyDescent="0.2"/>
    <row r="18619" s="197" customFormat="1" ht="12.75" x14ac:dyDescent="0.2"/>
    <row r="18620" s="197" customFormat="1" ht="12.75" x14ac:dyDescent="0.2"/>
    <row r="18621" s="197" customFormat="1" ht="12.75" x14ac:dyDescent="0.2"/>
    <row r="18622" s="197" customFormat="1" ht="12.75" x14ac:dyDescent="0.2"/>
    <row r="18623" s="197" customFormat="1" ht="12.75" x14ac:dyDescent="0.2"/>
    <row r="18624" s="197" customFormat="1" ht="12.75" x14ac:dyDescent="0.2"/>
    <row r="18625" s="197" customFormat="1" ht="12.75" x14ac:dyDescent="0.2"/>
    <row r="18626" s="197" customFormat="1" ht="12.75" x14ac:dyDescent="0.2"/>
    <row r="18627" s="197" customFormat="1" ht="12.75" x14ac:dyDescent="0.2"/>
    <row r="18628" s="197" customFormat="1" ht="12.75" x14ac:dyDescent="0.2"/>
    <row r="18629" s="197" customFormat="1" ht="12.75" x14ac:dyDescent="0.2"/>
    <row r="18630" s="197" customFormat="1" ht="12.75" x14ac:dyDescent="0.2"/>
    <row r="18631" s="197" customFormat="1" ht="12.75" x14ac:dyDescent="0.2"/>
    <row r="18632" s="197" customFormat="1" ht="12.75" x14ac:dyDescent="0.2"/>
    <row r="18633" s="197" customFormat="1" ht="12.75" x14ac:dyDescent="0.2"/>
    <row r="18634" s="197" customFormat="1" ht="12.75" x14ac:dyDescent="0.2"/>
    <row r="18635" s="197" customFormat="1" ht="12.75" x14ac:dyDescent="0.2"/>
    <row r="18636" s="197" customFormat="1" ht="12.75" x14ac:dyDescent="0.2"/>
    <row r="18637" s="197" customFormat="1" ht="12.75" x14ac:dyDescent="0.2"/>
    <row r="18638" s="197" customFormat="1" ht="12.75" x14ac:dyDescent="0.2"/>
    <row r="18639" s="197" customFormat="1" ht="12.75" x14ac:dyDescent="0.2"/>
    <row r="18640" s="197" customFormat="1" ht="12.75" x14ac:dyDescent="0.2"/>
    <row r="18641" s="197" customFormat="1" ht="12.75" x14ac:dyDescent="0.2"/>
    <row r="18642" s="197" customFormat="1" ht="12.75" x14ac:dyDescent="0.2"/>
    <row r="18643" s="197" customFormat="1" ht="12.75" x14ac:dyDescent="0.2"/>
    <row r="18644" s="197" customFormat="1" ht="12.75" x14ac:dyDescent="0.2"/>
    <row r="18645" s="197" customFormat="1" ht="12.75" x14ac:dyDescent="0.2"/>
    <row r="18646" s="197" customFormat="1" ht="12.75" x14ac:dyDescent="0.2"/>
    <row r="18647" s="197" customFormat="1" ht="12.75" x14ac:dyDescent="0.2"/>
    <row r="18648" s="197" customFormat="1" ht="12.75" x14ac:dyDescent="0.2"/>
    <row r="18649" s="197" customFormat="1" ht="12.75" x14ac:dyDescent="0.2"/>
    <row r="18650" s="197" customFormat="1" ht="12.75" x14ac:dyDescent="0.2"/>
    <row r="18651" s="197" customFormat="1" ht="12.75" x14ac:dyDescent="0.2"/>
    <row r="18652" s="197" customFormat="1" ht="12.75" x14ac:dyDescent="0.2"/>
    <row r="18653" s="197" customFormat="1" ht="12.75" x14ac:dyDescent="0.2"/>
    <row r="18654" s="197" customFormat="1" ht="12.75" x14ac:dyDescent="0.2"/>
    <row r="18655" s="197" customFormat="1" ht="12.75" x14ac:dyDescent="0.2"/>
    <row r="18656" s="197" customFormat="1" ht="12.75" x14ac:dyDescent="0.2"/>
    <row r="18657" s="197" customFormat="1" ht="12.75" x14ac:dyDescent="0.2"/>
    <row r="18658" s="197" customFormat="1" ht="12.75" x14ac:dyDescent="0.2"/>
    <row r="18659" s="197" customFormat="1" ht="12.75" x14ac:dyDescent="0.2"/>
    <row r="18660" s="197" customFormat="1" ht="12.75" x14ac:dyDescent="0.2"/>
    <row r="18661" s="197" customFormat="1" ht="12.75" x14ac:dyDescent="0.2"/>
    <row r="18662" s="197" customFormat="1" ht="12.75" x14ac:dyDescent="0.2"/>
    <row r="18663" s="197" customFormat="1" ht="12.75" x14ac:dyDescent="0.2"/>
    <row r="18664" s="197" customFormat="1" ht="12.75" x14ac:dyDescent="0.2"/>
    <row r="18665" s="197" customFormat="1" ht="12.75" x14ac:dyDescent="0.2"/>
    <row r="18666" s="197" customFormat="1" ht="12.75" x14ac:dyDescent="0.2"/>
    <row r="18667" s="197" customFormat="1" ht="12.75" x14ac:dyDescent="0.2"/>
    <row r="18668" s="197" customFormat="1" ht="12.75" x14ac:dyDescent="0.2"/>
    <row r="18669" s="197" customFormat="1" ht="12.75" x14ac:dyDescent="0.2"/>
    <row r="18670" s="197" customFormat="1" ht="12.75" x14ac:dyDescent="0.2"/>
    <row r="18671" s="197" customFormat="1" ht="12.75" x14ac:dyDescent="0.2"/>
    <row r="18672" s="197" customFormat="1" ht="12.75" x14ac:dyDescent="0.2"/>
    <row r="18673" s="197" customFormat="1" ht="12.75" x14ac:dyDescent="0.2"/>
    <row r="18674" s="197" customFormat="1" ht="12.75" x14ac:dyDescent="0.2"/>
    <row r="18675" s="197" customFormat="1" ht="12.75" x14ac:dyDescent="0.2"/>
    <row r="18676" s="197" customFormat="1" ht="12.75" x14ac:dyDescent="0.2"/>
    <row r="18677" s="197" customFormat="1" ht="12.75" x14ac:dyDescent="0.2"/>
    <row r="18678" s="197" customFormat="1" ht="12.75" x14ac:dyDescent="0.2"/>
    <row r="18679" s="197" customFormat="1" ht="12.75" x14ac:dyDescent="0.2"/>
    <row r="18680" s="197" customFormat="1" ht="12.75" x14ac:dyDescent="0.2"/>
    <row r="18681" s="197" customFormat="1" ht="12.75" x14ac:dyDescent="0.2"/>
    <row r="18682" s="197" customFormat="1" ht="12.75" x14ac:dyDescent="0.2"/>
    <row r="18683" s="197" customFormat="1" ht="12.75" x14ac:dyDescent="0.2"/>
    <row r="18684" s="197" customFormat="1" ht="12.75" x14ac:dyDescent="0.2"/>
    <row r="18685" s="197" customFormat="1" ht="12.75" x14ac:dyDescent="0.2"/>
    <row r="18686" s="197" customFormat="1" ht="12.75" x14ac:dyDescent="0.2"/>
    <row r="18687" s="197" customFormat="1" ht="12.75" x14ac:dyDescent="0.2"/>
    <row r="18688" s="197" customFormat="1" ht="12.75" x14ac:dyDescent="0.2"/>
    <row r="18689" s="197" customFormat="1" ht="12.75" x14ac:dyDescent="0.2"/>
    <row r="18690" s="197" customFormat="1" ht="12.75" x14ac:dyDescent="0.2"/>
    <row r="18691" s="197" customFormat="1" ht="12.75" x14ac:dyDescent="0.2"/>
    <row r="18692" s="197" customFormat="1" ht="12.75" x14ac:dyDescent="0.2"/>
    <row r="18693" s="197" customFormat="1" ht="12.75" x14ac:dyDescent="0.2"/>
    <row r="18694" s="197" customFormat="1" ht="12.75" x14ac:dyDescent="0.2"/>
    <row r="18695" s="197" customFormat="1" ht="12.75" x14ac:dyDescent="0.2"/>
    <row r="18696" s="197" customFormat="1" ht="12.75" x14ac:dyDescent="0.2"/>
    <row r="18697" s="197" customFormat="1" ht="12.75" x14ac:dyDescent="0.2"/>
    <row r="18698" s="197" customFormat="1" ht="12.75" x14ac:dyDescent="0.2"/>
    <row r="18699" s="197" customFormat="1" ht="12.75" x14ac:dyDescent="0.2"/>
    <row r="18700" s="197" customFormat="1" ht="12.75" x14ac:dyDescent="0.2"/>
    <row r="18701" s="197" customFormat="1" ht="12.75" x14ac:dyDescent="0.2"/>
    <row r="18702" s="197" customFormat="1" ht="12.75" x14ac:dyDescent="0.2"/>
    <row r="18703" s="197" customFormat="1" ht="12.75" x14ac:dyDescent="0.2"/>
    <row r="18704" s="197" customFormat="1" ht="12.75" x14ac:dyDescent="0.2"/>
    <row r="18705" s="197" customFormat="1" ht="12.75" x14ac:dyDescent="0.2"/>
    <row r="18706" s="197" customFormat="1" ht="12.75" x14ac:dyDescent="0.2"/>
    <row r="18707" s="197" customFormat="1" ht="12.75" x14ac:dyDescent="0.2"/>
    <row r="18708" s="197" customFormat="1" ht="12.75" x14ac:dyDescent="0.2"/>
    <row r="18709" s="197" customFormat="1" ht="12.75" x14ac:dyDescent="0.2"/>
    <row r="18710" s="197" customFormat="1" ht="12.75" x14ac:dyDescent="0.2"/>
    <row r="18711" s="197" customFormat="1" ht="12.75" x14ac:dyDescent="0.2"/>
    <row r="18712" s="197" customFormat="1" ht="12.75" x14ac:dyDescent="0.2"/>
    <row r="18713" s="197" customFormat="1" ht="12.75" x14ac:dyDescent="0.2"/>
    <row r="18714" s="197" customFormat="1" ht="12.75" x14ac:dyDescent="0.2"/>
    <row r="18715" s="197" customFormat="1" ht="12.75" x14ac:dyDescent="0.2"/>
    <row r="18716" s="197" customFormat="1" ht="12.75" x14ac:dyDescent="0.2"/>
    <row r="18717" s="197" customFormat="1" ht="12.75" x14ac:dyDescent="0.2"/>
    <row r="18718" s="197" customFormat="1" ht="12.75" x14ac:dyDescent="0.2"/>
    <row r="18719" s="197" customFormat="1" ht="12.75" x14ac:dyDescent="0.2"/>
    <row r="18720" s="197" customFormat="1" ht="12.75" x14ac:dyDescent="0.2"/>
    <row r="18721" s="197" customFormat="1" ht="12.75" x14ac:dyDescent="0.2"/>
    <row r="18722" s="197" customFormat="1" ht="12.75" x14ac:dyDescent="0.2"/>
    <row r="18723" s="197" customFormat="1" ht="12.75" x14ac:dyDescent="0.2"/>
    <row r="18724" s="197" customFormat="1" ht="12.75" x14ac:dyDescent="0.2"/>
    <row r="18725" s="197" customFormat="1" ht="12.75" x14ac:dyDescent="0.2"/>
    <row r="18726" s="197" customFormat="1" ht="12.75" x14ac:dyDescent="0.2"/>
    <row r="18727" s="197" customFormat="1" ht="12.75" x14ac:dyDescent="0.2"/>
    <row r="18728" s="197" customFormat="1" ht="12.75" x14ac:dyDescent="0.2"/>
    <row r="18729" s="197" customFormat="1" ht="12.75" x14ac:dyDescent="0.2"/>
    <row r="18730" s="197" customFormat="1" ht="12.75" x14ac:dyDescent="0.2"/>
    <row r="18731" s="197" customFormat="1" ht="12.75" x14ac:dyDescent="0.2"/>
    <row r="18732" s="197" customFormat="1" ht="12.75" x14ac:dyDescent="0.2"/>
    <row r="18733" s="197" customFormat="1" ht="12.75" x14ac:dyDescent="0.2"/>
    <row r="18734" s="197" customFormat="1" ht="12.75" x14ac:dyDescent="0.2"/>
    <row r="18735" s="197" customFormat="1" ht="12.75" x14ac:dyDescent="0.2"/>
    <row r="18736" s="197" customFormat="1" ht="12.75" x14ac:dyDescent="0.2"/>
    <row r="18737" s="197" customFormat="1" ht="12.75" x14ac:dyDescent="0.2"/>
    <row r="18738" s="197" customFormat="1" ht="12.75" x14ac:dyDescent="0.2"/>
    <row r="18739" s="197" customFormat="1" ht="12.75" x14ac:dyDescent="0.2"/>
    <row r="18740" s="197" customFormat="1" ht="12.75" x14ac:dyDescent="0.2"/>
    <row r="18741" s="197" customFormat="1" ht="12.75" x14ac:dyDescent="0.2"/>
    <row r="18742" s="197" customFormat="1" ht="12.75" x14ac:dyDescent="0.2"/>
    <row r="18743" s="197" customFormat="1" ht="12.75" x14ac:dyDescent="0.2"/>
    <row r="18744" s="197" customFormat="1" ht="12.75" x14ac:dyDescent="0.2"/>
    <row r="18745" s="197" customFormat="1" ht="12.75" x14ac:dyDescent="0.2"/>
    <row r="18746" s="197" customFormat="1" ht="12.75" x14ac:dyDescent="0.2"/>
    <row r="18747" s="197" customFormat="1" ht="12.75" x14ac:dyDescent="0.2"/>
    <row r="18748" s="197" customFormat="1" ht="12.75" x14ac:dyDescent="0.2"/>
    <row r="18749" s="197" customFormat="1" ht="12.75" x14ac:dyDescent="0.2"/>
    <row r="18750" s="197" customFormat="1" ht="12.75" x14ac:dyDescent="0.2"/>
    <row r="18751" s="197" customFormat="1" ht="12.75" x14ac:dyDescent="0.2"/>
    <row r="18752" s="197" customFormat="1" ht="12.75" x14ac:dyDescent="0.2"/>
    <row r="18753" s="197" customFormat="1" ht="12.75" x14ac:dyDescent="0.2"/>
    <row r="18754" s="197" customFormat="1" ht="12.75" x14ac:dyDescent="0.2"/>
    <row r="18755" s="197" customFormat="1" ht="12.75" x14ac:dyDescent="0.2"/>
    <row r="18756" s="197" customFormat="1" ht="12.75" x14ac:dyDescent="0.2"/>
    <row r="18757" s="197" customFormat="1" ht="12.75" x14ac:dyDescent="0.2"/>
    <row r="18758" s="197" customFormat="1" ht="12.75" x14ac:dyDescent="0.2"/>
    <row r="18759" s="197" customFormat="1" ht="12.75" x14ac:dyDescent="0.2"/>
    <row r="18760" s="197" customFormat="1" ht="12.75" x14ac:dyDescent="0.2"/>
    <row r="18761" s="197" customFormat="1" ht="12.75" x14ac:dyDescent="0.2"/>
    <row r="18762" s="197" customFormat="1" ht="12.75" x14ac:dyDescent="0.2"/>
    <row r="18763" s="197" customFormat="1" ht="12.75" x14ac:dyDescent="0.2"/>
    <row r="18764" s="197" customFormat="1" ht="12.75" x14ac:dyDescent="0.2"/>
    <row r="18765" s="197" customFormat="1" ht="12.75" x14ac:dyDescent="0.2"/>
    <row r="18766" s="197" customFormat="1" ht="12.75" x14ac:dyDescent="0.2"/>
    <row r="18767" s="197" customFormat="1" ht="12.75" x14ac:dyDescent="0.2"/>
    <row r="18768" s="197" customFormat="1" ht="12.75" x14ac:dyDescent="0.2"/>
    <row r="18769" s="197" customFormat="1" ht="12.75" x14ac:dyDescent="0.2"/>
    <row r="18770" s="197" customFormat="1" ht="12.75" x14ac:dyDescent="0.2"/>
    <row r="18771" s="197" customFormat="1" ht="12.75" x14ac:dyDescent="0.2"/>
    <row r="18772" s="197" customFormat="1" ht="12.75" x14ac:dyDescent="0.2"/>
    <row r="18773" s="197" customFormat="1" ht="12.75" x14ac:dyDescent="0.2"/>
    <row r="18774" s="197" customFormat="1" ht="12.75" x14ac:dyDescent="0.2"/>
    <row r="18775" s="197" customFormat="1" ht="12.75" x14ac:dyDescent="0.2"/>
    <row r="18776" s="197" customFormat="1" ht="12.75" x14ac:dyDescent="0.2"/>
    <row r="18777" s="197" customFormat="1" ht="12.75" x14ac:dyDescent="0.2"/>
    <row r="18778" s="197" customFormat="1" ht="12.75" x14ac:dyDescent="0.2"/>
    <row r="18779" s="197" customFormat="1" ht="12.75" x14ac:dyDescent="0.2"/>
    <row r="18780" s="197" customFormat="1" ht="12.75" x14ac:dyDescent="0.2"/>
    <row r="18781" s="197" customFormat="1" ht="12.75" x14ac:dyDescent="0.2"/>
    <row r="18782" s="197" customFormat="1" ht="12.75" x14ac:dyDescent="0.2"/>
    <row r="18783" s="197" customFormat="1" ht="12.75" x14ac:dyDescent="0.2"/>
    <row r="18784" s="197" customFormat="1" ht="12.75" x14ac:dyDescent="0.2"/>
    <row r="18785" s="197" customFormat="1" ht="12.75" x14ac:dyDescent="0.2"/>
    <row r="18786" s="197" customFormat="1" ht="12.75" x14ac:dyDescent="0.2"/>
    <row r="18787" s="197" customFormat="1" ht="12.75" x14ac:dyDescent="0.2"/>
    <row r="18788" s="197" customFormat="1" ht="12.75" x14ac:dyDescent="0.2"/>
    <row r="18789" s="197" customFormat="1" ht="12.75" x14ac:dyDescent="0.2"/>
    <row r="18790" s="197" customFormat="1" ht="12.75" x14ac:dyDescent="0.2"/>
    <row r="18791" s="197" customFormat="1" ht="12.75" x14ac:dyDescent="0.2"/>
    <row r="18792" s="197" customFormat="1" ht="12.75" x14ac:dyDescent="0.2"/>
    <row r="18793" s="197" customFormat="1" ht="12.75" x14ac:dyDescent="0.2"/>
    <row r="18794" s="197" customFormat="1" ht="12.75" x14ac:dyDescent="0.2"/>
    <row r="18795" s="197" customFormat="1" ht="12.75" x14ac:dyDescent="0.2"/>
    <row r="18796" s="197" customFormat="1" ht="12.75" x14ac:dyDescent="0.2"/>
    <row r="18797" s="197" customFormat="1" ht="12.75" x14ac:dyDescent="0.2"/>
    <row r="18798" s="197" customFormat="1" ht="12.75" x14ac:dyDescent="0.2"/>
    <row r="18799" s="197" customFormat="1" ht="12.75" x14ac:dyDescent="0.2"/>
    <row r="18800" s="197" customFormat="1" ht="12.75" x14ac:dyDescent="0.2"/>
    <row r="18801" s="197" customFormat="1" ht="12.75" x14ac:dyDescent="0.2"/>
    <row r="18802" s="197" customFormat="1" ht="12.75" x14ac:dyDescent="0.2"/>
    <row r="18803" s="197" customFormat="1" ht="12.75" x14ac:dyDescent="0.2"/>
    <row r="18804" s="197" customFormat="1" ht="12.75" x14ac:dyDescent="0.2"/>
    <row r="18805" s="197" customFormat="1" ht="12.75" x14ac:dyDescent="0.2"/>
    <row r="18806" s="197" customFormat="1" ht="12.75" x14ac:dyDescent="0.2"/>
    <row r="18807" s="197" customFormat="1" ht="12.75" x14ac:dyDescent="0.2"/>
    <row r="18808" s="197" customFormat="1" ht="12.75" x14ac:dyDescent="0.2"/>
    <row r="18809" s="197" customFormat="1" ht="12.75" x14ac:dyDescent="0.2"/>
    <row r="18810" s="197" customFormat="1" ht="12.75" x14ac:dyDescent="0.2"/>
    <row r="18811" s="197" customFormat="1" ht="12.75" x14ac:dyDescent="0.2"/>
    <row r="18812" s="197" customFormat="1" ht="12.75" x14ac:dyDescent="0.2"/>
    <row r="18813" s="197" customFormat="1" ht="12.75" x14ac:dyDescent="0.2"/>
    <row r="18814" s="197" customFormat="1" ht="12.75" x14ac:dyDescent="0.2"/>
    <row r="18815" s="197" customFormat="1" ht="12.75" x14ac:dyDescent="0.2"/>
    <row r="18816" s="197" customFormat="1" ht="12.75" x14ac:dyDescent="0.2"/>
    <row r="18817" s="197" customFormat="1" ht="12.75" x14ac:dyDescent="0.2"/>
    <row r="18818" s="197" customFormat="1" ht="12.75" x14ac:dyDescent="0.2"/>
    <row r="18819" s="197" customFormat="1" ht="12.75" x14ac:dyDescent="0.2"/>
    <row r="18820" s="197" customFormat="1" ht="12.75" x14ac:dyDescent="0.2"/>
    <row r="18821" s="197" customFormat="1" ht="12.75" x14ac:dyDescent="0.2"/>
    <row r="18822" s="197" customFormat="1" ht="12.75" x14ac:dyDescent="0.2"/>
    <row r="18823" s="197" customFormat="1" ht="12.75" x14ac:dyDescent="0.2"/>
    <row r="18824" s="197" customFormat="1" ht="12.75" x14ac:dyDescent="0.2"/>
    <row r="18825" s="197" customFormat="1" ht="12.75" x14ac:dyDescent="0.2"/>
    <row r="18826" s="197" customFormat="1" ht="12.75" x14ac:dyDescent="0.2"/>
    <row r="18827" s="197" customFormat="1" ht="12.75" x14ac:dyDescent="0.2"/>
    <row r="18828" s="197" customFormat="1" ht="12.75" x14ac:dyDescent="0.2"/>
    <row r="18829" s="197" customFormat="1" ht="12.75" x14ac:dyDescent="0.2"/>
    <row r="18830" s="197" customFormat="1" ht="12.75" x14ac:dyDescent="0.2"/>
    <row r="18831" s="197" customFormat="1" ht="12.75" x14ac:dyDescent="0.2"/>
    <row r="18832" s="197" customFormat="1" ht="12.75" x14ac:dyDescent="0.2"/>
    <row r="18833" s="197" customFormat="1" ht="12.75" x14ac:dyDescent="0.2"/>
    <row r="18834" s="197" customFormat="1" ht="12.75" x14ac:dyDescent="0.2"/>
    <row r="18835" s="197" customFormat="1" ht="12.75" x14ac:dyDescent="0.2"/>
    <row r="18836" s="197" customFormat="1" ht="12.75" x14ac:dyDescent="0.2"/>
    <row r="18837" s="197" customFormat="1" ht="12.75" x14ac:dyDescent="0.2"/>
    <row r="18838" s="197" customFormat="1" ht="12.75" x14ac:dyDescent="0.2"/>
    <row r="18839" s="197" customFormat="1" ht="12.75" x14ac:dyDescent="0.2"/>
    <row r="18840" s="197" customFormat="1" ht="12.75" x14ac:dyDescent="0.2"/>
    <row r="18841" s="197" customFormat="1" ht="12.75" x14ac:dyDescent="0.2"/>
    <row r="18842" s="197" customFormat="1" ht="12.75" x14ac:dyDescent="0.2"/>
    <row r="18843" s="197" customFormat="1" ht="12.75" x14ac:dyDescent="0.2"/>
    <row r="18844" s="197" customFormat="1" ht="12.75" x14ac:dyDescent="0.2"/>
    <row r="18845" s="197" customFormat="1" ht="12.75" x14ac:dyDescent="0.2"/>
    <row r="18846" s="197" customFormat="1" ht="12.75" x14ac:dyDescent="0.2"/>
    <row r="18847" s="197" customFormat="1" ht="12.75" x14ac:dyDescent="0.2"/>
    <row r="18848" s="197" customFormat="1" ht="12.75" x14ac:dyDescent="0.2"/>
    <row r="18849" s="197" customFormat="1" ht="12.75" x14ac:dyDescent="0.2"/>
    <row r="18850" s="197" customFormat="1" ht="12.75" x14ac:dyDescent="0.2"/>
    <row r="18851" s="197" customFormat="1" ht="12.75" x14ac:dyDescent="0.2"/>
    <row r="18852" s="197" customFormat="1" ht="12.75" x14ac:dyDescent="0.2"/>
    <row r="18853" s="197" customFormat="1" ht="12.75" x14ac:dyDescent="0.2"/>
    <row r="18854" s="197" customFormat="1" ht="12.75" x14ac:dyDescent="0.2"/>
    <row r="18855" s="197" customFormat="1" ht="12.75" x14ac:dyDescent="0.2"/>
    <row r="18856" s="197" customFormat="1" ht="12.75" x14ac:dyDescent="0.2"/>
    <row r="18857" s="197" customFormat="1" ht="12.75" x14ac:dyDescent="0.2"/>
    <row r="18858" s="197" customFormat="1" ht="12.75" x14ac:dyDescent="0.2"/>
    <row r="18859" s="197" customFormat="1" ht="12.75" x14ac:dyDescent="0.2"/>
    <row r="18860" s="197" customFormat="1" ht="12.75" x14ac:dyDescent="0.2"/>
    <row r="18861" s="197" customFormat="1" ht="12.75" x14ac:dyDescent="0.2"/>
    <row r="18862" s="197" customFormat="1" ht="12.75" x14ac:dyDescent="0.2"/>
    <row r="18863" s="197" customFormat="1" ht="12.75" x14ac:dyDescent="0.2"/>
    <row r="18864" s="197" customFormat="1" ht="12.75" x14ac:dyDescent="0.2"/>
    <row r="18865" s="197" customFormat="1" ht="12.75" x14ac:dyDescent="0.2"/>
    <row r="18866" s="197" customFormat="1" ht="12.75" x14ac:dyDescent="0.2"/>
    <row r="18867" s="197" customFormat="1" ht="12.75" x14ac:dyDescent="0.2"/>
    <row r="18868" s="197" customFormat="1" ht="12.75" x14ac:dyDescent="0.2"/>
    <row r="18869" s="197" customFormat="1" ht="12.75" x14ac:dyDescent="0.2"/>
    <row r="18870" s="197" customFormat="1" ht="12.75" x14ac:dyDescent="0.2"/>
    <row r="18871" s="197" customFormat="1" ht="12.75" x14ac:dyDescent="0.2"/>
    <row r="18872" s="197" customFormat="1" ht="12.75" x14ac:dyDescent="0.2"/>
    <row r="18873" s="197" customFormat="1" ht="12.75" x14ac:dyDescent="0.2"/>
    <row r="18874" s="197" customFormat="1" ht="12.75" x14ac:dyDescent="0.2"/>
    <row r="18875" s="197" customFormat="1" ht="12.75" x14ac:dyDescent="0.2"/>
    <row r="18876" s="197" customFormat="1" ht="12.75" x14ac:dyDescent="0.2"/>
    <row r="18877" s="197" customFormat="1" ht="12.75" x14ac:dyDescent="0.2"/>
    <row r="18878" s="197" customFormat="1" ht="12.75" x14ac:dyDescent="0.2"/>
    <row r="18879" s="197" customFormat="1" ht="12.75" x14ac:dyDescent="0.2"/>
    <row r="18880" s="197" customFormat="1" ht="12.75" x14ac:dyDescent="0.2"/>
    <row r="18881" s="197" customFormat="1" ht="12.75" x14ac:dyDescent="0.2"/>
    <row r="18882" s="197" customFormat="1" ht="12.75" x14ac:dyDescent="0.2"/>
    <row r="18883" s="197" customFormat="1" ht="12.75" x14ac:dyDescent="0.2"/>
    <row r="18884" s="197" customFormat="1" ht="12.75" x14ac:dyDescent="0.2"/>
    <row r="18885" s="197" customFormat="1" ht="12.75" x14ac:dyDescent="0.2"/>
    <row r="18886" s="197" customFormat="1" ht="12.75" x14ac:dyDescent="0.2"/>
    <row r="18887" s="197" customFormat="1" ht="12.75" x14ac:dyDescent="0.2"/>
    <row r="18888" s="197" customFormat="1" ht="12.75" x14ac:dyDescent="0.2"/>
    <row r="18889" s="197" customFormat="1" ht="12.75" x14ac:dyDescent="0.2"/>
    <row r="18890" s="197" customFormat="1" ht="12.75" x14ac:dyDescent="0.2"/>
    <row r="18891" s="197" customFormat="1" ht="12.75" x14ac:dyDescent="0.2"/>
    <row r="18892" s="197" customFormat="1" ht="12.75" x14ac:dyDescent="0.2"/>
    <row r="18893" s="197" customFormat="1" ht="12.75" x14ac:dyDescent="0.2"/>
    <row r="18894" s="197" customFormat="1" ht="12.75" x14ac:dyDescent="0.2"/>
    <row r="18895" s="197" customFormat="1" ht="12.75" x14ac:dyDescent="0.2"/>
    <row r="18896" s="197" customFormat="1" ht="12.75" x14ac:dyDescent="0.2"/>
    <row r="18897" s="197" customFormat="1" ht="12.75" x14ac:dyDescent="0.2"/>
    <row r="18898" s="197" customFormat="1" ht="12.75" x14ac:dyDescent="0.2"/>
    <row r="18899" s="197" customFormat="1" ht="12.75" x14ac:dyDescent="0.2"/>
    <row r="18900" s="197" customFormat="1" ht="12.75" x14ac:dyDescent="0.2"/>
    <row r="18901" s="197" customFormat="1" ht="12.75" x14ac:dyDescent="0.2"/>
    <row r="18902" s="197" customFormat="1" ht="12.75" x14ac:dyDescent="0.2"/>
    <row r="18903" s="197" customFormat="1" ht="12.75" x14ac:dyDescent="0.2"/>
    <row r="18904" s="197" customFormat="1" ht="12.75" x14ac:dyDescent="0.2"/>
    <row r="18905" s="197" customFormat="1" ht="12.75" x14ac:dyDescent="0.2"/>
    <row r="18906" s="197" customFormat="1" ht="12.75" x14ac:dyDescent="0.2"/>
    <row r="18907" s="197" customFormat="1" ht="12.75" x14ac:dyDescent="0.2"/>
    <row r="18908" s="197" customFormat="1" ht="12.75" x14ac:dyDescent="0.2"/>
    <row r="18909" s="197" customFormat="1" ht="12.75" x14ac:dyDescent="0.2"/>
    <row r="18910" s="197" customFormat="1" ht="12.75" x14ac:dyDescent="0.2"/>
    <row r="18911" s="197" customFormat="1" ht="12.75" x14ac:dyDescent="0.2"/>
    <row r="18912" s="197" customFormat="1" ht="12.75" x14ac:dyDescent="0.2"/>
    <row r="18913" s="197" customFormat="1" ht="12.75" x14ac:dyDescent="0.2"/>
    <row r="18914" s="197" customFormat="1" ht="12.75" x14ac:dyDescent="0.2"/>
    <row r="18915" s="197" customFormat="1" ht="12.75" x14ac:dyDescent="0.2"/>
    <row r="18916" s="197" customFormat="1" ht="12.75" x14ac:dyDescent="0.2"/>
    <row r="18917" s="197" customFormat="1" ht="12.75" x14ac:dyDescent="0.2"/>
    <row r="18918" s="197" customFormat="1" ht="12.75" x14ac:dyDescent="0.2"/>
    <row r="18919" s="197" customFormat="1" ht="12.75" x14ac:dyDescent="0.2"/>
    <row r="18920" s="197" customFormat="1" ht="12.75" x14ac:dyDescent="0.2"/>
    <row r="18921" s="197" customFormat="1" ht="12.75" x14ac:dyDescent="0.2"/>
    <row r="18922" s="197" customFormat="1" ht="12.75" x14ac:dyDescent="0.2"/>
    <row r="18923" s="197" customFormat="1" ht="12.75" x14ac:dyDescent="0.2"/>
    <row r="18924" s="197" customFormat="1" ht="12.75" x14ac:dyDescent="0.2"/>
    <row r="18925" s="197" customFormat="1" ht="12.75" x14ac:dyDescent="0.2"/>
    <row r="18926" s="197" customFormat="1" ht="12.75" x14ac:dyDescent="0.2"/>
    <row r="18927" s="197" customFormat="1" ht="12.75" x14ac:dyDescent="0.2"/>
    <row r="18928" s="197" customFormat="1" ht="12.75" x14ac:dyDescent="0.2"/>
    <row r="18929" s="197" customFormat="1" ht="12.75" x14ac:dyDescent="0.2"/>
    <row r="18930" s="197" customFormat="1" ht="12.75" x14ac:dyDescent="0.2"/>
    <row r="18931" s="197" customFormat="1" ht="12.75" x14ac:dyDescent="0.2"/>
    <row r="18932" s="197" customFormat="1" ht="12.75" x14ac:dyDescent="0.2"/>
    <row r="18933" s="197" customFormat="1" ht="12.75" x14ac:dyDescent="0.2"/>
    <row r="18934" s="197" customFormat="1" ht="12.75" x14ac:dyDescent="0.2"/>
    <row r="18935" s="197" customFormat="1" ht="12.75" x14ac:dyDescent="0.2"/>
    <row r="18936" s="197" customFormat="1" ht="12.75" x14ac:dyDescent="0.2"/>
    <row r="18937" s="197" customFormat="1" ht="12.75" x14ac:dyDescent="0.2"/>
    <row r="18938" s="197" customFormat="1" ht="12.75" x14ac:dyDescent="0.2"/>
    <row r="18939" s="197" customFormat="1" ht="12.75" x14ac:dyDescent="0.2"/>
    <row r="18940" s="197" customFormat="1" ht="12.75" x14ac:dyDescent="0.2"/>
    <row r="18941" s="197" customFormat="1" ht="12.75" x14ac:dyDescent="0.2"/>
    <row r="18942" s="197" customFormat="1" ht="12.75" x14ac:dyDescent="0.2"/>
    <row r="18943" s="197" customFormat="1" ht="12.75" x14ac:dyDescent="0.2"/>
    <row r="18944" s="197" customFormat="1" ht="12.75" x14ac:dyDescent="0.2"/>
    <row r="18945" s="197" customFormat="1" ht="12.75" x14ac:dyDescent="0.2"/>
    <row r="18946" s="197" customFormat="1" ht="12.75" x14ac:dyDescent="0.2"/>
    <row r="18947" s="197" customFormat="1" ht="12.75" x14ac:dyDescent="0.2"/>
    <row r="18948" s="197" customFormat="1" ht="12.75" x14ac:dyDescent="0.2"/>
    <row r="18949" s="197" customFormat="1" ht="12.75" x14ac:dyDescent="0.2"/>
    <row r="18950" s="197" customFormat="1" ht="12.75" x14ac:dyDescent="0.2"/>
    <row r="18951" s="197" customFormat="1" ht="12.75" x14ac:dyDescent="0.2"/>
    <row r="18952" s="197" customFormat="1" ht="12.75" x14ac:dyDescent="0.2"/>
    <row r="18953" s="197" customFormat="1" ht="12.75" x14ac:dyDescent="0.2"/>
    <row r="18954" s="197" customFormat="1" ht="12.75" x14ac:dyDescent="0.2"/>
    <row r="18955" s="197" customFormat="1" ht="12.75" x14ac:dyDescent="0.2"/>
    <row r="18956" s="197" customFormat="1" ht="12.75" x14ac:dyDescent="0.2"/>
    <row r="18957" s="197" customFormat="1" ht="12.75" x14ac:dyDescent="0.2"/>
    <row r="18958" s="197" customFormat="1" ht="12.75" x14ac:dyDescent="0.2"/>
    <row r="18959" s="197" customFormat="1" ht="12.75" x14ac:dyDescent="0.2"/>
    <row r="18960" s="197" customFormat="1" ht="12.75" x14ac:dyDescent="0.2"/>
    <row r="18961" s="197" customFormat="1" ht="12.75" x14ac:dyDescent="0.2"/>
    <row r="18962" s="197" customFormat="1" ht="12.75" x14ac:dyDescent="0.2"/>
    <row r="18963" s="197" customFormat="1" ht="12.75" x14ac:dyDescent="0.2"/>
    <row r="18964" s="197" customFormat="1" ht="12.75" x14ac:dyDescent="0.2"/>
    <row r="18965" s="197" customFormat="1" ht="12.75" x14ac:dyDescent="0.2"/>
    <row r="18966" s="197" customFormat="1" ht="12.75" x14ac:dyDescent="0.2"/>
    <row r="18967" s="197" customFormat="1" ht="12.75" x14ac:dyDescent="0.2"/>
    <row r="18968" s="197" customFormat="1" ht="12.75" x14ac:dyDescent="0.2"/>
    <row r="18969" s="197" customFormat="1" ht="12.75" x14ac:dyDescent="0.2"/>
    <row r="18970" s="197" customFormat="1" ht="12.75" x14ac:dyDescent="0.2"/>
    <row r="18971" s="197" customFormat="1" ht="12.75" x14ac:dyDescent="0.2"/>
    <row r="18972" s="197" customFormat="1" ht="12.75" x14ac:dyDescent="0.2"/>
    <row r="18973" s="197" customFormat="1" ht="12.75" x14ac:dyDescent="0.2"/>
    <row r="18974" s="197" customFormat="1" ht="12.75" x14ac:dyDescent="0.2"/>
    <row r="18975" s="197" customFormat="1" ht="12.75" x14ac:dyDescent="0.2"/>
    <row r="18976" s="197" customFormat="1" ht="12.75" x14ac:dyDescent="0.2"/>
    <row r="18977" s="197" customFormat="1" ht="12.75" x14ac:dyDescent="0.2"/>
    <row r="18978" s="197" customFormat="1" ht="12.75" x14ac:dyDescent="0.2"/>
    <row r="18979" s="197" customFormat="1" ht="12.75" x14ac:dyDescent="0.2"/>
    <row r="18980" s="197" customFormat="1" ht="12.75" x14ac:dyDescent="0.2"/>
    <row r="18981" s="197" customFormat="1" ht="12.75" x14ac:dyDescent="0.2"/>
    <row r="18982" s="197" customFormat="1" ht="12.75" x14ac:dyDescent="0.2"/>
    <row r="18983" s="197" customFormat="1" ht="12.75" x14ac:dyDescent="0.2"/>
    <row r="18984" s="197" customFormat="1" ht="12.75" x14ac:dyDescent="0.2"/>
    <row r="18985" s="197" customFormat="1" ht="12.75" x14ac:dyDescent="0.2"/>
    <row r="18986" s="197" customFormat="1" ht="12.75" x14ac:dyDescent="0.2"/>
    <row r="18987" s="197" customFormat="1" ht="12.75" x14ac:dyDescent="0.2"/>
    <row r="18988" s="197" customFormat="1" ht="12.75" x14ac:dyDescent="0.2"/>
    <row r="18989" s="197" customFormat="1" ht="12.75" x14ac:dyDescent="0.2"/>
    <row r="18990" s="197" customFormat="1" ht="12.75" x14ac:dyDescent="0.2"/>
    <row r="18991" s="197" customFormat="1" ht="12.75" x14ac:dyDescent="0.2"/>
    <row r="18992" s="197" customFormat="1" ht="12.75" x14ac:dyDescent="0.2"/>
    <row r="18993" s="197" customFormat="1" ht="12.75" x14ac:dyDescent="0.2"/>
    <row r="18994" s="197" customFormat="1" ht="12.75" x14ac:dyDescent="0.2"/>
    <row r="18995" s="197" customFormat="1" ht="12.75" x14ac:dyDescent="0.2"/>
    <row r="18996" s="197" customFormat="1" ht="12.75" x14ac:dyDescent="0.2"/>
    <row r="18997" s="197" customFormat="1" ht="12.75" x14ac:dyDescent="0.2"/>
    <row r="18998" s="197" customFormat="1" ht="12.75" x14ac:dyDescent="0.2"/>
    <row r="18999" s="197" customFormat="1" ht="12.75" x14ac:dyDescent="0.2"/>
    <row r="19000" s="197" customFormat="1" ht="12.75" x14ac:dyDescent="0.2"/>
    <row r="19001" s="197" customFormat="1" ht="12.75" x14ac:dyDescent="0.2"/>
    <row r="19002" s="197" customFormat="1" ht="12.75" x14ac:dyDescent="0.2"/>
    <row r="19003" s="197" customFormat="1" ht="12.75" x14ac:dyDescent="0.2"/>
    <row r="19004" s="197" customFormat="1" ht="12.75" x14ac:dyDescent="0.2"/>
    <row r="19005" s="197" customFormat="1" ht="12.75" x14ac:dyDescent="0.2"/>
    <row r="19006" s="197" customFormat="1" ht="12.75" x14ac:dyDescent="0.2"/>
    <row r="19007" s="197" customFormat="1" ht="12.75" x14ac:dyDescent="0.2"/>
    <row r="19008" s="197" customFormat="1" ht="12.75" x14ac:dyDescent="0.2"/>
    <row r="19009" s="197" customFormat="1" ht="12.75" x14ac:dyDescent="0.2"/>
    <row r="19010" s="197" customFormat="1" ht="12.75" x14ac:dyDescent="0.2"/>
    <row r="19011" s="197" customFormat="1" ht="12.75" x14ac:dyDescent="0.2"/>
    <row r="19012" s="197" customFormat="1" ht="12.75" x14ac:dyDescent="0.2"/>
    <row r="19013" s="197" customFormat="1" ht="12.75" x14ac:dyDescent="0.2"/>
    <row r="19014" s="197" customFormat="1" ht="12.75" x14ac:dyDescent="0.2"/>
    <row r="19015" s="197" customFormat="1" ht="12.75" x14ac:dyDescent="0.2"/>
    <row r="19016" s="197" customFormat="1" ht="12.75" x14ac:dyDescent="0.2"/>
    <row r="19017" s="197" customFormat="1" ht="12.75" x14ac:dyDescent="0.2"/>
    <row r="19018" s="197" customFormat="1" ht="12.75" x14ac:dyDescent="0.2"/>
    <row r="19019" s="197" customFormat="1" ht="12.75" x14ac:dyDescent="0.2"/>
    <row r="19020" s="197" customFormat="1" ht="12.75" x14ac:dyDescent="0.2"/>
    <row r="19021" s="197" customFormat="1" ht="12.75" x14ac:dyDescent="0.2"/>
    <row r="19022" s="197" customFormat="1" ht="12.75" x14ac:dyDescent="0.2"/>
    <row r="19023" s="197" customFormat="1" ht="12.75" x14ac:dyDescent="0.2"/>
    <row r="19024" s="197" customFormat="1" ht="12.75" x14ac:dyDescent="0.2"/>
    <row r="19025" s="197" customFormat="1" ht="12.75" x14ac:dyDescent="0.2"/>
    <row r="19026" s="197" customFormat="1" ht="12.75" x14ac:dyDescent="0.2"/>
    <row r="19027" s="197" customFormat="1" ht="12.75" x14ac:dyDescent="0.2"/>
    <row r="19028" s="197" customFormat="1" ht="12.75" x14ac:dyDescent="0.2"/>
    <row r="19029" s="197" customFormat="1" ht="12.75" x14ac:dyDescent="0.2"/>
    <row r="19030" s="197" customFormat="1" ht="12.75" x14ac:dyDescent="0.2"/>
    <row r="19031" s="197" customFormat="1" ht="12.75" x14ac:dyDescent="0.2"/>
    <row r="19032" s="197" customFormat="1" ht="12.75" x14ac:dyDescent="0.2"/>
    <row r="19033" s="197" customFormat="1" ht="12.75" x14ac:dyDescent="0.2"/>
    <row r="19034" s="197" customFormat="1" ht="12.75" x14ac:dyDescent="0.2"/>
    <row r="19035" s="197" customFormat="1" ht="12.75" x14ac:dyDescent="0.2"/>
    <row r="19036" s="197" customFormat="1" ht="12.75" x14ac:dyDescent="0.2"/>
    <row r="19037" s="197" customFormat="1" ht="12.75" x14ac:dyDescent="0.2"/>
    <row r="19038" s="197" customFormat="1" ht="12.75" x14ac:dyDescent="0.2"/>
    <row r="19039" s="197" customFormat="1" ht="12.75" x14ac:dyDescent="0.2"/>
    <row r="19040" s="197" customFormat="1" ht="12.75" x14ac:dyDescent="0.2"/>
    <row r="19041" s="197" customFormat="1" ht="12.75" x14ac:dyDescent="0.2"/>
    <row r="19042" s="197" customFormat="1" ht="12.75" x14ac:dyDescent="0.2"/>
    <row r="19043" s="197" customFormat="1" ht="12.75" x14ac:dyDescent="0.2"/>
    <row r="19044" s="197" customFormat="1" ht="12.75" x14ac:dyDescent="0.2"/>
    <row r="19045" s="197" customFormat="1" ht="12.75" x14ac:dyDescent="0.2"/>
    <row r="19046" s="197" customFormat="1" ht="12.75" x14ac:dyDescent="0.2"/>
    <row r="19047" s="197" customFormat="1" ht="12.75" x14ac:dyDescent="0.2"/>
    <row r="19048" s="197" customFormat="1" ht="12.75" x14ac:dyDescent="0.2"/>
    <row r="19049" s="197" customFormat="1" ht="12.75" x14ac:dyDescent="0.2"/>
    <row r="19050" s="197" customFormat="1" ht="12.75" x14ac:dyDescent="0.2"/>
    <row r="19051" s="197" customFormat="1" ht="12.75" x14ac:dyDescent="0.2"/>
    <row r="19052" s="197" customFormat="1" ht="12.75" x14ac:dyDescent="0.2"/>
    <row r="19053" s="197" customFormat="1" ht="12.75" x14ac:dyDescent="0.2"/>
    <row r="19054" s="197" customFormat="1" ht="12.75" x14ac:dyDescent="0.2"/>
    <row r="19055" s="197" customFormat="1" ht="12.75" x14ac:dyDescent="0.2"/>
    <row r="19056" s="197" customFormat="1" ht="12.75" x14ac:dyDescent="0.2"/>
    <row r="19057" s="197" customFormat="1" ht="12.75" x14ac:dyDescent="0.2"/>
    <row r="19058" s="197" customFormat="1" ht="12.75" x14ac:dyDescent="0.2"/>
    <row r="19059" s="197" customFormat="1" ht="12.75" x14ac:dyDescent="0.2"/>
    <row r="19060" s="197" customFormat="1" ht="12.75" x14ac:dyDescent="0.2"/>
    <row r="19061" s="197" customFormat="1" ht="12.75" x14ac:dyDescent="0.2"/>
    <row r="19062" s="197" customFormat="1" ht="12.75" x14ac:dyDescent="0.2"/>
    <row r="19063" s="197" customFormat="1" ht="12.75" x14ac:dyDescent="0.2"/>
    <row r="19064" s="197" customFormat="1" ht="12.75" x14ac:dyDescent="0.2"/>
    <row r="19065" s="197" customFormat="1" ht="12.75" x14ac:dyDescent="0.2"/>
    <row r="19066" s="197" customFormat="1" ht="12.75" x14ac:dyDescent="0.2"/>
    <row r="19067" s="197" customFormat="1" ht="12.75" x14ac:dyDescent="0.2"/>
    <row r="19068" s="197" customFormat="1" ht="12.75" x14ac:dyDescent="0.2"/>
    <row r="19069" s="197" customFormat="1" ht="12.75" x14ac:dyDescent="0.2"/>
    <row r="19070" s="197" customFormat="1" ht="12.75" x14ac:dyDescent="0.2"/>
    <row r="19071" s="197" customFormat="1" ht="12.75" x14ac:dyDescent="0.2"/>
    <row r="19072" s="197" customFormat="1" ht="12.75" x14ac:dyDescent="0.2"/>
    <row r="19073" s="197" customFormat="1" ht="12.75" x14ac:dyDescent="0.2"/>
    <row r="19074" s="197" customFormat="1" ht="12.75" x14ac:dyDescent="0.2"/>
    <row r="19075" s="197" customFormat="1" ht="12.75" x14ac:dyDescent="0.2"/>
    <row r="19076" s="197" customFormat="1" ht="12.75" x14ac:dyDescent="0.2"/>
    <row r="19077" s="197" customFormat="1" ht="12.75" x14ac:dyDescent="0.2"/>
    <row r="19078" s="197" customFormat="1" ht="12.75" x14ac:dyDescent="0.2"/>
    <row r="19079" s="197" customFormat="1" ht="12.75" x14ac:dyDescent="0.2"/>
    <row r="19080" s="197" customFormat="1" ht="12.75" x14ac:dyDescent="0.2"/>
    <row r="19081" s="197" customFormat="1" ht="12.75" x14ac:dyDescent="0.2"/>
    <row r="19082" s="197" customFormat="1" ht="12.75" x14ac:dyDescent="0.2"/>
    <row r="19083" s="197" customFormat="1" ht="12.75" x14ac:dyDescent="0.2"/>
    <row r="19084" s="197" customFormat="1" ht="12.75" x14ac:dyDescent="0.2"/>
    <row r="19085" s="197" customFormat="1" ht="12.75" x14ac:dyDescent="0.2"/>
    <row r="19086" s="197" customFormat="1" ht="12.75" x14ac:dyDescent="0.2"/>
    <row r="19087" s="197" customFormat="1" ht="12.75" x14ac:dyDescent="0.2"/>
    <row r="19088" s="197" customFormat="1" ht="12.75" x14ac:dyDescent="0.2"/>
    <row r="19089" s="197" customFormat="1" ht="12.75" x14ac:dyDescent="0.2"/>
    <row r="19090" s="197" customFormat="1" ht="12.75" x14ac:dyDescent="0.2"/>
    <row r="19091" s="197" customFormat="1" ht="12.75" x14ac:dyDescent="0.2"/>
    <row r="19092" s="197" customFormat="1" ht="12.75" x14ac:dyDescent="0.2"/>
    <row r="19093" s="197" customFormat="1" ht="12.75" x14ac:dyDescent="0.2"/>
    <row r="19094" s="197" customFormat="1" ht="12.75" x14ac:dyDescent="0.2"/>
    <row r="19095" s="197" customFormat="1" ht="12.75" x14ac:dyDescent="0.2"/>
    <row r="19096" s="197" customFormat="1" ht="12.75" x14ac:dyDescent="0.2"/>
    <row r="19097" s="197" customFormat="1" ht="12.75" x14ac:dyDescent="0.2"/>
    <row r="19098" s="197" customFormat="1" ht="12.75" x14ac:dyDescent="0.2"/>
    <row r="19099" s="197" customFormat="1" ht="12.75" x14ac:dyDescent="0.2"/>
    <row r="19100" s="197" customFormat="1" ht="12.75" x14ac:dyDescent="0.2"/>
    <row r="19101" s="197" customFormat="1" ht="12.75" x14ac:dyDescent="0.2"/>
    <row r="19102" s="197" customFormat="1" ht="12.75" x14ac:dyDescent="0.2"/>
    <row r="19103" s="197" customFormat="1" ht="12.75" x14ac:dyDescent="0.2"/>
    <row r="19104" s="197" customFormat="1" ht="12.75" x14ac:dyDescent="0.2"/>
    <row r="19105" s="197" customFormat="1" ht="12.75" x14ac:dyDescent="0.2"/>
    <row r="19106" s="197" customFormat="1" ht="12.75" x14ac:dyDescent="0.2"/>
    <row r="19107" s="197" customFormat="1" ht="12.75" x14ac:dyDescent="0.2"/>
    <row r="19108" s="197" customFormat="1" ht="12.75" x14ac:dyDescent="0.2"/>
    <row r="19109" s="197" customFormat="1" ht="12.75" x14ac:dyDescent="0.2"/>
    <row r="19110" s="197" customFormat="1" ht="12.75" x14ac:dyDescent="0.2"/>
    <row r="19111" s="197" customFormat="1" ht="12.75" x14ac:dyDescent="0.2"/>
    <row r="19112" s="197" customFormat="1" ht="12.75" x14ac:dyDescent="0.2"/>
    <row r="19113" s="197" customFormat="1" ht="12.75" x14ac:dyDescent="0.2"/>
    <row r="19114" s="197" customFormat="1" ht="12.75" x14ac:dyDescent="0.2"/>
    <row r="19115" s="197" customFormat="1" ht="12.75" x14ac:dyDescent="0.2"/>
    <row r="19116" s="197" customFormat="1" ht="12.75" x14ac:dyDescent="0.2"/>
    <row r="19117" s="197" customFormat="1" ht="12.75" x14ac:dyDescent="0.2"/>
    <row r="19118" s="197" customFormat="1" ht="12.75" x14ac:dyDescent="0.2"/>
    <row r="19119" s="197" customFormat="1" ht="12.75" x14ac:dyDescent="0.2"/>
    <row r="19120" s="197" customFormat="1" ht="12.75" x14ac:dyDescent="0.2"/>
    <row r="19121" s="197" customFormat="1" ht="12.75" x14ac:dyDescent="0.2"/>
    <row r="19122" s="197" customFormat="1" ht="12.75" x14ac:dyDescent="0.2"/>
    <row r="19123" s="197" customFormat="1" ht="12.75" x14ac:dyDescent="0.2"/>
    <row r="19124" s="197" customFormat="1" ht="12.75" x14ac:dyDescent="0.2"/>
    <row r="19125" s="197" customFormat="1" ht="12.75" x14ac:dyDescent="0.2"/>
    <row r="19126" s="197" customFormat="1" ht="12.75" x14ac:dyDescent="0.2"/>
    <row r="19127" s="197" customFormat="1" ht="12.75" x14ac:dyDescent="0.2"/>
    <row r="19128" s="197" customFormat="1" ht="12.75" x14ac:dyDescent="0.2"/>
    <row r="19129" s="197" customFormat="1" ht="12.75" x14ac:dyDescent="0.2"/>
    <row r="19130" s="197" customFormat="1" ht="12.75" x14ac:dyDescent="0.2"/>
    <row r="19131" s="197" customFormat="1" ht="12.75" x14ac:dyDescent="0.2"/>
    <row r="19132" s="197" customFormat="1" ht="12.75" x14ac:dyDescent="0.2"/>
    <row r="19133" s="197" customFormat="1" ht="12.75" x14ac:dyDescent="0.2"/>
    <row r="19134" s="197" customFormat="1" ht="12.75" x14ac:dyDescent="0.2"/>
    <row r="19135" s="197" customFormat="1" ht="12.75" x14ac:dyDescent="0.2"/>
    <row r="19136" s="197" customFormat="1" ht="12.75" x14ac:dyDescent="0.2"/>
    <row r="19137" s="197" customFormat="1" ht="12.75" x14ac:dyDescent="0.2"/>
    <row r="19138" s="197" customFormat="1" ht="12.75" x14ac:dyDescent="0.2"/>
    <row r="19139" s="197" customFormat="1" ht="12.75" x14ac:dyDescent="0.2"/>
    <row r="19140" s="197" customFormat="1" ht="12.75" x14ac:dyDescent="0.2"/>
    <row r="19141" s="197" customFormat="1" ht="12.75" x14ac:dyDescent="0.2"/>
    <row r="19142" s="197" customFormat="1" ht="12.75" x14ac:dyDescent="0.2"/>
    <row r="19143" s="197" customFormat="1" ht="12.75" x14ac:dyDescent="0.2"/>
    <row r="19144" s="197" customFormat="1" ht="12.75" x14ac:dyDescent="0.2"/>
    <row r="19145" s="197" customFormat="1" ht="12.75" x14ac:dyDescent="0.2"/>
    <row r="19146" s="197" customFormat="1" ht="12.75" x14ac:dyDescent="0.2"/>
    <row r="19147" s="197" customFormat="1" ht="12.75" x14ac:dyDescent="0.2"/>
    <row r="19148" s="197" customFormat="1" ht="12.75" x14ac:dyDescent="0.2"/>
    <row r="19149" s="197" customFormat="1" ht="12.75" x14ac:dyDescent="0.2"/>
    <row r="19150" s="197" customFormat="1" ht="12.75" x14ac:dyDescent="0.2"/>
    <row r="19151" s="197" customFormat="1" ht="12.75" x14ac:dyDescent="0.2"/>
    <row r="19152" s="197" customFormat="1" ht="12.75" x14ac:dyDescent="0.2"/>
    <row r="19153" s="197" customFormat="1" ht="12.75" x14ac:dyDescent="0.2"/>
    <row r="19154" s="197" customFormat="1" ht="12.75" x14ac:dyDescent="0.2"/>
    <row r="19155" s="197" customFormat="1" ht="12.75" x14ac:dyDescent="0.2"/>
    <row r="19156" s="197" customFormat="1" ht="12.75" x14ac:dyDescent="0.2"/>
    <row r="19157" s="197" customFormat="1" ht="12.75" x14ac:dyDescent="0.2"/>
    <row r="19158" s="197" customFormat="1" ht="12.75" x14ac:dyDescent="0.2"/>
    <row r="19159" s="197" customFormat="1" ht="12.75" x14ac:dyDescent="0.2"/>
    <row r="19160" s="197" customFormat="1" ht="12.75" x14ac:dyDescent="0.2"/>
    <row r="19161" s="197" customFormat="1" ht="12.75" x14ac:dyDescent="0.2"/>
    <row r="19162" s="197" customFormat="1" ht="12.75" x14ac:dyDescent="0.2"/>
    <row r="19163" s="197" customFormat="1" ht="12.75" x14ac:dyDescent="0.2"/>
    <row r="19164" s="197" customFormat="1" ht="12.75" x14ac:dyDescent="0.2"/>
    <row r="19165" s="197" customFormat="1" ht="12.75" x14ac:dyDescent="0.2"/>
    <row r="19166" s="197" customFormat="1" ht="12.75" x14ac:dyDescent="0.2"/>
    <row r="19167" s="197" customFormat="1" ht="12.75" x14ac:dyDescent="0.2"/>
    <row r="19168" s="197" customFormat="1" ht="12.75" x14ac:dyDescent="0.2"/>
    <row r="19169" s="197" customFormat="1" ht="12.75" x14ac:dyDescent="0.2"/>
    <row r="19170" s="197" customFormat="1" ht="12.75" x14ac:dyDescent="0.2"/>
    <row r="19171" s="197" customFormat="1" ht="12.75" x14ac:dyDescent="0.2"/>
    <row r="19172" s="197" customFormat="1" ht="12.75" x14ac:dyDescent="0.2"/>
    <row r="19173" s="197" customFormat="1" ht="12.75" x14ac:dyDescent="0.2"/>
    <row r="19174" s="197" customFormat="1" ht="12.75" x14ac:dyDescent="0.2"/>
    <row r="19175" s="197" customFormat="1" ht="12.75" x14ac:dyDescent="0.2"/>
    <row r="19176" s="197" customFormat="1" ht="12.75" x14ac:dyDescent="0.2"/>
    <row r="19177" s="197" customFormat="1" ht="12.75" x14ac:dyDescent="0.2"/>
    <row r="19178" s="197" customFormat="1" ht="12.75" x14ac:dyDescent="0.2"/>
    <row r="19179" s="197" customFormat="1" ht="12.75" x14ac:dyDescent="0.2"/>
    <row r="19180" s="197" customFormat="1" ht="12.75" x14ac:dyDescent="0.2"/>
    <row r="19181" s="197" customFormat="1" ht="12.75" x14ac:dyDescent="0.2"/>
    <row r="19182" s="197" customFormat="1" ht="12.75" x14ac:dyDescent="0.2"/>
    <row r="19183" s="197" customFormat="1" ht="12.75" x14ac:dyDescent="0.2"/>
    <row r="19184" s="197" customFormat="1" ht="12.75" x14ac:dyDescent="0.2"/>
    <row r="19185" s="197" customFormat="1" ht="12.75" x14ac:dyDescent="0.2"/>
    <row r="19186" s="197" customFormat="1" ht="12.75" x14ac:dyDescent="0.2"/>
    <row r="19187" s="197" customFormat="1" ht="12.75" x14ac:dyDescent="0.2"/>
    <row r="19188" s="197" customFormat="1" ht="12.75" x14ac:dyDescent="0.2"/>
    <row r="19189" s="197" customFormat="1" ht="12.75" x14ac:dyDescent="0.2"/>
    <row r="19190" s="197" customFormat="1" ht="12.75" x14ac:dyDescent="0.2"/>
    <row r="19191" s="197" customFormat="1" ht="12.75" x14ac:dyDescent="0.2"/>
    <row r="19192" s="197" customFormat="1" ht="12.75" x14ac:dyDescent="0.2"/>
    <row r="19193" s="197" customFormat="1" ht="12.75" x14ac:dyDescent="0.2"/>
    <row r="19194" s="197" customFormat="1" ht="12.75" x14ac:dyDescent="0.2"/>
    <row r="19195" s="197" customFormat="1" ht="12.75" x14ac:dyDescent="0.2"/>
    <row r="19196" s="197" customFormat="1" ht="12.75" x14ac:dyDescent="0.2"/>
    <row r="19197" s="197" customFormat="1" ht="12.75" x14ac:dyDescent="0.2"/>
    <row r="19198" s="197" customFormat="1" ht="12.75" x14ac:dyDescent="0.2"/>
    <row r="19199" s="197" customFormat="1" ht="12.75" x14ac:dyDescent="0.2"/>
    <row r="19200" s="197" customFormat="1" ht="12.75" x14ac:dyDescent="0.2"/>
    <row r="19201" s="197" customFormat="1" ht="12.75" x14ac:dyDescent="0.2"/>
    <row r="19202" s="197" customFormat="1" ht="12.75" x14ac:dyDescent="0.2"/>
    <row r="19203" s="197" customFormat="1" ht="12.75" x14ac:dyDescent="0.2"/>
    <row r="19204" s="197" customFormat="1" ht="12.75" x14ac:dyDescent="0.2"/>
    <row r="19205" s="197" customFormat="1" ht="12.75" x14ac:dyDescent="0.2"/>
    <row r="19206" s="197" customFormat="1" ht="12.75" x14ac:dyDescent="0.2"/>
    <row r="19207" s="197" customFormat="1" ht="12.75" x14ac:dyDescent="0.2"/>
    <row r="19208" s="197" customFormat="1" ht="12.75" x14ac:dyDescent="0.2"/>
    <row r="19209" s="197" customFormat="1" ht="12.75" x14ac:dyDescent="0.2"/>
    <row r="19210" s="197" customFormat="1" ht="12.75" x14ac:dyDescent="0.2"/>
    <row r="19211" s="197" customFormat="1" ht="12.75" x14ac:dyDescent="0.2"/>
    <row r="19212" s="197" customFormat="1" ht="12.75" x14ac:dyDescent="0.2"/>
    <row r="19213" s="197" customFormat="1" ht="12.75" x14ac:dyDescent="0.2"/>
    <row r="19214" s="197" customFormat="1" ht="12.75" x14ac:dyDescent="0.2"/>
    <row r="19215" s="197" customFormat="1" ht="12.75" x14ac:dyDescent="0.2"/>
    <row r="19216" s="197" customFormat="1" ht="12.75" x14ac:dyDescent="0.2"/>
    <row r="19217" s="197" customFormat="1" ht="12.75" x14ac:dyDescent="0.2"/>
    <row r="19218" s="197" customFormat="1" ht="12.75" x14ac:dyDescent="0.2"/>
    <row r="19219" s="197" customFormat="1" ht="12.75" x14ac:dyDescent="0.2"/>
    <row r="19220" s="197" customFormat="1" ht="12.75" x14ac:dyDescent="0.2"/>
    <row r="19221" s="197" customFormat="1" ht="12.75" x14ac:dyDescent="0.2"/>
    <row r="19222" s="197" customFormat="1" ht="12.75" x14ac:dyDescent="0.2"/>
    <row r="19223" s="197" customFormat="1" ht="12.75" x14ac:dyDescent="0.2"/>
    <row r="19224" s="197" customFormat="1" ht="12.75" x14ac:dyDescent="0.2"/>
    <row r="19225" s="197" customFormat="1" ht="12.75" x14ac:dyDescent="0.2"/>
    <row r="19226" s="197" customFormat="1" ht="12.75" x14ac:dyDescent="0.2"/>
    <row r="19227" s="197" customFormat="1" ht="12.75" x14ac:dyDescent="0.2"/>
    <row r="19228" s="197" customFormat="1" ht="12.75" x14ac:dyDescent="0.2"/>
    <row r="19229" s="197" customFormat="1" ht="12.75" x14ac:dyDescent="0.2"/>
    <row r="19230" s="197" customFormat="1" ht="12.75" x14ac:dyDescent="0.2"/>
    <row r="19231" s="197" customFormat="1" ht="12.75" x14ac:dyDescent="0.2"/>
    <row r="19232" s="197" customFormat="1" ht="12.75" x14ac:dyDescent="0.2"/>
    <row r="19233" s="197" customFormat="1" ht="12.75" x14ac:dyDescent="0.2"/>
    <row r="19234" s="197" customFormat="1" ht="12.75" x14ac:dyDescent="0.2"/>
    <row r="19235" s="197" customFormat="1" ht="12.75" x14ac:dyDescent="0.2"/>
    <row r="19236" s="197" customFormat="1" ht="12.75" x14ac:dyDescent="0.2"/>
    <row r="19237" s="197" customFormat="1" ht="12.75" x14ac:dyDescent="0.2"/>
    <row r="19238" s="197" customFormat="1" ht="12.75" x14ac:dyDescent="0.2"/>
    <row r="19239" s="197" customFormat="1" ht="12.75" x14ac:dyDescent="0.2"/>
    <row r="19240" s="197" customFormat="1" ht="12.75" x14ac:dyDescent="0.2"/>
    <row r="19241" s="197" customFormat="1" ht="12.75" x14ac:dyDescent="0.2"/>
    <row r="19242" s="197" customFormat="1" ht="12.75" x14ac:dyDescent="0.2"/>
    <row r="19243" s="197" customFormat="1" ht="12.75" x14ac:dyDescent="0.2"/>
    <row r="19244" s="197" customFormat="1" ht="12.75" x14ac:dyDescent="0.2"/>
    <row r="19245" s="197" customFormat="1" ht="12.75" x14ac:dyDescent="0.2"/>
    <row r="19246" s="197" customFormat="1" ht="12.75" x14ac:dyDescent="0.2"/>
    <row r="19247" s="197" customFormat="1" ht="12.75" x14ac:dyDescent="0.2"/>
    <row r="19248" s="197" customFormat="1" ht="12.75" x14ac:dyDescent="0.2"/>
    <row r="19249" s="197" customFormat="1" ht="12.75" x14ac:dyDescent="0.2"/>
    <row r="19250" s="197" customFormat="1" ht="12.75" x14ac:dyDescent="0.2"/>
    <row r="19251" s="197" customFormat="1" ht="12.75" x14ac:dyDescent="0.2"/>
    <row r="19252" s="197" customFormat="1" ht="12.75" x14ac:dyDescent="0.2"/>
    <row r="19253" s="197" customFormat="1" ht="12.75" x14ac:dyDescent="0.2"/>
    <row r="19254" s="197" customFormat="1" ht="12.75" x14ac:dyDescent="0.2"/>
    <row r="19255" s="197" customFormat="1" ht="12.75" x14ac:dyDescent="0.2"/>
    <row r="19256" s="197" customFormat="1" ht="12.75" x14ac:dyDescent="0.2"/>
    <row r="19257" s="197" customFormat="1" ht="12.75" x14ac:dyDescent="0.2"/>
    <row r="19258" s="197" customFormat="1" ht="12.75" x14ac:dyDescent="0.2"/>
    <row r="19259" s="197" customFormat="1" ht="12.75" x14ac:dyDescent="0.2"/>
    <row r="19260" s="197" customFormat="1" ht="12.75" x14ac:dyDescent="0.2"/>
    <row r="19261" s="197" customFormat="1" ht="12.75" x14ac:dyDescent="0.2"/>
    <row r="19262" s="197" customFormat="1" ht="12.75" x14ac:dyDescent="0.2"/>
    <row r="19263" s="197" customFormat="1" ht="12.75" x14ac:dyDescent="0.2"/>
    <row r="19264" s="197" customFormat="1" ht="12.75" x14ac:dyDescent="0.2"/>
    <row r="19265" s="197" customFormat="1" ht="12.75" x14ac:dyDescent="0.2"/>
    <row r="19266" s="197" customFormat="1" ht="12.75" x14ac:dyDescent="0.2"/>
    <row r="19267" s="197" customFormat="1" ht="12.75" x14ac:dyDescent="0.2"/>
    <row r="19268" s="197" customFormat="1" ht="12.75" x14ac:dyDescent="0.2"/>
    <row r="19269" s="197" customFormat="1" ht="12.75" x14ac:dyDescent="0.2"/>
    <row r="19270" s="197" customFormat="1" ht="12.75" x14ac:dyDescent="0.2"/>
    <row r="19271" s="197" customFormat="1" ht="12.75" x14ac:dyDescent="0.2"/>
    <row r="19272" s="197" customFormat="1" ht="12.75" x14ac:dyDescent="0.2"/>
    <row r="19273" s="197" customFormat="1" ht="12.75" x14ac:dyDescent="0.2"/>
    <row r="19274" s="197" customFormat="1" ht="12.75" x14ac:dyDescent="0.2"/>
    <row r="19275" s="197" customFormat="1" ht="12.75" x14ac:dyDescent="0.2"/>
    <row r="19276" s="197" customFormat="1" ht="12.75" x14ac:dyDescent="0.2"/>
    <row r="19277" s="197" customFormat="1" ht="12.75" x14ac:dyDescent="0.2"/>
    <row r="19278" s="197" customFormat="1" ht="12.75" x14ac:dyDescent="0.2"/>
    <row r="19279" s="197" customFormat="1" ht="12.75" x14ac:dyDescent="0.2"/>
    <row r="19280" s="197" customFormat="1" ht="12.75" x14ac:dyDescent="0.2"/>
    <row r="19281" s="197" customFormat="1" ht="12.75" x14ac:dyDescent="0.2"/>
    <row r="19282" s="197" customFormat="1" ht="12.75" x14ac:dyDescent="0.2"/>
    <row r="19283" s="197" customFormat="1" ht="12.75" x14ac:dyDescent="0.2"/>
    <row r="19284" s="197" customFormat="1" ht="12.75" x14ac:dyDescent="0.2"/>
    <row r="19285" s="197" customFormat="1" ht="12.75" x14ac:dyDescent="0.2"/>
    <row r="19286" s="197" customFormat="1" ht="12.75" x14ac:dyDescent="0.2"/>
    <row r="19287" s="197" customFormat="1" ht="12.75" x14ac:dyDescent="0.2"/>
    <row r="19288" s="197" customFormat="1" ht="12.75" x14ac:dyDescent="0.2"/>
    <row r="19289" s="197" customFormat="1" ht="12.75" x14ac:dyDescent="0.2"/>
    <row r="19290" s="197" customFormat="1" ht="12.75" x14ac:dyDescent="0.2"/>
    <row r="19291" s="197" customFormat="1" ht="12.75" x14ac:dyDescent="0.2"/>
    <row r="19292" s="197" customFormat="1" ht="12.75" x14ac:dyDescent="0.2"/>
    <row r="19293" s="197" customFormat="1" ht="12.75" x14ac:dyDescent="0.2"/>
    <row r="19294" s="197" customFormat="1" ht="12.75" x14ac:dyDescent="0.2"/>
    <row r="19295" s="197" customFormat="1" ht="12.75" x14ac:dyDescent="0.2"/>
    <row r="19296" s="197" customFormat="1" ht="12.75" x14ac:dyDescent="0.2"/>
    <row r="19297" s="197" customFormat="1" ht="12.75" x14ac:dyDescent="0.2"/>
    <row r="19298" s="197" customFormat="1" ht="12.75" x14ac:dyDescent="0.2"/>
    <row r="19299" s="197" customFormat="1" ht="12.75" x14ac:dyDescent="0.2"/>
    <row r="19300" s="197" customFormat="1" ht="12.75" x14ac:dyDescent="0.2"/>
    <row r="19301" s="197" customFormat="1" ht="12.75" x14ac:dyDescent="0.2"/>
    <row r="19302" s="197" customFormat="1" ht="12.75" x14ac:dyDescent="0.2"/>
    <row r="19303" s="197" customFormat="1" ht="12.75" x14ac:dyDescent="0.2"/>
    <row r="19304" s="197" customFormat="1" ht="12.75" x14ac:dyDescent="0.2"/>
    <row r="19305" s="197" customFormat="1" ht="12.75" x14ac:dyDescent="0.2"/>
    <row r="19306" s="197" customFormat="1" ht="12.75" x14ac:dyDescent="0.2"/>
    <row r="19307" s="197" customFormat="1" ht="12.75" x14ac:dyDescent="0.2"/>
    <row r="19308" s="197" customFormat="1" ht="12.75" x14ac:dyDescent="0.2"/>
    <row r="19309" s="197" customFormat="1" ht="12.75" x14ac:dyDescent="0.2"/>
    <row r="19310" s="197" customFormat="1" ht="12.75" x14ac:dyDescent="0.2"/>
    <row r="19311" s="197" customFormat="1" ht="12.75" x14ac:dyDescent="0.2"/>
    <row r="19312" s="197" customFormat="1" ht="12.75" x14ac:dyDescent="0.2"/>
    <row r="19313" s="197" customFormat="1" ht="12.75" x14ac:dyDescent="0.2"/>
    <row r="19314" s="197" customFormat="1" ht="12.75" x14ac:dyDescent="0.2"/>
    <row r="19315" s="197" customFormat="1" ht="12.75" x14ac:dyDescent="0.2"/>
    <row r="19316" s="197" customFormat="1" ht="12.75" x14ac:dyDescent="0.2"/>
    <row r="19317" s="197" customFormat="1" ht="12.75" x14ac:dyDescent="0.2"/>
    <row r="19318" s="197" customFormat="1" ht="12.75" x14ac:dyDescent="0.2"/>
    <row r="19319" s="197" customFormat="1" ht="12.75" x14ac:dyDescent="0.2"/>
    <row r="19320" s="197" customFormat="1" ht="12.75" x14ac:dyDescent="0.2"/>
    <row r="19321" s="197" customFormat="1" ht="12.75" x14ac:dyDescent="0.2"/>
    <row r="19322" s="197" customFormat="1" ht="12.75" x14ac:dyDescent="0.2"/>
    <row r="19323" s="197" customFormat="1" ht="12.75" x14ac:dyDescent="0.2"/>
    <row r="19324" s="197" customFormat="1" ht="12.75" x14ac:dyDescent="0.2"/>
    <row r="19325" s="197" customFormat="1" ht="12.75" x14ac:dyDescent="0.2"/>
    <row r="19326" s="197" customFormat="1" ht="12.75" x14ac:dyDescent="0.2"/>
    <row r="19327" s="197" customFormat="1" ht="12.75" x14ac:dyDescent="0.2"/>
    <row r="19328" s="197" customFormat="1" ht="12.75" x14ac:dyDescent="0.2"/>
    <row r="19329" s="197" customFormat="1" ht="12.75" x14ac:dyDescent="0.2"/>
    <row r="19330" s="197" customFormat="1" ht="12.75" x14ac:dyDescent="0.2"/>
    <row r="19331" s="197" customFormat="1" ht="12.75" x14ac:dyDescent="0.2"/>
    <row r="19332" s="197" customFormat="1" ht="12.75" x14ac:dyDescent="0.2"/>
    <row r="19333" s="197" customFormat="1" ht="12.75" x14ac:dyDescent="0.2"/>
    <row r="19334" s="197" customFormat="1" ht="12.75" x14ac:dyDescent="0.2"/>
    <row r="19335" s="197" customFormat="1" ht="12.75" x14ac:dyDescent="0.2"/>
    <row r="19336" s="197" customFormat="1" ht="12.75" x14ac:dyDescent="0.2"/>
    <row r="19337" s="197" customFormat="1" ht="12.75" x14ac:dyDescent="0.2"/>
    <row r="19338" s="197" customFormat="1" ht="12.75" x14ac:dyDescent="0.2"/>
    <row r="19339" s="197" customFormat="1" ht="12.75" x14ac:dyDescent="0.2"/>
    <row r="19340" s="197" customFormat="1" ht="12.75" x14ac:dyDescent="0.2"/>
    <row r="19341" s="197" customFormat="1" ht="12.75" x14ac:dyDescent="0.2"/>
    <row r="19342" s="197" customFormat="1" ht="12.75" x14ac:dyDescent="0.2"/>
    <row r="19343" s="197" customFormat="1" ht="12.75" x14ac:dyDescent="0.2"/>
    <row r="19344" s="197" customFormat="1" ht="12.75" x14ac:dyDescent="0.2"/>
    <row r="19345" s="197" customFormat="1" ht="12.75" x14ac:dyDescent="0.2"/>
    <row r="19346" s="197" customFormat="1" ht="12.75" x14ac:dyDescent="0.2"/>
    <row r="19347" s="197" customFormat="1" ht="12.75" x14ac:dyDescent="0.2"/>
    <row r="19348" s="197" customFormat="1" ht="12.75" x14ac:dyDescent="0.2"/>
    <row r="19349" s="197" customFormat="1" ht="12.75" x14ac:dyDescent="0.2"/>
    <row r="19350" s="197" customFormat="1" ht="12.75" x14ac:dyDescent="0.2"/>
    <row r="19351" s="197" customFormat="1" ht="12.75" x14ac:dyDescent="0.2"/>
    <row r="19352" s="197" customFormat="1" ht="12.75" x14ac:dyDescent="0.2"/>
    <row r="19353" s="197" customFormat="1" ht="12.75" x14ac:dyDescent="0.2"/>
    <row r="19354" s="197" customFormat="1" ht="12.75" x14ac:dyDescent="0.2"/>
    <row r="19355" s="197" customFormat="1" ht="12.75" x14ac:dyDescent="0.2"/>
    <row r="19356" s="197" customFormat="1" ht="12.75" x14ac:dyDescent="0.2"/>
    <row r="19357" s="197" customFormat="1" ht="12.75" x14ac:dyDescent="0.2"/>
    <row r="19358" s="197" customFormat="1" ht="12.75" x14ac:dyDescent="0.2"/>
    <row r="19359" s="197" customFormat="1" ht="12.75" x14ac:dyDescent="0.2"/>
    <row r="19360" s="197" customFormat="1" ht="12.75" x14ac:dyDescent="0.2"/>
    <row r="19361" s="197" customFormat="1" ht="12.75" x14ac:dyDescent="0.2"/>
    <row r="19362" s="197" customFormat="1" ht="12.75" x14ac:dyDescent="0.2"/>
    <row r="19363" s="197" customFormat="1" ht="12.75" x14ac:dyDescent="0.2"/>
    <row r="19364" s="197" customFormat="1" ht="12.75" x14ac:dyDescent="0.2"/>
    <row r="19365" s="197" customFormat="1" ht="12.75" x14ac:dyDescent="0.2"/>
    <row r="19366" s="197" customFormat="1" ht="12.75" x14ac:dyDescent="0.2"/>
    <row r="19367" s="197" customFormat="1" ht="12.75" x14ac:dyDescent="0.2"/>
    <row r="19368" s="197" customFormat="1" ht="12.75" x14ac:dyDescent="0.2"/>
    <row r="19369" s="197" customFormat="1" ht="12.75" x14ac:dyDescent="0.2"/>
    <row r="19370" s="197" customFormat="1" ht="12.75" x14ac:dyDescent="0.2"/>
    <row r="19371" s="197" customFormat="1" ht="12.75" x14ac:dyDescent="0.2"/>
    <row r="19372" s="197" customFormat="1" ht="12.75" x14ac:dyDescent="0.2"/>
    <row r="19373" s="197" customFormat="1" ht="12.75" x14ac:dyDescent="0.2"/>
    <row r="19374" s="197" customFormat="1" ht="12.75" x14ac:dyDescent="0.2"/>
    <row r="19375" s="197" customFormat="1" ht="12.75" x14ac:dyDescent="0.2"/>
    <row r="19376" s="197" customFormat="1" ht="12.75" x14ac:dyDescent="0.2"/>
    <row r="19377" s="197" customFormat="1" ht="12.75" x14ac:dyDescent="0.2"/>
    <row r="19378" s="197" customFormat="1" ht="12.75" x14ac:dyDescent="0.2"/>
    <row r="19379" s="197" customFormat="1" ht="12.75" x14ac:dyDescent="0.2"/>
    <row r="19380" s="197" customFormat="1" ht="12.75" x14ac:dyDescent="0.2"/>
    <row r="19381" s="197" customFormat="1" ht="12.75" x14ac:dyDescent="0.2"/>
    <row r="19382" s="197" customFormat="1" ht="12.75" x14ac:dyDescent="0.2"/>
    <row r="19383" s="197" customFormat="1" ht="12.75" x14ac:dyDescent="0.2"/>
    <row r="19384" s="197" customFormat="1" ht="12.75" x14ac:dyDescent="0.2"/>
    <row r="19385" s="197" customFormat="1" ht="12.75" x14ac:dyDescent="0.2"/>
    <row r="19386" s="197" customFormat="1" ht="12.75" x14ac:dyDescent="0.2"/>
    <row r="19387" s="197" customFormat="1" ht="12.75" x14ac:dyDescent="0.2"/>
    <row r="19388" s="197" customFormat="1" ht="12.75" x14ac:dyDescent="0.2"/>
    <row r="19389" s="197" customFormat="1" ht="12.75" x14ac:dyDescent="0.2"/>
    <row r="19390" s="197" customFormat="1" ht="12.75" x14ac:dyDescent="0.2"/>
    <row r="19391" s="197" customFormat="1" ht="12.75" x14ac:dyDescent="0.2"/>
    <row r="19392" s="197" customFormat="1" ht="12.75" x14ac:dyDescent="0.2"/>
    <row r="19393" s="197" customFormat="1" ht="12.75" x14ac:dyDescent="0.2"/>
    <row r="19394" s="197" customFormat="1" ht="12.75" x14ac:dyDescent="0.2"/>
    <row r="19395" s="197" customFormat="1" ht="12.75" x14ac:dyDescent="0.2"/>
    <row r="19396" s="197" customFormat="1" ht="12.75" x14ac:dyDescent="0.2"/>
    <row r="19397" s="197" customFormat="1" ht="12.75" x14ac:dyDescent="0.2"/>
    <row r="19398" s="197" customFormat="1" ht="12.75" x14ac:dyDescent="0.2"/>
    <row r="19399" s="197" customFormat="1" ht="12.75" x14ac:dyDescent="0.2"/>
    <row r="19400" s="197" customFormat="1" ht="12.75" x14ac:dyDescent="0.2"/>
    <row r="19401" s="197" customFormat="1" ht="12.75" x14ac:dyDescent="0.2"/>
    <row r="19402" s="197" customFormat="1" ht="12.75" x14ac:dyDescent="0.2"/>
    <row r="19403" s="197" customFormat="1" ht="12.75" x14ac:dyDescent="0.2"/>
    <row r="19404" s="197" customFormat="1" ht="12.75" x14ac:dyDescent="0.2"/>
    <row r="19405" s="197" customFormat="1" ht="12.75" x14ac:dyDescent="0.2"/>
    <row r="19406" s="197" customFormat="1" ht="12.75" x14ac:dyDescent="0.2"/>
    <row r="19407" s="197" customFormat="1" ht="12.75" x14ac:dyDescent="0.2"/>
    <row r="19408" s="197" customFormat="1" ht="12.75" x14ac:dyDescent="0.2"/>
    <row r="19409" s="197" customFormat="1" ht="12.75" x14ac:dyDescent="0.2"/>
    <row r="19410" s="197" customFormat="1" ht="12.75" x14ac:dyDescent="0.2"/>
    <row r="19411" s="197" customFormat="1" ht="12.75" x14ac:dyDescent="0.2"/>
    <row r="19412" s="197" customFormat="1" ht="12.75" x14ac:dyDescent="0.2"/>
    <row r="19413" s="197" customFormat="1" ht="12.75" x14ac:dyDescent="0.2"/>
    <row r="19414" s="197" customFormat="1" ht="12.75" x14ac:dyDescent="0.2"/>
    <row r="19415" s="197" customFormat="1" ht="12.75" x14ac:dyDescent="0.2"/>
    <row r="19416" s="197" customFormat="1" ht="12.75" x14ac:dyDescent="0.2"/>
    <row r="19417" s="197" customFormat="1" ht="12.75" x14ac:dyDescent="0.2"/>
    <row r="19418" s="197" customFormat="1" ht="12.75" x14ac:dyDescent="0.2"/>
    <row r="19419" s="197" customFormat="1" ht="12.75" x14ac:dyDescent="0.2"/>
    <row r="19420" s="197" customFormat="1" ht="12.75" x14ac:dyDescent="0.2"/>
    <row r="19421" s="197" customFormat="1" ht="12.75" x14ac:dyDescent="0.2"/>
    <row r="19422" s="197" customFormat="1" ht="12.75" x14ac:dyDescent="0.2"/>
    <row r="19423" s="197" customFormat="1" ht="12.75" x14ac:dyDescent="0.2"/>
    <row r="19424" s="197" customFormat="1" ht="12.75" x14ac:dyDescent="0.2"/>
    <row r="19425" s="197" customFormat="1" ht="12.75" x14ac:dyDescent="0.2"/>
    <row r="19426" s="197" customFormat="1" ht="12.75" x14ac:dyDescent="0.2"/>
    <row r="19427" s="197" customFormat="1" ht="12.75" x14ac:dyDescent="0.2"/>
    <row r="19428" s="197" customFormat="1" ht="12.75" x14ac:dyDescent="0.2"/>
    <row r="19429" s="197" customFormat="1" ht="12.75" x14ac:dyDescent="0.2"/>
    <row r="19430" s="197" customFormat="1" ht="12.75" x14ac:dyDescent="0.2"/>
    <row r="19431" s="197" customFormat="1" ht="12.75" x14ac:dyDescent="0.2"/>
    <row r="19432" s="197" customFormat="1" ht="12.75" x14ac:dyDescent="0.2"/>
    <row r="19433" s="197" customFormat="1" ht="12.75" x14ac:dyDescent="0.2"/>
    <row r="19434" s="197" customFormat="1" ht="12.75" x14ac:dyDescent="0.2"/>
    <row r="19435" s="197" customFormat="1" ht="12.75" x14ac:dyDescent="0.2"/>
    <row r="19436" s="197" customFormat="1" ht="12.75" x14ac:dyDescent="0.2"/>
    <row r="19437" s="197" customFormat="1" ht="12.75" x14ac:dyDescent="0.2"/>
    <row r="19438" s="197" customFormat="1" ht="12.75" x14ac:dyDescent="0.2"/>
    <row r="19439" s="197" customFormat="1" ht="12.75" x14ac:dyDescent="0.2"/>
    <row r="19440" s="197" customFormat="1" ht="12.75" x14ac:dyDescent="0.2"/>
    <row r="19441" s="197" customFormat="1" ht="12.75" x14ac:dyDescent="0.2"/>
    <row r="19442" s="197" customFormat="1" ht="12.75" x14ac:dyDescent="0.2"/>
    <row r="19443" s="197" customFormat="1" ht="12.75" x14ac:dyDescent="0.2"/>
    <row r="19444" s="197" customFormat="1" ht="12.75" x14ac:dyDescent="0.2"/>
    <row r="19445" s="197" customFormat="1" ht="12.75" x14ac:dyDescent="0.2"/>
    <row r="19446" s="197" customFormat="1" ht="12.75" x14ac:dyDescent="0.2"/>
    <row r="19447" s="197" customFormat="1" ht="12.75" x14ac:dyDescent="0.2"/>
    <row r="19448" s="197" customFormat="1" ht="12.75" x14ac:dyDescent="0.2"/>
    <row r="19449" s="197" customFormat="1" ht="12.75" x14ac:dyDescent="0.2"/>
    <row r="19450" s="197" customFormat="1" ht="12.75" x14ac:dyDescent="0.2"/>
    <row r="19451" s="197" customFormat="1" ht="12.75" x14ac:dyDescent="0.2"/>
    <row r="19452" s="197" customFormat="1" ht="12.75" x14ac:dyDescent="0.2"/>
    <row r="19453" s="197" customFormat="1" ht="12.75" x14ac:dyDescent="0.2"/>
    <row r="19454" s="197" customFormat="1" ht="12.75" x14ac:dyDescent="0.2"/>
    <row r="19455" s="197" customFormat="1" ht="12.75" x14ac:dyDescent="0.2"/>
    <row r="19456" s="197" customFormat="1" ht="12.75" x14ac:dyDescent="0.2"/>
    <row r="19457" s="197" customFormat="1" ht="12.75" x14ac:dyDescent="0.2"/>
    <row r="19458" s="197" customFormat="1" ht="12.75" x14ac:dyDescent="0.2"/>
    <row r="19459" s="197" customFormat="1" ht="12.75" x14ac:dyDescent="0.2"/>
    <row r="19460" s="197" customFormat="1" ht="12.75" x14ac:dyDescent="0.2"/>
    <row r="19461" s="197" customFormat="1" ht="12.75" x14ac:dyDescent="0.2"/>
    <row r="19462" s="197" customFormat="1" ht="12.75" x14ac:dyDescent="0.2"/>
    <row r="19463" s="197" customFormat="1" ht="12.75" x14ac:dyDescent="0.2"/>
    <row r="19464" s="197" customFormat="1" ht="12.75" x14ac:dyDescent="0.2"/>
    <row r="19465" s="197" customFormat="1" ht="12.75" x14ac:dyDescent="0.2"/>
    <row r="19466" s="197" customFormat="1" ht="12.75" x14ac:dyDescent="0.2"/>
    <row r="19467" s="197" customFormat="1" ht="12.75" x14ac:dyDescent="0.2"/>
    <row r="19468" s="197" customFormat="1" ht="12.75" x14ac:dyDescent="0.2"/>
    <row r="19469" s="197" customFormat="1" ht="12.75" x14ac:dyDescent="0.2"/>
    <row r="19470" s="197" customFormat="1" ht="12.75" x14ac:dyDescent="0.2"/>
    <row r="19471" s="197" customFormat="1" ht="12.75" x14ac:dyDescent="0.2"/>
    <row r="19472" s="197" customFormat="1" ht="12.75" x14ac:dyDescent="0.2"/>
    <row r="19473" s="197" customFormat="1" ht="12.75" x14ac:dyDescent="0.2"/>
    <row r="19474" s="197" customFormat="1" ht="12.75" x14ac:dyDescent="0.2"/>
    <row r="19475" s="197" customFormat="1" ht="12.75" x14ac:dyDescent="0.2"/>
    <row r="19476" s="197" customFormat="1" ht="12.75" x14ac:dyDescent="0.2"/>
    <row r="19477" s="197" customFormat="1" ht="12.75" x14ac:dyDescent="0.2"/>
    <row r="19478" s="197" customFormat="1" ht="12.75" x14ac:dyDescent="0.2"/>
    <row r="19479" s="197" customFormat="1" ht="12.75" x14ac:dyDescent="0.2"/>
    <row r="19480" s="197" customFormat="1" ht="12.75" x14ac:dyDescent="0.2"/>
    <row r="19481" s="197" customFormat="1" ht="12.75" x14ac:dyDescent="0.2"/>
    <row r="19482" s="197" customFormat="1" ht="12.75" x14ac:dyDescent="0.2"/>
    <row r="19483" s="197" customFormat="1" ht="12.75" x14ac:dyDescent="0.2"/>
    <row r="19484" s="197" customFormat="1" ht="12.75" x14ac:dyDescent="0.2"/>
    <row r="19485" s="197" customFormat="1" ht="12.75" x14ac:dyDescent="0.2"/>
    <row r="19486" s="197" customFormat="1" ht="12.75" x14ac:dyDescent="0.2"/>
    <row r="19487" s="197" customFormat="1" ht="12.75" x14ac:dyDescent="0.2"/>
    <row r="19488" s="197" customFormat="1" ht="12.75" x14ac:dyDescent="0.2"/>
    <row r="19489" s="197" customFormat="1" ht="12.75" x14ac:dyDescent="0.2"/>
    <row r="19490" s="197" customFormat="1" ht="12.75" x14ac:dyDescent="0.2"/>
    <row r="19491" s="197" customFormat="1" ht="12.75" x14ac:dyDescent="0.2"/>
    <row r="19492" s="197" customFormat="1" ht="12.75" x14ac:dyDescent="0.2"/>
    <row r="19493" s="197" customFormat="1" ht="12.75" x14ac:dyDescent="0.2"/>
    <row r="19494" s="197" customFormat="1" ht="12.75" x14ac:dyDescent="0.2"/>
    <row r="19495" s="197" customFormat="1" ht="12.75" x14ac:dyDescent="0.2"/>
    <row r="19496" s="197" customFormat="1" ht="12.75" x14ac:dyDescent="0.2"/>
    <row r="19497" s="197" customFormat="1" ht="12.75" x14ac:dyDescent="0.2"/>
    <row r="19498" s="197" customFormat="1" ht="12.75" x14ac:dyDescent="0.2"/>
    <row r="19499" s="197" customFormat="1" ht="12.75" x14ac:dyDescent="0.2"/>
    <row r="19500" s="197" customFormat="1" ht="12.75" x14ac:dyDescent="0.2"/>
    <row r="19501" s="197" customFormat="1" ht="12.75" x14ac:dyDescent="0.2"/>
    <row r="19502" s="197" customFormat="1" ht="12.75" x14ac:dyDescent="0.2"/>
    <row r="19503" s="197" customFormat="1" ht="12.75" x14ac:dyDescent="0.2"/>
    <row r="19504" s="197" customFormat="1" ht="12.75" x14ac:dyDescent="0.2"/>
    <row r="19505" s="197" customFormat="1" ht="12.75" x14ac:dyDescent="0.2"/>
    <row r="19506" s="197" customFormat="1" ht="12.75" x14ac:dyDescent="0.2"/>
    <row r="19507" s="197" customFormat="1" ht="12.75" x14ac:dyDescent="0.2"/>
    <row r="19508" s="197" customFormat="1" ht="12.75" x14ac:dyDescent="0.2"/>
    <row r="19509" s="197" customFormat="1" ht="12.75" x14ac:dyDescent="0.2"/>
    <row r="19510" s="197" customFormat="1" ht="12.75" x14ac:dyDescent="0.2"/>
    <row r="19511" s="197" customFormat="1" ht="12.75" x14ac:dyDescent="0.2"/>
    <row r="19512" s="197" customFormat="1" ht="12.75" x14ac:dyDescent="0.2"/>
    <row r="19513" s="197" customFormat="1" ht="12.75" x14ac:dyDescent="0.2"/>
    <row r="19514" s="197" customFormat="1" ht="12.75" x14ac:dyDescent="0.2"/>
    <row r="19515" s="197" customFormat="1" ht="12.75" x14ac:dyDescent="0.2"/>
    <row r="19516" s="197" customFormat="1" ht="12.75" x14ac:dyDescent="0.2"/>
    <row r="19517" s="197" customFormat="1" ht="12.75" x14ac:dyDescent="0.2"/>
    <row r="19518" s="197" customFormat="1" ht="12.75" x14ac:dyDescent="0.2"/>
    <row r="19519" s="197" customFormat="1" ht="12.75" x14ac:dyDescent="0.2"/>
    <row r="19520" s="197" customFormat="1" ht="12.75" x14ac:dyDescent="0.2"/>
    <row r="19521" s="197" customFormat="1" ht="12.75" x14ac:dyDescent="0.2"/>
    <row r="19522" s="197" customFormat="1" ht="12.75" x14ac:dyDescent="0.2"/>
    <row r="19523" s="197" customFormat="1" ht="12.75" x14ac:dyDescent="0.2"/>
    <row r="19524" s="197" customFormat="1" ht="12.75" x14ac:dyDescent="0.2"/>
    <row r="19525" s="197" customFormat="1" ht="12.75" x14ac:dyDescent="0.2"/>
    <row r="19526" s="197" customFormat="1" ht="12.75" x14ac:dyDescent="0.2"/>
    <row r="19527" s="197" customFormat="1" ht="12.75" x14ac:dyDescent="0.2"/>
    <row r="19528" s="197" customFormat="1" ht="12.75" x14ac:dyDescent="0.2"/>
    <row r="19529" s="197" customFormat="1" ht="12.75" x14ac:dyDescent="0.2"/>
    <row r="19530" s="197" customFormat="1" ht="12.75" x14ac:dyDescent="0.2"/>
    <row r="19531" s="197" customFormat="1" ht="12.75" x14ac:dyDescent="0.2"/>
    <row r="19532" s="197" customFormat="1" ht="12.75" x14ac:dyDescent="0.2"/>
    <row r="19533" s="197" customFormat="1" ht="12.75" x14ac:dyDescent="0.2"/>
    <row r="19534" s="197" customFormat="1" ht="12.75" x14ac:dyDescent="0.2"/>
    <row r="19535" s="197" customFormat="1" ht="12.75" x14ac:dyDescent="0.2"/>
    <row r="19536" s="197" customFormat="1" ht="12.75" x14ac:dyDescent="0.2"/>
    <row r="19537" s="197" customFormat="1" ht="12.75" x14ac:dyDescent="0.2"/>
    <row r="19538" s="197" customFormat="1" ht="12.75" x14ac:dyDescent="0.2"/>
    <row r="19539" s="197" customFormat="1" ht="12.75" x14ac:dyDescent="0.2"/>
    <row r="19540" s="197" customFormat="1" ht="12.75" x14ac:dyDescent="0.2"/>
    <row r="19541" s="197" customFormat="1" ht="12.75" x14ac:dyDescent="0.2"/>
    <row r="19542" s="197" customFormat="1" ht="12.75" x14ac:dyDescent="0.2"/>
    <row r="19543" s="197" customFormat="1" ht="12.75" x14ac:dyDescent="0.2"/>
    <row r="19544" s="197" customFormat="1" ht="12.75" x14ac:dyDescent="0.2"/>
    <row r="19545" s="197" customFormat="1" ht="12.75" x14ac:dyDescent="0.2"/>
    <row r="19546" s="197" customFormat="1" ht="12.75" x14ac:dyDescent="0.2"/>
    <row r="19547" s="197" customFormat="1" ht="12.75" x14ac:dyDescent="0.2"/>
    <row r="19548" s="197" customFormat="1" ht="12.75" x14ac:dyDescent="0.2"/>
    <row r="19549" s="197" customFormat="1" ht="12.75" x14ac:dyDescent="0.2"/>
    <row r="19550" s="197" customFormat="1" ht="12.75" x14ac:dyDescent="0.2"/>
    <row r="19551" s="197" customFormat="1" ht="12.75" x14ac:dyDescent="0.2"/>
    <row r="19552" s="197" customFormat="1" ht="12.75" x14ac:dyDescent="0.2"/>
    <row r="19553" s="197" customFormat="1" ht="12.75" x14ac:dyDescent="0.2"/>
    <row r="19554" s="197" customFormat="1" ht="12.75" x14ac:dyDescent="0.2"/>
    <row r="19555" s="197" customFormat="1" ht="12.75" x14ac:dyDescent="0.2"/>
    <row r="19556" s="197" customFormat="1" ht="12.75" x14ac:dyDescent="0.2"/>
    <row r="19557" s="197" customFormat="1" ht="12.75" x14ac:dyDescent="0.2"/>
    <row r="19558" s="197" customFormat="1" ht="12.75" x14ac:dyDescent="0.2"/>
    <row r="19559" s="197" customFormat="1" ht="12.75" x14ac:dyDescent="0.2"/>
    <row r="19560" s="197" customFormat="1" ht="12.75" x14ac:dyDescent="0.2"/>
    <row r="19561" s="197" customFormat="1" ht="12.75" x14ac:dyDescent="0.2"/>
    <row r="19562" s="197" customFormat="1" ht="12.75" x14ac:dyDescent="0.2"/>
    <row r="19563" s="197" customFormat="1" ht="12.75" x14ac:dyDescent="0.2"/>
    <row r="19564" s="197" customFormat="1" ht="12.75" x14ac:dyDescent="0.2"/>
    <row r="19565" s="197" customFormat="1" ht="12.75" x14ac:dyDescent="0.2"/>
    <row r="19566" s="197" customFormat="1" ht="12.75" x14ac:dyDescent="0.2"/>
    <row r="19567" s="197" customFormat="1" ht="12.75" x14ac:dyDescent="0.2"/>
    <row r="19568" s="197" customFormat="1" ht="12.75" x14ac:dyDescent="0.2"/>
    <row r="19569" s="197" customFormat="1" ht="12.75" x14ac:dyDescent="0.2"/>
    <row r="19570" s="197" customFormat="1" ht="12.75" x14ac:dyDescent="0.2"/>
    <row r="19571" s="197" customFormat="1" ht="12.75" x14ac:dyDescent="0.2"/>
    <row r="19572" s="197" customFormat="1" ht="12.75" x14ac:dyDescent="0.2"/>
    <row r="19573" s="197" customFormat="1" ht="12.75" x14ac:dyDescent="0.2"/>
    <row r="19574" s="197" customFormat="1" ht="12.75" x14ac:dyDescent="0.2"/>
    <row r="19575" s="197" customFormat="1" ht="12.75" x14ac:dyDescent="0.2"/>
    <row r="19576" s="197" customFormat="1" ht="12.75" x14ac:dyDescent="0.2"/>
    <row r="19577" s="197" customFormat="1" ht="12.75" x14ac:dyDescent="0.2"/>
    <row r="19578" s="197" customFormat="1" ht="12.75" x14ac:dyDescent="0.2"/>
    <row r="19579" s="197" customFormat="1" ht="12.75" x14ac:dyDescent="0.2"/>
    <row r="19580" s="197" customFormat="1" ht="12.75" x14ac:dyDescent="0.2"/>
    <row r="19581" s="197" customFormat="1" ht="12.75" x14ac:dyDescent="0.2"/>
    <row r="19582" s="197" customFormat="1" ht="12.75" x14ac:dyDescent="0.2"/>
    <row r="19583" s="197" customFormat="1" ht="12.75" x14ac:dyDescent="0.2"/>
    <row r="19584" s="197" customFormat="1" ht="12.75" x14ac:dyDescent="0.2"/>
    <row r="19585" s="197" customFormat="1" ht="12.75" x14ac:dyDescent="0.2"/>
    <row r="19586" s="197" customFormat="1" ht="12.75" x14ac:dyDescent="0.2"/>
    <row r="19587" s="197" customFormat="1" ht="12.75" x14ac:dyDescent="0.2"/>
    <row r="19588" s="197" customFormat="1" ht="12.75" x14ac:dyDescent="0.2"/>
    <row r="19589" s="197" customFormat="1" ht="12.75" x14ac:dyDescent="0.2"/>
    <row r="19590" s="197" customFormat="1" ht="12.75" x14ac:dyDescent="0.2"/>
    <row r="19591" s="197" customFormat="1" ht="12.75" x14ac:dyDescent="0.2"/>
    <row r="19592" s="197" customFormat="1" ht="12.75" x14ac:dyDescent="0.2"/>
    <row r="19593" s="197" customFormat="1" ht="12.75" x14ac:dyDescent="0.2"/>
    <row r="19594" s="197" customFormat="1" ht="12.75" x14ac:dyDescent="0.2"/>
    <row r="19595" s="197" customFormat="1" ht="12.75" x14ac:dyDescent="0.2"/>
    <row r="19596" s="197" customFormat="1" ht="12.75" x14ac:dyDescent="0.2"/>
    <row r="19597" s="197" customFormat="1" ht="12.75" x14ac:dyDescent="0.2"/>
    <row r="19598" s="197" customFormat="1" ht="12.75" x14ac:dyDescent="0.2"/>
    <row r="19599" s="197" customFormat="1" ht="12.75" x14ac:dyDescent="0.2"/>
    <row r="19600" s="197" customFormat="1" ht="12.75" x14ac:dyDescent="0.2"/>
    <row r="19601" s="197" customFormat="1" ht="12.75" x14ac:dyDescent="0.2"/>
    <row r="19602" s="197" customFormat="1" ht="12.75" x14ac:dyDescent="0.2"/>
    <row r="19603" s="197" customFormat="1" ht="12.75" x14ac:dyDescent="0.2"/>
    <row r="19604" s="197" customFormat="1" ht="12.75" x14ac:dyDescent="0.2"/>
    <row r="19605" s="197" customFormat="1" ht="12.75" x14ac:dyDescent="0.2"/>
    <row r="19606" s="197" customFormat="1" ht="12.75" x14ac:dyDescent="0.2"/>
    <row r="19607" s="197" customFormat="1" ht="12.75" x14ac:dyDescent="0.2"/>
    <row r="19608" s="197" customFormat="1" ht="12.75" x14ac:dyDescent="0.2"/>
    <row r="19609" s="197" customFormat="1" ht="12.75" x14ac:dyDescent="0.2"/>
    <row r="19610" s="197" customFormat="1" ht="12.75" x14ac:dyDescent="0.2"/>
    <row r="19611" s="197" customFormat="1" ht="12.75" x14ac:dyDescent="0.2"/>
    <row r="19612" s="197" customFormat="1" ht="12.75" x14ac:dyDescent="0.2"/>
    <row r="19613" s="197" customFormat="1" ht="12.75" x14ac:dyDescent="0.2"/>
    <row r="19614" s="197" customFormat="1" ht="12.75" x14ac:dyDescent="0.2"/>
    <row r="19615" s="197" customFormat="1" ht="12.75" x14ac:dyDescent="0.2"/>
    <row r="19616" s="197" customFormat="1" ht="12.75" x14ac:dyDescent="0.2"/>
    <row r="19617" s="197" customFormat="1" ht="12.75" x14ac:dyDescent="0.2"/>
    <row r="19618" s="197" customFormat="1" ht="12.75" x14ac:dyDescent="0.2"/>
    <row r="19619" s="197" customFormat="1" ht="12.75" x14ac:dyDescent="0.2"/>
    <row r="19620" s="197" customFormat="1" ht="12.75" x14ac:dyDescent="0.2"/>
    <row r="19621" s="197" customFormat="1" ht="12.75" x14ac:dyDescent="0.2"/>
    <row r="19622" s="197" customFormat="1" ht="12.75" x14ac:dyDescent="0.2"/>
    <row r="19623" s="197" customFormat="1" ht="12.75" x14ac:dyDescent="0.2"/>
    <row r="19624" s="197" customFormat="1" ht="12.75" x14ac:dyDescent="0.2"/>
    <row r="19625" s="197" customFormat="1" ht="12.75" x14ac:dyDescent="0.2"/>
    <row r="19626" s="197" customFormat="1" ht="12.75" x14ac:dyDescent="0.2"/>
    <row r="19627" s="197" customFormat="1" ht="12.75" x14ac:dyDescent="0.2"/>
    <row r="19628" s="197" customFormat="1" ht="12.75" x14ac:dyDescent="0.2"/>
    <row r="19629" s="197" customFormat="1" ht="12.75" x14ac:dyDescent="0.2"/>
    <row r="19630" s="197" customFormat="1" ht="12.75" x14ac:dyDescent="0.2"/>
    <row r="19631" s="197" customFormat="1" ht="12.75" x14ac:dyDescent="0.2"/>
    <row r="19632" s="197" customFormat="1" ht="12.75" x14ac:dyDescent="0.2"/>
    <row r="19633" s="197" customFormat="1" ht="12.75" x14ac:dyDescent="0.2"/>
    <row r="19634" s="197" customFormat="1" ht="12.75" x14ac:dyDescent="0.2"/>
    <row r="19635" s="197" customFormat="1" ht="12.75" x14ac:dyDescent="0.2"/>
    <row r="19636" s="197" customFormat="1" ht="12.75" x14ac:dyDescent="0.2"/>
    <row r="19637" s="197" customFormat="1" ht="12.75" x14ac:dyDescent="0.2"/>
    <row r="19638" s="197" customFormat="1" ht="12.75" x14ac:dyDescent="0.2"/>
    <row r="19639" s="197" customFormat="1" ht="12.75" x14ac:dyDescent="0.2"/>
    <row r="19640" s="197" customFormat="1" ht="12.75" x14ac:dyDescent="0.2"/>
    <row r="19641" s="197" customFormat="1" ht="12.75" x14ac:dyDescent="0.2"/>
    <row r="19642" s="197" customFormat="1" ht="12.75" x14ac:dyDescent="0.2"/>
    <row r="19643" s="197" customFormat="1" ht="12.75" x14ac:dyDescent="0.2"/>
    <row r="19644" s="197" customFormat="1" ht="12.75" x14ac:dyDescent="0.2"/>
    <row r="19645" s="197" customFormat="1" ht="12.75" x14ac:dyDescent="0.2"/>
    <row r="19646" s="197" customFormat="1" ht="12.75" x14ac:dyDescent="0.2"/>
    <row r="19647" s="197" customFormat="1" ht="12.75" x14ac:dyDescent="0.2"/>
    <row r="19648" s="197" customFormat="1" ht="12.75" x14ac:dyDescent="0.2"/>
    <row r="19649" s="197" customFormat="1" ht="12.75" x14ac:dyDescent="0.2"/>
    <row r="19650" s="197" customFormat="1" ht="12.75" x14ac:dyDescent="0.2"/>
    <row r="19651" s="197" customFormat="1" ht="12.75" x14ac:dyDescent="0.2"/>
    <row r="19652" s="197" customFormat="1" ht="12.75" x14ac:dyDescent="0.2"/>
    <row r="19653" s="197" customFormat="1" ht="12.75" x14ac:dyDescent="0.2"/>
    <row r="19654" s="197" customFormat="1" ht="12.75" x14ac:dyDescent="0.2"/>
    <row r="19655" s="197" customFormat="1" ht="12.75" x14ac:dyDescent="0.2"/>
    <row r="19656" s="197" customFormat="1" ht="12.75" x14ac:dyDescent="0.2"/>
    <row r="19657" s="197" customFormat="1" ht="12.75" x14ac:dyDescent="0.2"/>
    <row r="19658" s="197" customFormat="1" ht="12.75" x14ac:dyDescent="0.2"/>
    <row r="19659" s="197" customFormat="1" ht="12.75" x14ac:dyDescent="0.2"/>
    <row r="19660" s="197" customFormat="1" ht="12.75" x14ac:dyDescent="0.2"/>
    <row r="19661" s="197" customFormat="1" ht="12.75" x14ac:dyDescent="0.2"/>
    <row r="19662" s="197" customFormat="1" ht="12.75" x14ac:dyDescent="0.2"/>
    <row r="19663" s="197" customFormat="1" ht="12.75" x14ac:dyDescent="0.2"/>
    <row r="19664" s="197" customFormat="1" ht="12.75" x14ac:dyDescent="0.2"/>
    <row r="19665" s="197" customFormat="1" ht="12.75" x14ac:dyDescent="0.2"/>
    <row r="19666" s="197" customFormat="1" ht="12.75" x14ac:dyDescent="0.2"/>
    <row r="19667" s="197" customFormat="1" ht="12.75" x14ac:dyDescent="0.2"/>
    <row r="19668" s="197" customFormat="1" ht="12.75" x14ac:dyDescent="0.2"/>
    <row r="19669" s="197" customFormat="1" ht="12.75" x14ac:dyDescent="0.2"/>
    <row r="19670" s="197" customFormat="1" ht="12.75" x14ac:dyDescent="0.2"/>
    <row r="19671" s="197" customFormat="1" ht="12.75" x14ac:dyDescent="0.2"/>
    <row r="19672" s="197" customFormat="1" ht="12.75" x14ac:dyDescent="0.2"/>
    <row r="19673" s="197" customFormat="1" ht="12.75" x14ac:dyDescent="0.2"/>
    <row r="19674" s="197" customFormat="1" ht="12.75" x14ac:dyDescent="0.2"/>
    <row r="19675" s="197" customFormat="1" ht="12.75" x14ac:dyDescent="0.2"/>
    <row r="19676" s="197" customFormat="1" ht="12.75" x14ac:dyDescent="0.2"/>
    <row r="19677" s="197" customFormat="1" ht="12.75" x14ac:dyDescent="0.2"/>
    <row r="19678" s="197" customFormat="1" ht="12.75" x14ac:dyDescent="0.2"/>
    <row r="19679" s="197" customFormat="1" ht="12.75" x14ac:dyDescent="0.2"/>
    <row r="19680" s="197" customFormat="1" ht="12.75" x14ac:dyDescent="0.2"/>
    <row r="19681" s="197" customFormat="1" ht="12.75" x14ac:dyDescent="0.2"/>
    <row r="19682" s="197" customFormat="1" ht="12.75" x14ac:dyDescent="0.2"/>
    <row r="19683" s="197" customFormat="1" ht="12.75" x14ac:dyDescent="0.2"/>
    <row r="19684" s="197" customFormat="1" ht="12.75" x14ac:dyDescent="0.2"/>
    <row r="19685" s="197" customFormat="1" ht="12.75" x14ac:dyDescent="0.2"/>
    <row r="19686" s="197" customFormat="1" ht="12.75" x14ac:dyDescent="0.2"/>
    <row r="19687" s="197" customFormat="1" ht="12.75" x14ac:dyDescent="0.2"/>
    <row r="19688" s="197" customFormat="1" ht="12.75" x14ac:dyDescent="0.2"/>
    <row r="19689" s="197" customFormat="1" ht="12.75" x14ac:dyDescent="0.2"/>
    <row r="19690" s="197" customFormat="1" ht="12.75" x14ac:dyDescent="0.2"/>
    <row r="19691" s="197" customFormat="1" ht="12.75" x14ac:dyDescent="0.2"/>
    <row r="19692" s="197" customFormat="1" ht="12.75" x14ac:dyDescent="0.2"/>
    <row r="19693" s="197" customFormat="1" ht="12.75" x14ac:dyDescent="0.2"/>
    <row r="19694" s="197" customFormat="1" ht="12.75" x14ac:dyDescent="0.2"/>
    <row r="19695" s="197" customFormat="1" ht="12.75" x14ac:dyDescent="0.2"/>
    <row r="19696" s="197" customFormat="1" ht="12.75" x14ac:dyDescent="0.2"/>
    <row r="19697" s="197" customFormat="1" ht="12.75" x14ac:dyDescent="0.2"/>
    <row r="19698" s="197" customFormat="1" ht="12.75" x14ac:dyDescent="0.2"/>
    <row r="19699" s="197" customFormat="1" ht="12.75" x14ac:dyDescent="0.2"/>
    <row r="19700" s="197" customFormat="1" ht="12.75" x14ac:dyDescent="0.2"/>
    <row r="19701" s="197" customFormat="1" ht="12.75" x14ac:dyDescent="0.2"/>
    <row r="19702" s="197" customFormat="1" ht="12.75" x14ac:dyDescent="0.2"/>
    <row r="19703" s="197" customFormat="1" ht="12.75" x14ac:dyDescent="0.2"/>
    <row r="19704" s="197" customFormat="1" ht="12.75" x14ac:dyDescent="0.2"/>
    <row r="19705" s="197" customFormat="1" ht="12.75" x14ac:dyDescent="0.2"/>
    <row r="19706" s="197" customFormat="1" ht="12.75" x14ac:dyDescent="0.2"/>
    <row r="19707" s="197" customFormat="1" ht="12.75" x14ac:dyDescent="0.2"/>
    <row r="19708" s="197" customFormat="1" ht="12.75" x14ac:dyDescent="0.2"/>
    <row r="19709" s="197" customFormat="1" ht="12.75" x14ac:dyDescent="0.2"/>
    <row r="19710" s="197" customFormat="1" ht="12.75" x14ac:dyDescent="0.2"/>
    <row r="19711" s="197" customFormat="1" ht="12.75" x14ac:dyDescent="0.2"/>
    <row r="19712" s="197" customFormat="1" ht="12.75" x14ac:dyDescent="0.2"/>
    <row r="19713" s="197" customFormat="1" ht="12.75" x14ac:dyDescent="0.2"/>
    <row r="19714" s="197" customFormat="1" ht="12.75" x14ac:dyDescent="0.2"/>
    <row r="19715" s="197" customFormat="1" ht="12.75" x14ac:dyDescent="0.2"/>
    <row r="19716" s="197" customFormat="1" ht="12.75" x14ac:dyDescent="0.2"/>
    <row r="19717" s="197" customFormat="1" ht="12.75" x14ac:dyDescent="0.2"/>
    <row r="19718" s="197" customFormat="1" ht="12.75" x14ac:dyDescent="0.2"/>
    <row r="19719" s="197" customFormat="1" ht="12.75" x14ac:dyDescent="0.2"/>
    <row r="19720" s="197" customFormat="1" ht="12.75" x14ac:dyDescent="0.2"/>
    <row r="19721" s="197" customFormat="1" ht="12.75" x14ac:dyDescent="0.2"/>
    <row r="19722" s="197" customFormat="1" ht="12.75" x14ac:dyDescent="0.2"/>
    <row r="19723" s="197" customFormat="1" ht="12.75" x14ac:dyDescent="0.2"/>
    <row r="19724" s="197" customFormat="1" ht="12.75" x14ac:dyDescent="0.2"/>
    <row r="19725" s="197" customFormat="1" ht="12.75" x14ac:dyDescent="0.2"/>
    <row r="19726" s="197" customFormat="1" ht="12.75" x14ac:dyDescent="0.2"/>
    <row r="19727" s="197" customFormat="1" ht="12.75" x14ac:dyDescent="0.2"/>
    <row r="19728" s="197" customFormat="1" ht="12.75" x14ac:dyDescent="0.2"/>
    <row r="19729" s="197" customFormat="1" ht="12.75" x14ac:dyDescent="0.2"/>
    <row r="19730" s="197" customFormat="1" ht="12.75" x14ac:dyDescent="0.2"/>
    <row r="19731" s="197" customFormat="1" ht="12.75" x14ac:dyDescent="0.2"/>
    <row r="19732" s="197" customFormat="1" ht="12.75" x14ac:dyDescent="0.2"/>
    <row r="19733" s="197" customFormat="1" ht="12.75" x14ac:dyDescent="0.2"/>
    <row r="19734" s="197" customFormat="1" ht="12.75" x14ac:dyDescent="0.2"/>
    <row r="19735" s="197" customFormat="1" ht="12.75" x14ac:dyDescent="0.2"/>
    <row r="19736" s="197" customFormat="1" ht="12.75" x14ac:dyDescent="0.2"/>
    <row r="19737" s="197" customFormat="1" ht="12.75" x14ac:dyDescent="0.2"/>
    <row r="19738" s="197" customFormat="1" ht="12.75" x14ac:dyDescent="0.2"/>
    <row r="19739" s="197" customFormat="1" ht="12.75" x14ac:dyDescent="0.2"/>
    <row r="19740" s="197" customFormat="1" ht="12.75" x14ac:dyDescent="0.2"/>
    <row r="19741" s="197" customFormat="1" ht="12.75" x14ac:dyDescent="0.2"/>
    <row r="19742" s="197" customFormat="1" ht="12.75" x14ac:dyDescent="0.2"/>
    <row r="19743" s="197" customFormat="1" ht="12.75" x14ac:dyDescent="0.2"/>
    <row r="19744" s="197" customFormat="1" ht="12.75" x14ac:dyDescent="0.2"/>
    <row r="19745" s="197" customFormat="1" ht="12.75" x14ac:dyDescent="0.2"/>
    <row r="19746" s="197" customFormat="1" ht="12.75" x14ac:dyDescent="0.2"/>
    <row r="19747" s="197" customFormat="1" ht="12.75" x14ac:dyDescent="0.2"/>
    <row r="19748" s="197" customFormat="1" ht="12.75" x14ac:dyDescent="0.2"/>
    <row r="19749" s="197" customFormat="1" ht="12.75" x14ac:dyDescent="0.2"/>
    <row r="19750" s="197" customFormat="1" ht="12.75" x14ac:dyDescent="0.2"/>
    <row r="19751" s="197" customFormat="1" ht="12.75" x14ac:dyDescent="0.2"/>
    <row r="19752" s="197" customFormat="1" ht="12.75" x14ac:dyDescent="0.2"/>
    <row r="19753" s="197" customFormat="1" ht="12.75" x14ac:dyDescent="0.2"/>
    <row r="19754" s="197" customFormat="1" ht="12.75" x14ac:dyDescent="0.2"/>
    <row r="19755" s="197" customFormat="1" ht="12.75" x14ac:dyDescent="0.2"/>
    <row r="19756" s="197" customFormat="1" ht="12.75" x14ac:dyDescent="0.2"/>
    <row r="19757" s="197" customFormat="1" ht="12.75" x14ac:dyDescent="0.2"/>
    <row r="19758" s="197" customFormat="1" ht="12.75" x14ac:dyDescent="0.2"/>
    <row r="19759" s="197" customFormat="1" ht="12.75" x14ac:dyDescent="0.2"/>
    <row r="19760" s="197" customFormat="1" ht="12.75" x14ac:dyDescent="0.2"/>
    <row r="19761" s="197" customFormat="1" ht="12.75" x14ac:dyDescent="0.2"/>
    <row r="19762" s="197" customFormat="1" ht="12.75" x14ac:dyDescent="0.2"/>
    <row r="19763" s="197" customFormat="1" ht="12.75" x14ac:dyDescent="0.2"/>
    <row r="19764" s="197" customFormat="1" ht="12.75" x14ac:dyDescent="0.2"/>
    <row r="19765" s="197" customFormat="1" ht="12.75" x14ac:dyDescent="0.2"/>
    <row r="19766" s="197" customFormat="1" ht="12.75" x14ac:dyDescent="0.2"/>
    <row r="19767" s="197" customFormat="1" ht="12.75" x14ac:dyDescent="0.2"/>
    <row r="19768" s="197" customFormat="1" ht="12.75" x14ac:dyDescent="0.2"/>
    <row r="19769" s="197" customFormat="1" ht="12.75" x14ac:dyDescent="0.2"/>
    <row r="19770" s="197" customFormat="1" ht="12.75" x14ac:dyDescent="0.2"/>
    <row r="19771" s="197" customFormat="1" ht="12.75" x14ac:dyDescent="0.2"/>
    <row r="19772" s="197" customFormat="1" ht="12.75" x14ac:dyDescent="0.2"/>
    <row r="19773" s="197" customFormat="1" ht="12.75" x14ac:dyDescent="0.2"/>
    <row r="19774" s="197" customFormat="1" ht="12.75" x14ac:dyDescent="0.2"/>
    <row r="19775" s="197" customFormat="1" ht="12.75" x14ac:dyDescent="0.2"/>
    <row r="19776" s="197" customFormat="1" ht="12.75" x14ac:dyDescent="0.2"/>
    <row r="19777" s="197" customFormat="1" ht="12.75" x14ac:dyDescent="0.2"/>
    <row r="19778" s="197" customFormat="1" ht="12.75" x14ac:dyDescent="0.2"/>
    <row r="19779" s="197" customFormat="1" ht="12.75" x14ac:dyDescent="0.2"/>
    <row r="19780" s="197" customFormat="1" ht="12.75" x14ac:dyDescent="0.2"/>
    <row r="19781" s="197" customFormat="1" ht="12.75" x14ac:dyDescent="0.2"/>
    <row r="19782" s="197" customFormat="1" ht="12.75" x14ac:dyDescent="0.2"/>
    <row r="19783" s="197" customFormat="1" ht="12.75" x14ac:dyDescent="0.2"/>
    <row r="19784" s="197" customFormat="1" ht="12.75" x14ac:dyDescent="0.2"/>
    <row r="19785" s="197" customFormat="1" ht="12.75" x14ac:dyDescent="0.2"/>
    <row r="19786" s="197" customFormat="1" ht="12.75" x14ac:dyDescent="0.2"/>
    <row r="19787" s="197" customFormat="1" ht="12.75" x14ac:dyDescent="0.2"/>
    <row r="19788" s="197" customFormat="1" ht="12.75" x14ac:dyDescent="0.2"/>
    <row r="19789" s="197" customFormat="1" ht="12.75" x14ac:dyDescent="0.2"/>
    <row r="19790" s="197" customFormat="1" ht="12.75" x14ac:dyDescent="0.2"/>
    <row r="19791" s="197" customFormat="1" ht="12.75" x14ac:dyDescent="0.2"/>
    <row r="19792" s="197" customFormat="1" ht="12.75" x14ac:dyDescent="0.2"/>
    <row r="19793" s="197" customFormat="1" ht="12.75" x14ac:dyDescent="0.2"/>
    <row r="19794" s="197" customFormat="1" ht="12.75" x14ac:dyDescent="0.2"/>
    <row r="19795" s="197" customFormat="1" ht="12.75" x14ac:dyDescent="0.2"/>
    <row r="19796" s="197" customFormat="1" ht="12.75" x14ac:dyDescent="0.2"/>
    <row r="19797" s="197" customFormat="1" ht="12.75" x14ac:dyDescent="0.2"/>
    <row r="19798" s="197" customFormat="1" ht="12.75" x14ac:dyDescent="0.2"/>
    <row r="19799" s="197" customFormat="1" ht="12.75" x14ac:dyDescent="0.2"/>
    <row r="19800" s="197" customFormat="1" ht="12.75" x14ac:dyDescent="0.2"/>
    <row r="19801" s="197" customFormat="1" ht="12.75" x14ac:dyDescent="0.2"/>
    <row r="19802" s="197" customFormat="1" ht="12.75" x14ac:dyDescent="0.2"/>
    <row r="19803" s="197" customFormat="1" ht="12.75" x14ac:dyDescent="0.2"/>
    <row r="19804" s="197" customFormat="1" ht="12.75" x14ac:dyDescent="0.2"/>
    <row r="19805" s="197" customFormat="1" ht="12.75" x14ac:dyDescent="0.2"/>
    <row r="19806" s="197" customFormat="1" ht="12.75" x14ac:dyDescent="0.2"/>
    <row r="19807" s="197" customFormat="1" ht="12.75" x14ac:dyDescent="0.2"/>
    <row r="19808" s="197" customFormat="1" ht="12.75" x14ac:dyDescent="0.2"/>
    <row r="19809" s="197" customFormat="1" ht="12.75" x14ac:dyDescent="0.2"/>
    <row r="19810" s="197" customFormat="1" ht="12.75" x14ac:dyDescent="0.2"/>
    <row r="19811" s="197" customFormat="1" ht="12.75" x14ac:dyDescent="0.2"/>
    <row r="19812" s="197" customFormat="1" ht="12.75" x14ac:dyDescent="0.2"/>
    <row r="19813" s="197" customFormat="1" ht="12.75" x14ac:dyDescent="0.2"/>
    <row r="19814" s="197" customFormat="1" ht="12.75" x14ac:dyDescent="0.2"/>
    <row r="19815" s="197" customFormat="1" ht="12.75" x14ac:dyDescent="0.2"/>
    <row r="19816" s="197" customFormat="1" ht="12.75" x14ac:dyDescent="0.2"/>
    <row r="19817" s="197" customFormat="1" ht="12.75" x14ac:dyDescent="0.2"/>
    <row r="19818" s="197" customFormat="1" ht="12.75" x14ac:dyDescent="0.2"/>
    <row r="19819" s="197" customFormat="1" ht="12.75" x14ac:dyDescent="0.2"/>
    <row r="19820" s="197" customFormat="1" ht="12.75" x14ac:dyDescent="0.2"/>
    <row r="19821" s="197" customFormat="1" ht="12.75" x14ac:dyDescent="0.2"/>
    <row r="19822" s="197" customFormat="1" ht="12.75" x14ac:dyDescent="0.2"/>
    <row r="19823" s="197" customFormat="1" ht="12.75" x14ac:dyDescent="0.2"/>
    <row r="19824" s="197" customFormat="1" ht="12.75" x14ac:dyDescent="0.2"/>
    <row r="19825" s="197" customFormat="1" ht="12.75" x14ac:dyDescent="0.2"/>
    <row r="19826" s="197" customFormat="1" ht="12.75" x14ac:dyDescent="0.2"/>
    <row r="19827" s="197" customFormat="1" ht="12.75" x14ac:dyDescent="0.2"/>
    <row r="19828" s="197" customFormat="1" ht="12.75" x14ac:dyDescent="0.2"/>
    <row r="19829" s="197" customFormat="1" ht="12.75" x14ac:dyDescent="0.2"/>
    <row r="19830" s="197" customFormat="1" ht="12.75" x14ac:dyDescent="0.2"/>
    <row r="19831" s="197" customFormat="1" ht="12.75" x14ac:dyDescent="0.2"/>
    <row r="19832" s="197" customFormat="1" ht="12.75" x14ac:dyDescent="0.2"/>
    <row r="19833" s="197" customFormat="1" ht="12.75" x14ac:dyDescent="0.2"/>
    <row r="19834" s="197" customFormat="1" ht="12.75" x14ac:dyDescent="0.2"/>
    <row r="19835" s="197" customFormat="1" ht="12.75" x14ac:dyDescent="0.2"/>
    <row r="19836" s="197" customFormat="1" ht="12.75" x14ac:dyDescent="0.2"/>
    <row r="19837" s="197" customFormat="1" ht="12.75" x14ac:dyDescent="0.2"/>
    <row r="19838" s="197" customFormat="1" ht="12.75" x14ac:dyDescent="0.2"/>
    <row r="19839" s="197" customFormat="1" ht="12.75" x14ac:dyDescent="0.2"/>
    <row r="19840" s="197" customFormat="1" ht="12.75" x14ac:dyDescent="0.2"/>
    <row r="19841" s="197" customFormat="1" ht="12.75" x14ac:dyDescent="0.2"/>
    <row r="19842" s="197" customFormat="1" ht="12.75" x14ac:dyDescent="0.2"/>
    <row r="19843" s="197" customFormat="1" ht="12.75" x14ac:dyDescent="0.2"/>
    <row r="19844" s="197" customFormat="1" ht="12.75" x14ac:dyDescent="0.2"/>
    <row r="19845" s="197" customFormat="1" ht="12.75" x14ac:dyDescent="0.2"/>
    <row r="19846" s="197" customFormat="1" ht="12.75" x14ac:dyDescent="0.2"/>
    <row r="19847" s="197" customFormat="1" ht="12.75" x14ac:dyDescent="0.2"/>
    <row r="19848" s="197" customFormat="1" ht="12.75" x14ac:dyDescent="0.2"/>
    <row r="19849" s="197" customFormat="1" ht="12.75" x14ac:dyDescent="0.2"/>
    <row r="19850" s="197" customFormat="1" ht="12.75" x14ac:dyDescent="0.2"/>
    <row r="19851" s="197" customFormat="1" ht="12.75" x14ac:dyDescent="0.2"/>
    <row r="19852" s="197" customFormat="1" ht="12.75" x14ac:dyDescent="0.2"/>
    <row r="19853" s="197" customFormat="1" ht="12.75" x14ac:dyDescent="0.2"/>
    <row r="19854" s="197" customFormat="1" ht="12.75" x14ac:dyDescent="0.2"/>
    <row r="19855" s="197" customFormat="1" ht="12.75" x14ac:dyDescent="0.2"/>
    <row r="19856" s="197" customFormat="1" ht="12.75" x14ac:dyDescent="0.2"/>
    <row r="19857" s="197" customFormat="1" ht="12.75" x14ac:dyDescent="0.2"/>
    <row r="19858" s="197" customFormat="1" ht="12.75" x14ac:dyDescent="0.2"/>
    <row r="19859" s="197" customFormat="1" ht="12.75" x14ac:dyDescent="0.2"/>
    <row r="19860" s="197" customFormat="1" ht="12.75" x14ac:dyDescent="0.2"/>
    <row r="19861" s="197" customFormat="1" ht="12.75" x14ac:dyDescent="0.2"/>
    <row r="19862" s="197" customFormat="1" ht="12.75" x14ac:dyDescent="0.2"/>
    <row r="19863" s="197" customFormat="1" ht="12.75" x14ac:dyDescent="0.2"/>
    <row r="19864" s="197" customFormat="1" ht="12.75" x14ac:dyDescent="0.2"/>
    <row r="19865" s="197" customFormat="1" ht="12.75" x14ac:dyDescent="0.2"/>
    <row r="19866" s="197" customFormat="1" ht="12.75" x14ac:dyDescent="0.2"/>
    <row r="19867" s="197" customFormat="1" ht="12.75" x14ac:dyDescent="0.2"/>
    <row r="19868" s="197" customFormat="1" ht="12.75" x14ac:dyDescent="0.2"/>
    <row r="19869" s="197" customFormat="1" ht="12.75" x14ac:dyDescent="0.2"/>
    <row r="19870" s="197" customFormat="1" ht="12.75" x14ac:dyDescent="0.2"/>
    <row r="19871" s="197" customFormat="1" ht="12.75" x14ac:dyDescent="0.2"/>
    <row r="19872" s="197" customFormat="1" ht="12.75" x14ac:dyDescent="0.2"/>
    <row r="19873" s="197" customFormat="1" ht="12.75" x14ac:dyDescent="0.2"/>
    <row r="19874" s="197" customFormat="1" ht="12.75" x14ac:dyDescent="0.2"/>
    <row r="19875" s="197" customFormat="1" ht="12.75" x14ac:dyDescent="0.2"/>
    <row r="19876" s="197" customFormat="1" ht="12.75" x14ac:dyDescent="0.2"/>
    <row r="19877" s="197" customFormat="1" ht="12.75" x14ac:dyDescent="0.2"/>
    <row r="19878" s="197" customFormat="1" ht="12.75" x14ac:dyDescent="0.2"/>
    <row r="19879" s="197" customFormat="1" ht="12.75" x14ac:dyDescent="0.2"/>
    <row r="19880" s="197" customFormat="1" ht="12.75" x14ac:dyDescent="0.2"/>
    <row r="19881" s="197" customFormat="1" ht="12.75" x14ac:dyDescent="0.2"/>
    <row r="19882" s="197" customFormat="1" ht="12.75" x14ac:dyDescent="0.2"/>
    <row r="19883" s="197" customFormat="1" ht="12.75" x14ac:dyDescent="0.2"/>
    <row r="19884" s="197" customFormat="1" ht="12.75" x14ac:dyDescent="0.2"/>
    <row r="19885" s="197" customFormat="1" ht="12.75" x14ac:dyDescent="0.2"/>
    <row r="19886" s="197" customFormat="1" ht="12.75" x14ac:dyDescent="0.2"/>
    <row r="19887" s="197" customFormat="1" ht="12.75" x14ac:dyDescent="0.2"/>
    <row r="19888" s="197" customFormat="1" ht="12.75" x14ac:dyDescent="0.2"/>
    <row r="19889" s="197" customFormat="1" ht="12.75" x14ac:dyDescent="0.2"/>
    <row r="19890" s="197" customFormat="1" ht="12.75" x14ac:dyDescent="0.2"/>
    <row r="19891" s="197" customFormat="1" ht="12.75" x14ac:dyDescent="0.2"/>
    <row r="19892" s="197" customFormat="1" ht="12.75" x14ac:dyDescent="0.2"/>
    <row r="19893" s="197" customFormat="1" ht="12.75" x14ac:dyDescent="0.2"/>
    <row r="19894" s="197" customFormat="1" ht="12.75" x14ac:dyDescent="0.2"/>
    <row r="19895" s="197" customFormat="1" ht="12.75" x14ac:dyDescent="0.2"/>
    <row r="19896" s="197" customFormat="1" ht="12.75" x14ac:dyDescent="0.2"/>
    <row r="19897" s="197" customFormat="1" ht="12.75" x14ac:dyDescent="0.2"/>
    <row r="19898" s="197" customFormat="1" ht="12.75" x14ac:dyDescent="0.2"/>
    <row r="19899" s="197" customFormat="1" ht="12.75" x14ac:dyDescent="0.2"/>
    <row r="19900" s="197" customFormat="1" ht="12.75" x14ac:dyDescent="0.2"/>
    <row r="19901" s="197" customFormat="1" ht="12.75" x14ac:dyDescent="0.2"/>
    <row r="19902" s="197" customFormat="1" ht="12.75" x14ac:dyDescent="0.2"/>
    <row r="19903" s="197" customFormat="1" ht="12.75" x14ac:dyDescent="0.2"/>
    <row r="19904" s="197" customFormat="1" ht="12.75" x14ac:dyDescent="0.2"/>
    <row r="19905" s="197" customFormat="1" ht="12.75" x14ac:dyDescent="0.2"/>
    <row r="19906" s="197" customFormat="1" ht="12.75" x14ac:dyDescent="0.2"/>
    <row r="19907" s="197" customFormat="1" ht="12.75" x14ac:dyDescent="0.2"/>
    <row r="19908" s="197" customFormat="1" ht="12.75" x14ac:dyDescent="0.2"/>
    <row r="19909" s="197" customFormat="1" ht="12.75" x14ac:dyDescent="0.2"/>
    <row r="19910" s="197" customFormat="1" ht="12.75" x14ac:dyDescent="0.2"/>
    <row r="19911" s="197" customFormat="1" ht="12.75" x14ac:dyDescent="0.2"/>
    <row r="19912" s="197" customFormat="1" ht="12.75" x14ac:dyDescent="0.2"/>
    <row r="19913" s="197" customFormat="1" ht="12.75" x14ac:dyDescent="0.2"/>
    <row r="19914" s="197" customFormat="1" ht="12.75" x14ac:dyDescent="0.2"/>
    <row r="19915" s="197" customFormat="1" ht="12.75" x14ac:dyDescent="0.2"/>
    <row r="19916" s="197" customFormat="1" ht="12.75" x14ac:dyDescent="0.2"/>
    <row r="19917" s="197" customFormat="1" ht="12.75" x14ac:dyDescent="0.2"/>
    <row r="19918" s="197" customFormat="1" ht="12.75" x14ac:dyDescent="0.2"/>
    <row r="19919" s="197" customFormat="1" ht="12.75" x14ac:dyDescent="0.2"/>
    <row r="19920" s="197" customFormat="1" ht="12.75" x14ac:dyDescent="0.2"/>
    <row r="19921" s="197" customFormat="1" ht="12.75" x14ac:dyDescent="0.2"/>
    <row r="19922" s="197" customFormat="1" ht="12.75" x14ac:dyDescent="0.2"/>
    <row r="19923" s="197" customFormat="1" ht="12.75" x14ac:dyDescent="0.2"/>
    <row r="19924" s="197" customFormat="1" ht="12.75" x14ac:dyDescent="0.2"/>
    <row r="19925" s="197" customFormat="1" ht="12.75" x14ac:dyDescent="0.2"/>
    <row r="19926" s="197" customFormat="1" ht="12.75" x14ac:dyDescent="0.2"/>
    <row r="19927" s="197" customFormat="1" ht="12.75" x14ac:dyDescent="0.2"/>
    <row r="19928" s="197" customFormat="1" ht="12.75" x14ac:dyDescent="0.2"/>
    <row r="19929" s="197" customFormat="1" ht="12.75" x14ac:dyDescent="0.2"/>
    <row r="19930" s="197" customFormat="1" ht="12.75" x14ac:dyDescent="0.2"/>
    <row r="19931" s="197" customFormat="1" ht="12.75" x14ac:dyDescent="0.2"/>
    <row r="19932" s="197" customFormat="1" ht="12.75" x14ac:dyDescent="0.2"/>
    <row r="19933" s="197" customFormat="1" ht="12.75" x14ac:dyDescent="0.2"/>
    <row r="19934" s="197" customFormat="1" ht="12.75" x14ac:dyDescent="0.2"/>
    <row r="19935" s="197" customFormat="1" ht="12.75" x14ac:dyDescent="0.2"/>
    <row r="19936" s="197" customFormat="1" ht="12.75" x14ac:dyDescent="0.2"/>
    <row r="19937" s="197" customFormat="1" ht="12.75" x14ac:dyDescent="0.2"/>
    <row r="19938" s="197" customFormat="1" ht="12.75" x14ac:dyDescent="0.2"/>
    <row r="19939" s="197" customFormat="1" ht="12.75" x14ac:dyDescent="0.2"/>
    <row r="19940" s="197" customFormat="1" ht="12.75" x14ac:dyDescent="0.2"/>
    <row r="19941" s="197" customFormat="1" ht="12.75" x14ac:dyDescent="0.2"/>
    <row r="19942" s="197" customFormat="1" ht="12.75" x14ac:dyDescent="0.2"/>
    <row r="19943" s="197" customFormat="1" ht="12.75" x14ac:dyDescent="0.2"/>
    <row r="19944" s="197" customFormat="1" ht="12.75" x14ac:dyDescent="0.2"/>
    <row r="19945" s="197" customFormat="1" ht="12.75" x14ac:dyDescent="0.2"/>
    <row r="19946" s="197" customFormat="1" ht="12.75" x14ac:dyDescent="0.2"/>
    <row r="19947" s="197" customFormat="1" ht="12.75" x14ac:dyDescent="0.2"/>
    <row r="19948" s="197" customFormat="1" ht="12.75" x14ac:dyDescent="0.2"/>
    <row r="19949" s="197" customFormat="1" ht="12.75" x14ac:dyDescent="0.2"/>
    <row r="19950" s="197" customFormat="1" ht="12.75" x14ac:dyDescent="0.2"/>
    <row r="19951" s="197" customFormat="1" ht="12.75" x14ac:dyDescent="0.2"/>
    <row r="19952" s="197" customFormat="1" ht="12.75" x14ac:dyDescent="0.2"/>
    <row r="19953" s="197" customFormat="1" ht="12.75" x14ac:dyDescent="0.2"/>
    <row r="19954" s="197" customFormat="1" ht="12.75" x14ac:dyDescent="0.2"/>
    <row r="19955" s="197" customFormat="1" ht="12.75" x14ac:dyDescent="0.2"/>
    <row r="19956" s="197" customFormat="1" ht="12.75" x14ac:dyDescent="0.2"/>
    <row r="19957" s="197" customFormat="1" ht="12.75" x14ac:dyDescent="0.2"/>
    <row r="19958" s="197" customFormat="1" ht="12.75" x14ac:dyDescent="0.2"/>
    <row r="19959" s="197" customFormat="1" ht="12.75" x14ac:dyDescent="0.2"/>
    <row r="19960" s="197" customFormat="1" ht="12.75" x14ac:dyDescent="0.2"/>
    <row r="19961" s="197" customFormat="1" ht="12.75" x14ac:dyDescent="0.2"/>
    <row r="19962" s="197" customFormat="1" ht="12.75" x14ac:dyDescent="0.2"/>
    <row r="19963" s="197" customFormat="1" ht="12.75" x14ac:dyDescent="0.2"/>
    <row r="19964" s="197" customFormat="1" ht="12.75" x14ac:dyDescent="0.2"/>
    <row r="19965" s="197" customFormat="1" ht="12.75" x14ac:dyDescent="0.2"/>
    <row r="19966" s="197" customFormat="1" ht="12.75" x14ac:dyDescent="0.2"/>
    <row r="19967" s="197" customFormat="1" ht="12.75" x14ac:dyDescent="0.2"/>
    <row r="19968" s="197" customFormat="1" ht="12.75" x14ac:dyDescent="0.2"/>
    <row r="19969" s="197" customFormat="1" ht="12.75" x14ac:dyDescent="0.2"/>
    <row r="19970" s="197" customFormat="1" ht="12.75" x14ac:dyDescent="0.2"/>
    <row r="19971" s="197" customFormat="1" ht="12.75" x14ac:dyDescent="0.2"/>
    <row r="19972" s="197" customFormat="1" ht="12.75" x14ac:dyDescent="0.2"/>
    <row r="19973" s="197" customFormat="1" ht="12.75" x14ac:dyDescent="0.2"/>
    <row r="19974" s="197" customFormat="1" ht="12.75" x14ac:dyDescent="0.2"/>
    <row r="19975" s="197" customFormat="1" ht="12.75" x14ac:dyDescent="0.2"/>
    <row r="19976" s="197" customFormat="1" ht="12.75" x14ac:dyDescent="0.2"/>
    <row r="19977" s="197" customFormat="1" ht="12.75" x14ac:dyDescent="0.2"/>
    <row r="19978" s="197" customFormat="1" ht="12.75" x14ac:dyDescent="0.2"/>
    <row r="19979" s="197" customFormat="1" ht="12.75" x14ac:dyDescent="0.2"/>
    <row r="19980" s="197" customFormat="1" ht="12.75" x14ac:dyDescent="0.2"/>
    <row r="19981" s="197" customFormat="1" ht="12.75" x14ac:dyDescent="0.2"/>
    <row r="19982" s="197" customFormat="1" ht="12.75" x14ac:dyDescent="0.2"/>
    <row r="19983" s="197" customFormat="1" ht="12.75" x14ac:dyDescent="0.2"/>
    <row r="19984" s="197" customFormat="1" ht="12.75" x14ac:dyDescent="0.2"/>
    <row r="19985" s="197" customFormat="1" ht="12.75" x14ac:dyDescent="0.2"/>
    <row r="19986" s="197" customFormat="1" ht="12.75" x14ac:dyDescent="0.2"/>
    <row r="19987" s="197" customFormat="1" ht="12.75" x14ac:dyDescent="0.2"/>
    <row r="19988" s="197" customFormat="1" ht="12.75" x14ac:dyDescent="0.2"/>
    <row r="19989" s="197" customFormat="1" ht="12.75" x14ac:dyDescent="0.2"/>
    <row r="19990" s="197" customFormat="1" ht="12.75" x14ac:dyDescent="0.2"/>
    <row r="19991" s="197" customFormat="1" ht="12.75" x14ac:dyDescent="0.2"/>
    <row r="19992" s="197" customFormat="1" ht="12.75" x14ac:dyDescent="0.2"/>
    <row r="19993" s="197" customFormat="1" ht="12.75" x14ac:dyDescent="0.2"/>
    <row r="19994" s="197" customFormat="1" ht="12.75" x14ac:dyDescent="0.2"/>
    <row r="19995" s="197" customFormat="1" ht="12.75" x14ac:dyDescent="0.2"/>
    <row r="19996" s="197" customFormat="1" ht="12.75" x14ac:dyDescent="0.2"/>
    <row r="19997" s="197" customFormat="1" ht="12.75" x14ac:dyDescent="0.2"/>
    <row r="19998" s="197" customFormat="1" ht="12.75" x14ac:dyDescent="0.2"/>
    <row r="19999" s="197" customFormat="1" ht="12.75" x14ac:dyDescent="0.2"/>
    <row r="20000" s="197" customFormat="1" ht="12.75" x14ac:dyDescent="0.2"/>
    <row r="20001" s="197" customFormat="1" ht="12.75" x14ac:dyDescent="0.2"/>
    <row r="20002" s="197" customFormat="1" ht="12.75" x14ac:dyDescent="0.2"/>
    <row r="20003" s="197" customFormat="1" ht="12.75" x14ac:dyDescent="0.2"/>
    <row r="20004" s="197" customFormat="1" ht="12.75" x14ac:dyDescent="0.2"/>
    <row r="20005" s="197" customFormat="1" ht="12.75" x14ac:dyDescent="0.2"/>
    <row r="20006" s="197" customFormat="1" ht="12.75" x14ac:dyDescent="0.2"/>
    <row r="20007" s="197" customFormat="1" ht="12.75" x14ac:dyDescent="0.2"/>
    <row r="20008" s="197" customFormat="1" ht="12.75" x14ac:dyDescent="0.2"/>
    <row r="20009" s="197" customFormat="1" ht="12.75" x14ac:dyDescent="0.2"/>
    <row r="20010" s="197" customFormat="1" ht="12.75" x14ac:dyDescent="0.2"/>
    <row r="20011" s="197" customFormat="1" ht="12.75" x14ac:dyDescent="0.2"/>
    <row r="20012" s="197" customFormat="1" ht="12.75" x14ac:dyDescent="0.2"/>
    <row r="20013" s="197" customFormat="1" ht="12.75" x14ac:dyDescent="0.2"/>
    <row r="20014" s="197" customFormat="1" ht="12.75" x14ac:dyDescent="0.2"/>
    <row r="20015" s="197" customFormat="1" ht="12.75" x14ac:dyDescent="0.2"/>
    <row r="20016" s="197" customFormat="1" ht="12.75" x14ac:dyDescent="0.2"/>
    <row r="20017" s="197" customFormat="1" ht="12.75" x14ac:dyDescent="0.2"/>
    <row r="20018" s="197" customFormat="1" ht="12.75" x14ac:dyDescent="0.2"/>
    <row r="20019" s="197" customFormat="1" ht="12.75" x14ac:dyDescent="0.2"/>
    <row r="20020" s="197" customFormat="1" ht="12.75" x14ac:dyDescent="0.2"/>
    <row r="20021" s="197" customFormat="1" ht="12.75" x14ac:dyDescent="0.2"/>
    <row r="20022" s="197" customFormat="1" ht="12.75" x14ac:dyDescent="0.2"/>
    <row r="20023" s="197" customFormat="1" ht="12.75" x14ac:dyDescent="0.2"/>
    <row r="20024" s="197" customFormat="1" ht="12.75" x14ac:dyDescent="0.2"/>
    <row r="20025" s="197" customFormat="1" ht="12.75" x14ac:dyDescent="0.2"/>
    <row r="20026" s="197" customFormat="1" ht="12.75" x14ac:dyDescent="0.2"/>
    <row r="20027" s="197" customFormat="1" ht="12.75" x14ac:dyDescent="0.2"/>
    <row r="20028" s="197" customFormat="1" ht="12.75" x14ac:dyDescent="0.2"/>
    <row r="20029" s="197" customFormat="1" ht="12.75" x14ac:dyDescent="0.2"/>
    <row r="20030" s="197" customFormat="1" ht="12.75" x14ac:dyDescent="0.2"/>
    <row r="20031" s="197" customFormat="1" ht="12.75" x14ac:dyDescent="0.2"/>
    <row r="20032" s="197" customFormat="1" ht="12.75" x14ac:dyDescent="0.2"/>
    <row r="20033" s="197" customFormat="1" ht="12.75" x14ac:dyDescent="0.2"/>
    <row r="20034" s="197" customFormat="1" ht="12.75" x14ac:dyDescent="0.2"/>
    <row r="20035" s="197" customFormat="1" ht="12.75" x14ac:dyDescent="0.2"/>
    <row r="20036" s="197" customFormat="1" ht="12.75" x14ac:dyDescent="0.2"/>
    <row r="20037" s="197" customFormat="1" ht="12.75" x14ac:dyDescent="0.2"/>
    <row r="20038" s="197" customFormat="1" ht="12.75" x14ac:dyDescent="0.2"/>
    <row r="20039" s="197" customFormat="1" ht="12.75" x14ac:dyDescent="0.2"/>
    <row r="20040" s="197" customFormat="1" ht="12.75" x14ac:dyDescent="0.2"/>
    <row r="20041" s="197" customFormat="1" ht="12.75" x14ac:dyDescent="0.2"/>
    <row r="20042" s="197" customFormat="1" ht="12.75" x14ac:dyDescent="0.2"/>
    <row r="20043" s="197" customFormat="1" ht="12.75" x14ac:dyDescent="0.2"/>
    <row r="20044" s="197" customFormat="1" ht="12.75" x14ac:dyDescent="0.2"/>
    <row r="20045" s="197" customFormat="1" ht="12.75" x14ac:dyDescent="0.2"/>
    <row r="20046" s="197" customFormat="1" ht="12.75" x14ac:dyDescent="0.2"/>
    <row r="20047" s="197" customFormat="1" ht="12.75" x14ac:dyDescent="0.2"/>
    <row r="20048" s="197" customFormat="1" ht="12.75" x14ac:dyDescent="0.2"/>
    <row r="20049" s="197" customFormat="1" ht="12.75" x14ac:dyDescent="0.2"/>
    <row r="20050" s="197" customFormat="1" ht="12.75" x14ac:dyDescent="0.2"/>
    <row r="20051" s="197" customFormat="1" ht="12.75" x14ac:dyDescent="0.2"/>
    <row r="20052" s="197" customFormat="1" ht="12.75" x14ac:dyDescent="0.2"/>
    <row r="20053" s="197" customFormat="1" ht="12.75" x14ac:dyDescent="0.2"/>
    <row r="20054" s="197" customFormat="1" ht="12.75" x14ac:dyDescent="0.2"/>
    <row r="20055" s="197" customFormat="1" ht="12.75" x14ac:dyDescent="0.2"/>
    <row r="20056" s="197" customFormat="1" ht="12.75" x14ac:dyDescent="0.2"/>
    <row r="20057" s="197" customFormat="1" ht="12.75" x14ac:dyDescent="0.2"/>
    <row r="20058" s="197" customFormat="1" ht="12.75" x14ac:dyDescent="0.2"/>
    <row r="20059" s="197" customFormat="1" ht="12.75" x14ac:dyDescent="0.2"/>
    <row r="20060" s="197" customFormat="1" ht="12.75" x14ac:dyDescent="0.2"/>
    <row r="20061" s="197" customFormat="1" ht="12.75" x14ac:dyDescent="0.2"/>
    <row r="20062" s="197" customFormat="1" ht="12.75" x14ac:dyDescent="0.2"/>
    <row r="20063" s="197" customFormat="1" ht="12.75" x14ac:dyDescent="0.2"/>
    <row r="20064" s="197" customFormat="1" ht="12.75" x14ac:dyDescent="0.2"/>
    <row r="20065" s="197" customFormat="1" ht="12.75" x14ac:dyDescent="0.2"/>
    <row r="20066" s="197" customFormat="1" ht="12.75" x14ac:dyDescent="0.2"/>
    <row r="20067" s="197" customFormat="1" ht="12.75" x14ac:dyDescent="0.2"/>
    <row r="20068" s="197" customFormat="1" ht="12.75" x14ac:dyDescent="0.2"/>
    <row r="20069" s="197" customFormat="1" ht="12.75" x14ac:dyDescent="0.2"/>
    <row r="20070" s="197" customFormat="1" ht="12.75" x14ac:dyDescent="0.2"/>
    <row r="20071" s="197" customFormat="1" ht="12.75" x14ac:dyDescent="0.2"/>
    <row r="20072" s="197" customFormat="1" ht="12.75" x14ac:dyDescent="0.2"/>
    <row r="20073" s="197" customFormat="1" ht="12.75" x14ac:dyDescent="0.2"/>
    <row r="20074" s="197" customFormat="1" ht="12.75" x14ac:dyDescent="0.2"/>
    <row r="20075" s="197" customFormat="1" ht="12.75" x14ac:dyDescent="0.2"/>
    <row r="20076" s="197" customFormat="1" ht="12.75" x14ac:dyDescent="0.2"/>
    <row r="20077" s="197" customFormat="1" ht="12.75" x14ac:dyDescent="0.2"/>
    <row r="20078" s="197" customFormat="1" ht="12.75" x14ac:dyDescent="0.2"/>
    <row r="20079" s="197" customFormat="1" ht="12.75" x14ac:dyDescent="0.2"/>
    <row r="20080" s="197" customFormat="1" ht="12.75" x14ac:dyDescent="0.2"/>
    <row r="20081" s="197" customFormat="1" ht="12.75" x14ac:dyDescent="0.2"/>
    <row r="20082" s="197" customFormat="1" ht="12.75" x14ac:dyDescent="0.2"/>
    <row r="20083" s="197" customFormat="1" ht="12.75" x14ac:dyDescent="0.2"/>
    <row r="20084" s="197" customFormat="1" ht="12.75" x14ac:dyDescent="0.2"/>
    <row r="20085" s="197" customFormat="1" ht="12.75" x14ac:dyDescent="0.2"/>
    <row r="20086" s="197" customFormat="1" ht="12.75" x14ac:dyDescent="0.2"/>
    <row r="20087" s="197" customFormat="1" ht="12.75" x14ac:dyDescent="0.2"/>
    <row r="20088" s="197" customFormat="1" ht="12.75" x14ac:dyDescent="0.2"/>
    <row r="20089" s="197" customFormat="1" ht="12.75" x14ac:dyDescent="0.2"/>
    <row r="20090" s="197" customFormat="1" ht="12.75" x14ac:dyDescent="0.2"/>
    <row r="20091" s="197" customFormat="1" ht="12.75" x14ac:dyDescent="0.2"/>
    <row r="20092" s="197" customFormat="1" ht="12.75" x14ac:dyDescent="0.2"/>
    <row r="20093" s="197" customFormat="1" ht="12.75" x14ac:dyDescent="0.2"/>
    <row r="20094" s="197" customFormat="1" ht="12.75" x14ac:dyDescent="0.2"/>
    <row r="20095" s="197" customFormat="1" ht="12.75" x14ac:dyDescent="0.2"/>
    <row r="20096" s="197" customFormat="1" ht="12.75" x14ac:dyDescent="0.2"/>
    <row r="20097" s="197" customFormat="1" ht="12.75" x14ac:dyDescent="0.2"/>
    <row r="20098" s="197" customFormat="1" ht="12.75" x14ac:dyDescent="0.2"/>
    <row r="20099" s="197" customFormat="1" ht="12.75" x14ac:dyDescent="0.2"/>
    <row r="20100" s="197" customFormat="1" ht="12.75" x14ac:dyDescent="0.2"/>
    <row r="20101" s="197" customFormat="1" ht="12.75" x14ac:dyDescent="0.2"/>
    <row r="20102" s="197" customFormat="1" ht="12.75" x14ac:dyDescent="0.2"/>
    <row r="20103" s="197" customFormat="1" ht="12.75" x14ac:dyDescent="0.2"/>
    <row r="20104" s="197" customFormat="1" ht="12.75" x14ac:dyDescent="0.2"/>
    <row r="20105" s="197" customFormat="1" ht="12.75" x14ac:dyDescent="0.2"/>
    <row r="20106" s="197" customFormat="1" ht="12.75" x14ac:dyDescent="0.2"/>
    <row r="20107" s="197" customFormat="1" ht="12.75" x14ac:dyDescent="0.2"/>
    <row r="20108" s="197" customFormat="1" ht="12.75" x14ac:dyDescent="0.2"/>
    <row r="20109" s="197" customFormat="1" ht="12.75" x14ac:dyDescent="0.2"/>
    <row r="20110" s="197" customFormat="1" ht="12.75" x14ac:dyDescent="0.2"/>
    <row r="20111" s="197" customFormat="1" ht="12.75" x14ac:dyDescent="0.2"/>
    <row r="20112" s="197" customFormat="1" ht="12.75" x14ac:dyDescent="0.2"/>
    <row r="20113" s="197" customFormat="1" ht="12.75" x14ac:dyDescent="0.2"/>
    <row r="20114" s="197" customFormat="1" ht="12.75" x14ac:dyDescent="0.2"/>
    <row r="20115" s="197" customFormat="1" ht="12.75" x14ac:dyDescent="0.2"/>
    <row r="20116" s="197" customFormat="1" ht="12.75" x14ac:dyDescent="0.2"/>
    <row r="20117" s="197" customFormat="1" ht="12.75" x14ac:dyDescent="0.2"/>
    <row r="20118" s="197" customFormat="1" ht="12.75" x14ac:dyDescent="0.2"/>
    <row r="20119" s="197" customFormat="1" ht="12.75" x14ac:dyDescent="0.2"/>
    <row r="20120" s="197" customFormat="1" ht="12.75" x14ac:dyDescent="0.2"/>
    <row r="20121" s="197" customFormat="1" ht="12.75" x14ac:dyDescent="0.2"/>
    <row r="20122" s="197" customFormat="1" ht="12.75" x14ac:dyDescent="0.2"/>
    <row r="20123" s="197" customFormat="1" ht="12.75" x14ac:dyDescent="0.2"/>
    <row r="20124" s="197" customFormat="1" ht="12.75" x14ac:dyDescent="0.2"/>
    <row r="20125" s="197" customFormat="1" ht="12.75" x14ac:dyDescent="0.2"/>
    <row r="20126" s="197" customFormat="1" ht="12.75" x14ac:dyDescent="0.2"/>
    <row r="20127" s="197" customFormat="1" ht="12.75" x14ac:dyDescent="0.2"/>
    <row r="20128" s="197" customFormat="1" ht="12.75" x14ac:dyDescent="0.2"/>
    <row r="20129" s="197" customFormat="1" ht="12.75" x14ac:dyDescent="0.2"/>
    <row r="20130" s="197" customFormat="1" ht="12.75" x14ac:dyDescent="0.2"/>
    <row r="20131" s="197" customFormat="1" ht="12.75" x14ac:dyDescent="0.2"/>
    <row r="20132" s="197" customFormat="1" ht="12.75" x14ac:dyDescent="0.2"/>
    <row r="20133" s="197" customFormat="1" ht="12.75" x14ac:dyDescent="0.2"/>
    <row r="20134" s="197" customFormat="1" ht="12.75" x14ac:dyDescent="0.2"/>
    <row r="20135" s="197" customFormat="1" ht="12.75" x14ac:dyDescent="0.2"/>
    <row r="20136" s="197" customFormat="1" ht="12.75" x14ac:dyDescent="0.2"/>
    <row r="20137" s="197" customFormat="1" ht="12.75" x14ac:dyDescent="0.2"/>
    <row r="20138" s="197" customFormat="1" ht="12.75" x14ac:dyDescent="0.2"/>
    <row r="20139" s="197" customFormat="1" ht="12.75" x14ac:dyDescent="0.2"/>
    <row r="20140" s="197" customFormat="1" ht="12.75" x14ac:dyDescent="0.2"/>
    <row r="20141" s="197" customFormat="1" ht="12.75" x14ac:dyDescent="0.2"/>
    <row r="20142" s="197" customFormat="1" ht="12.75" x14ac:dyDescent="0.2"/>
    <row r="20143" s="197" customFormat="1" ht="12.75" x14ac:dyDescent="0.2"/>
    <row r="20144" s="197" customFormat="1" ht="12.75" x14ac:dyDescent="0.2"/>
    <row r="20145" s="197" customFormat="1" ht="12.75" x14ac:dyDescent="0.2"/>
    <row r="20146" s="197" customFormat="1" ht="12.75" x14ac:dyDescent="0.2"/>
    <row r="20147" s="197" customFormat="1" ht="12.75" x14ac:dyDescent="0.2"/>
    <row r="20148" s="197" customFormat="1" ht="12.75" x14ac:dyDescent="0.2"/>
    <row r="20149" s="197" customFormat="1" ht="12.75" x14ac:dyDescent="0.2"/>
    <row r="20150" s="197" customFormat="1" ht="12.75" x14ac:dyDescent="0.2"/>
    <row r="20151" s="197" customFormat="1" ht="12.75" x14ac:dyDescent="0.2"/>
    <row r="20152" s="197" customFormat="1" ht="12.75" x14ac:dyDescent="0.2"/>
    <row r="20153" s="197" customFormat="1" ht="12.75" x14ac:dyDescent="0.2"/>
    <row r="20154" s="197" customFormat="1" ht="12.75" x14ac:dyDescent="0.2"/>
    <row r="20155" s="197" customFormat="1" ht="12.75" x14ac:dyDescent="0.2"/>
    <row r="20156" s="197" customFormat="1" ht="12.75" x14ac:dyDescent="0.2"/>
    <row r="20157" s="197" customFormat="1" ht="12.75" x14ac:dyDescent="0.2"/>
    <row r="20158" s="197" customFormat="1" ht="12.75" x14ac:dyDescent="0.2"/>
    <row r="20159" s="197" customFormat="1" ht="12.75" x14ac:dyDescent="0.2"/>
    <row r="20160" s="197" customFormat="1" ht="12.75" x14ac:dyDescent="0.2"/>
    <row r="20161" s="197" customFormat="1" ht="12.75" x14ac:dyDescent="0.2"/>
    <row r="20162" s="197" customFormat="1" ht="12.75" x14ac:dyDescent="0.2"/>
    <row r="20163" s="197" customFormat="1" ht="12.75" x14ac:dyDescent="0.2"/>
    <row r="20164" s="197" customFormat="1" ht="12.75" x14ac:dyDescent="0.2"/>
    <row r="20165" s="197" customFormat="1" ht="12.75" x14ac:dyDescent="0.2"/>
    <row r="20166" s="197" customFormat="1" ht="12.75" x14ac:dyDescent="0.2"/>
    <row r="20167" s="197" customFormat="1" ht="12.75" x14ac:dyDescent="0.2"/>
    <row r="20168" s="197" customFormat="1" ht="12.75" x14ac:dyDescent="0.2"/>
    <row r="20169" s="197" customFormat="1" ht="12.75" x14ac:dyDescent="0.2"/>
    <row r="20170" s="197" customFormat="1" ht="12.75" x14ac:dyDescent="0.2"/>
    <row r="20171" s="197" customFormat="1" ht="12.75" x14ac:dyDescent="0.2"/>
    <row r="20172" s="197" customFormat="1" ht="12.75" x14ac:dyDescent="0.2"/>
    <row r="20173" s="197" customFormat="1" ht="12.75" x14ac:dyDescent="0.2"/>
    <row r="20174" s="197" customFormat="1" ht="12.75" x14ac:dyDescent="0.2"/>
    <row r="20175" s="197" customFormat="1" ht="12.75" x14ac:dyDescent="0.2"/>
    <row r="20176" s="197" customFormat="1" ht="12.75" x14ac:dyDescent="0.2"/>
    <row r="20177" s="197" customFormat="1" ht="12.75" x14ac:dyDescent="0.2"/>
    <row r="20178" s="197" customFormat="1" ht="12.75" x14ac:dyDescent="0.2"/>
    <row r="20179" s="197" customFormat="1" ht="12.75" x14ac:dyDescent="0.2"/>
    <row r="20180" s="197" customFormat="1" ht="12.75" x14ac:dyDescent="0.2"/>
    <row r="20181" s="197" customFormat="1" ht="12.75" x14ac:dyDescent="0.2"/>
    <row r="20182" s="197" customFormat="1" ht="12.75" x14ac:dyDescent="0.2"/>
    <row r="20183" s="197" customFormat="1" ht="12.75" x14ac:dyDescent="0.2"/>
    <row r="20184" s="197" customFormat="1" ht="12.75" x14ac:dyDescent="0.2"/>
    <row r="20185" s="197" customFormat="1" ht="12.75" x14ac:dyDescent="0.2"/>
    <row r="20186" s="197" customFormat="1" ht="12.75" x14ac:dyDescent="0.2"/>
    <row r="20187" s="197" customFormat="1" ht="12.75" x14ac:dyDescent="0.2"/>
    <row r="20188" s="197" customFormat="1" ht="12.75" x14ac:dyDescent="0.2"/>
    <row r="20189" s="197" customFormat="1" ht="12.75" x14ac:dyDescent="0.2"/>
    <row r="20190" s="197" customFormat="1" ht="12.75" x14ac:dyDescent="0.2"/>
    <row r="20191" s="197" customFormat="1" ht="12.75" x14ac:dyDescent="0.2"/>
    <row r="20192" s="197" customFormat="1" ht="12.75" x14ac:dyDescent="0.2"/>
    <row r="20193" s="197" customFormat="1" ht="12.75" x14ac:dyDescent="0.2"/>
    <row r="20194" s="197" customFormat="1" ht="12.75" x14ac:dyDescent="0.2"/>
    <row r="20195" s="197" customFormat="1" ht="12.75" x14ac:dyDescent="0.2"/>
    <row r="20196" s="197" customFormat="1" ht="12.75" x14ac:dyDescent="0.2"/>
    <row r="20197" s="197" customFormat="1" ht="12.75" x14ac:dyDescent="0.2"/>
    <row r="20198" s="197" customFormat="1" ht="12.75" x14ac:dyDescent="0.2"/>
    <row r="20199" s="197" customFormat="1" ht="12.75" x14ac:dyDescent="0.2"/>
    <row r="20200" s="197" customFormat="1" ht="12.75" x14ac:dyDescent="0.2"/>
    <row r="20201" s="197" customFormat="1" ht="12.75" x14ac:dyDescent="0.2"/>
    <row r="20202" s="197" customFormat="1" ht="12.75" x14ac:dyDescent="0.2"/>
    <row r="20203" s="197" customFormat="1" ht="12.75" x14ac:dyDescent="0.2"/>
    <row r="20204" s="197" customFormat="1" ht="12.75" x14ac:dyDescent="0.2"/>
    <row r="20205" s="197" customFormat="1" ht="12.75" x14ac:dyDescent="0.2"/>
    <row r="20206" s="197" customFormat="1" ht="12.75" x14ac:dyDescent="0.2"/>
    <row r="20207" s="197" customFormat="1" ht="12.75" x14ac:dyDescent="0.2"/>
    <row r="20208" s="197" customFormat="1" ht="12.75" x14ac:dyDescent="0.2"/>
    <row r="20209" s="197" customFormat="1" ht="12.75" x14ac:dyDescent="0.2"/>
    <row r="20210" s="197" customFormat="1" ht="12.75" x14ac:dyDescent="0.2"/>
    <row r="20211" s="197" customFormat="1" ht="12.75" x14ac:dyDescent="0.2"/>
    <row r="20212" s="197" customFormat="1" ht="12.75" x14ac:dyDescent="0.2"/>
    <row r="20213" s="197" customFormat="1" ht="12.75" x14ac:dyDescent="0.2"/>
    <row r="20214" s="197" customFormat="1" ht="12.75" x14ac:dyDescent="0.2"/>
    <row r="20215" s="197" customFormat="1" ht="12.75" x14ac:dyDescent="0.2"/>
    <row r="20216" s="197" customFormat="1" ht="12.75" x14ac:dyDescent="0.2"/>
    <row r="20217" s="197" customFormat="1" ht="12.75" x14ac:dyDescent="0.2"/>
    <row r="20218" s="197" customFormat="1" ht="12.75" x14ac:dyDescent="0.2"/>
    <row r="20219" s="197" customFormat="1" ht="12.75" x14ac:dyDescent="0.2"/>
    <row r="20220" s="197" customFormat="1" ht="12.75" x14ac:dyDescent="0.2"/>
    <row r="20221" s="197" customFormat="1" ht="12.75" x14ac:dyDescent="0.2"/>
    <row r="20222" s="197" customFormat="1" ht="12.75" x14ac:dyDescent="0.2"/>
    <row r="20223" s="197" customFormat="1" ht="12.75" x14ac:dyDescent="0.2"/>
    <row r="20224" s="197" customFormat="1" ht="12.75" x14ac:dyDescent="0.2"/>
    <row r="20225" s="197" customFormat="1" ht="12.75" x14ac:dyDescent="0.2"/>
    <row r="20226" s="197" customFormat="1" ht="12.75" x14ac:dyDescent="0.2"/>
    <row r="20227" s="197" customFormat="1" ht="12.75" x14ac:dyDescent="0.2"/>
    <row r="20228" s="197" customFormat="1" ht="12.75" x14ac:dyDescent="0.2"/>
    <row r="20229" s="197" customFormat="1" ht="12.75" x14ac:dyDescent="0.2"/>
    <row r="20230" s="197" customFormat="1" ht="12.75" x14ac:dyDescent="0.2"/>
    <row r="20231" s="197" customFormat="1" ht="12.75" x14ac:dyDescent="0.2"/>
    <row r="20232" s="197" customFormat="1" ht="12.75" x14ac:dyDescent="0.2"/>
    <row r="20233" s="197" customFormat="1" ht="12.75" x14ac:dyDescent="0.2"/>
    <row r="20234" s="197" customFormat="1" ht="12.75" x14ac:dyDescent="0.2"/>
    <row r="20235" s="197" customFormat="1" ht="12.75" x14ac:dyDescent="0.2"/>
    <row r="20236" s="197" customFormat="1" ht="12.75" x14ac:dyDescent="0.2"/>
    <row r="20237" s="197" customFormat="1" ht="12.75" x14ac:dyDescent="0.2"/>
    <row r="20238" s="197" customFormat="1" ht="12.75" x14ac:dyDescent="0.2"/>
    <row r="20239" s="197" customFormat="1" ht="12.75" x14ac:dyDescent="0.2"/>
    <row r="20240" s="197" customFormat="1" ht="12.75" x14ac:dyDescent="0.2"/>
    <row r="20241" s="197" customFormat="1" ht="12.75" x14ac:dyDescent="0.2"/>
    <row r="20242" s="197" customFormat="1" ht="12.75" x14ac:dyDescent="0.2"/>
    <row r="20243" s="197" customFormat="1" ht="12.75" x14ac:dyDescent="0.2"/>
    <row r="20244" s="197" customFormat="1" ht="12.75" x14ac:dyDescent="0.2"/>
    <row r="20245" s="197" customFormat="1" ht="12.75" x14ac:dyDescent="0.2"/>
    <row r="20246" s="197" customFormat="1" ht="12.75" x14ac:dyDescent="0.2"/>
    <row r="20247" s="197" customFormat="1" ht="12.75" x14ac:dyDescent="0.2"/>
    <row r="20248" s="197" customFormat="1" ht="12.75" x14ac:dyDescent="0.2"/>
    <row r="20249" s="197" customFormat="1" ht="12.75" x14ac:dyDescent="0.2"/>
    <row r="20250" s="197" customFormat="1" ht="12.75" x14ac:dyDescent="0.2"/>
    <row r="20251" s="197" customFormat="1" ht="12.75" x14ac:dyDescent="0.2"/>
    <row r="20252" s="197" customFormat="1" ht="12.75" x14ac:dyDescent="0.2"/>
    <row r="20253" s="197" customFormat="1" ht="12.75" x14ac:dyDescent="0.2"/>
    <row r="20254" s="197" customFormat="1" ht="12.75" x14ac:dyDescent="0.2"/>
    <row r="20255" s="197" customFormat="1" ht="12.75" x14ac:dyDescent="0.2"/>
    <row r="20256" s="197" customFormat="1" ht="12.75" x14ac:dyDescent="0.2"/>
    <row r="20257" s="197" customFormat="1" ht="12.75" x14ac:dyDescent="0.2"/>
    <row r="20258" s="197" customFormat="1" ht="12.75" x14ac:dyDescent="0.2"/>
    <row r="20259" s="197" customFormat="1" ht="12.75" x14ac:dyDescent="0.2"/>
    <row r="20260" s="197" customFormat="1" ht="12.75" x14ac:dyDescent="0.2"/>
    <row r="20261" s="197" customFormat="1" ht="12.75" x14ac:dyDescent="0.2"/>
    <row r="20262" s="197" customFormat="1" ht="12.75" x14ac:dyDescent="0.2"/>
    <row r="20263" s="197" customFormat="1" ht="12.75" x14ac:dyDescent="0.2"/>
    <row r="20264" s="197" customFormat="1" ht="12.75" x14ac:dyDescent="0.2"/>
    <row r="20265" s="197" customFormat="1" ht="12.75" x14ac:dyDescent="0.2"/>
    <row r="20266" s="197" customFormat="1" ht="12.75" x14ac:dyDescent="0.2"/>
    <row r="20267" s="197" customFormat="1" ht="12.75" x14ac:dyDescent="0.2"/>
    <row r="20268" s="197" customFormat="1" ht="12.75" x14ac:dyDescent="0.2"/>
    <row r="20269" s="197" customFormat="1" ht="12.75" x14ac:dyDescent="0.2"/>
    <row r="20270" s="197" customFormat="1" ht="12.75" x14ac:dyDescent="0.2"/>
    <row r="20271" s="197" customFormat="1" ht="12.75" x14ac:dyDescent="0.2"/>
    <row r="20272" s="197" customFormat="1" ht="12.75" x14ac:dyDescent="0.2"/>
    <row r="20273" s="197" customFormat="1" ht="12.75" x14ac:dyDescent="0.2"/>
    <row r="20274" s="197" customFormat="1" ht="12.75" x14ac:dyDescent="0.2"/>
    <row r="20275" s="197" customFormat="1" ht="12.75" x14ac:dyDescent="0.2"/>
    <row r="20276" s="197" customFormat="1" ht="12.75" x14ac:dyDescent="0.2"/>
    <row r="20277" s="197" customFormat="1" ht="12.75" x14ac:dyDescent="0.2"/>
    <row r="20278" s="197" customFormat="1" ht="12.75" x14ac:dyDescent="0.2"/>
    <row r="20279" s="197" customFormat="1" ht="12.75" x14ac:dyDescent="0.2"/>
    <row r="20280" s="197" customFormat="1" ht="12.75" x14ac:dyDescent="0.2"/>
    <row r="20281" s="197" customFormat="1" ht="12.75" x14ac:dyDescent="0.2"/>
    <row r="20282" s="197" customFormat="1" ht="12.75" x14ac:dyDescent="0.2"/>
    <row r="20283" s="197" customFormat="1" ht="12.75" x14ac:dyDescent="0.2"/>
    <row r="20284" s="197" customFormat="1" ht="12.75" x14ac:dyDescent="0.2"/>
    <row r="20285" s="197" customFormat="1" ht="12.75" x14ac:dyDescent="0.2"/>
    <row r="20286" s="197" customFormat="1" ht="12.75" x14ac:dyDescent="0.2"/>
    <row r="20287" s="197" customFormat="1" ht="12.75" x14ac:dyDescent="0.2"/>
    <row r="20288" s="197" customFormat="1" ht="12.75" x14ac:dyDescent="0.2"/>
    <row r="20289" s="197" customFormat="1" ht="12.75" x14ac:dyDescent="0.2"/>
    <row r="20290" s="197" customFormat="1" ht="12.75" x14ac:dyDescent="0.2"/>
    <row r="20291" s="197" customFormat="1" ht="12.75" x14ac:dyDescent="0.2"/>
    <row r="20292" s="197" customFormat="1" ht="12.75" x14ac:dyDescent="0.2"/>
    <row r="20293" s="197" customFormat="1" ht="12.75" x14ac:dyDescent="0.2"/>
    <row r="20294" s="197" customFormat="1" ht="12.75" x14ac:dyDescent="0.2"/>
    <row r="20295" s="197" customFormat="1" ht="12.75" x14ac:dyDescent="0.2"/>
    <row r="20296" s="197" customFormat="1" ht="12.75" x14ac:dyDescent="0.2"/>
    <row r="20297" s="197" customFormat="1" ht="12.75" x14ac:dyDescent="0.2"/>
    <row r="20298" s="197" customFormat="1" ht="12.75" x14ac:dyDescent="0.2"/>
    <row r="20299" s="197" customFormat="1" ht="12.75" x14ac:dyDescent="0.2"/>
    <row r="20300" s="197" customFormat="1" ht="12.75" x14ac:dyDescent="0.2"/>
    <row r="20301" s="197" customFormat="1" ht="12.75" x14ac:dyDescent="0.2"/>
    <row r="20302" s="197" customFormat="1" ht="12.75" x14ac:dyDescent="0.2"/>
    <row r="20303" s="197" customFormat="1" ht="12.75" x14ac:dyDescent="0.2"/>
    <row r="20304" s="197" customFormat="1" ht="12.75" x14ac:dyDescent="0.2"/>
    <row r="20305" s="197" customFormat="1" ht="12.75" x14ac:dyDescent="0.2"/>
    <row r="20306" s="197" customFormat="1" ht="12.75" x14ac:dyDescent="0.2"/>
    <row r="20307" s="197" customFormat="1" ht="12.75" x14ac:dyDescent="0.2"/>
    <row r="20308" s="197" customFormat="1" ht="12.75" x14ac:dyDescent="0.2"/>
    <row r="20309" s="197" customFormat="1" ht="12.75" x14ac:dyDescent="0.2"/>
    <row r="20310" s="197" customFormat="1" ht="12.75" x14ac:dyDescent="0.2"/>
    <row r="20311" s="197" customFormat="1" ht="12.75" x14ac:dyDescent="0.2"/>
    <row r="20312" s="197" customFormat="1" ht="12.75" x14ac:dyDescent="0.2"/>
    <row r="20313" s="197" customFormat="1" ht="12.75" x14ac:dyDescent="0.2"/>
    <row r="20314" s="197" customFormat="1" ht="12.75" x14ac:dyDescent="0.2"/>
    <row r="20315" s="197" customFormat="1" ht="12.75" x14ac:dyDescent="0.2"/>
    <row r="20316" s="197" customFormat="1" ht="12.75" x14ac:dyDescent="0.2"/>
    <row r="20317" s="197" customFormat="1" ht="12.75" x14ac:dyDescent="0.2"/>
    <row r="20318" s="197" customFormat="1" ht="12.75" x14ac:dyDescent="0.2"/>
    <row r="20319" s="197" customFormat="1" ht="12.75" x14ac:dyDescent="0.2"/>
    <row r="20320" s="197" customFormat="1" ht="12.75" x14ac:dyDescent="0.2"/>
    <row r="20321" s="197" customFormat="1" ht="12.75" x14ac:dyDescent="0.2"/>
    <row r="20322" s="197" customFormat="1" ht="12.75" x14ac:dyDescent="0.2"/>
    <row r="20323" s="197" customFormat="1" ht="12.75" x14ac:dyDescent="0.2"/>
    <row r="20324" s="197" customFormat="1" ht="12.75" x14ac:dyDescent="0.2"/>
    <row r="20325" s="197" customFormat="1" ht="12.75" x14ac:dyDescent="0.2"/>
    <row r="20326" s="197" customFormat="1" ht="12.75" x14ac:dyDescent="0.2"/>
    <row r="20327" s="197" customFormat="1" ht="12.75" x14ac:dyDescent="0.2"/>
    <row r="20328" s="197" customFormat="1" ht="12.75" x14ac:dyDescent="0.2"/>
    <row r="20329" s="197" customFormat="1" ht="12.75" x14ac:dyDescent="0.2"/>
    <row r="20330" s="197" customFormat="1" ht="12.75" x14ac:dyDescent="0.2"/>
    <row r="20331" s="197" customFormat="1" ht="12.75" x14ac:dyDescent="0.2"/>
    <row r="20332" s="197" customFormat="1" ht="12.75" x14ac:dyDescent="0.2"/>
    <row r="20333" s="197" customFormat="1" ht="12.75" x14ac:dyDescent="0.2"/>
    <row r="20334" s="197" customFormat="1" ht="12.75" x14ac:dyDescent="0.2"/>
    <row r="20335" s="197" customFormat="1" ht="12.75" x14ac:dyDescent="0.2"/>
    <row r="20336" s="197" customFormat="1" ht="12.75" x14ac:dyDescent="0.2"/>
    <row r="20337" s="197" customFormat="1" ht="12.75" x14ac:dyDescent="0.2"/>
    <row r="20338" s="197" customFormat="1" ht="12.75" x14ac:dyDescent="0.2"/>
    <row r="20339" s="197" customFormat="1" ht="12.75" x14ac:dyDescent="0.2"/>
    <row r="20340" s="197" customFormat="1" ht="12.75" x14ac:dyDescent="0.2"/>
    <row r="20341" s="197" customFormat="1" ht="12.75" x14ac:dyDescent="0.2"/>
    <row r="20342" s="197" customFormat="1" ht="12.75" x14ac:dyDescent="0.2"/>
    <row r="20343" s="197" customFormat="1" ht="12.75" x14ac:dyDescent="0.2"/>
    <row r="20344" s="197" customFormat="1" ht="12.75" x14ac:dyDescent="0.2"/>
    <row r="20345" s="197" customFormat="1" ht="12.75" x14ac:dyDescent="0.2"/>
    <row r="20346" s="197" customFormat="1" ht="12.75" x14ac:dyDescent="0.2"/>
    <row r="20347" s="197" customFormat="1" ht="12.75" x14ac:dyDescent="0.2"/>
    <row r="20348" s="197" customFormat="1" ht="12.75" x14ac:dyDescent="0.2"/>
    <row r="20349" s="197" customFormat="1" ht="12.75" x14ac:dyDescent="0.2"/>
    <row r="20350" s="197" customFormat="1" ht="12.75" x14ac:dyDescent="0.2"/>
    <row r="20351" s="197" customFormat="1" ht="12.75" x14ac:dyDescent="0.2"/>
    <row r="20352" s="197" customFormat="1" ht="12.75" x14ac:dyDescent="0.2"/>
    <row r="20353" s="197" customFormat="1" ht="12.75" x14ac:dyDescent="0.2"/>
    <row r="20354" s="197" customFormat="1" ht="12.75" x14ac:dyDescent="0.2"/>
    <row r="20355" s="197" customFormat="1" ht="12.75" x14ac:dyDescent="0.2"/>
    <row r="20356" s="197" customFormat="1" ht="12.75" x14ac:dyDescent="0.2"/>
    <row r="20357" s="197" customFormat="1" ht="12.75" x14ac:dyDescent="0.2"/>
    <row r="20358" s="197" customFormat="1" ht="12.75" x14ac:dyDescent="0.2"/>
    <row r="20359" s="197" customFormat="1" ht="12.75" x14ac:dyDescent="0.2"/>
    <row r="20360" s="197" customFormat="1" ht="12.75" x14ac:dyDescent="0.2"/>
    <row r="20361" s="197" customFormat="1" ht="12.75" x14ac:dyDescent="0.2"/>
    <row r="20362" s="197" customFormat="1" ht="12.75" x14ac:dyDescent="0.2"/>
    <row r="20363" s="197" customFormat="1" ht="12.75" x14ac:dyDescent="0.2"/>
    <row r="20364" s="197" customFormat="1" ht="12.75" x14ac:dyDescent="0.2"/>
    <row r="20365" s="197" customFormat="1" ht="12.75" x14ac:dyDescent="0.2"/>
    <row r="20366" s="197" customFormat="1" ht="12.75" x14ac:dyDescent="0.2"/>
    <row r="20367" s="197" customFormat="1" ht="12.75" x14ac:dyDescent="0.2"/>
    <row r="20368" s="197" customFormat="1" ht="12.75" x14ac:dyDescent="0.2"/>
    <row r="20369" s="197" customFormat="1" ht="12.75" x14ac:dyDescent="0.2"/>
    <row r="20370" s="197" customFormat="1" ht="12.75" x14ac:dyDescent="0.2"/>
    <row r="20371" s="197" customFormat="1" ht="12.75" x14ac:dyDescent="0.2"/>
    <row r="20372" s="197" customFormat="1" ht="12.75" x14ac:dyDescent="0.2"/>
    <row r="20373" s="197" customFormat="1" ht="12.75" x14ac:dyDescent="0.2"/>
    <row r="20374" s="197" customFormat="1" ht="12.75" x14ac:dyDescent="0.2"/>
    <row r="20375" s="197" customFormat="1" ht="12.75" x14ac:dyDescent="0.2"/>
    <row r="20376" s="197" customFormat="1" ht="12.75" x14ac:dyDescent="0.2"/>
    <row r="20377" s="197" customFormat="1" ht="12.75" x14ac:dyDescent="0.2"/>
    <row r="20378" s="197" customFormat="1" ht="12.75" x14ac:dyDescent="0.2"/>
    <row r="20379" s="197" customFormat="1" ht="12.75" x14ac:dyDescent="0.2"/>
    <row r="20380" s="197" customFormat="1" ht="12.75" x14ac:dyDescent="0.2"/>
    <row r="20381" s="197" customFormat="1" ht="12.75" x14ac:dyDescent="0.2"/>
    <row r="20382" s="197" customFormat="1" ht="12.75" x14ac:dyDescent="0.2"/>
    <row r="20383" s="197" customFormat="1" ht="12.75" x14ac:dyDescent="0.2"/>
    <row r="20384" s="197" customFormat="1" ht="12.75" x14ac:dyDescent="0.2"/>
    <row r="20385" s="197" customFormat="1" ht="12.75" x14ac:dyDescent="0.2"/>
    <row r="20386" s="197" customFormat="1" ht="12.75" x14ac:dyDescent="0.2"/>
    <row r="20387" s="197" customFormat="1" ht="12.75" x14ac:dyDescent="0.2"/>
    <row r="20388" s="197" customFormat="1" ht="12.75" x14ac:dyDescent="0.2"/>
    <row r="20389" s="197" customFormat="1" ht="12.75" x14ac:dyDescent="0.2"/>
    <row r="20390" s="197" customFormat="1" ht="12.75" x14ac:dyDescent="0.2"/>
    <row r="20391" s="197" customFormat="1" ht="12.75" x14ac:dyDescent="0.2"/>
    <row r="20392" s="197" customFormat="1" ht="12.75" x14ac:dyDescent="0.2"/>
    <row r="20393" s="197" customFormat="1" ht="12.75" x14ac:dyDescent="0.2"/>
    <row r="20394" s="197" customFormat="1" ht="12.75" x14ac:dyDescent="0.2"/>
    <row r="20395" s="197" customFormat="1" ht="12.75" x14ac:dyDescent="0.2"/>
    <row r="20396" s="197" customFormat="1" ht="12.75" x14ac:dyDescent="0.2"/>
    <row r="20397" s="197" customFormat="1" ht="12.75" x14ac:dyDescent="0.2"/>
    <row r="20398" s="197" customFormat="1" ht="12.75" x14ac:dyDescent="0.2"/>
    <row r="20399" s="197" customFormat="1" ht="12.75" x14ac:dyDescent="0.2"/>
    <row r="20400" s="197" customFormat="1" ht="12.75" x14ac:dyDescent="0.2"/>
    <row r="20401" s="197" customFormat="1" ht="12.75" x14ac:dyDescent="0.2"/>
    <row r="20402" s="197" customFormat="1" ht="12.75" x14ac:dyDescent="0.2"/>
    <row r="20403" s="197" customFormat="1" ht="12.75" x14ac:dyDescent="0.2"/>
    <row r="20404" s="197" customFormat="1" ht="12.75" x14ac:dyDescent="0.2"/>
    <row r="20405" s="197" customFormat="1" ht="12.75" x14ac:dyDescent="0.2"/>
    <row r="20406" s="197" customFormat="1" ht="12.75" x14ac:dyDescent="0.2"/>
    <row r="20407" s="197" customFormat="1" ht="12.75" x14ac:dyDescent="0.2"/>
    <row r="20408" s="197" customFormat="1" ht="12.75" x14ac:dyDescent="0.2"/>
    <row r="20409" s="197" customFormat="1" ht="12.75" x14ac:dyDescent="0.2"/>
    <row r="20410" s="197" customFormat="1" ht="12.75" x14ac:dyDescent="0.2"/>
    <row r="20411" s="197" customFormat="1" ht="12.75" x14ac:dyDescent="0.2"/>
    <row r="20412" s="197" customFormat="1" ht="12.75" x14ac:dyDescent="0.2"/>
    <row r="20413" s="197" customFormat="1" ht="12.75" x14ac:dyDescent="0.2"/>
    <row r="20414" s="197" customFormat="1" ht="12.75" x14ac:dyDescent="0.2"/>
    <row r="20415" s="197" customFormat="1" ht="12.75" x14ac:dyDescent="0.2"/>
    <row r="20416" s="197" customFormat="1" ht="12.75" x14ac:dyDescent="0.2"/>
    <row r="20417" s="197" customFormat="1" ht="12.75" x14ac:dyDescent="0.2"/>
    <row r="20418" s="197" customFormat="1" ht="12.75" x14ac:dyDescent="0.2"/>
    <row r="20419" s="197" customFormat="1" ht="12.75" x14ac:dyDescent="0.2"/>
    <row r="20420" s="197" customFormat="1" ht="12.75" x14ac:dyDescent="0.2"/>
    <row r="20421" s="197" customFormat="1" ht="12.75" x14ac:dyDescent="0.2"/>
    <row r="20422" s="197" customFormat="1" ht="12.75" x14ac:dyDescent="0.2"/>
    <row r="20423" s="197" customFormat="1" ht="12.75" x14ac:dyDescent="0.2"/>
    <row r="20424" s="197" customFormat="1" ht="12.75" x14ac:dyDescent="0.2"/>
    <row r="20425" s="197" customFormat="1" ht="12.75" x14ac:dyDescent="0.2"/>
    <row r="20426" s="197" customFormat="1" ht="12.75" x14ac:dyDescent="0.2"/>
    <row r="20427" s="197" customFormat="1" ht="12.75" x14ac:dyDescent="0.2"/>
    <row r="20428" s="197" customFormat="1" ht="12.75" x14ac:dyDescent="0.2"/>
    <row r="20429" s="197" customFormat="1" ht="12.75" x14ac:dyDescent="0.2"/>
    <row r="20430" s="197" customFormat="1" ht="12.75" x14ac:dyDescent="0.2"/>
    <row r="20431" s="197" customFormat="1" ht="12.75" x14ac:dyDescent="0.2"/>
    <row r="20432" s="197" customFormat="1" ht="12.75" x14ac:dyDescent="0.2"/>
    <row r="20433" s="197" customFormat="1" ht="12.75" x14ac:dyDescent="0.2"/>
    <row r="20434" s="197" customFormat="1" ht="12.75" x14ac:dyDescent="0.2"/>
    <row r="20435" s="197" customFormat="1" ht="12.75" x14ac:dyDescent="0.2"/>
    <row r="20436" s="197" customFormat="1" ht="12.75" x14ac:dyDescent="0.2"/>
    <row r="20437" s="197" customFormat="1" ht="12.75" x14ac:dyDescent="0.2"/>
    <row r="20438" s="197" customFormat="1" ht="12.75" x14ac:dyDescent="0.2"/>
    <row r="20439" s="197" customFormat="1" ht="12.75" x14ac:dyDescent="0.2"/>
    <row r="20440" s="197" customFormat="1" ht="12.75" x14ac:dyDescent="0.2"/>
    <row r="20441" s="197" customFormat="1" ht="12.75" x14ac:dyDescent="0.2"/>
    <row r="20442" s="197" customFormat="1" ht="12.75" x14ac:dyDescent="0.2"/>
    <row r="20443" s="197" customFormat="1" ht="12.75" x14ac:dyDescent="0.2"/>
    <row r="20444" s="197" customFormat="1" ht="12.75" x14ac:dyDescent="0.2"/>
    <row r="20445" s="197" customFormat="1" ht="12.75" x14ac:dyDescent="0.2"/>
    <row r="20446" s="197" customFormat="1" ht="12.75" x14ac:dyDescent="0.2"/>
    <row r="20447" s="197" customFormat="1" ht="12.75" x14ac:dyDescent="0.2"/>
    <row r="20448" s="197" customFormat="1" ht="12.75" x14ac:dyDescent="0.2"/>
    <row r="20449" s="197" customFormat="1" ht="12.75" x14ac:dyDescent="0.2"/>
    <row r="20450" s="197" customFormat="1" ht="12.75" x14ac:dyDescent="0.2"/>
    <row r="20451" s="197" customFormat="1" ht="12.75" x14ac:dyDescent="0.2"/>
    <row r="20452" s="197" customFormat="1" ht="12.75" x14ac:dyDescent="0.2"/>
    <row r="20453" s="197" customFormat="1" ht="12.75" x14ac:dyDescent="0.2"/>
    <row r="20454" s="197" customFormat="1" ht="12.75" x14ac:dyDescent="0.2"/>
    <row r="20455" s="197" customFormat="1" ht="12.75" x14ac:dyDescent="0.2"/>
    <row r="20456" s="197" customFormat="1" ht="12.75" x14ac:dyDescent="0.2"/>
    <row r="20457" s="197" customFormat="1" ht="12.75" x14ac:dyDescent="0.2"/>
    <row r="20458" s="197" customFormat="1" ht="12.75" x14ac:dyDescent="0.2"/>
    <row r="20459" s="197" customFormat="1" ht="12.75" x14ac:dyDescent="0.2"/>
    <row r="20460" s="197" customFormat="1" ht="12.75" x14ac:dyDescent="0.2"/>
    <row r="20461" s="197" customFormat="1" ht="12.75" x14ac:dyDescent="0.2"/>
    <row r="20462" s="197" customFormat="1" ht="12.75" x14ac:dyDescent="0.2"/>
    <row r="20463" s="197" customFormat="1" ht="12.75" x14ac:dyDescent="0.2"/>
    <row r="20464" s="197" customFormat="1" ht="12.75" x14ac:dyDescent="0.2"/>
    <row r="20465" s="197" customFormat="1" ht="12.75" x14ac:dyDescent="0.2"/>
    <row r="20466" s="197" customFormat="1" ht="12.75" x14ac:dyDescent="0.2"/>
    <row r="20467" s="197" customFormat="1" ht="12.75" x14ac:dyDescent="0.2"/>
    <row r="20468" s="197" customFormat="1" ht="12.75" x14ac:dyDescent="0.2"/>
    <row r="20469" s="197" customFormat="1" ht="12.75" x14ac:dyDescent="0.2"/>
    <row r="20470" s="197" customFormat="1" ht="12.75" x14ac:dyDescent="0.2"/>
    <row r="20471" s="197" customFormat="1" ht="12.75" x14ac:dyDescent="0.2"/>
    <row r="20472" s="197" customFormat="1" ht="12.75" x14ac:dyDescent="0.2"/>
    <row r="20473" s="197" customFormat="1" ht="12.75" x14ac:dyDescent="0.2"/>
    <row r="20474" s="197" customFormat="1" ht="12.75" x14ac:dyDescent="0.2"/>
    <row r="20475" s="197" customFormat="1" ht="12.75" x14ac:dyDescent="0.2"/>
    <row r="20476" s="197" customFormat="1" ht="12.75" x14ac:dyDescent="0.2"/>
    <row r="20477" s="197" customFormat="1" ht="12.75" x14ac:dyDescent="0.2"/>
    <row r="20478" s="197" customFormat="1" ht="12.75" x14ac:dyDescent="0.2"/>
    <row r="20479" s="197" customFormat="1" ht="12.75" x14ac:dyDescent="0.2"/>
    <row r="20480" s="197" customFormat="1" ht="12.75" x14ac:dyDescent="0.2"/>
    <row r="20481" s="197" customFormat="1" ht="12.75" x14ac:dyDescent="0.2"/>
    <row r="20482" s="197" customFormat="1" ht="12.75" x14ac:dyDescent="0.2"/>
    <row r="20483" s="197" customFormat="1" ht="12.75" x14ac:dyDescent="0.2"/>
    <row r="20484" s="197" customFormat="1" ht="12.75" x14ac:dyDescent="0.2"/>
    <row r="20485" s="197" customFormat="1" ht="12.75" x14ac:dyDescent="0.2"/>
    <row r="20486" s="197" customFormat="1" ht="12.75" x14ac:dyDescent="0.2"/>
    <row r="20487" s="197" customFormat="1" ht="12.75" x14ac:dyDescent="0.2"/>
    <row r="20488" s="197" customFormat="1" ht="12.75" x14ac:dyDescent="0.2"/>
    <row r="20489" s="197" customFormat="1" ht="12.75" x14ac:dyDescent="0.2"/>
    <row r="20490" s="197" customFormat="1" ht="12.75" x14ac:dyDescent="0.2"/>
    <row r="20491" s="197" customFormat="1" ht="12.75" x14ac:dyDescent="0.2"/>
    <row r="20492" s="197" customFormat="1" ht="12.75" x14ac:dyDescent="0.2"/>
    <row r="20493" s="197" customFormat="1" ht="12.75" x14ac:dyDescent="0.2"/>
    <row r="20494" s="197" customFormat="1" ht="12.75" x14ac:dyDescent="0.2"/>
    <row r="20495" s="197" customFormat="1" ht="12.75" x14ac:dyDescent="0.2"/>
    <row r="20496" s="197" customFormat="1" ht="12.75" x14ac:dyDescent="0.2"/>
    <row r="20497" s="197" customFormat="1" ht="12.75" x14ac:dyDescent="0.2"/>
    <row r="20498" s="197" customFormat="1" ht="12.75" x14ac:dyDescent="0.2"/>
    <row r="20499" s="197" customFormat="1" ht="12.75" x14ac:dyDescent="0.2"/>
    <row r="20500" s="197" customFormat="1" ht="12.75" x14ac:dyDescent="0.2"/>
    <row r="20501" s="197" customFormat="1" ht="12.75" x14ac:dyDescent="0.2"/>
    <row r="20502" s="197" customFormat="1" ht="12.75" x14ac:dyDescent="0.2"/>
    <row r="20503" s="197" customFormat="1" ht="12.75" x14ac:dyDescent="0.2"/>
    <row r="20504" s="197" customFormat="1" ht="12.75" x14ac:dyDescent="0.2"/>
    <row r="20505" s="197" customFormat="1" ht="12.75" x14ac:dyDescent="0.2"/>
    <row r="20506" s="197" customFormat="1" ht="12.75" x14ac:dyDescent="0.2"/>
    <row r="20507" s="197" customFormat="1" ht="12.75" x14ac:dyDescent="0.2"/>
    <row r="20508" s="197" customFormat="1" ht="12.75" x14ac:dyDescent="0.2"/>
    <row r="20509" s="197" customFormat="1" ht="12.75" x14ac:dyDescent="0.2"/>
    <row r="20510" s="197" customFormat="1" ht="12.75" x14ac:dyDescent="0.2"/>
    <row r="20511" s="197" customFormat="1" ht="12.75" x14ac:dyDescent="0.2"/>
    <row r="20512" s="197" customFormat="1" ht="12.75" x14ac:dyDescent="0.2"/>
    <row r="20513" s="197" customFormat="1" ht="12.75" x14ac:dyDescent="0.2"/>
    <row r="20514" s="197" customFormat="1" ht="12.75" x14ac:dyDescent="0.2"/>
    <row r="20515" s="197" customFormat="1" ht="12.75" x14ac:dyDescent="0.2"/>
    <row r="20516" s="197" customFormat="1" ht="12.75" x14ac:dyDescent="0.2"/>
    <row r="20517" s="197" customFormat="1" ht="12.75" x14ac:dyDescent="0.2"/>
    <row r="20518" s="197" customFormat="1" ht="12.75" x14ac:dyDescent="0.2"/>
    <row r="20519" s="197" customFormat="1" ht="12.75" x14ac:dyDescent="0.2"/>
    <row r="20520" s="197" customFormat="1" ht="12.75" x14ac:dyDescent="0.2"/>
    <row r="20521" s="197" customFormat="1" ht="12.75" x14ac:dyDescent="0.2"/>
    <row r="20522" s="197" customFormat="1" ht="12.75" x14ac:dyDescent="0.2"/>
    <row r="20523" s="197" customFormat="1" ht="12.75" x14ac:dyDescent="0.2"/>
    <row r="20524" s="197" customFormat="1" ht="12.75" x14ac:dyDescent="0.2"/>
    <row r="20525" s="197" customFormat="1" ht="12.75" x14ac:dyDescent="0.2"/>
    <row r="20526" s="197" customFormat="1" ht="12.75" x14ac:dyDescent="0.2"/>
    <row r="20527" s="197" customFormat="1" ht="12.75" x14ac:dyDescent="0.2"/>
    <row r="20528" s="197" customFormat="1" ht="12.75" x14ac:dyDescent="0.2"/>
    <row r="20529" s="197" customFormat="1" ht="12.75" x14ac:dyDescent="0.2"/>
    <row r="20530" s="197" customFormat="1" ht="12.75" x14ac:dyDescent="0.2"/>
    <row r="20531" s="197" customFormat="1" ht="12.75" x14ac:dyDescent="0.2"/>
    <row r="20532" s="197" customFormat="1" ht="12.75" x14ac:dyDescent="0.2"/>
    <row r="20533" s="197" customFormat="1" ht="12.75" x14ac:dyDescent="0.2"/>
    <row r="20534" s="197" customFormat="1" ht="12.75" x14ac:dyDescent="0.2"/>
    <row r="20535" s="197" customFormat="1" ht="12.75" x14ac:dyDescent="0.2"/>
    <row r="20536" s="197" customFormat="1" ht="12.75" x14ac:dyDescent="0.2"/>
    <row r="20537" s="197" customFormat="1" ht="12.75" x14ac:dyDescent="0.2"/>
    <row r="20538" s="197" customFormat="1" ht="12.75" x14ac:dyDescent="0.2"/>
    <row r="20539" s="197" customFormat="1" ht="12.75" x14ac:dyDescent="0.2"/>
    <row r="20540" s="197" customFormat="1" ht="12.75" x14ac:dyDescent="0.2"/>
    <row r="20541" s="197" customFormat="1" ht="12.75" x14ac:dyDescent="0.2"/>
    <row r="20542" s="197" customFormat="1" ht="12.75" x14ac:dyDescent="0.2"/>
    <row r="20543" s="197" customFormat="1" ht="12.75" x14ac:dyDescent="0.2"/>
    <row r="20544" s="197" customFormat="1" ht="12.75" x14ac:dyDescent="0.2"/>
    <row r="20545" s="197" customFormat="1" ht="12.75" x14ac:dyDescent="0.2"/>
    <row r="20546" s="197" customFormat="1" ht="12.75" x14ac:dyDescent="0.2"/>
    <row r="20547" s="197" customFormat="1" ht="12.75" x14ac:dyDescent="0.2"/>
    <row r="20548" s="197" customFormat="1" ht="12.75" x14ac:dyDescent="0.2"/>
    <row r="20549" s="197" customFormat="1" ht="12.75" x14ac:dyDescent="0.2"/>
    <row r="20550" s="197" customFormat="1" ht="12.75" x14ac:dyDescent="0.2"/>
    <row r="20551" s="197" customFormat="1" ht="12.75" x14ac:dyDescent="0.2"/>
    <row r="20552" s="197" customFormat="1" ht="12.75" x14ac:dyDescent="0.2"/>
    <row r="20553" s="197" customFormat="1" ht="12.75" x14ac:dyDescent="0.2"/>
    <row r="20554" s="197" customFormat="1" ht="12.75" x14ac:dyDescent="0.2"/>
    <row r="20555" s="197" customFormat="1" ht="12.75" x14ac:dyDescent="0.2"/>
    <row r="20556" s="197" customFormat="1" ht="12.75" x14ac:dyDescent="0.2"/>
    <row r="20557" s="197" customFormat="1" ht="12.75" x14ac:dyDescent="0.2"/>
    <row r="20558" s="197" customFormat="1" ht="12.75" x14ac:dyDescent="0.2"/>
    <row r="20559" s="197" customFormat="1" ht="12.75" x14ac:dyDescent="0.2"/>
    <row r="20560" s="197" customFormat="1" ht="12.75" x14ac:dyDescent="0.2"/>
    <row r="20561" s="197" customFormat="1" ht="12.75" x14ac:dyDescent="0.2"/>
    <row r="20562" s="197" customFormat="1" ht="12.75" x14ac:dyDescent="0.2"/>
    <row r="20563" s="197" customFormat="1" ht="12.75" x14ac:dyDescent="0.2"/>
    <row r="20564" s="197" customFormat="1" ht="12.75" x14ac:dyDescent="0.2"/>
    <row r="20565" s="197" customFormat="1" ht="12.75" x14ac:dyDescent="0.2"/>
    <row r="20566" s="197" customFormat="1" ht="12.75" x14ac:dyDescent="0.2"/>
    <row r="20567" s="197" customFormat="1" ht="12.75" x14ac:dyDescent="0.2"/>
    <row r="20568" s="197" customFormat="1" ht="12.75" x14ac:dyDescent="0.2"/>
    <row r="20569" s="197" customFormat="1" ht="12.75" x14ac:dyDescent="0.2"/>
    <row r="20570" s="197" customFormat="1" ht="12.75" x14ac:dyDescent="0.2"/>
    <row r="20571" s="197" customFormat="1" ht="12.75" x14ac:dyDescent="0.2"/>
    <row r="20572" s="197" customFormat="1" ht="12.75" x14ac:dyDescent="0.2"/>
    <row r="20573" s="197" customFormat="1" ht="12.75" x14ac:dyDescent="0.2"/>
    <row r="20574" s="197" customFormat="1" ht="12.75" x14ac:dyDescent="0.2"/>
    <row r="20575" s="197" customFormat="1" ht="12.75" x14ac:dyDescent="0.2"/>
    <row r="20576" s="197" customFormat="1" ht="12.75" x14ac:dyDescent="0.2"/>
    <row r="20577" s="197" customFormat="1" ht="12.75" x14ac:dyDescent="0.2"/>
    <row r="20578" s="197" customFormat="1" ht="12.75" x14ac:dyDescent="0.2"/>
    <row r="20579" s="197" customFormat="1" ht="12.75" x14ac:dyDescent="0.2"/>
    <row r="20580" s="197" customFormat="1" ht="12.75" x14ac:dyDescent="0.2"/>
    <row r="20581" s="197" customFormat="1" ht="12.75" x14ac:dyDescent="0.2"/>
    <row r="20582" s="197" customFormat="1" ht="12.75" x14ac:dyDescent="0.2"/>
    <row r="20583" s="197" customFormat="1" ht="12.75" x14ac:dyDescent="0.2"/>
    <row r="20584" s="197" customFormat="1" ht="12.75" x14ac:dyDescent="0.2"/>
    <row r="20585" s="197" customFormat="1" ht="12.75" x14ac:dyDescent="0.2"/>
    <row r="20586" s="197" customFormat="1" ht="12.75" x14ac:dyDescent="0.2"/>
    <row r="20587" s="197" customFormat="1" ht="12.75" x14ac:dyDescent="0.2"/>
    <row r="20588" s="197" customFormat="1" ht="12.75" x14ac:dyDescent="0.2"/>
    <row r="20589" s="197" customFormat="1" ht="12.75" x14ac:dyDescent="0.2"/>
    <row r="20590" s="197" customFormat="1" ht="12.75" x14ac:dyDescent="0.2"/>
    <row r="20591" s="197" customFormat="1" ht="12.75" x14ac:dyDescent="0.2"/>
    <row r="20592" s="197" customFormat="1" ht="12.75" x14ac:dyDescent="0.2"/>
    <row r="20593" s="197" customFormat="1" ht="12.75" x14ac:dyDescent="0.2"/>
    <row r="20594" s="197" customFormat="1" ht="12.75" x14ac:dyDescent="0.2"/>
    <row r="20595" s="197" customFormat="1" ht="12.75" x14ac:dyDescent="0.2"/>
    <row r="20596" s="197" customFormat="1" ht="12.75" x14ac:dyDescent="0.2"/>
    <row r="20597" s="197" customFormat="1" ht="12.75" x14ac:dyDescent="0.2"/>
    <row r="20598" s="197" customFormat="1" ht="12.75" x14ac:dyDescent="0.2"/>
    <row r="20599" s="197" customFormat="1" ht="12.75" x14ac:dyDescent="0.2"/>
    <row r="20600" s="197" customFormat="1" ht="12.75" x14ac:dyDescent="0.2"/>
    <row r="20601" s="197" customFormat="1" ht="12.75" x14ac:dyDescent="0.2"/>
    <row r="20602" s="197" customFormat="1" ht="12.75" x14ac:dyDescent="0.2"/>
    <row r="20603" s="197" customFormat="1" ht="12.75" x14ac:dyDescent="0.2"/>
    <row r="20604" s="197" customFormat="1" ht="12.75" x14ac:dyDescent="0.2"/>
    <row r="20605" s="197" customFormat="1" ht="12.75" x14ac:dyDescent="0.2"/>
    <row r="20606" s="197" customFormat="1" ht="12.75" x14ac:dyDescent="0.2"/>
    <row r="20607" s="197" customFormat="1" ht="12.75" x14ac:dyDescent="0.2"/>
    <row r="20608" s="197" customFormat="1" ht="12.75" x14ac:dyDescent="0.2"/>
    <row r="20609" s="197" customFormat="1" ht="12.75" x14ac:dyDescent="0.2"/>
    <row r="20610" s="197" customFormat="1" ht="12.75" x14ac:dyDescent="0.2"/>
    <row r="20611" s="197" customFormat="1" ht="12.75" x14ac:dyDescent="0.2"/>
    <row r="20612" s="197" customFormat="1" ht="12.75" x14ac:dyDescent="0.2"/>
    <row r="20613" s="197" customFormat="1" ht="12.75" x14ac:dyDescent="0.2"/>
    <row r="20614" s="197" customFormat="1" ht="12.75" x14ac:dyDescent="0.2"/>
    <row r="20615" s="197" customFormat="1" ht="12.75" x14ac:dyDescent="0.2"/>
    <row r="20616" s="197" customFormat="1" ht="12.75" x14ac:dyDescent="0.2"/>
    <row r="20617" s="197" customFormat="1" ht="12.75" x14ac:dyDescent="0.2"/>
    <row r="20618" s="197" customFormat="1" ht="12.75" x14ac:dyDescent="0.2"/>
    <row r="20619" s="197" customFormat="1" ht="12.75" x14ac:dyDescent="0.2"/>
    <row r="20620" s="197" customFormat="1" ht="12.75" x14ac:dyDescent="0.2"/>
    <row r="20621" s="197" customFormat="1" ht="12.75" x14ac:dyDescent="0.2"/>
    <row r="20622" s="197" customFormat="1" ht="12.75" x14ac:dyDescent="0.2"/>
    <row r="20623" s="197" customFormat="1" ht="12.75" x14ac:dyDescent="0.2"/>
    <row r="20624" s="197" customFormat="1" ht="12.75" x14ac:dyDescent="0.2"/>
    <row r="20625" s="197" customFormat="1" ht="12.75" x14ac:dyDescent="0.2"/>
    <row r="20626" s="197" customFormat="1" ht="12.75" x14ac:dyDescent="0.2"/>
    <row r="20627" s="197" customFormat="1" ht="12.75" x14ac:dyDescent="0.2"/>
    <row r="20628" s="197" customFormat="1" ht="12.75" x14ac:dyDescent="0.2"/>
    <row r="20629" s="197" customFormat="1" ht="12.75" x14ac:dyDescent="0.2"/>
    <row r="20630" s="197" customFormat="1" ht="12.75" x14ac:dyDescent="0.2"/>
    <row r="20631" s="197" customFormat="1" ht="12.75" x14ac:dyDescent="0.2"/>
    <row r="20632" s="197" customFormat="1" ht="12.75" x14ac:dyDescent="0.2"/>
    <row r="20633" s="197" customFormat="1" ht="12.75" x14ac:dyDescent="0.2"/>
    <row r="20634" s="197" customFormat="1" ht="12.75" x14ac:dyDescent="0.2"/>
    <row r="20635" s="197" customFormat="1" ht="12.75" x14ac:dyDescent="0.2"/>
    <row r="20636" s="197" customFormat="1" ht="12.75" x14ac:dyDescent="0.2"/>
    <row r="20637" s="197" customFormat="1" ht="12.75" x14ac:dyDescent="0.2"/>
    <row r="20638" s="197" customFormat="1" ht="12.75" x14ac:dyDescent="0.2"/>
    <row r="20639" s="197" customFormat="1" ht="12.75" x14ac:dyDescent="0.2"/>
    <row r="20640" s="197" customFormat="1" ht="12.75" x14ac:dyDescent="0.2"/>
    <row r="20641" s="197" customFormat="1" ht="12.75" x14ac:dyDescent="0.2"/>
    <row r="20642" s="197" customFormat="1" ht="12.75" x14ac:dyDescent="0.2"/>
    <row r="20643" s="197" customFormat="1" ht="12.75" x14ac:dyDescent="0.2"/>
    <row r="20644" s="197" customFormat="1" ht="12.75" x14ac:dyDescent="0.2"/>
    <row r="20645" s="197" customFormat="1" ht="12.75" x14ac:dyDescent="0.2"/>
    <row r="20646" s="197" customFormat="1" ht="12.75" x14ac:dyDescent="0.2"/>
    <row r="20647" s="197" customFormat="1" ht="12.75" x14ac:dyDescent="0.2"/>
    <row r="20648" s="197" customFormat="1" ht="12.75" x14ac:dyDescent="0.2"/>
    <row r="20649" s="197" customFormat="1" ht="12.75" x14ac:dyDescent="0.2"/>
    <row r="20650" s="197" customFormat="1" ht="12.75" x14ac:dyDescent="0.2"/>
    <row r="20651" s="197" customFormat="1" ht="12.75" x14ac:dyDescent="0.2"/>
    <row r="20652" s="197" customFormat="1" ht="12.75" x14ac:dyDescent="0.2"/>
    <row r="20653" s="197" customFormat="1" ht="12.75" x14ac:dyDescent="0.2"/>
    <row r="20654" s="197" customFormat="1" ht="12.75" x14ac:dyDescent="0.2"/>
    <row r="20655" s="197" customFormat="1" ht="12.75" x14ac:dyDescent="0.2"/>
    <row r="20656" s="197" customFormat="1" ht="12.75" x14ac:dyDescent="0.2"/>
    <row r="20657" s="197" customFormat="1" ht="12.75" x14ac:dyDescent="0.2"/>
    <row r="20658" s="197" customFormat="1" ht="12.75" x14ac:dyDescent="0.2"/>
    <row r="20659" s="197" customFormat="1" ht="12.75" x14ac:dyDescent="0.2"/>
    <row r="20660" s="197" customFormat="1" ht="12.75" x14ac:dyDescent="0.2"/>
    <row r="20661" s="197" customFormat="1" ht="12.75" x14ac:dyDescent="0.2"/>
    <row r="20662" s="197" customFormat="1" ht="12.75" x14ac:dyDescent="0.2"/>
    <row r="20663" s="197" customFormat="1" ht="12.75" x14ac:dyDescent="0.2"/>
    <row r="20664" s="197" customFormat="1" ht="12.75" x14ac:dyDescent="0.2"/>
    <row r="20665" s="197" customFormat="1" ht="12.75" x14ac:dyDescent="0.2"/>
    <row r="20666" s="197" customFormat="1" ht="12.75" x14ac:dyDescent="0.2"/>
    <row r="20667" s="197" customFormat="1" ht="12.75" x14ac:dyDescent="0.2"/>
    <row r="20668" s="197" customFormat="1" ht="12.75" x14ac:dyDescent="0.2"/>
    <row r="20669" s="197" customFormat="1" ht="12.75" x14ac:dyDescent="0.2"/>
    <row r="20670" s="197" customFormat="1" ht="12.75" x14ac:dyDescent="0.2"/>
    <row r="20671" s="197" customFormat="1" ht="12.75" x14ac:dyDescent="0.2"/>
    <row r="20672" s="197" customFormat="1" ht="12.75" x14ac:dyDescent="0.2"/>
    <row r="20673" s="197" customFormat="1" ht="12.75" x14ac:dyDescent="0.2"/>
    <row r="20674" s="197" customFormat="1" ht="12.75" x14ac:dyDescent="0.2"/>
    <row r="20675" s="197" customFormat="1" ht="12.75" x14ac:dyDescent="0.2"/>
    <row r="20676" s="197" customFormat="1" ht="12.75" x14ac:dyDescent="0.2"/>
    <row r="20677" s="197" customFormat="1" ht="12.75" x14ac:dyDescent="0.2"/>
    <row r="20678" s="197" customFormat="1" ht="12.75" x14ac:dyDescent="0.2"/>
    <row r="20679" s="197" customFormat="1" ht="12.75" x14ac:dyDescent="0.2"/>
    <row r="20680" s="197" customFormat="1" ht="12.75" x14ac:dyDescent="0.2"/>
    <row r="20681" s="197" customFormat="1" ht="12.75" x14ac:dyDescent="0.2"/>
    <row r="20682" s="197" customFormat="1" ht="12.75" x14ac:dyDescent="0.2"/>
    <row r="20683" s="197" customFormat="1" ht="12.75" x14ac:dyDescent="0.2"/>
    <row r="20684" s="197" customFormat="1" ht="12.75" x14ac:dyDescent="0.2"/>
    <row r="20685" s="197" customFormat="1" ht="12.75" x14ac:dyDescent="0.2"/>
    <row r="20686" s="197" customFormat="1" ht="12.75" x14ac:dyDescent="0.2"/>
    <row r="20687" s="197" customFormat="1" ht="12.75" x14ac:dyDescent="0.2"/>
    <row r="20688" s="197" customFormat="1" ht="12.75" x14ac:dyDescent="0.2"/>
    <row r="20689" s="197" customFormat="1" ht="12.75" x14ac:dyDescent="0.2"/>
    <row r="20690" s="197" customFormat="1" ht="12.75" x14ac:dyDescent="0.2"/>
    <row r="20691" s="197" customFormat="1" ht="12.75" x14ac:dyDescent="0.2"/>
    <row r="20692" s="197" customFormat="1" ht="12.75" x14ac:dyDescent="0.2"/>
    <row r="20693" s="197" customFormat="1" ht="12.75" x14ac:dyDescent="0.2"/>
    <row r="20694" s="197" customFormat="1" ht="12.75" x14ac:dyDescent="0.2"/>
    <row r="20695" s="197" customFormat="1" ht="12.75" x14ac:dyDescent="0.2"/>
    <row r="20696" s="197" customFormat="1" ht="12.75" x14ac:dyDescent="0.2"/>
    <row r="20697" s="197" customFormat="1" ht="12.75" x14ac:dyDescent="0.2"/>
    <row r="20698" s="197" customFormat="1" ht="12.75" x14ac:dyDescent="0.2"/>
    <row r="20699" s="197" customFormat="1" ht="12.75" x14ac:dyDescent="0.2"/>
    <row r="20700" s="197" customFormat="1" ht="12.75" x14ac:dyDescent="0.2"/>
    <row r="20701" s="197" customFormat="1" ht="12.75" x14ac:dyDescent="0.2"/>
    <row r="20702" s="197" customFormat="1" ht="12.75" x14ac:dyDescent="0.2"/>
    <row r="20703" s="197" customFormat="1" ht="12.75" x14ac:dyDescent="0.2"/>
    <row r="20704" s="197" customFormat="1" ht="12.75" x14ac:dyDescent="0.2"/>
    <row r="20705" s="197" customFormat="1" ht="12.75" x14ac:dyDescent="0.2"/>
    <row r="20706" s="197" customFormat="1" ht="12.75" x14ac:dyDescent="0.2"/>
    <row r="20707" s="197" customFormat="1" ht="12.75" x14ac:dyDescent="0.2"/>
    <row r="20708" s="197" customFormat="1" ht="12.75" x14ac:dyDescent="0.2"/>
    <row r="20709" s="197" customFormat="1" ht="12.75" x14ac:dyDescent="0.2"/>
    <row r="20710" s="197" customFormat="1" ht="12.75" x14ac:dyDescent="0.2"/>
    <row r="20711" s="197" customFormat="1" ht="12.75" x14ac:dyDescent="0.2"/>
    <row r="20712" s="197" customFormat="1" ht="12.75" x14ac:dyDescent="0.2"/>
    <row r="20713" s="197" customFormat="1" ht="12.75" x14ac:dyDescent="0.2"/>
    <row r="20714" s="197" customFormat="1" ht="12.75" x14ac:dyDescent="0.2"/>
    <row r="20715" s="197" customFormat="1" ht="12.75" x14ac:dyDescent="0.2"/>
    <row r="20716" s="197" customFormat="1" ht="12.75" x14ac:dyDescent="0.2"/>
    <row r="20717" s="197" customFormat="1" ht="12.75" x14ac:dyDescent="0.2"/>
    <row r="20718" s="197" customFormat="1" ht="12.75" x14ac:dyDescent="0.2"/>
    <row r="20719" s="197" customFormat="1" ht="12.75" x14ac:dyDescent="0.2"/>
    <row r="20720" s="197" customFormat="1" ht="12.75" x14ac:dyDescent="0.2"/>
    <row r="20721" s="197" customFormat="1" ht="12.75" x14ac:dyDescent="0.2"/>
    <row r="20722" s="197" customFormat="1" ht="12.75" x14ac:dyDescent="0.2"/>
    <row r="20723" s="197" customFormat="1" ht="12.75" x14ac:dyDescent="0.2"/>
    <row r="20724" s="197" customFormat="1" ht="12.75" x14ac:dyDescent="0.2"/>
    <row r="20725" s="197" customFormat="1" ht="12.75" x14ac:dyDescent="0.2"/>
    <row r="20726" s="197" customFormat="1" ht="12.75" x14ac:dyDescent="0.2"/>
    <row r="20727" s="197" customFormat="1" ht="12.75" x14ac:dyDescent="0.2"/>
    <row r="20728" s="197" customFormat="1" ht="12.75" x14ac:dyDescent="0.2"/>
    <row r="20729" s="197" customFormat="1" ht="12.75" x14ac:dyDescent="0.2"/>
    <row r="20730" s="197" customFormat="1" ht="12.75" x14ac:dyDescent="0.2"/>
    <row r="20731" s="197" customFormat="1" ht="12.75" x14ac:dyDescent="0.2"/>
    <row r="20732" s="197" customFormat="1" ht="12.75" x14ac:dyDescent="0.2"/>
    <row r="20733" s="197" customFormat="1" ht="12.75" x14ac:dyDescent="0.2"/>
    <row r="20734" s="197" customFormat="1" ht="12.75" x14ac:dyDescent="0.2"/>
    <row r="20735" s="197" customFormat="1" ht="12.75" x14ac:dyDescent="0.2"/>
    <row r="20736" s="197" customFormat="1" ht="12.75" x14ac:dyDescent="0.2"/>
    <row r="20737" s="197" customFormat="1" ht="12.75" x14ac:dyDescent="0.2"/>
    <row r="20738" s="197" customFormat="1" ht="12.75" x14ac:dyDescent="0.2"/>
    <row r="20739" s="197" customFormat="1" ht="12.75" x14ac:dyDescent="0.2"/>
    <row r="20740" s="197" customFormat="1" ht="12.75" x14ac:dyDescent="0.2"/>
    <row r="20741" s="197" customFormat="1" ht="12.75" x14ac:dyDescent="0.2"/>
    <row r="20742" s="197" customFormat="1" ht="12.75" x14ac:dyDescent="0.2"/>
    <row r="20743" s="197" customFormat="1" ht="12.75" x14ac:dyDescent="0.2"/>
    <row r="20744" s="197" customFormat="1" ht="12.75" x14ac:dyDescent="0.2"/>
    <row r="20745" s="197" customFormat="1" ht="12.75" x14ac:dyDescent="0.2"/>
    <row r="20746" s="197" customFormat="1" ht="12.75" x14ac:dyDescent="0.2"/>
    <row r="20747" s="197" customFormat="1" ht="12.75" x14ac:dyDescent="0.2"/>
    <row r="20748" s="197" customFormat="1" ht="12.75" x14ac:dyDescent="0.2"/>
    <row r="20749" s="197" customFormat="1" ht="12.75" x14ac:dyDescent="0.2"/>
    <row r="20750" s="197" customFormat="1" ht="12.75" x14ac:dyDescent="0.2"/>
    <row r="20751" s="197" customFormat="1" ht="12.75" x14ac:dyDescent="0.2"/>
    <row r="20752" s="197" customFormat="1" ht="12.75" x14ac:dyDescent="0.2"/>
    <row r="20753" s="197" customFormat="1" ht="12.75" x14ac:dyDescent="0.2"/>
    <row r="20754" s="197" customFormat="1" ht="12.75" x14ac:dyDescent="0.2"/>
    <row r="20755" s="197" customFormat="1" ht="12.75" x14ac:dyDescent="0.2"/>
    <row r="20756" s="197" customFormat="1" ht="12.75" x14ac:dyDescent="0.2"/>
    <row r="20757" s="197" customFormat="1" ht="12.75" x14ac:dyDescent="0.2"/>
    <row r="20758" s="197" customFormat="1" ht="12.75" x14ac:dyDescent="0.2"/>
    <row r="20759" s="197" customFormat="1" ht="12.75" x14ac:dyDescent="0.2"/>
    <row r="20760" s="197" customFormat="1" ht="12.75" x14ac:dyDescent="0.2"/>
    <row r="20761" s="197" customFormat="1" ht="12.75" x14ac:dyDescent="0.2"/>
    <row r="20762" s="197" customFormat="1" ht="12.75" x14ac:dyDescent="0.2"/>
    <row r="20763" s="197" customFormat="1" ht="12.75" x14ac:dyDescent="0.2"/>
    <row r="20764" s="197" customFormat="1" ht="12.75" x14ac:dyDescent="0.2"/>
    <row r="20765" s="197" customFormat="1" ht="12.75" x14ac:dyDescent="0.2"/>
    <row r="20766" s="197" customFormat="1" ht="12.75" x14ac:dyDescent="0.2"/>
    <row r="20767" s="197" customFormat="1" ht="12.75" x14ac:dyDescent="0.2"/>
    <row r="20768" s="197" customFormat="1" ht="12.75" x14ac:dyDescent="0.2"/>
    <row r="20769" s="197" customFormat="1" ht="12.75" x14ac:dyDescent="0.2"/>
    <row r="20770" s="197" customFormat="1" ht="12.75" x14ac:dyDescent="0.2"/>
    <row r="20771" s="197" customFormat="1" ht="12.75" x14ac:dyDescent="0.2"/>
    <row r="20772" s="197" customFormat="1" ht="12.75" x14ac:dyDescent="0.2"/>
    <row r="20773" s="197" customFormat="1" ht="12.75" x14ac:dyDescent="0.2"/>
    <row r="20774" s="197" customFormat="1" ht="12.75" x14ac:dyDescent="0.2"/>
    <row r="20775" s="197" customFormat="1" ht="12.75" x14ac:dyDescent="0.2"/>
    <row r="20776" s="197" customFormat="1" ht="12.75" x14ac:dyDescent="0.2"/>
    <row r="20777" s="197" customFormat="1" ht="12.75" x14ac:dyDescent="0.2"/>
    <row r="20778" s="197" customFormat="1" ht="12.75" x14ac:dyDescent="0.2"/>
    <row r="20779" s="197" customFormat="1" ht="12.75" x14ac:dyDescent="0.2"/>
    <row r="20780" s="197" customFormat="1" ht="12.75" x14ac:dyDescent="0.2"/>
    <row r="20781" s="197" customFormat="1" ht="12.75" x14ac:dyDescent="0.2"/>
    <row r="20782" s="197" customFormat="1" ht="12.75" x14ac:dyDescent="0.2"/>
    <row r="20783" s="197" customFormat="1" ht="12.75" x14ac:dyDescent="0.2"/>
    <row r="20784" s="197" customFormat="1" ht="12.75" x14ac:dyDescent="0.2"/>
    <row r="20785" s="197" customFormat="1" ht="12.75" x14ac:dyDescent="0.2"/>
    <row r="20786" s="197" customFormat="1" ht="12.75" x14ac:dyDescent="0.2"/>
    <row r="20787" s="197" customFormat="1" ht="12.75" x14ac:dyDescent="0.2"/>
    <row r="20788" s="197" customFormat="1" ht="12.75" x14ac:dyDescent="0.2"/>
    <row r="20789" s="197" customFormat="1" ht="12.75" x14ac:dyDescent="0.2"/>
    <row r="20790" s="197" customFormat="1" ht="12.75" x14ac:dyDescent="0.2"/>
    <row r="20791" s="197" customFormat="1" ht="12.75" x14ac:dyDescent="0.2"/>
    <row r="20792" s="197" customFormat="1" ht="12.75" x14ac:dyDescent="0.2"/>
    <row r="20793" s="197" customFormat="1" ht="12.75" x14ac:dyDescent="0.2"/>
    <row r="20794" s="197" customFormat="1" ht="12.75" x14ac:dyDescent="0.2"/>
    <row r="20795" s="197" customFormat="1" ht="12.75" x14ac:dyDescent="0.2"/>
    <row r="20796" s="197" customFormat="1" ht="12.75" x14ac:dyDescent="0.2"/>
    <row r="20797" s="197" customFormat="1" ht="12.75" x14ac:dyDescent="0.2"/>
    <row r="20798" s="197" customFormat="1" ht="12.75" x14ac:dyDescent="0.2"/>
    <row r="20799" s="197" customFormat="1" ht="12.75" x14ac:dyDescent="0.2"/>
    <row r="20800" s="197" customFormat="1" ht="12.75" x14ac:dyDescent="0.2"/>
    <row r="20801" s="197" customFormat="1" ht="12.75" x14ac:dyDescent="0.2"/>
    <row r="20802" s="197" customFormat="1" ht="12.75" x14ac:dyDescent="0.2"/>
    <row r="20803" s="197" customFormat="1" ht="12.75" x14ac:dyDescent="0.2"/>
    <row r="20804" s="197" customFormat="1" ht="12.75" x14ac:dyDescent="0.2"/>
    <row r="20805" s="197" customFormat="1" ht="12.75" x14ac:dyDescent="0.2"/>
    <row r="20806" s="197" customFormat="1" ht="12.75" x14ac:dyDescent="0.2"/>
    <row r="20807" s="197" customFormat="1" ht="12.75" x14ac:dyDescent="0.2"/>
    <row r="20808" s="197" customFormat="1" ht="12.75" x14ac:dyDescent="0.2"/>
    <row r="20809" s="197" customFormat="1" ht="12.75" x14ac:dyDescent="0.2"/>
    <row r="20810" s="197" customFormat="1" ht="12.75" x14ac:dyDescent="0.2"/>
    <row r="20811" s="197" customFormat="1" ht="12.75" x14ac:dyDescent="0.2"/>
    <row r="20812" s="197" customFormat="1" ht="12.75" x14ac:dyDescent="0.2"/>
    <row r="20813" s="197" customFormat="1" ht="12.75" x14ac:dyDescent="0.2"/>
    <row r="20814" s="197" customFormat="1" ht="12.75" x14ac:dyDescent="0.2"/>
    <row r="20815" s="197" customFormat="1" ht="12.75" x14ac:dyDescent="0.2"/>
    <row r="20816" s="197" customFormat="1" ht="12.75" x14ac:dyDescent="0.2"/>
    <row r="20817" s="197" customFormat="1" ht="12.75" x14ac:dyDescent="0.2"/>
    <row r="20818" s="197" customFormat="1" ht="12.75" x14ac:dyDescent="0.2"/>
    <row r="20819" s="197" customFormat="1" ht="12.75" x14ac:dyDescent="0.2"/>
    <row r="20820" s="197" customFormat="1" ht="12.75" x14ac:dyDescent="0.2"/>
    <row r="20821" s="197" customFormat="1" ht="12.75" x14ac:dyDescent="0.2"/>
    <row r="20822" s="197" customFormat="1" ht="12.75" x14ac:dyDescent="0.2"/>
    <row r="20823" s="197" customFormat="1" ht="12.75" x14ac:dyDescent="0.2"/>
    <row r="20824" s="197" customFormat="1" ht="12.75" x14ac:dyDescent="0.2"/>
    <row r="20825" s="197" customFormat="1" ht="12.75" x14ac:dyDescent="0.2"/>
    <row r="20826" s="197" customFormat="1" ht="12.75" x14ac:dyDescent="0.2"/>
    <row r="20827" s="197" customFormat="1" ht="12.75" x14ac:dyDescent="0.2"/>
    <row r="20828" s="197" customFormat="1" ht="12.75" x14ac:dyDescent="0.2"/>
    <row r="20829" s="197" customFormat="1" ht="12.75" x14ac:dyDescent="0.2"/>
    <row r="20830" s="197" customFormat="1" ht="12.75" x14ac:dyDescent="0.2"/>
    <row r="20831" s="197" customFormat="1" ht="12.75" x14ac:dyDescent="0.2"/>
    <row r="20832" s="197" customFormat="1" ht="12.75" x14ac:dyDescent="0.2"/>
    <row r="20833" s="197" customFormat="1" ht="12.75" x14ac:dyDescent="0.2"/>
    <row r="20834" s="197" customFormat="1" ht="12.75" x14ac:dyDescent="0.2"/>
    <row r="20835" s="197" customFormat="1" ht="12.75" x14ac:dyDescent="0.2"/>
    <row r="20836" s="197" customFormat="1" ht="12.75" x14ac:dyDescent="0.2"/>
    <row r="20837" s="197" customFormat="1" ht="12.75" x14ac:dyDescent="0.2"/>
    <row r="20838" s="197" customFormat="1" ht="12.75" x14ac:dyDescent="0.2"/>
    <row r="20839" s="197" customFormat="1" ht="12.75" x14ac:dyDescent="0.2"/>
    <row r="20840" s="197" customFormat="1" ht="12.75" x14ac:dyDescent="0.2"/>
    <row r="20841" s="197" customFormat="1" ht="12.75" x14ac:dyDescent="0.2"/>
    <row r="20842" s="197" customFormat="1" ht="12.75" x14ac:dyDescent="0.2"/>
    <row r="20843" s="197" customFormat="1" ht="12.75" x14ac:dyDescent="0.2"/>
    <row r="20844" s="197" customFormat="1" ht="12.75" x14ac:dyDescent="0.2"/>
    <row r="20845" s="197" customFormat="1" ht="12.75" x14ac:dyDescent="0.2"/>
    <row r="20846" s="197" customFormat="1" ht="12.75" x14ac:dyDescent="0.2"/>
    <row r="20847" s="197" customFormat="1" ht="12.75" x14ac:dyDescent="0.2"/>
    <row r="20848" s="197" customFormat="1" ht="12.75" x14ac:dyDescent="0.2"/>
    <row r="20849" s="197" customFormat="1" ht="12.75" x14ac:dyDescent="0.2"/>
    <row r="20850" s="197" customFormat="1" ht="12.75" x14ac:dyDescent="0.2"/>
    <row r="20851" s="197" customFormat="1" ht="12.75" x14ac:dyDescent="0.2"/>
    <row r="20852" s="197" customFormat="1" ht="12.75" x14ac:dyDescent="0.2"/>
    <row r="20853" s="197" customFormat="1" ht="12.75" x14ac:dyDescent="0.2"/>
    <row r="20854" s="197" customFormat="1" ht="12.75" x14ac:dyDescent="0.2"/>
    <row r="20855" s="197" customFormat="1" ht="12.75" x14ac:dyDescent="0.2"/>
    <row r="20856" s="197" customFormat="1" ht="12.75" x14ac:dyDescent="0.2"/>
    <row r="20857" s="197" customFormat="1" ht="12.75" x14ac:dyDescent="0.2"/>
    <row r="20858" s="197" customFormat="1" ht="12.75" x14ac:dyDescent="0.2"/>
    <row r="20859" s="197" customFormat="1" ht="12.75" x14ac:dyDescent="0.2"/>
    <row r="20860" s="197" customFormat="1" ht="12.75" x14ac:dyDescent="0.2"/>
    <row r="20861" s="197" customFormat="1" ht="12.75" x14ac:dyDescent="0.2"/>
    <row r="20862" s="197" customFormat="1" ht="12.75" x14ac:dyDescent="0.2"/>
    <row r="20863" s="197" customFormat="1" ht="12.75" x14ac:dyDescent="0.2"/>
    <row r="20864" s="197" customFormat="1" ht="12.75" x14ac:dyDescent="0.2"/>
    <row r="20865" s="197" customFormat="1" ht="12.75" x14ac:dyDescent="0.2"/>
    <row r="20866" s="197" customFormat="1" ht="12.75" x14ac:dyDescent="0.2"/>
    <row r="20867" s="197" customFormat="1" ht="12.75" x14ac:dyDescent="0.2"/>
    <row r="20868" s="197" customFormat="1" ht="12.75" x14ac:dyDescent="0.2"/>
    <row r="20869" s="197" customFormat="1" ht="12.75" x14ac:dyDescent="0.2"/>
    <row r="20870" s="197" customFormat="1" ht="12.75" x14ac:dyDescent="0.2"/>
    <row r="20871" s="197" customFormat="1" ht="12.75" x14ac:dyDescent="0.2"/>
    <row r="20872" s="197" customFormat="1" ht="12.75" x14ac:dyDescent="0.2"/>
    <row r="20873" s="197" customFormat="1" ht="12.75" x14ac:dyDescent="0.2"/>
    <row r="20874" s="197" customFormat="1" ht="12.75" x14ac:dyDescent="0.2"/>
    <row r="20875" s="197" customFormat="1" ht="12.75" x14ac:dyDescent="0.2"/>
    <row r="20876" s="197" customFormat="1" ht="12.75" x14ac:dyDescent="0.2"/>
    <row r="20877" s="197" customFormat="1" ht="12.75" x14ac:dyDescent="0.2"/>
    <row r="20878" s="197" customFormat="1" ht="12.75" x14ac:dyDescent="0.2"/>
    <row r="20879" s="197" customFormat="1" ht="12.75" x14ac:dyDescent="0.2"/>
    <row r="20880" s="197" customFormat="1" ht="12.75" x14ac:dyDescent="0.2"/>
    <row r="20881" s="197" customFormat="1" ht="12.75" x14ac:dyDescent="0.2"/>
    <row r="20882" s="197" customFormat="1" ht="12.75" x14ac:dyDescent="0.2"/>
    <row r="20883" s="197" customFormat="1" ht="12.75" x14ac:dyDescent="0.2"/>
    <row r="20884" s="197" customFormat="1" ht="12.75" x14ac:dyDescent="0.2"/>
    <row r="20885" s="197" customFormat="1" ht="12.75" x14ac:dyDescent="0.2"/>
    <row r="20886" s="197" customFormat="1" ht="12.75" x14ac:dyDescent="0.2"/>
    <row r="20887" s="197" customFormat="1" ht="12.75" x14ac:dyDescent="0.2"/>
    <row r="20888" s="197" customFormat="1" ht="12.75" x14ac:dyDescent="0.2"/>
    <row r="20889" s="197" customFormat="1" ht="12.75" x14ac:dyDescent="0.2"/>
    <row r="20890" s="197" customFormat="1" ht="12.75" x14ac:dyDescent="0.2"/>
    <row r="20891" s="197" customFormat="1" ht="12.75" x14ac:dyDescent="0.2"/>
    <row r="20892" s="197" customFormat="1" ht="12.75" x14ac:dyDescent="0.2"/>
    <row r="20893" s="197" customFormat="1" ht="12.75" x14ac:dyDescent="0.2"/>
    <row r="20894" s="197" customFormat="1" ht="12.75" x14ac:dyDescent="0.2"/>
    <row r="20895" s="197" customFormat="1" ht="12.75" x14ac:dyDescent="0.2"/>
    <row r="20896" s="197" customFormat="1" ht="12.75" x14ac:dyDescent="0.2"/>
    <row r="20897" s="197" customFormat="1" ht="12.75" x14ac:dyDescent="0.2"/>
    <row r="20898" s="197" customFormat="1" ht="12.75" x14ac:dyDescent="0.2"/>
    <row r="20899" s="197" customFormat="1" ht="12.75" x14ac:dyDescent="0.2"/>
    <row r="20900" s="197" customFormat="1" ht="12.75" x14ac:dyDescent="0.2"/>
    <row r="20901" s="197" customFormat="1" ht="12.75" x14ac:dyDescent="0.2"/>
    <row r="20902" s="197" customFormat="1" ht="12.75" x14ac:dyDescent="0.2"/>
    <row r="20903" s="197" customFormat="1" ht="12.75" x14ac:dyDescent="0.2"/>
    <row r="20904" s="197" customFormat="1" ht="12.75" x14ac:dyDescent="0.2"/>
    <row r="20905" s="197" customFormat="1" ht="12.75" x14ac:dyDescent="0.2"/>
    <row r="20906" s="197" customFormat="1" ht="12.75" x14ac:dyDescent="0.2"/>
    <row r="20907" s="197" customFormat="1" ht="12.75" x14ac:dyDescent="0.2"/>
    <row r="20908" s="197" customFormat="1" ht="12.75" x14ac:dyDescent="0.2"/>
    <row r="20909" s="197" customFormat="1" ht="12.75" x14ac:dyDescent="0.2"/>
    <row r="20910" s="197" customFormat="1" ht="12.75" x14ac:dyDescent="0.2"/>
    <row r="20911" s="197" customFormat="1" ht="12.75" x14ac:dyDescent="0.2"/>
    <row r="20912" s="197" customFormat="1" ht="12.75" x14ac:dyDescent="0.2"/>
    <row r="20913" s="197" customFormat="1" ht="12.75" x14ac:dyDescent="0.2"/>
    <row r="20914" s="197" customFormat="1" ht="12.75" x14ac:dyDescent="0.2"/>
    <row r="20915" s="197" customFormat="1" ht="12.75" x14ac:dyDescent="0.2"/>
    <row r="20916" s="197" customFormat="1" ht="12.75" x14ac:dyDescent="0.2"/>
    <row r="20917" s="197" customFormat="1" ht="12.75" x14ac:dyDescent="0.2"/>
    <row r="20918" s="197" customFormat="1" ht="12.75" x14ac:dyDescent="0.2"/>
    <row r="20919" s="197" customFormat="1" ht="12.75" x14ac:dyDescent="0.2"/>
    <row r="20920" s="197" customFormat="1" ht="12.75" x14ac:dyDescent="0.2"/>
    <row r="20921" s="197" customFormat="1" ht="12.75" x14ac:dyDescent="0.2"/>
    <row r="20922" s="197" customFormat="1" ht="12.75" x14ac:dyDescent="0.2"/>
    <row r="20923" s="197" customFormat="1" ht="12.75" x14ac:dyDescent="0.2"/>
    <row r="20924" s="197" customFormat="1" ht="12.75" x14ac:dyDescent="0.2"/>
    <row r="20925" s="197" customFormat="1" ht="12.75" x14ac:dyDescent="0.2"/>
    <row r="20926" s="197" customFormat="1" ht="12.75" x14ac:dyDescent="0.2"/>
    <row r="20927" s="197" customFormat="1" ht="12.75" x14ac:dyDescent="0.2"/>
    <row r="20928" s="197" customFormat="1" ht="12.75" x14ac:dyDescent="0.2"/>
    <row r="20929" s="197" customFormat="1" ht="12.75" x14ac:dyDescent="0.2"/>
    <row r="20930" s="197" customFormat="1" ht="12.75" x14ac:dyDescent="0.2"/>
    <row r="20931" s="197" customFormat="1" ht="12.75" x14ac:dyDescent="0.2"/>
    <row r="20932" s="197" customFormat="1" ht="12.75" x14ac:dyDescent="0.2"/>
    <row r="20933" s="197" customFormat="1" ht="12.75" x14ac:dyDescent="0.2"/>
    <row r="20934" s="197" customFormat="1" ht="12.75" x14ac:dyDescent="0.2"/>
    <row r="20935" s="197" customFormat="1" ht="12.75" x14ac:dyDescent="0.2"/>
    <row r="20936" s="197" customFormat="1" ht="12.75" x14ac:dyDescent="0.2"/>
    <row r="20937" s="197" customFormat="1" ht="12.75" x14ac:dyDescent="0.2"/>
    <row r="20938" s="197" customFormat="1" ht="12.75" x14ac:dyDescent="0.2"/>
    <row r="20939" s="197" customFormat="1" ht="12.75" x14ac:dyDescent="0.2"/>
    <row r="20940" s="197" customFormat="1" ht="12.75" x14ac:dyDescent="0.2"/>
    <row r="20941" s="197" customFormat="1" ht="12.75" x14ac:dyDescent="0.2"/>
    <row r="20942" s="197" customFormat="1" ht="12.75" x14ac:dyDescent="0.2"/>
    <row r="20943" s="197" customFormat="1" ht="12.75" x14ac:dyDescent="0.2"/>
    <row r="20944" s="197" customFormat="1" ht="12.75" x14ac:dyDescent="0.2"/>
    <row r="20945" s="197" customFormat="1" ht="12.75" x14ac:dyDescent="0.2"/>
    <row r="20946" s="197" customFormat="1" ht="12.75" x14ac:dyDescent="0.2"/>
    <row r="20947" s="197" customFormat="1" ht="12.75" x14ac:dyDescent="0.2"/>
    <row r="20948" s="197" customFormat="1" ht="12.75" x14ac:dyDescent="0.2"/>
    <row r="20949" s="197" customFormat="1" ht="12.75" x14ac:dyDescent="0.2"/>
    <row r="20950" s="197" customFormat="1" ht="12.75" x14ac:dyDescent="0.2"/>
    <row r="20951" s="197" customFormat="1" ht="12.75" x14ac:dyDescent="0.2"/>
    <row r="20952" s="197" customFormat="1" ht="12.75" x14ac:dyDescent="0.2"/>
    <row r="20953" s="197" customFormat="1" ht="12.75" x14ac:dyDescent="0.2"/>
    <row r="20954" s="197" customFormat="1" ht="12.75" x14ac:dyDescent="0.2"/>
    <row r="20955" s="197" customFormat="1" ht="12.75" x14ac:dyDescent="0.2"/>
    <row r="20956" s="197" customFormat="1" ht="12.75" x14ac:dyDescent="0.2"/>
    <row r="20957" s="197" customFormat="1" ht="12.75" x14ac:dyDescent="0.2"/>
    <row r="20958" s="197" customFormat="1" ht="12.75" x14ac:dyDescent="0.2"/>
    <row r="20959" s="197" customFormat="1" ht="12.75" x14ac:dyDescent="0.2"/>
    <row r="20960" s="197" customFormat="1" ht="12.75" x14ac:dyDescent="0.2"/>
    <row r="20961" s="197" customFormat="1" ht="12.75" x14ac:dyDescent="0.2"/>
    <row r="20962" s="197" customFormat="1" ht="12.75" x14ac:dyDescent="0.2"/>
    <row r="20963" s="197" customFormat="1" ht="12.75" x14ac:dyDescent="0.2"/>
    <row r="20964" s="197" customFormat="1" ht="12.75" x14ac:dyDescent="0.2"/>
    <row r="20965" s="197" customFormat="1" ht="12.75" x14ac:dyDescent="0.2"/>
    <row r="20966" s="197" customFormat="1" ht="12.75" x14ac:dyDescent="0.2"/>
    <row r="20967" s="197" customFormat="1" ht="12.75" x14ac:dyDescent="0.2"/>
    <row r="20968" s="197" customFormat="1" ht="12.75" x14ac:dyDescent="0.2"/>
    <row r="20969" s="197" customFormat="1" ht="12.75" x14ac:dyDescent="0.2"/>
    <row r="20970" s="197" customFormat="1" ht="12.75" x14ac:dyDescent="0.2"/>
    <row r="20971" s="197" customFormat="1" ht="12.75" x14ac:dyDescent="0.2"/>
    <row r="20972" s="197" customFormat="1" ht="12.75" x14ac:dyDescent="0.2"/>
    <row r="20973" s="197" customFormat="1" ht="12.75" x14ac:dyDescent="0.2"/>
    <row r="20974" s="197" customFormat="1" ht="12.75" x14ac:dyDescent="0.2"/>
    <row r="20975" s="197" customFormat="1" ht="12.75" x14ac:dyDescent="0.2"/>
    <row r="20976" s="197" customFormat="1" ht="12.75" x14ac:dyDescent="0.2"/>
    <row r="20977" s="197" customFormat="1" ht="12.75" x14ac:dyDescent="0.2"/>
    <row r="20978" s="197" customFormat="1" ht="12.75" x14ac:dyDescent="0.2"/>
    <row r="20979" s="197" customFormat="1" ht="12.75" x14ac:dyDescent="0.2"/>
    <row r="20980" s="197" customFormat="1" ht="12.75" x14ac:dyDescent="0.2"/>
    <row r="20981" s="197" customFormat="1" ht="12.75" x14ac:dyDescent="0.2"/>
    <row r="20982" s="197" customFormat="1" ht="12.75" x14ac:dyDescent="0.2"/>
    <row r="20983" s="197" customFormat="1" ht="12.75" x14ac:dyDescent="0.2"/>
    <row r="20984" s="197" customFormat="1" ht="12.75" x14ac:dyDescent="0.2"/>
    <row r="20985" s="197" customFormat="1" ht="12.75" x14ac:dyDescent="0.2"/>
    <row r="20986" s="197" customFormat="1" ht="12.75" x14ac:dyDescent="0.2"/>
    <row r="20987" s="197" customFormat="1" ht="12.75" x14ac:dyDescent="0.2"/>
    <row r="20988" s="197" customFormat="1" ht="12.75" x14ac:dyDescent="0.2"/>
    <row r="20989" s="197" customFormat="1" ht="12.75" x14ac:dyDescent="0.2"/>
    <row r="20990" s="197" customFormat="1" ht="12.75" x14ac:dyDescent="0.2"/>
    <row r="20991" s="197" customFormat="1" ht="12.75" x14ac:dyDescent="0.2"/>
    <row r="20992" s="197" customFormat="1" ht="12.75" x14ac:dyDescent="0.2"/>
    <row r="20993" s="197" customFormat="1" ht="12.75" x14ac:dyDescent="0.2"/>
    <row r="20994" s="197" customFormat="1" ht="12.75" x14ac:dyDescent="0.2"/>
    <row r="20995" s="197" customFormat="1" ht="12.75" x14ac:dyDescent="0.2"/>
    <row r="20996" s="197" customFormat="1" ht="12.75" x14ac:dyDescent="0.2"/>
    <row r="20997" s="197" customFormat="1" ht="12.75" x14ac:dyDescent="0.2"/>
    <row r="20998" s="197" customFormat="1" ht="12.75" x14ac:dyDescent="0.2"/>
    <row r="20999" s="197" customFormat="1" ht="12.75" x14ac:dyDescent="0.2"/>
    <row r="21000" s="197" customFormat="1" ht="12.75" x14ac:dyDescent="0.2"/>
    <row r="21001" s="197" customFormat="1" ht="12.75" x14ac:dyDescent="0.2"/>
    <row r="21002" s="197" customFormat="1" ht="12.75" x14ac:dyDescent="0.2"/>
    <row r="21003" s="197" customFormat="1" ht="12.75" x14ac:dyDescent="0.2"/>
    <row r="21004" s="197" customFormat="1" ht="12.75" x14ac:dyDescent="0.2"/>
    <row r="21005" s="197" customFormat="1" ht="12.75" x14ac:dyDescent="0.2"/>
    <row r="21006" s="197" customFormat="1" ht="12.75" x14ac:dyDescent="0.2"/>
    <row r="21007" s="197" customFormat="1" ht="12.75" x14ac:dyDescent="0.2"/>
    <row r="21008" s="197" customFormat="1" ht="12.75" x14ac:dyDescent="0.2"/>
    <row r="21009" s="197" customFormat="1" ht="12.75" x14ac:dyDescent="0.2"/>
    <row r="21010" s="197" customFormat="1" ht="12.75" x14ac:dyDescent="0.2"/>
    <row r="21011" s="197" customFormat="1" ht="12.75" x14ac:dyDescent="0.2"/>
    <row r="21012" s="197" customFormat="1" ht="12.75" x14ac:dyDescent="0.2"/>
    <row r="21013" s="197" customFormat="1" ht="12.75" x14ac:dyDescent="0.2"/>
    <row r="21014" s="197" customFormat="1" ht="12.75" x14ac:dyDescent="0.2"/>
    <row r="21015" s="197" customFormat="1" ht="12.75" x14ac:dyDescent="0.2"/>
    <row r="21016" s="197" customFormat="1" ht="12.75" x14ac:dyDescent="0.2"/>
    <row r="21017" s="197" customFormat="1" ht="12.75" x14ac:dyDescent="0.2"/>
    <row r="21018" s="197" customFormat="1" ht="12.75" x14ac:dyDescent="0.2"/>
    <row r="21019" s="197" customFormat="1" ht="12.75" x14ac:dyDescent="0.2"/>
    <row r="21020" s="197" customFormat="1" ht="12.75" x14ac:dyDescent="0.2"/>
    <row r="21021" s="197" customFormat="1" ht="12.75" x14ac:dyDescent="0.2"/>
    <row r="21022" s="197" customFormat="1" ht="12.75" x14ac:dyDescent="0.2"/>
    <row r="21023" s="197" customFormat="1" ht="12.75" x14ac:dyDescent="0.2"/>
    <row r="21024" s="197" customFormat="1" ht="12.75" x14ac:dyDescent="0.2"/>
    <row r="21025" s="197" customFormat="1" ht="12.75" x14ac:dyDescent="0.2"/>
    <row r="21026" s="197" customFormat="1" ht="12.75" x14ac:dyDescent="0.2"/>
    <row r="21027" s="197" customFormat="1" ht="12.75" x14ac:dyDescent="0.2"/>
    <row r="21028" s="197" customFormat="1" ht="12.75" x14ac:dyDescent="0.2"/>
    <row r="21029" s="197" customFormat="1" ht="12.75" x14ac:dyDescent="0.2"/>
    <row r="21030" s="197" customFormat="1" ht="12.75" x14ac:dyDescent="0.2"/>
    <row r="21031" s="197" customFormat="1" ht="12.75" x14ac:dyDescent="0.2"/>
    <row r="21032" s="197" customFormat="1" ht="12.75" x14ac:dyDescent="0.2"/>
    <row r="21033" s="197" customFormat="1" ht="12.75" x14ac:dyDescent="0.2"/>
    <row r="21034" s="197" customFormat="1" ht="12.75" x14ac:dyDescent="0.2"/>
    <row r="21035" s="197" customFormat="1" ht="12.75" x14ac:dyDescent="0.2"/>
    <row r="21036" s="197" customFormat="1" ht="12.75" x14ac:dyDescent="0.2"/>
    <row r="21037" s="197" customFormat="1" ht="12.75" x14ac:dyDescent="0.2"/>
    <row r="21038" s="197" customFormat="1" ht="12.75" x14ac:dyDescent="0.2"/>
    <row r="21039" s="197" customFormat="1" ht="12.75" x14ac:dyDescent="0.2"/>
    <row r="21040" s="197" customFormat="1" ht="12.75" x14ac:dyDescent="0.2"/>
    <row r="21041" s="197" customFormat="1" ht="12.75" x14ac:dyDescent="0.2"/>
    <row r="21042" s="197" customFormat="1" ht="12.75" x14ac:dyDescent="0.2"/>
    <row r="21043" s="197" customFormat="1" ht="12.75" x14ac:dyDescent="0.2"/>
    <row r="21044" s="197" customFormat="1" ht="12.75" x14ac:dyDescent="0.2"/>
    <row r="21045" s="197" customFormat="1" ht="12.75" x14ac:dyDescent="0.2"/>
    <row r="21046" s="197" customFormat="1" ht="12.75" x14ac:dyDescent="0.2"/>
    <row r="21047" s="197" customFormat="1" ht="12.75" x14ac:dyDescent="0.2"/>
    <row r="21048" s="197" customFormat="1" ht="12.75" x14ac:dyDescent="0.2"/>
    <row r="21049" s="197" customFormat="1" ht="12.75" x14ac:dyDescent="0.2"/>
    <row r="21050" s="197" customFormat="1" ht="12.75" x14ac:dyDescent="0.2"/>
    <row r="21051" s="197" customFormat="1" ht="12.75" x14ac:dyDescent="0.2"/>
    <row r="21052" s="197" customFormat="1" ht="12.75" x14ac:dyDescent="0.2"/>
    <row r="21053" s="197" customFormat="1" ht="12.75" x14ac:dyDescent="0.2"/>
    <row r="21054" s="197" customFormat="1" ht="12.75" x14ac:dyDescent="0.2"/>
    <row r="21055" s="197" customFormat="1" ht="12.75" x14ac:dyDescent="0.2"/>
    <row r="21056" s="197" customFormat="1" ht="12.75" x14ac:dyDescent="0.2"/>
    <row r="21057" s="197" customFormat="1" ht="12.75" x14ac:dyDescent="0.2"/>
    <row r="21058" s="197" customFormat="1" ht="12.75" x14ac:dyDescent="0.2"/>
    <row r="21059" s="197" customFormat="1" ht="12.75" x14ac:dyDescent="0.2"/>
    <row r="21060" s="197" customFormat="1" ht="12.75" x14ac:dyDescent="0.2"/>
    <row r="21061" s="197" customFormat="1" ht="12.75" x14ac:dyDescent="0.2"/>
    <row r="21062" s="197" customFormat="1" ht="12.75" x14ac:dyDescent="0.2"/>
    <row r="21063" s="197" customFormat="1" ht="12.75" x14ac:dyDescent="0.2"/>
    <row r="21064" s="197" customFormat="1" ht="12.75" x14ac:dyDescent="0.2"/>
    <row r="21065" s="197" customFormat="1" ht="12.75" x14ac:dyDescent="0.2"/>
    <row r="21066" s="197" customFormat="1" ht="12.75" x14ac:dyDescent="0.2"/>
    <row r="21067" s="197" customFormat="1" ht="12.75" x14ac:dyDescent="0.2"/>
    <row r="21068" s="197" customFormat="1" ht="12.75" x14ac:dyDescent="0.2"/>
    <row r="21069" s="197" customFormat="1" ht="12.75" x14ac:dyDescent="0.2"/>
    <row r="21070" s="197" customFormat="1" ht="12.75" x14ac:dyDescent="0.2"/>
    <row r="21071" s="197" customFormat="1" ht="12.75" x14ac:dyDescent="0.2"/>
    <row r="21072" s="197" customFormat="1" ht="12.75" x14ac:dyDescent="0.2"/>
    <row r="21073" s="197" customFormat="1" ht="12.75" x14ac:dyDescent="0.2"/>
    <row r="21074" s="197" customFormat="1" ht="12.75" x14ac:dyDescent="0.2"/>
    <row r="21075" s="197" customFormat="1" ht="12.75" x14ac:dyDescent="0.2"/>
    <row r="21076" s="197" customFormat="1" ht="12.75" x14ac:dyDescent="0.2"/>
    <row r="21077" s="197" customFormat="1" ht="12.75" x14ac:dyDescent="0.2"/>
    <row r="21078" s="197" customFormat="1" ht="12.75" x14ac:dyDescent="0.2"/>
    <row r="21079" s="197" customFormat="1" ht="12.75" x14ac:dyDescent="0.2"/>
    <row r="21080" s="197" customFormat="1" ht="12.75" x14ac:dyDescent="0.2"/>
    <row r="21081" s="197" customFormat="1" ht="12.75" x14ac:dyDescent="0.2"/>
    <row r="21082" s="197" customFormat="1" ht="12.75" x14ac:dyDescent="0.2"/>
    <row r="21083" s="197" customFormat="1" ht="12.75" x14ac:dyDescent="0.2"/>
    <row r="21084" s="197" customFormat="1" ht="12.75" x14ac:dyDescent="0.2"/>
    <row r="21085" s="197" customFormat="1" ht="12.75" x14ac:dyDescent="0.2"/>
    <row r="21086" s="197" customFormat="1" ht="12.75" x14ac:dyDescent="0.2"/>
    <row r="21087" s="197" customFormat="1" ht="12.75" x14ac:dyDescent="0.2"/>
    <row r="21088" s="197" customFormat="1" ht="12.75" x14ac:dyDescent="0.2"/>
    <row r="21089" s="197" customFormat="1" ht="12.75" x14ac:dyDescent="0.2"/>
    <row r="21090" s="197" customFormat="1" ht="12.75" x14ac:dyDescent="0.2"/>
    <row r="21091" s="197" customFormat="1" ht="12.75" x14ac:dyDescent="0.2"/>
    <row r="21092" s="197" customFormat="1" ht="12.75" x14ac:dyDescent="0.2"/>
    <row r="21093" s="197" customFormat="1" ht="12.75" x14ac:dyDescent="0.2"/>
    <row r="21094" s="197" customFormat="1" ht="12.75" x14ac:dyDescent="0.2"/>
    <row r="21095" s="197" customFormat="1" ht="12.75" x14ac:dyDescent="0.2"/>
    <row r="21096" s="197" customFormat="1" ht="12.75" x14ac:dyDescent="0.2"/>
    <row r="21097" s="197" customFormat="1" ht="12.75" x14ac:dyDescent="0.2"/>
    <row r="21098" s="197" customFormat="1" ht="12.75" x14ac:dyDescent="0.2"/>
    <row r="21099" s="197" customFormat="1" ht="12.75" x14ac:dyDescent="0.2"/>
    <row r="21100" s="197" customFormat="1" ht="12.75" x14ac:dyDescent="0.2"/>
    <row r="21101" s="197" customFormat="1" ht="12.75" x14ac:dyDescent="0.2"/>
    <row r="21102" s="197" customFormat="1" ht="12.75" x14ac:dyDescent="0.2"/>
    <row r="21103" s="197" customFormat="1" ht="12.75" x14ac:dyDescent="0.2"/>
    <row r="21104" s="197" customFormat="1" ht="12.75" x14ac:dyDescent="0.2"/>
    <row r="21105" s="197" customFormat="1" ht="12.75" x14ac:dyDescent="0.2"/>
    <row r="21106" s="197" customFormat="1" ht="12.75" x14ac:dyDescent="0.2"/>
    <row r="21107" s="197" customFormat="1" ht="12.75" x14ac:dyDescent="0.2"/>
    <row r="21108" s="197" customFormat="1" ht="12.75" x14ac:dyDescent="0.2"/>
    <row r="21109" s="197" customFormat="1" ht="12.75" x14ac:dyDescent="0.2"/>
    <row r="21110" s="197" customFormat="1" ht="12.75" x14ac:dyDescent="0.2"/>
    <row r="21111" s="197" customFormat="1" ht="12.75" x14ac:dyDescent="0.2"/>
    <row r="21112" s="197" customFormat="1" ht="12.75" x14ac:dyDescent="0.2"/>
    <row r="21113" s="197" customFormat="1" ht="12.75" x14ac:dyDescent="0.2"/>
    <row r="21114" s="197" customFormat="1" ht="12.75" x14ac:dyDescent="0.2"/>
    <row r="21115" s="197" customFormat="1" ht="12.75" x14ac:dyDescent="0.2"/>
    <row r="21116" s="197" customFormat="1" ht="12.75" x14ac:dyDescent="0.2"/>
    <row r="21117" s="197" customFormat="1" ht="12.75" x14ac:dyDescent="0.2"/>
    <row r="21118" s="197" customFormat="1" ht="12.75" x14ac:dyDescent="0.2"/>
    <row r="21119" s="197" customFormat="1" ht="12.75" x14ac:dyDescent="0.2"/>
    <row r="21120" s="197" customFormat="1" ht="12.75" x14ac:dyDescent="0.2"/>
    <row r="21121" s="197" customFormat="1" ht="12.75" x14ac:dyDescent="0.2"/>
    <row r="21122" s="197" customFormat="1" ht="12.75" x14ac:dyDescent="0.2"/>
    <row r="21123" s="197" customFormat="1" ht="12.75" x14ac:dyDescent="0.2"/>
    <row r="21124" s="197" customFormat="1" ht="12.75" x14ac:dyDescent="0.2"/>
    <row r="21125" s="197" customFormat="1" ht="12.75" x14ac:dyDescent="0.2"/>
    <row r="21126" s="197" customFormat="1" ht="12.75" x14ac:dyDescent="0.2"/>
    <row r="21127" s="197" customFormat="1" ht="12.75" x14ac:dyDescent="0.2"/>
    <row r="21128" s="197" customFormat="1" ht="12.75" x14ac:dyDescent="0.2"/>
    <row r="21129" s="197" customFormat="1" ht="12.75" x14ac:dyDescent="0.2"/>
    <row r="21130" s="197" customFormat="1" ht="12.75" x14ac:dyDescent="0.2"/>
    <row r="21131" s="197" customFormat="1" ht="12.75" x14ac:dyDescent="0.2"/>
    <row r="21132" s="197" customFormat="1" ht="12.75" x14ac:dyDescent="0.2"/>
    <row r="21133" s="197" customFormat="1" ht="12.75" x14ac:dyDescent="0.2"/>
    <row r="21134" s="197" customFormat="1" ht="12.75" x14ac:dyDescent="0.2"/>
    <row r="21135" s="197" customFormat="1" ht="12.75" x14ac:dyDescent="0.2"/>
    <row r="21136" s="197" customFormat="1" ht="12.75" x14ac:dyDescent="0.2"/>
    <row r="21137" s="197" customFormat="1" ht="12.75" x14ac:dyDescent="0.2"/>
    <row r="21138" s="197" customFormat="1" ht="12.75" x14ac:dyDescent="0.2"/>
    <row r="21139" s="197" customFormat="1" ht="12.75" x14ac:dyDescent="0.2"/>
    <row r="21140" s="197" customFormat="1" ht="12.75" x14ac:dyDescent="0.2"/>
    <row r="21141" s="197" customFormat="1" ht="12.75" x14ac:dyDescent="0.2"/>
    <row r="21142" s="197" customFormat="1" ht="12.75" x14ac:dyDescent="0.2"/>
    <row r="21143" s="197" customFormat="1" ht="12.75" x14ac:dyDescent="0.2"/>
    <row r="21144" s="197" customFormat="1" ht="12.75" x14ac:dyDescent="0.2"/>
    <row r="21145" s="197" customFormat="1" ht="12.75" x14ac:dyDescent="0.2"/>
    <row r="21146" s="197" customFormat="1" ht="12.75" x14ac:dyDescent="0.2"/>
    <row r="21147" s="197" customFormat="1" ht="12.75" x14ac:dyDescent="0.2"/>
    <row r="21148" s="197" customFormat="1" ht="12.75" x14ac:dyDescent="0.2"/>
    <row r="21149" s="197" customFormat="1" ht="12.75" x14ac:dyDescent="0.2"/>
    <row r="21150" s="197" customFormat="1" ht="12.75" x14ac:dyDescent="0.2"/>
    <row r="21151" s="197" customFormat="1" ht="12.75" x14ac:dyDescent="0.2"/>
    <row r="21152" s="197" customFormat="1" ht="12.75" x14ac:dyDescent="0.2"/>
    <row r="21153" s="197" customFormat="1" ht="12.75" x14ac:dyDescent="0.2"/>
    <row r="21154" s="197" customFormat="1" ht="12.75" x14ac:dyDescent="0.2"/>
    <row r="21155" s="197" customFormat="1" ht="12.75" x14ac:dyDescent="0.2"/>
    <row r="21156" s="197" customFormat="1" ht="12.75" x14ac:dyDescent="0.2"/>
    <row r="21157" s="197" customFormat="1" ht="12.75" x14ac:dyDescent="0.2"/>
    <row r="21158" s="197" customFormat="1" ht="12.75" x14ac:dyDescent="0.2"/>
    <row r="21159" s="197" customFormat="1" ht="12.75" x14ac:dyDescent="0.2"/>
    <row r="21160" s="197" customFormat="1" ht="12.75" x14ac:dyDescent="0.2"/>
    <row r="21161" s="197" customFormat="1" ht="12.75" x14ac:dyDescent="0.2"/>
    <row r="21162" s="197" customFormat="1" ht="12.75" x14ac:dyDescent="0.2"/>
    <row r="21163" s="197" customFormat="1" ht="12.75" x14ac:dyDescent="0.2"/>
    <row r="21164" s="197" customFormat="1" ht="12.75" x14ac:dyDescent="0.2"/>
    <row r="21165" s="197" customFormat="1" ht="12.75" x14ac:dyDescent="0.2"/>
    <row r="21166" s="197" customFormat="1" ht="12.75" x14ac:dyDescent="0.2"/>
    <row r="21167" s="197" customFormat="1" ht="12.75" x14ac:dyDescent="0.2"/>
    <row r="21168" s="197" customFormat="1" ht="12.75" x14ac:dyDescent="0.2"/>
    <row r="21169" s="197" customFormat="1" ht="12.75" x14ac:dyDescent="0.2"/>
    <row r="21170" s="197" customFormat="1" ht="12.75" x14ac:dyDescent="0.2"/>
    <row r="21171" s="197" customFormat="1" ht="12.75" x14ac:dyDescent="0.2"/>
    <row r="21172" s="197" customFormat="1" ht="12.75" x14ac:dyDescent="0.2"/>
    <row r="21173" s="197" customFormat="1" ht="12.75" x14ac:dyDescent="0.2"/>
    <row r="21174" s="197" customFormat="1" ht="12.75" x14ac:dyDescent="0.2"/>
    <row r="21175" s="197" customFormat="1" ht="12.75" x14ac:dyDescent="0.2"/>
    <row r="21176" s="197" customFormat="1" ht="12.75" x14ac:dyDescent="0.2"/>
    <row r="21177" s="197" customFormat="1" ht="12.75" x14ac:dyDescent="0.2"/>
    <row r="21178" s="197" customFormat="1" ht="12.75" x14ac:dyDescent="0.2"/>
    <row r="21179" s="197" customFormat="1" ht="12.75" x14ac:dyDescent="0.2"/>
    <row r="21180" s="197" customFormat="1" ht="12.75" x14ac:dyDescent="0.2"/>
    <row r="21181" s="197" customFormat="1" ht="12.75" x14ac:dyDescent="0.2"/>
    <row r="21182" s="197" customFormat="1" ht="12.75" x14ac:dyDescent="0.2"/>
    <row r="21183" s="197" customFormat="1" ht="12.75" x14ac:dyDescent="0.2"/>
    <row r="21184" s="197" customFormat="1" ht="12.75" x14ac:dyDescent="0.2"/>
    <row r="21185" s="197" customFormat="1" ht="12.75" x14ac:dyDescent="0.2"/>
    <row r="21186" s="197" customFormat="1" ht="12.75" x14ac:dyDescent="0.2"/>
    <row r="21187" s="197" customFormat="1" ht="12.75" x14ac:dyDescent="0.2"/>
    <row r="21188" s="197" customFormat="1" ht="12.75" x14ac:dyDescent="0.2"/>
    <row r="21189" s="197" customFormat="1" ht="12.75" x14ac:dyDescent="0.2"/>
    <row r="21190" s="197" customFormat="1" ht="12.75" x14ac:dyDescent="0.2"/>
    <row r="21191" s="197" customFormat="1" ht="12.75" x14ac:dyDescent="0.2"/>
    <row r="21192" s="197" customFormat="1" ht="12.75" x14ac:dyDescent="0.2"/>
    <row r="21193" s="197" customFormat="1" ht="12.75" x14ac:dyDescent="0.2"/>
    <row r="21194" s="197" customFormat="1" ht="12.75" x14ac:dyDescent="0.2"/>
    <row r="21195" s="197" customFormat="1" ht="12.75" x14ac:dyDescent="0.2"/>
    <row r="21196" s="197" customFormat="1" ht="12.75" x14ac:dyDescent="0.2"/>
    <row r="21197" s="197" customFormat="1" ht="12.75" x14ac:dyDescent="0.2"/>
    <row r="21198" s="197" customFormat="1" ht="12.75" x14ac:dyDescent="0.2"/>
    <row r="21199" s="197" customFormat="1" ht="12.75" x14ac:dyDescent="0.2"/>
    <row r="21200" s="197" customFormat="1" ht="12.75" x14ac:dyDescent="0.2"/>
    <row r="21201" s="197" customFormat="1" ht="12.75" x14ac:dyDescent="0.2"/>
    <row r="21202" s="197" customFormat="1" ht="12.75" x14ac:dyDescent="0.2"/>
    <row r="21203" s="197" customFormat="1" ht="12.75" x14ac:dyDescent="0.2"/>
    <row r="21204" s="197" customFormat="1" ht="12.75" x14ac:dyDescent="0.2"/>
    <row r="21205" s="197" customFormat="1" ht="12.75" x14ac:dyDescent="0.2"/>
    <row r="21206" s="197" customFormat="1" ht="12.75" x14ac:dyDescent="0.2"/>
    <row r="21207" s="197" customFormat="1" ht="12.75" x14ac:dyDescent="0.2"/>
    <row r="21208" s="197" customFormat="1" ht="12.75" x14ac:dyDescent="0.2"/>
    <row r="21209" s="197" customFormat="1" ht="12.75" x14ac:dyDescent="0.2"/>
    <row r="21210" s="197" customFormat="1" ht="12.75" x14ac:dyDescent="0.2"/>
    <row r="21211" s="197" customFormat="1" ht="12.75" x14ac:dyDescent="0.2"/>
    <row r="21212" s="197" customFormat="1" ht="12.75" x14ac:dyDescent="0.2"/>
    <row r="21213" s="197" customFormat="1" ht="12.75" x14ac:dyDescent="0.2"/>
    <row r="21214" s="197" customFormat="1" ht="12.75" x14ac:dyDescent="0.2"/>
    <row r="21215" s="197" customFormat="1" ht="12.75" x14ac:dyDescent="0.2"/>
    <row r="21216" s="197" customFormat="1" ht="12.75" x14ac:dyDescent="0.2"/>
    <row r="21217" s="197" customFormat="1" ht="12.75" x14ac:dyDescent="0.2"/>
    <row r="21218" s="197" customFormat="1" ht="12.75" x14ac:dyDescent="0.2"/>
    <row r="21219" s="197" customFormat="1" ht="12.75" x14ac:dyDescent="0.2"/>
    <row r="21220" s="197" customFormat="1" ht="12.75" x14ac:dyDescent="0.2"/>
    <row r="21221" s="197" customFormat="1" ht="12.75" x14ac:dyDescent="0.2"/>
    <row r="21222" s="197" customFormat="1" ht="12.75" x14ac:dyDescent="0.2"/>
    <row r="21223" s="197" customFormat="1" ht="12.75" x14ac:dyDescent="0.2"/>
    <row r="21224" s="197" customFormat="1" ht="12.75" x14ac:dyDescent="0.2"/>
    <row r="21225" s="197" customFormat="1" ht="12.75" x14ac:dyDescent="0.2"/>
    <row r="21226" s="197" customFormat="1" ht="12.75" x14ac:dyDescent="0.2"/>
    <row r="21227" s="197" customFormat="1" ht="12.75" x14ac:dyDescent="0.2"/>
    <row r="21228" s="197" customFormat="1" ht="12.75" x14ac:dyDescent="0.2"/>
    <row r="21229" s="197" customFormat="1" ht="12.75" x14ac:dyDescent="0.2"/>
    <row r="21230" s="197" customFormat="1" ht="12.75" x14ac:dyDescent="0.2"/>
    <row r="21231" s="197" customFormat="1" ht="12.75" x14ac:dyDescent="0.2"/>
    <row r="21232" s="197" customFormat="1" ht="12.75" x14ac:dyDescent="0.2"/>
    <row r="21233" s="197" customFormat="1" ht="12.75" x14ac:dyDescent="0.2"/>
    <row r="21234" s="197" customFormat="1" ht="12.75" x14ac:dyDescent="0.2"/>
    <row r="21235" s="197" customFormat="1" ht="12.75" x14ac:dyDescent="0.2"/>
    <row r="21236" s="197" customFormat="1" ht="12.75" x14ac:dyDescent="0.2"/>
    <row r="21237" s="197" customFormat="1" ht="12.75" x14ac:dyDescent="0.2"/>
    <row r="21238" s="197" customFormat="1" ht="12.75" x14ac:dyDescent="0.2"/>
    <row r="21239" s="197" customFormat="1" ht="12.75" x14ac:dyDescent="0.2"/>
    <row r="21240" s="197" customFormat="1" ht="12.75" x14ac:dyDescent="0.2"/>
    <row r="21241" s="197" customFormat="1" ht="12.75" x14ac:dyDescent="0.2"/>
    <row r="21242" s="197" customFormat="1" ht="12.75" x14ac:dyDescent="0.2"/>
    <row r="21243" s="197" customFormat="1" ht="12.75" x14ac:dyDescent="0.2"/>
    <row r="21244" s="197" customFormat="1" ht="12.75" x14ac:dyDescent="0.2"/>
    <row r="21245" s="197" customFormat="1" ht="12.75" x14ac:dyDescent="0.2"/>
    <row r="21246" s="197" customFormat="1" ht="12.75" x14ac:dyDescent="0.2"/>
    <row r="21247" s="197" customFormat="1" ht="12.75" x14ac:dyDescent="0.2"/>
    <row r="21248" s="197" customFormat="1" ht="12.75" x14ac:dyDescent="0.2"/>
    <row r="21249" s="197" customFormat="1" ht="12.75" x14ac:dyDescent="0.2"/>
    <row r="21250" s="197" customFormat="1" ht="12.75" x14ac:dyDescent="0.2"/>
    <row r="21251" s="197" customFormat="1" ht="12.75" x14ac:dyDescent="0.2"/>
    <row r="21252" s="197" customFormat="1" ht="12.75" x14ac:dyDescent="0.2"/>
    <row r="21253" s="197" customFormat="1" ht="12.75" x14ac:dyDescent="0.2"/>
    <row r="21254" s="197" customFormat="1" ht="12.75" x14ac:dyDescent="0.2"/>
    <row r="21255" s="197" customFormat="1" ht="12.75" x14ac:dyDescent="0.2"/>
    <row r="21256" s="197" customFormat="1" ht="12.75" x14ac:dyDescent="0.2"/>
    <row r="21257" s="197" customFormat="1" ht="12.75" x14ac:dyDescent="0.2"/>
    <row r="21258" s="197" customFormat="1" ht="12.75" x14ac:dyDescent="0.2"/>
    <row r="21259" s="197" customFormat="1" ht="12.75" x14ac:dyDescent="0.2"/>
    <row r="21260" s="197" customFormat="1" ht="12.75" x14ac:dyDescent="0.2"/>
    <row r="21261" s="197" customFormat="1" ht="12.75" x14ac:dyDescent="0.2"/>
    <row r="21262" s="197" customFormat="1" ht="12.75" x14ac:dyDescent="0.2"/>
    <row r="21263" s="197" customFormat="1" ht="12.75" x14ac:dyDescent="0.2"/>
    <row r="21264" s="197" customFormat="1" ht="12.75" x14ac:dyDescent="0.2"/>
    <row r="21265" s="197" customFormat="1" ht="12.75" x14ac:dyDescent="0.2"/>
    <row r="21266" s="197" customFormat="1" ht="12.75" x14ac:dyDescent="0.2"/>
    <row r="21267" s="197" customFormat="1" ht="12.75" x14ac:dyDescent="0.2"/>
    <row r="21268" s="197" customFormat="1" ht="12.75" x14ac:dyDescent="0.2"/>
    <row r="21269" s="197" customFormat="1" ht="12.75" x14ac:dyDescent="0.2"/>
    <row r="21270" s="197" customFormat="1" ht="12.75" x14ac:dyDescent="0.2"/>
    <row r="21271" s="197" customFormat="1" ht="12.75" x14ac:dyDescent="0.2"/>
    <row r="21272" s="197" customFormat="1" ht="12.75" x14ac:dyDescent="0.2"/>
    <row r="21273" s="197" customFormat="1" ht="12.75" x14ac:dyDescent="0.2"/>
    <row r="21274" s="197" customFormat="1" ht="12.75" x14ac:dyDescent="0.2"/>
    <row r="21275" s="197" customFormat="1" ht="12.75" x14ac:dyDescent="0.2"/>
    <row r="21276" s="197" customFormat="1" ht="12.75" x14ac:dyDescent="0.2"/>
    <row r="21277" s="197" customFormat="1" ht="12.75" x14ac:dyDescent="0.2"/>
    <row r="21278" s="197" customFormat="1" ht="12.75" x14ac:dyDescent="0.2"/>
    <row r="21279" s="197" customFormat="1" ht="12.75" x14ac:dyDescent="0.2"/>
    <row r="21280" s="197" customFormat="1" ht="12.75" x14ac:dyDescent="0.2"/>
    <row r="21281" s="197" customFormat="1" ht="12.75" x14ac:dyDescent="0.2"/>
    <row r="21282" s="197" customFormat="1" ht="12.75" x14ac:dyDescent="0.2"/>
    <row r="21283" s="197" customFormat="1" ht="12.75" x14ac:dyDescent="0.2"/>
    <row r="21284" s="197" customFormat="1" ht="12.75" x14ac:dyDescent="0.2"/>
    <row r="21285" s="197" customFormat="1" ht="12.75" x14ac:dyDescent="0.2"/>
    <row r="21286" s="197" customFormat="1" ht="12.75" x14ac:dyDescent="0.2"/>
    <row r="21287" s="197" customFormat="1" ht="12.75" x14ac:dyDescent="0.2"/>
    <row r="21288" s="197" customFormat="1" ht="12.75" x14ac:dyDescent="0.2"/>
    <row r="21289" s="197" customFormat="1" ht="12.75" x14ac:dyDescent="0.2"/>
    <row r="21290" s="197" customFormat="1" ht="12.75" x14ac:dyDescent="0.2"/>
    <row r="21291" s="197" customFormat="1" ht="12.75" x14ac:dyDescent="0.2"/>
    <row r="21292" s="197" customFormat="1" ht="12.75" x14ac:dyDescent="0.2"/>
    <row r="21293" s="197" customFormat="1" ht="12.75" x14ac:dyDescent="0.2"/>
    <row r="21294" s="197" customFormat="1" ht="12.75" x14ac:dyDescent="0.2"/>
    <row r="21295" s="197" customFormat="1" ht="12.75" x14ac:dyDescent="0.2"/>
    <row r="21296" s="197" customFormat="1" ht="12.75" x14ac:dyDescent="0.2"/>
    <row r="21297" s="197" customFormat="1" ht="12.75" x14ac:dyDescent="0.2"/>
    <row r="21298" s="197" customFormat="1" ht="12.75" x14ac:dyDescent="0.2"/>
    <row r="21299" s="197" customFormat="1" ht="12.75" x14ac:dyDescent="0.2"/>
    <row r="21300" s="197" customFormat="1" ht="12.75" x14ac:dyDescent="0.2"/>
    <row r="21301" s="197" customFormat="1" ht="12.75" x14ac:dyDescent="0.2"/>
    <row r="21302" s="197" customFormat="1" ht="12.75" x14ac:dyDescent="0.2"/>
    <row r="21303" s="197" customFormat="1" ht="12.75" x14ac:dyDescent="0.2"/>
    <row r="21304" s="197" customFormat="1" ht="12.75" x14ac:dyDescent="0.2"/>
    <row r="21305" s="197" customFormat="1" ht="12.75" x14ac:dyDescent="0.2"/>
    <row r="21306" s="197" customFormat="1" ht="12.75" x14ac:dyDescent="0.2"/>
    <row r="21307" s="197" customFormat="1" ht="12.75" x14ac:dyDescent="0.2"/>
    <row r="21308" s="197" customFormat="1" ht="12.75" x14ac:dyDescent="0.2"/>
    <row r="21309" s="197" customFormat="1" ht="12.75" x14ac:dyDescent="0.2"/>
    <row r="21310" s="197" customFormat="1" ht="12.75" x14ac:dyDescent="0.2"/>
    <row r="21311" s="197" customFormat="1" ht="12.75" x14ac:dyDescent="0.2"/>
    <row r="21312" s="197" customFormat="1" ht="12.75" x14ac:dyDescent="0.2"/>
    <row r="21313" s="197" customFormat="1" ht="12.75" x14ac:dyDescent="0.2"/>
    <row r="21314" s="197" customFormat="1" ht="12.75" x14ac:dyDescent="0.2"/>
    <row r="21315" s="197" customFormat="1" ht="12.75" x14ac:dyDescent="0.2"/>
    <row r="21316" s="197" customFormat="1" ht="12.75" x14ac:dyDescent="0.2"/>
    <row r="21317" s="197" customFormat="1" ht="12.75" x14ac:dyDescent="0.2"/>
    <row r="21318" s="197" customFormat="1" ht="12.75" x14ac:dyDescent="0.2"/>
    <row r="21319" s="197" customFormat="1" ht="12.75" x14ac:dyDescent="0.2"/>
    <row r="21320" s="197" customFormat="1" ht="12.75" x14ac:dyDescent="0.2"/>
    <row r="21321" s="197" customFormat="1" ht="12.75" x14ac:dyDescent="0.2"/>
    <row r="21322" s="197" customFormat="1" ht="12.75" x14ac:dyDescent="0.2"/>
    <row r="21323" s="197" customFormat="1" ht="12.75" x14ac:dyDescent="0.2"/>
    <row r="21324" s="197" customFormat="1" ht="12.75" x14ac:dyDescent="0.2"/>
    <row r="21325" s="197" customFormat="1" ht="12.75" x14ac:dyDescent="0.2"/>
    <row r="21326" s="197" customFormat="1" ht="12.75" x14ac:dyDescent="0.2"/>
    <row r="21327" s="197" customFormat="1" ht="12.75" x14ac:dyDescent="0.2"/>
    <row r="21328" s="197" customFormat="1" ht="12.75" x14ac:dyDescent="0.2"/>
    <row r="21329" s="197" customFormat="1" ht="12.75" x14ac:dyDescent="0.2"/>
    <row r="21330" s="197" customFormat="1" ht="12.75" x14ac:dyDescent="0.2"/>
    <row r="21331" s="197" customFormat="1" ht="12.75" x14ac:dyDescent="0.2"/>
    <row r="21332" s="197" customFormat="1" ht="12.75" x14ac:dyDescent="0.2"/>
    <row r="21333" s="197" customFormat="1" ht="12.75" x14ac:dyDescent="0.2"/>
    <row r="21334" s="197" customFormat="1" ht="12.75" x14ac:dyDescent="0.2"/>
    <row r="21335" s="197" customFormat="1" ht="12.75" x14ac:dyDescent="0.2"/>
    <row r="21336" s="197" customFormat="1" ht="12.75" x14ac:dyDescent="0.2"/>
    <row r="21337" s="197" customFormat="1" ht="12.75" x14ac:dyDescent="0.2"/>
    <row r="21338" s="197" customFormat="1" ht="12.75" x14ac:dyDescent="0.2"/>
    <row r="21339" s="197" customFormat="1" ht="12.75" x14ac:dyDescent="0.2"/>
    <row r="21340" s="197" customFormat="1" ht="12.75" x14ac:dyDescent="0.2"/>
    <row r="21341" s="197" customFormat="1" ht="12.75" x14ac:dyDescent="0.2"/>
    <row r="21342" s="197" customFormat="1" ht="12.75" x14ac:dyDescent="0.2"/>
    <row r="21343" s="197" customFormat="1" ht="12.75" x14ac:dyDescent="0.2"/>
    <row r="21344" s="197" customFormat="1" ht="12.75" x14ac:dyDescent="0.2"/>
    <row r="21345" s="197" customFormat="1" ht="12.75" x14ac:dyDescent="0.2"/>
    <row r="21346" s="197" customFormat="1" ht="12.75" x14ac:dyDescent="0.2"/>
    <row r="21347" s="197" customFormat="1" ht="12.75" x14ac:dyDescent="0.2"/>
    <row r="21348" s="197" customFormat="1" ht="12.75" x14ac:dyDescent="0.2"/>
    <row r="21349" s="197" customFormat="1" ht="12.75" x14ac:dyDescent="0.2"/>
    <row r="21350" s="197" customFormat="1" ht="12.75" x14ac:dyDescent="0.2"/>
    <row r="21351" s="197" customFormat="1" ht="12.75" x14ac:dyDescent="0.2"/>
    <row r="21352" s="197" customFormat="1" ht="12.75" x14ac:dyDescent="0.2"/>
    <row r="21353" s="197" customFormat="1" ht="12.75" x14ac:dyDescent="0.2"/>
    <row r="21354" s="197" customFormat="1" ht="12.75" x14ac:dyDescent="0.2"/>
    <row r="21355" s="197" customFormat="1" ht="12.75" x14ac:dyDescent="0.2"/>
    <row r="21356" s="197" customFormat="1" ht="12.75" x14ac:dyDescent="0.2"/>
    <row r="21357" s="197" customFormat="1" ht="12.75" x14ac:dyDescent="0.2"/>
    <row r="21358" s="197" customFormat="1" ht="12.75" x14ac:dyDescent="0.2"/>
    <row r="21359" s="197" customFormat="1" ht="12.75" x14ac:dyDescent="0.2"/>
    <row r="21360" s="197" customFormat="1" ht="12.75" x14ac:dyDescent="0.2"/>
    <row r="21361" s="197" customFormat="1" ht="12.75" x14ac:dyDescent="0.2"/>
    <row r="21362" s="197" customFormat="1" ht="12.75" x14ac:dyDescent="0.2"/>
    <row r="21363" s="197" customFormat="1" ht="12.75" x14ac:dyDescent="0.2"/>
    <row r="21364" s="197" customFormat="1" ht="12.75" x14ac:dyDescent="0.2"/>
    <row r="21365" s="197" customFormat="1" ht="12.75" x14ac:dyDescent="0.2"/>
    <row r="21366" s="197" customFormat="1" ht="12.75" x14ac:dyDescent="0.2"/>
    <row r="21367" s="197" customFormat="1" ht="12.75" x14ac:dyDescent="0.2"/>
    <row r="21368" s="197" customFormat="1" ht="12.75" x14ac:dyDescent="0.2"/>
    <row r="21369" s="197" customFormat="1" ht="12.75" x14ac:dyDescent="0.2"/>
    <row r="21370" s="197" customFormat="1" ht="12.75" x14ac:dyDescent="0.2"/>
    <row r="21371" s="197" customFormat="1" ht="12.75" x14ac:dyDescent="0.2"/>
    <row r="21372" s="197" customFormat="1" ht="12.75" x14ac:dyDescent="0.2"/>
    <row r="21373" s="197" customFormat="1" ht="12.75" x14ac:dyDescent="0.2"/>
    <row r="21374" s="197" customFormat="1" ht="12.75" x14ac:dyDescent="0.2"/>
    <row r="21375" s="197" customFormat="1" ht="12.75" x14ac:dyDescent="0.2"/>
    <row r="21376" s="197" customFormat="1" ht="12.75" x14ac:dyDescent="0.2"/>
    <row r="21377" s="197" customFormat="1" ht="12.75" x14ac:dyDescent="0.2"/>
    <row r="21378" s="197" customFormat="1" ht="12.75" x14ac:dyDescent="0.2"/>
    <row r="21379" s="197" customFormat="1" ht="12.75" x14ac:dyDescent="0.2"/>
    <row r="21380" s="197" customFormat="1" ht="12.75" x14ac:dyDescent="0.2"/>
    <row r="21381" s="197" customFormat="1" ht="12.75" x14ac:dyDescent="0.2"/>
    <row r="21382" s="197" customFormat="1" ht="12.75" x14ac:dyDescent="0.2"/>
    <row r="21383" s="197" customFormat="1" ht="12.75" x14ac:dyDescent="0.2"/>
    <row r="21384" s="197" customFormat="1" ht="12.75" x14ac:dyDescent="0.2"/>
    <row r="21385" s="197" customFormat="1" ht="12.75" x14ac:dyDescent="0.2"/>
    <row r="21386" s="197" customFormat="1" ht="12.75" x14ac:dyDescent="0.2"/>
    <row r="21387" s="197" customFormat="1" ht="12.75" x14ac:dyDescent="0.2"/>
    <row r="21388" s="197" customFormat="1" ht="12.75" x14ac:dyDescent="0.2"/>
    <row r="21389" s="197" customFormat="1" ht="12.75" x14ac:dyDescent="0.2"/>
    <row r="21390" s="197" customFormat="1" ht="12.75" x14ac:dyDescent="0.2"/>
    <row r="21391" s="197" customFormat="1" ht="12.75" x14ac:dyDescent="0.2"/>
    <row r="21392" s="197" customFormat="1" ht="12.75" x14ac:dyDescent="0.2"/>
    <row r="21393" s="197" customFormat="1" ht="12.75" x14ac:dyDescent="0.2"/>
    <row r="21394" s="197" customFormat="1" ht="12.75" x14ac:dyDescent="0.2"/>
    <row r="21395" s="197" customFormat="1" ht="12.75" x14ac:dyDescent="0.2"/>
    <row r="21396" s="197" customFormat="1" ht="12.75" x14ac:dyDescent="0.2"/>
    <row r="21397" s="197" customFormat="1" ht="12.75" x14ac:dyDescent="0.2"/>
    <row r="21398" s="197" customFormat="1" ht="12.75" x14ac:dyDescent="0.2"/>
    <row r="21399" s="197" customFormat="1" ht="12.75" x14ac:dyDescent="0.2"/>
    <row r="21400" s="197" customFormat="1" ht="12.75" x14ac:dyDescent="0.2"/>
    <row r="21401" s="197" customFormat="1" ht="12.75" x14ac:dyDescent="0.2"/>
    <row r="21402" s="197" customFormat="1" ht="12.75" x14ac:dyDescent="0.2"/>
    <row r="21403" s="197" customFormat="1" ht="12.75" x14ac:dyDescent="0.2"/>
    <row r="21404" s="197" customFormat="1" ht="12.75" x14ac:dyDescent="0.2"/>
    <row r="21405" s="197" customFormat="1" ht="12.75" x14ac:dyDescent="0.2"/>
    <row r="21406" s="197" customFormat="1" ht="12.75" x14ac:dyDescent="0.2"/>
    <row r="21407" s="197" customFormat="1" ht="12.75" x14ac:dyDescent="0.2"/>
    <row r="21408" s="197" customFormat="1" ht="12.75" x14ac:dyDescent="0.2"/>
    <row r="21409" s="197" customFormat="1" ht="12.75" x14ac:dyDescent="0.2"/>
    <row r="21410" s="197" customFormat="1" ht="12.75" x14ac:dyDescent="0.2"/>
    <row r="21411" s="197" customFormat="1" ht="12.75" x14ac:dyDescent="0.2"/>
    <row r="21412" s="197" customFormat="1" ht="12.75" x14ac:dyDescent="0.2"/>
    <row r="21413" s="197" customFormat="1" ht="12.75" x14ac:dyDescent="0.2"/>
    <row r="21414" s="197" customFormat="1" ht="12.75" x14ac:dyDescent="0.2"/>
    <row r="21415" s="197" customFormat="1" ht="12.75" x14ac:dyDescent="0.2"/>
    <row r="21416" s="197" customFormat="1" ht="12.75" x14ac:dyDescent="0.2"/>
    <row r="21417" s="197" customFormat="1" ht="12.75" x14ac:dyDescent="0.2"/>
    <row r="21418" s="197" customFormat="1" ht="12.75" x14ac:dyDescent="0.2"/>
    <row r="21419" s="197" customFormat="1" ht="12.75" x14ac:dyDescent="0.2"/>
    <row r="21420" s="197" customFormat="1" ht="12.75" x14ac:dyDescent="0.2"/>
    <row r="21421" s="197" customFormat="1" ht="12.75" x14ac:dyDescent="0.2"/>
    <row r="21422" s="197" customFormat="1" ht="12.75" x14ac:dyDescent="0.2"/>
    <row r="21423" s="197" customFormat="1" ht="12.75" x14ac:dyDescent="0.2"/>
    <row r="21424" s="197" customFormat="1" ht="12.75" x14ac:dyDescent="0.2"/>
    <row r="21425" s="197" customFormat="1" ht="12.75" x14ac:dyDescent="0.2"/>
    <row r="21426" s="197" customFormat="1" ht="12.75" x14ac:dyDescent="0.2"/>
    <row r="21427" s="197" customFormat="1" ht="12.75" x14ac:dyDescent="0.2"/>
    <row r="21428" s="197" customFormat="1" ht="12.75" x14ac:dyDescent="0.2"/>
    <row r="21429" s="197" customFormat="1" ht="12.75" x14ac:dyDescent="0.2"/>
    <row r="21430" s="197" customFormat="1" ht="12.75" x14ac:dyDescent="0.2"/>
    <row r="21431" s="197" customFormat="1" ht="12.75" x14ac:dyDescent="0.2"/>
    <row r="21432" s="197" customFormat="1" ht="12.75" x14ac:dyDescent="0.2"/>
    <row r="21433" s="197" customFormat="1" ht="12.75" x14ac:dyDescent="0.2"/>
    <row r="21434" s="197" customFormat="1" ht="12.75" x14ac:dyDescent="0.2"/>
    <row r="21435" s="197" customFormat="1" ht="12.75" x14ac:dyDescent="0.2"/>
    <row r="21436" s="197" customFormat="1" ht="12.75" x14ac:dyDescent="0.2"/>
    <row r="21437" s="197" customFormat="1" ht="12.75" x14ac:dyDescent="0.2"/>
    <row r="21438" s="197" customFormat="1" ht="12.75" x14ac:dyDescent="0.2"/>
    <row r="21439" s="197" customFormat="1" ht="12.75" x14ac:dyDescent="0.2"/>
    <row r="21440" s="197" customFormat="1" ht="12.75" x14ac:dyDescent="0.2"/>
    <row r="21441" s="197" customFormat="1" ht="12.75" x14ac:dyDescent="0.2"/>
    <row r="21442" s="197" customFormat="1" ht="12.75" x14ac:dyDescent="0.2"/>
    <row r="21443" s="197" customFormat="1" ht="12.75" x14ac:dyDescent="0.2"/>
    <row r="21444" s="197" customFormat="1" ht="12.75" x14ac:dyDescent="0.2"/>
    <row r="21445" s="197" customFormat="1" ht="12.75" x14ac:dyDescent="0.2"/>
    <row r="21446" s="197" customFormat="1" ht="12.75" x14ac:dyDescent="0.2"/>
    <row r="21447" s="197" customFormat="1" ht="12.75" x14ac:dyDescent="0.2"/>
    <row r="21448" s="197" customFormat="1" ht="12.75" x14ac:dyDescent="0.2"/>
    <row r="21449" s="197" customFormat="1" ht="12.75" x14ac:dyDescent="0.2"/>
    <row r="21450" s="197" customFormat="1" ht="12.75" x14ac:dyDescent="0.2"/>
    <row r="21451" s="197" customFormat="1" ht="12.75" x14ac:dyDescent="0.2"/>
    <row r="21452" s="197" customFormat="1" ht="12.75" x14ac:dyDescent="0.2"/>
    <row r="21453" s="197" customFormat="1" ht="12.75" x14ac:dyDescent="0.2"/>
    <row r="21454" s="197" customFormat="1" ht="12.75" x14ac:dyDescent="0.2"/>
    <row r="21455" s="197" customFormat="1" ht="12.75" x14ac:dyDescent="0.2"/>
    <row r="21456" s="197" customFormat="1" ht="12.75" x14ac:dyDescent="0.2"/>
    <row r="21457" s="197" customFormat="1" ht="12.75" x14ac:dyDescent="0.2"/>
    <row r="21458" s="197" customFormat="1" ht="12.75" x14ac:dyDescent="0.2"/>
    <row r="21459" s="197" customFormat="1" ht="12.75" x14ac:dyDescent="0.2"/>
    <row r="21460" s="197" customFormat="1" ht="12.75" x14ac:dyDescent="0.2"/>
    <row r="21461" s="197" customFormat="1" ht="12.75" x14ac:dyDescent="0.2"/>
    <row r="21462" s="197" customFormat="1" ht="12.75" x14ac:dyDescent="0.2"/>
    <row r="21463" s="197" customFormat="1" ht="12.75" x14ac:dyDescent="0.2"/>
    <row r="21464" s="197" customFormat="1" ht="12.75" x14ac:dyDescent="0.2"/>
    <row r="21465" s="197" customFormat="1" ht="12.75" x14ac:dyDescent="0.2"/>
    <row r="21466" s="197" customFormat="1" ht="12.75" x14ac:dyDescent="0.2"/>
    <row r="21467" s="197" customFormat="1" ht="12.75" x14ac:dyDescent="0.2"/>
    <row r="21468" s="197" customFormat="1" ht="12.75" x14ac:dyDescent="0.2"/>
    <row r="21469" s="197" customFormat="1" ht="12.75" x14ac:dyDescent="0.2"/>
    <row r="21470" s="197" customFormat="1" ht="12.75" x14ac:dyDescent="0.2"/>
    <row r="21471" s="197" customFormat="1" ht="12.75" x14ac:dyDescent="0.2"/>
    <row r="21472" s="197" customFormat="1" ht="12.75" x14ac:dyDescent="0.2"/>
    <row r="21473" s="197" customFormat="1" ht="12.75" x14ac:dyDescent="0.2"/>
    <row r="21474" s="197" customFormat="1" ht="12.75" x14ac:dyDescent="0.2"/>
    <row r="21475" s="197" customFormat="1" ht="12.75" x14ac:dyDescent="0.2"/>
    <row r="21476" s="197" customFormat="1" ht="12.75" x14ac:dyDescent="0.2"/>
    <row r="21477" s="197" customFormat="1" ht="12.75" x14ac:dyDescent="0.2"/>
    <row r="21478" s="197" customFormat="1" ht="12.75" x14ac:dyDescent="0.2"/>
    <row r="21479" s="197" customFormat="1" ht="12.75" x14ac:dyDescent="0.2"/>
    <row r="21480" s="197" customFormat="1" ht="12.75" x14ac:dyDescent="0.2"/>
    <row r="21481" s="197" customFormat="1" ht="12.75" x14ac:dyDescent="0.2"/>
    <row r="21482" s="197" customFormat="1" ht="12.75" x14ac:dyDescent="0.2"/>
    <row r="21483" s="197" customFormat="1" ht="12.75" x14ac:dyDescent="0.2"/>
    <row r="21484" s="197" customFormat="1" ht="12.75" x14ac:dyDescent="0.2"/>
    <row r="21485" s="197" customFormat="1" ht="12.75" x14ac:dyDescent="0.2"/>
    <row r="21486" s="197" customFormat="1" ht="12.75" x14ac:dyDescent="0.2"/>
    <row r="21487" s="197" customFormat="1" ht="12.75" x14ac:dyDescent="0.2"/>
    <row r="21488" s="197" customFormat="1" ht="12.75" x14ac:dyDescent="0.2"/>
    <row r="21489" s="197" customFormat="1" ht="12.75" x14ac:dyDescent="0.2"/>
    <row r="21490" s="197" customFormat="1" ht="12.75" x14ac:dyDescent="0.2"/>
    <row r="21491" s="197" customFormat="1" ht="12.75" x14ac:dyDescent="0.2"/>
    <row r="21492" s="197" customFormat="1" ht="12.75" x14ac:dyDescent="0.2"/>
    <row r="21493" s="197" customFormat="1" ht="12.75" x14ac:dyDescent="0.2"/>
    <row r="21494" s="197" customFormat="1" ht="12.75" x14ac:dyDescent="0.2"/>
    <row r="21495" s="197" customFormat="1" ht="12.75" x14ac:dyDescent="0.2"/>
    <row r="21496" s="197" customFormat="1" ht="12.75" x14ac:dyDescent="0.2"/>
    <row r="21497" s="197" customFormat="1" ht="12.75" x14ac:dyDescent="0.2"/>
    <row r="21498" s="197" customFormat="1" ht="12.75" x14ac:dyDescent="0.2"/>
    <row r="21499" s="197" customFormat="1" ht="12.75" x14ac:dyDescent="0.2"/>
    <row r="21500" s="197" customFormat="1" ht="12.75" x14ac:dyDescent="0.2"/>
    <row r="21501" s="197" customFormat="1" ht="12.75" x14ac:dyDescent="0.2"/>
    <row r="21502" s="197" customFormat="1" ht="12.75" x14ac:dyDescent="0.2"/>
    <row r="21503" s="197" customFormat="1" ht="12.75" x14ac:dyDescent="0.2"/>
    <row r="21504" s="197" customFormat="1" ht="12.75" x14ac:dyDescent="0.2"/>
    <row r="21505" s="197" customFormat="1" ht="12.75" x14ac:dyDescent="0.2"/>
    <row r="21506" s="197" customFormat="1" ht="12.75" x14ac:dyDescent="0.2"/>
    <row r="21507" s="197" customFormat="1" ht="12.75" x14ac:dyDescent="0.2"/>
    <row r="21508" s="197" customFormat="1" ht="12.75" x14ac:dyDescent="0.2"/>
    <row r="21509" s="197" customFormat="1" ht="12.75" x14ac:dyDescent="0.2"/>
    <row r="21510" s="197" customFormat="1" ht="12.75" x14ac:dyDescent="0.2"/>
    <row r="21511" s="197" customFormat="1" ht="12.75" x14ac:dyDescent="0.2"/>
    <row r="21512" s="197" customFormat="1" ht="12.75" x14ac:dyDescent="0.2"/>
    <row r="21513" s="197" customFormat="1" ht="12.75" x14ac:dyDescent="0.2"/>
    <row r="21514" s="197" customFormat="1" ht="12.75" x14ac:dyDescent="0.2"/>
    <row r="21515" s="197" customFormat="1" ht="12.75" x14ac:dyDescent="0.2"/>
    <row r="21516" s="197" customFormat="1" ht="12.75" x14ac:dyDescent="0.2"/>
    <row r="21517" s="197" customFormat="1" ht="12.75" x14ac:dyDescent="0.2"/>
    <row r="21518" s="197" customFormat="1" ht="12.75" x14ac:dyDescent="0.2"/>
    <row r="21519" s="197" customFormat="1" ht="12.75" x14ac:dyDescent="0.2"/>
    <row r="21520" s="197" customFormat="1" ht="12.75" x14ac:dyDescent="0.2"/>
    <row r="21521" s="197" customFormat="1" ht="12.75" x14ac:dyDescent="0.2"/>
    <row r="21522" s="197" customFormat="1" ht="12.75" x14ac:dyDescent="0.2"/>
    <row r="21523" s="197" customFormat="1" ht="12.75" x14ac:dyDescent="0.2"/>
    <row r="21524" s="197" customFormat="1" ht="12.75" x14ac:dyDescent="0.2"/>
    <row r="21525" s="197" customFormat="1" ht="12.75" x14ac:dyDescent="0.2"/>
    <row r="21526" s="197" customFormat="1" ht="12.75" x14ac:dyDescent="0.2"/>
    <row r="21527" s="197" customFormat="1" ht="12.75" x14ac:dyDescent="0.2"/>
    <row r="21528" s="197" customFormat="1" ht="12.75" x14ac:dyDescent="0.2"/>
    <row r="21529" s="197" customFormat="1" ht="12.75" x14ac:dyDescent="0.2"/>
    <row r="21530" s="197" customFormat="1" ht="12.75" x14ac:dyDescent="0.2"/>
    <row r="21531" s="197" customFormat="1" ht="12.75" x14ac:dyDescent="0.2"/>
    <row r="21532" s="197" customFormat="1" ht="12.75" x14ac:dyDescent="0.2"/>
    <row r="21533" s="197" customFormat="1" ht="12.75" x14ac:dyDescent="0.2"/>
    <row r="21534" s="197" customFormat="1" ht="12.75" x14ac:dyDescent="0.2"/>
    <row r="21535" s="197" customFormat="1" ht="12.75" x14ac:dyDescent="0.2"/>
    <row r="21536" s="197" customFormat="1" ht="12.75" x14ac:dyDescent="0.2"/>
    <row r="21537" s="197" customFormat="1" ht="12.75" x14ac:dyDescent="0.2"/>
    <row r="21538" s="197" customFormat="1" ht="12.75" x14ac:dyDescent="0.2"/>
    <row r="21539" s="197" customFormat="1" ht="12.75" x14ac:dyDescent="0.2"/>
    <row r="21540" s="197" customFormat="1" ht="12.75" x14ac:dyDescent="0.2"/>
    <row r="21541" s="197" customFormat="1" ht="12.75" x14ac:dyDescent="0.2"/>
    <row r="21542" s="197" customFormat="1" ht="12.75" x14ac:dyDescent="0.2"/>
    <row r="21543" s="197" customFormat="1" ht="12.75" x14ac:dyDescent="0.2"/>
    <row r="21544" s="197" customFormat="1" ht="12.75" x14ac:dyDescent="0.2"/>
    <row r="21545" s="197" customFormat="1" ht="12.75" x14ac:dyDescent="0.2"/>
    <row r="21546" s="197" customFormat="1" ht="12.75" x14ac:dyDescent="0.2"/>
    <row r="21547" s="197" customFormat="1" ht="12.75" x14ac:dyDescent="0.2"/>
    <row r="21548" s="197" customFormat="1" ht="12.75" x14ac:dyDescent="0.2"/>
    <row r="21549" s="197" customFormat="1" ht="12.75" x14ac:dyDescent="0.2"/>
    <row r="21550" s="197" customFormat="1" ht="12.75" x14ac:dyDescent="0.2"/>
    <row r="21551" s="197" customFormat="1" ht="12.75" x14ac:dyDescent="0.2"/>
    <row r="21552" s="197" customFormat="1" ht="12.75" x14ac:dyDescent="0.2"/>
    <row r="21553" s="197" customFormat="1" ht="12.75" x14ac:dyDescent="0.2"/>
    <row r="21554" s="197" customFormat="1" ht="12.75" x14ac:dyDescent="0.2"/>
    <row r="21555" s="197" customFormat="1" ht="12.75" x14ac:dyDescent="0.2"/>
    <row r="21556" s="197" customFormat="1" ht="12.75" x14ac:dyDescent="0.2"/>
    <row r="21557" s="197" customFormat="1" ht="12.75" x14ac:dyDescent="0.2"/>
    <row r="21558" s="197" customFormat="1" ht="12.75" x14ac:dyDescent="0.2"/>
    <row r="21559" s="197" customFormat="1" ht="12.75" x14ac:dyDescent="0.2"/>
    <row r="21560" s="197" customFormat="1" ht="12.75" x14ac:dyDescent="0.2"/>
    <row r="21561" s="197" customFormat="1" ht="12.75" x14ac:dyDescent="0.2"/>
    <row r="21562" s="197" customFormat="1" ht="12.75" x14ac:dyDescent="0.2"/>
    <row r="21563" s="197" customFormat="1" ht="12.75" x14ac:dyDescent="0.2"/>
    <row r="21564" s="197" customFormat="1" ht="12.75" x14ac:dyDescent="0.2"/>
    <row r="21565" s="197" customFormat="1" ht="12.75" x14ac:dyDescent="0.2"/>
    <row r="21566" s="197" customFormat="1" ht="12.75" x14ac:dyDescent="0.2"/>
    <row r="21567" s="197" customFormat="1" ht="12.75" x14ac:dyDescent="0.2"/>
    <row r="21568" s="197" customFormat="1" ht="12.75" x14ac:dyDescent="0.2"/>
    <row r="21569" s="197" customFormat="1" ht="12.75" x14ac:dyDescent="0.2"/>
    <row r="21570" s="197" customFormat="1" ht="12.75" x14ac:dyDescent="0.2"/>
    <row r="21571" s="197" customFormat="1" ht="12.75" x14ac:dyDescent="0.2"/>
    <row r="21572" s="197" customFormat="1" ht="12.75" x14ac:dyDescent="0.2"/>
    <row r="21573" s="197" customFormat="1" ht="12.75" x14ac:dyDescent="0.2"/>
    <row r="21574" s="197" customFormat="1" ht="12.75" x14ac:dyDescent="0.2"/>
    <row r="21575" s="197" customFormat="1" ht="12.75" x14ac:dyDescent="0.2"/>
    <row r="21576" s="197" customFormat="1" ht="12.75" x14ac:dyDescent="0.2"/>
    <row r="21577" s="197" customFormat="1" ht="12.75" x14ac:dyDescent="0.2"/>
    <row r="21578" s="197" customFormat="1" ht="12.75" x14ac:dyDescent="0.2"/>
    <row r="21579" s="197" customFormat="1" ht="12.75" x14ac:dyDescent="0.2"/>
    <row r="21580" s="197" customFormat="1" ht="12.75" x14ac:dyDescent="0.2"/>
    <row r="21581" s="197" customFormat="1" ht="12.75" x14ac:dyDescent="0.2"/>
    <row r="21582" s="197" customFormat="1" ht="12.75" x14ac:dyDescent="0.2"/>
    <row r="21583" s="197" customFormat="1" ht="12.75" x14ac:dyDescent="0.2"/>
    <row r="21584" s="197" customFormat="1" ht="12.75" x14ac:dyDescent="0.2"/>
    <row r="21585" s="197" customFormat="1" ht="12.75" x14ac:dyDescent="0.2"/>
    <row r="21586" s="197" customFormat="1" ht="12.75" x14ac:dyDescent="0.2"/>
    <row r="21587" s="197" customFormat="1" ht="12.75" x14ac:dyDescent="0.2"/>
    <row r="21588" s="197" customFormat="1" ht="12.75" x14ac:dyDescent="0.2"/>
    <row r="21589" s="197" customFormat="1" ht="12.75" x14ac:dyDescent="0.2"/>
    <row r="21590" s="197" customFormat="1" ht="12.75" x14ac:dyDescent="0.2"/>
    <row r="21591" s="197" customFormat="1" ht="12.75" x14ac:dyDescent="0.2"/>
    <row r="21592" s="197" customFormat="1" ht="12.75" x14ac:dyDescent="0.2"/>
    <row r="21593" s="197" customFormat="1" ht="12.75" x14ac:dyDescent="0.2"/>
    <row r="21594" s="197" customFormat="1" ht="12.75" x14ac:dyDescent="0.2"/>
    <row r="21595" s="197" customFormat="1" ht="12.75" x14ac:dyDescent="0.2"/>
    <row r="21596" s="197" customFormat="1" ht="12.75" x14ac:dyDescent="0.2"/>
    <row r="21597" s="197" customFormat="1" ht="12.75" x14ac:dyDescent="0.2"/>
    <row r="21598" s="197" customFormat="1" ht="12.75" x14ac:dyDescent="0.2"/>
    <row r="21599" s="197" customFormat="1" ht="12.75" x14ac:dyDescent="0.2"/>
    <row r="21600" s="197" customFormat="1" ht="12.75" x14ac:dyDescent="0.2"/>
    <row r="21601" s="197" customFormat="1" ht="12.75" x14ac:dyDescent="0.2"/>
    <row r="21602" s="197" customFormat="1" ht="12.75" x14ac:dyDescent="0.2"/>
    <row r="21603" s="197" customFormat="1" ht="12.75" x14ac:dyDescent="0.2"/>
    <row r="21604" s="197" customFormat="1" ht="12.75" x14ac:dyDescent="0.2"/>
    <row r="21605" s="197" customFormat="1" ht="12.75" x14ac:dyDescent="0.2"/>
    <row r="21606" s="197" customFormat="1" ht="12.75" x14ac:dyDescent="0.2"/>
    <row r="21607" s="197" customFormat="1" ht="12.75" x14ac:dyDescent="0.2"/>
    <row r="21608" s="197" customFormat="1" ht="12.75" x14ac:dyDescent="0.2"/>
    <row r="21609" s="197" customFormat="1" ht="12.75" x14ac:dyDescent="0.2"/>
    <row r="21610" s="197" customFormat="1" ht="12.75" x14ac:dyDescent="0.2"/>
    <row r="21611" s="197" customFormat="1" ht="12.75" x14ac:dyDescent="0.2"/>
    <row r="21612" s="197" customFormat="1" ht="12.75" x14ac:dyDescent="0.2"/>
    <row r="21613" s="197" customFormat="1" ht="12.75" x14ac:dyDescent="0.2"/>
    <row r="21614" s="197" customFormat="1" ht="12.75" x14ac:dyDescent="0.2"/>
    <row r="21615" s="197" customFormat="1" ht="12.75" x14ac:dyDescent="0.2"/>
    <row r="21616" s="197" customFormat="1" ht="12.75" x14ac:dyDescent="0.2"/>
    <row r="21617" s="197" customFormat="1" ht="12.75" x14ac:dyDescent="0.2"/>
    <row r="21618" s="197" customFormat="1" ht="12.75" x14ac:dyDescent="0.2"/>
    <row r="21619" s="197" customFormat="1" ht="12.75" x14ac:dyDescent="0.2"/>
    <row r="21620" s="197" customFormat="1" ht="12.75" x14ac:dyDescent="0.2"/>
    <row r="21621" s="197" customFormat="1" ht="12.75" x14ac:dyDescent="0.2"/>
    <row r="21622" s="197" customFormat="1" ht="12.75" x14ac:dyDescent="0.2"/>
    <row r="21623" s="197" customFormat="1" ht="12.75" x14ac:dyDescent="0.2"/>
    <row r="21624" s="197" customFormat="1" ht="12.75" x14ac:dyDescent="0.2"/>
    <row r="21625" s="197" customFormat="1" ht="12.75" x14ac:dyDescent="0.2"/>
    <row r="21626" s="197" customFormat="1" ht="12.75" x14ac:dyDescent="0.2"/>
    <row r="21627" s="197" customFormat="1" ht="12.75" x14ac:dyDescent="0.2"/>
    <row r="21628" s="197" customFormat="1" ht="12.75" x14ac:dyDescent="0.2"/>
    <row r="21629" s="197" customFormat="1" ht="12.75" x14ac:dyDescent="0.2"/>
    <row r="21630" s="197" customFormat="1" ht="12.75" x14ac:dyDescent="0.2"/>
    <row r="21631" s="197" customFormat="1" ht="12.75" x14ac:dyDescent="0.2"/>
    <row r="21632" s="197" customFormat="1" ht="12.75" x14ac:dyDescent="0.2"/>
    <row r="21633" s="197" customFormat="1" ht="12.75" x14ac:dyDescent="0.2"/>
    <row r="21634" s="197" customFormat="1" ht="12.75" x14ac:dyDescent="0.2"/>
    <row r="21635" s="197" customFormat="1" ht="12.75" x14ac:dyDescent="0.2"/>
    <row r="21636" s="197" customFormat="1" ht="12.75" x14ac:dyDescent="0.2"/>
    <row r="21637" s="197" customFormat="1" ht="12.75" x14ac:dyDescent="0.2"/>
    <row r="21638" s="197" customFormat="1" ht="12.75" x14ac:dyDescent="0.2"/>
    <row r="21639" s="197" customFormat="1" ht="12.75" x14ac:dyDescent="0.2"/>
    <row r="21640" s="197" customFormat="1" ht="12.75" x14ac:dyDescent="0.2"/>
    <row r="21641" s="197" customFormat="1" ht="12.75" x14ac:dyDescent="0.2"/>
    <row r="21642" s="197" customFormat="1" ht="12.75" x14ac:dyDescent="0.2"/>
    <row r="21643" s="197" customFormat="1" ht="12.75" x14ac:dyDescent="0.2"/>
    <row r="21644" s="197" customFormat="1" ht="12.75" x14ac:dyDescent="0.2"/>
    <row r="21645" s="197" customFormat="1" ht="12.75" x14ac:dyDescent="0.2"/>
    <row r="21646" s="197" customFormat="1" ht="12.75" x14ac:dyDescent="0.2"/>
    <row r="21647" s="197" customFormat="1" ht="12.75" x14ac:dyDescent="0.2"/>
    <row r="21648" s="197" customFormat="1" ht="12.75" x14ac:dyDescent="0.2"/>
    <row r="21649" s="197" customFormat="1" ht="12.75" x14ac:dyDescent="0.2"/>
    <row r="21650" s="197" customFormat="1" ht="12.75" x14ac:dyDescent="0.2"/>
    <row r="21651" s="197" customFormat="1" ht="12.75" x14ac:dyDescent="0.2"/>
    <row r="21652" s="197" customFormat="1" ht="12.75" x14ac:dyDescent="0.2"/>
    <row r="21653" s="197" customFormat="1" ht="12.75" x14ac:dyDescent="0.2"/>
    <row r="21654" s="197" customFormat="1" ht="12.75" x14ac:dyDescent="0.2"/>
    <row r="21655" s="197" customFormat="1" ht="12.75" x14ac:dyDescent="0.2"/>
    <row r="21656" s="197" customFormat="1" ht="12.75" x14ac:dyDescent="0.2"/>
    <row r="21657" s="197" customFormat="1" ht="12.75" x14ac:dyDescent="0.2"/>
    <row r="21658" s="197" customFormat="1" ht="12.75" x14ac:dyDescent="0.2"/>
    <row r="21659" s="197" customFormat="1" ht="12.75" x14ac:dyDescent="0.2"/>
    <row r="21660" s="197" customFormat="1" ht="12.75" x14ac:dyDescent="0.2"/>
    <row r="21661" s="197" customFormat="1" ht="12.75" x14ac:dyDescent="0.2"/>
    <row r="21662" s="197" customFormat="1" ht="12.75" x14ac:dyDescent="0.2"/>
    <row r="21663" s="197" customFormat="1" ht="12.75" x14ac:dyDescent="0.2"/>
    <row r="21664" s="197" customFormat="1" ht="12.75" x14ac:dyDescent="0.2"/>
    <row r="21665" s="197" customFormat="1" ht="12.75" x14ac:dyDescent="0.2"/>
    <row r="21666" s="197" customFormat="1" ht="12.75" x14ac:dyDescent="0.2"/>
    <row r="21667" s="197" customFormat="1" ht="12.75" x14ac:dyDescent="0.2"/>
    <row r="21668" s="197" customFormat="1" ht="12.75" x14ac:dyDescent="0.2"/>
    <row r="21669" s="197" customFormat="1" ht="12.75" x14ac:dyDescent="0.2"/>
    <row r="21670" s="197" customFormat="1" ht="12.75" x14ac:dyDescent="0.2"/>
    <row r="21671" s="197" customFormat="1" ht="12.75" x14ac:dyDescent="0.2"/>
    <row r="21672" s="197" customFormat="1" ht="12.75" x14ac:dyDescent="0.2"/>
    <row r="21673" s="197" customFormat="1" ht="12.75" x14ac:dyDescent="0.2"/>
    <row r="21674" s="197" customFormat="1" ht="12.75" x14ac:dyDescent="0.2"/>
    <row r="21675" s="197" customFormat="1" ht="12.75" x14ac:dyDescent="0.2"/>
    <row r="21676" s="197" customFormat="1" ht="12.75" x14ac:dyDescent="0.2"/>
    <row r="21677" s="197" customFormat="1" ht="12.75" x14ac:dyDescent="0.2"/>
    <row r="21678" s="197" customFormat="1" ht="12.75" x14ac:dyDescent="0.2"/>
    <row r="21679" s="197" customFormat="1" ht="12.75" x14ac:dyDescent="0.2"/>
    <row r="21680" s="197" customFormat="1" ht="12.75" x14ac:dyDescent="0.2"/>
    <row r="21681" s="197" customFormat="1" ht="12.75" x14ac:dyDescent="0.2"/>
    <row r="21682" s="197" customFormat="1" ht="12.75" x14ac:dyDescent="0.2"/>
    <row r="21683" s="197" customFormat="1" ht="12.75" x14ac:dyDescent="0.2"/>
    <row r="21684" s="197" customFormat="1" ht="12.75" x14ac:dyDescent="0.2"/>
    <row r="21685" s="197" customFormat="1" ht="12.75" x14ac:dyDescent="0.2"/>
    <row r="21686" s="197" customFormat="1" ht="12.75" x14ac:dyDescent="0.2"/>
    <row r="21687" s="197" customFormat="1" ht="12.75" x14ac:dyDescent="0.2"/>
    <row r="21688" s="197" customFormat="1" ht="12.75" x14ac:dyDescent="0.2"/>
    <row r="21689" s="197" customFormat="1" ht="12.75" x14ac:dyDescent="0.2"/>
    <row r="21690" s="197" customFormat="1" ht="12.75" x14ac:dyDescent="0.2"/>
    <row r="21691" s="197" customFormat="1" ht="12.75" x14ac:dyDescent="0.2"/>
    <row r="21692" s="197" customFormat="1" ht="12.75" x14ac:dyDescent="0.2"/>
    <row r="21693" s="197" customFormat="1" ht="12.75" x14ac:dyDescent="0.2"/>
    <row r="21694" s="197" customFormat="1" ht="12.75" x14ac:dyDescent="0.2"/>
    <row r="21695" s="197" customFormat="1" ht="12.75" x14ac:dyDescent="0.2"/>
    <row r="21696" s="197" customFormat="1" ht="12.75" x14ac:dyDescent="0.2"/>
    <row r="21697" s="197" customFormat="1" ht="12.75" x14ac:dyDescent="0.2"/>
    <row r="21698" s="197" customFormat="1" ht="12.75" x14ac:dyDescent="0.2"/>
    <row r="21699" s="197" customFormat="1" ht="12.75" x14ac:dyDescent="0.2"/>
    <row r="21700" s="197" customFormat="1" ht="12.75" x14ac:dyDescent="0.2"/>
    <row r="21701" s="197" customFormat="1" ht="12.75" x14ac:dyDescent="0.2"/>
    <row r="21702" s="197" customFormat="1" ht="12.75" x14ac:dyDescent="0.2"/>
    <row r="21703" s="197" customFormat="1" ht="12.75" x14ac:dyDescent="0.2"/>
    <row r="21704" s="197" customFormat="1" ht="12.75" x14ac:dyDescent="0.2"/>
    <row r="21705" s="197" customFormat="1" ht="12.75" x14ac:dyDescent="0.2"/>
    <row r="21706" s="197" customFormat="1" ht="12.75" x14ac:dyDescent="0.2"/>
    <row r="21707" s="197" customFormat="1" ht="12.75" x14ac:dyDescent="0.2"/>
    <row r="21708" s="197" customFormat="1" ht="12.75" x14ac:dyDescent="0.2"/>
    <row r="21709" s="197" customFormat="1" ht="12.75" x14ac:dyDescent="0.2"/>
    <row r="21710" s="197" customFormat="1" ht="12.75" x14ac:dyDescent="0.2"/>
    <row r="21711" s="197" customFormat="1" ht="12.75" x14ac:dyDescent="0.2"/>
    <row r="21712" s="197" customFormat="1" ht="12.75" x14ac:dyDescent="0.2"/>
    <row r="21713" s="197" customFormat="1" ht="12.75" x14ac:dyDescent="0.2"/>
    <row r="21714" s="197" customFormat="1" ht="12.75" x14ac:dyDescent="0.2"/>
    <row r="21715" s="197" customFormat="1" ht="12.75" x14ac:dyDescent="0.2"/>
    <row r="21716" s="197" customFormat="1" ht="12.75" x14ac:dyDescent="0.2"/>
    <row r="21717" s="197" customFormat="1" ht="12.75" x14ac:dyDescent="0.2"/>
    <row r="21718" s="197" customFormat="1" ht="12.75" x14ac:dyDescent="0.2"/>
    <row r="21719" s="197" customFormat="1" ht="12.75" x14ac:dyDescent="0.2"/>
    <row r="21720" s="197" customFormat="1" ht="12.75" x14ac:dyDescent="0.2"/>
    <row r="21721" s="197" customFormat="1" ht="12.75" x14ac:dyDescent="0.2"/>
    <row r="21722" s="197" customFormat="1" ht="12.75" x14ac:dyDescent="0.2"/>
    <row r="21723" s="197" customFormat="1" ht="12.75" x14ac:dyDescent="0.2"/>
    <row r="21724" s="197" customFormat="1" ht="12.75" x14ac:dyDescent="0.2"/>
    <row r="21725" s="197" customFormat="1" ht="12.75" x14ac:dyDescent="0.2"/>
    <row r="21726" s="197" customFormat="1" ht="12.75" x14ac:dyDescent="0.2"/>
    <row r="21727" s="197" customFormat="1" ht="12.75" x14ac:dyDescent="0.2"/>
    <row r="21728" s="197" customFormat="1" ht="12.75" x14ac:dyDescent="0.2"/>
    <row r="21729" s="197" customFormat="1" ht="12.75" x14ac:dyDescent="0.2"/>
    <row r="21730" s="197" customFormat="1" ht="12.75" x14ac:dyDescent="0.2"/>
    <row r="21731" s="197" customFormat="1" ht="12.75" x14ac:dyDescent="0.2"/>
    <row r="21732" s="197" customFormat="1" ht="12.75" x14ac:dyDescent="0.2"/>
    <row r="21733" s="197" customFormat="1" ht="12.75" x14ac:dyDescent="0.2"/>
    <row r="21734" s="197" customFormat="1" ht="12.75" x14ac:dyDescent="0.2"/>
    <row r="21735" s="197" customFormat="1" ht="12.75" x14ac:dyDescent="0.2"/>
    <row r="21736" s="197" customFormat="1" ht="12.75" x14ac:dyDescent="0.2"/>
    <row r="21737" s="197" customFormat="1" ht="12.75" x14ac:dyDescent="0.2"/>
    <row r="21738" s="197" customFormat="1" ht="12.75" x14ac:dyDescent="0.2"/>
    <row r="21739" s="197" customFormat="1" ht="12.75" x14ac:dyDescent="0.2"/>
    <row r="21740" s="197" customFormat="1" ht="12.75" x14ac:dyDescent="0.2"/>
    <row r="21741" s="197" customFormat="1" ht="12.75" x14ac:dyDescent="0.2"/>
    <row r="21742" s="197" customFormat="1" ht="12.75" x14ac:dyDescent="0.2"/>
    <row r="21743" s="197" customFormat="1" ht="12.75" x14ac:dyDescent="0.2"/>
    <row r="21744" s="197" customFormat="1" ht="12.75" x14ac:dyDescent="0.2"/>
    <row r="21745" s="197" customFormat="1" ht="12.75" x14ac:dyDescent="0.2"/>
    <row r="21746" s="197" customFormat="1" ht="12.75" x14ac:dyDescent="0.2"/>
    <row r="21747" s="197" customFormat="1" ht="12.75" x14ac:dyDescent="0.2"/>
    <row r="21748" s="197" customFormat="1" ht="12.75" x14ac:dyDescent="0.2"/>
    <row r="21749" s="197" customFormat="1" ht="12.75" x14ac:dyDescent="0.2"/>
    <row r="21750" s="197" customFormat="1" ht="12.75" x14ac:dyDescent="0.2"/>
    <row r="21751" s="197" customFormat="1" ht="12.75" x14ac:dyDescent="0.2"/>
    <row r="21752" s="197" customFormat="1" ht="12.75" x14ac:dyDescent="0.2"/>
    <row r="21753" s="197" customFormat="1" ht="12.75" x14ac:dyDescent="0.2"/>
    <row r="21754" s="197" customFormat="1" ht="12.75" x14ac:dyDescent="0.2"/>
    <row r="21755" s="197" customFormat="1" ht="12.75" x14ac:dyDescent="0.2"/>
    <row r="21756" s="197" customFormat="1" ht="12.75" x14ac:dyDescent="0.2"/>
    <row r="21757" s="197" customFormat="1" ht="12.75" x14ac:dyDescent="0.2"/>
    <row r="21758" s="197" customFormat="1" ht="12.75" x14ac:dyDescent="0.2"/>
    <row r="21759" s="197" customFormat="1" ht="12.75" x14ac:dyDescent="0.2"/>
    <row r="21760" s="197" customFormat="1" ht="12.75" x14ac:dyDescent="0.2"/>
    <row r="21761" s="197" customFormat="1" ht="12.75" x14ac:dyDescent="0.2"/>
    <row r="21762" s="197" customFormat="1" ht="12.75" x14ac:dyDescent="0.2"/>
    <row r="21763" s="197" customFormat="1" ht="12.75" x14ac:dyDescent="0.2"/>
    <row r="21764" s="197" customFormat="1" ht="12.75" x14ac:dyDescent="0.2"/>
    <row r="21765" s="197" customFormat="1" ht="12.75" x14ac:dyDescent="0.2"/>
    <row r="21766" s="197" customFormat="1" ht="12.75" x14ac:dyDescent="0.2"/>
    <row r="21767" s="197" customFormat="1" ht="12.75" x14ac:dyDescent="0.2"/>
    <row r="21768" s="197" customFormat="1" ht="12.75" x14ac:dyDescent="0.2"/>
    <row r="21769" s="197" customFormat="1" ht="12.75" x14ac:dyDescent="0.2"/>
    <row r="21770" s="197" customFormat="1" ht="12.75" x14ac:dyDescent="0.2"/>
    <row r="21771" s="197" customFormat="1" ht="12.75" x14ac:dyDescent="0.2"/>
    <row r="21772" s="197" customFormat="1" ht="12.75" x14ac:dyDescent="0.2"/>
    <row r="21773" s="197" customFormat="1" ht="12.75" x14ac:dyDescent="0.2"/>
    <row r="21774" s="197" customFormat="1" ht="12.75" x14ac:dyDescent="0.2"/>
    <row r="21775" s="197" customFormat="1" ht="12.75" x14ac:dyDescent="0.2"/>
    <row r="21776" s="197" customFormat="1" ht="12.75" x14ac:dyDescent="0.2"/>
    <row r="21777" s="197" customFormat="1" ht="12.75" x14ac:dyDescent="0.2"/>
    <row r="21778" s="197" customFormat="1" ht="12.75" x14ac:dyDescent="0.2"/>
    <row r="21779" s="197" customFormat="1" ht="12.75" x14ac:dyDescent="0.2"/>
    <row r="21780" s="197" customFormat="1" ht="12.75" x14ac:dyDescent="0.2"/>
    <row r="21781" s="197" customFormat="1" ht="12.75" x14ac:dyDescent="0.2"/>
    <row r="21782" s="197" customFormat="1" ht="12.75" x14ac:dyDescent="0.2"/>
    <row r="21783" s="197" customFormat="1" ht="12.75" x14ac:dyDescent="0.2"/>
    <row r="21784" s="197" customFormat="1" ht="12.75" x14ac:dyDescent="0.2"/>
    <row r="21785" s="197" customFormat="1" ht="12.75" x14ac:dyDescent="0.2"/>
    <row r="21786" s="197" customFormat="1" ht="12.75" x14ac:dyDescent="0.2"/>
    <row r="21787" s="197" customFormat="1" ht="12.75" x14ac:dyDescent="0.2"/>
    <row r="21788" s="197" customFormat="1" ht="12.75" x14ac:dyDescent="0.2"/>
    <row r="21789" s="197" customFormat="1" ht="12.75" x14ac:dyDescent="0.2"/>
    <row r="21790" s="197" customFormat="1" ht="12.75" x14ac:dyDescent="0.2"/>
    <row r="21791" s="197" customFormat="1" ht="12.75" x14ac:dyDescent="0.2"/>
    <row r="21792" s="197" customFormat="1" ht="12.75" x14ac:dyDescent="0.2"/>
    <row r="21793" s="197" customFormat="1" ht="12.75" x14ac:dyDescent="0.2"/>
    <row r="21794" s="197" customFormat="1" ht="12.75" x14ac:dyDescent="0.2"/>
    <row r="21795" s="197" customFormat="1" ht="12.75" x14ac:dyDescent="0.2"/>
    <row r="21796" s="197" customFormat="1" ht="12.75" x14ac:dyDescent="0.2"/>
    <row r="21797" s="197" customFormat="1" ht="12.75" x14ac:dyDescent="0.2"/>
    <row r="21798" s="197" customFormat="1" ht="12.75" x14ac:dyDescent="0.2"/>
    <row r="21799" s="197" customFormat="1" ht="12.75" x14ac:dyDescent="0.2"/>
    <row r="21800" s="197" customFormat="1" ht="12.75" x14ac:dyDescent="0.2"/>
    <row r="21801" s="197" customFormat="1" ht="12.75" x14ac:dyDescent="0.2"/>
    <row r="21802" s="197" customFormat="1" ht="12.75" x14ac:dyDescent="0.2"/>
    <row r="21803" s="197" customFormat="1" ht="12.75" x14ac:dyDescent="0.2"/>
    <row r="21804" s="197" customFormat="1" ht="12.75" x14ac:dyDescent="0.2"/>
    <row r="21805" s="197" customFormat="1" ht="12.75" x14ac:dyDescent="0.2"/>
    <row r="21806" s="197" customFormat="1" ht="12.75" x14ac:dyDescent="0.2"/>
    <row r="21807" s="197" customFormat="1" ht="12.75" x14ac:dyDescent="0.2"/>
    <row r="21808" s="197" customFormat="1" ht="12.75" x14ac:dyDescent="0.2"/>
    <row r="21809" s="197" customFormat="1" ht="12.75" x14ac:dyDescent="0.2"/>
    <row r="21810" s="197" customFormat="1" ht="12.75" x14ac:dyDescent="0.2"/>
    <row r="21811" s="197" customFormat="1" ht="12.75" x14ac:dyDescent="0.2"/>
    <row r="21812" s="197" customFormat="1" ht="12.75" x14ac:dyDescent="0.2"/>
    <row r="21813" s="197" customFormat="1" ht="12.75" x14ac:dyDescent="0.2"/>
    <row r="21814" s="197" customFormat="1" ht="12.75" x14ac:dyDescent="0.2"/>
    <row r="21815" s="197" customFormat="1" ht="12.75" x14ac:dyDescent="0.2"/>
    <row r="21816" s="197" customFormat="1" ht="12.75" x14ac:dyDescent="0.2"/>
    <row r="21817" s="197" customFormat="1" ht="12.75" x14ac:dyDescent="0.2"/>
    <row r="21818" s="197" customFormat="1" ht="12.75" x14ac:dyDescent="0.2"/>
    <row r="21819" s="197" customFormat="1" ht="12.75" x14ac:dyDescent="0.2"/>
    <row r="21820" s="197" customFormat="1" ht="12.75" x14ac:dyDescent="0.2"/>
    <row r="21821" s="197" customFormat="1" ht="12.75" x14ac:dyDescent="0.2"/>
    <row r="21822" s="197" customFormat="1" ht="12.75" x14ac:dyDescent="0.2"/>
    <row r="21823" s="197" customFormat="1" ht="12.75" x14ac:dyDescent="0.2"/>
    <row r="21824" s="197" customFormat="1" ht="12.75" x14ac:dyDescent="0.2"/>
    <row r="21825" s="197" customFormat="1" ht="12.75" x14ac:dyDescent="0.2"/>
    <row r="21826" s="197" customFormat="1" ht="12.75" x14ac:dyDescent="0.2"/>
    <row r="21827" s="197" customFormat="1" ht="12.75" x14ac:dyDescent="0.2"/>
    <row r="21828" s="197" customFormat="1" ht="12.75" x14ac:dyDescent="0.2"/>
    <row r="21829" s="197" customFormat="1" ht="12.75" x14ac:dyDescent="0.2"/>
    <row r="21830" s="197" customFormat="1" ht="12.75" x14ac:dyDescent="0.2"/>
    <row r="21831" s="197" customFormat="1" ht="12.75" x14ac:dyDescent="0.2"/>
    <row r="21832" s="197" customFormat="1" ht="12.75" x14ac:dyDescent="0.2"/>
    <row r="21833" s="197" customFormat="1" ht="12.75" x14ac:dyDescent="0.2"/>
    <row r="21834" s="197" customFormat="1" ht="12.75" x14ac:dyDescent="0.2"/>
    <row r="21835" s="197" customFormat="1" ht="12.75" x14ac:dyDescent="0.2"/>
    <row r="21836" s="197" customFormat="1" ht="12.75" x14ac:dyDescent="0.2"/>
    <row r="21837" s="197" customFormat="1" ht="12.75" x14ac:dyDescent="0.2"/>
    <row r="21838" s="197" customFormat="1" ht="12.75" x14ac:dyDescent="0.2"/>
    <row r="21839" s="197" customFormat="1" ht="12.75" x14ac:dyDescent="0.2"/>
    <row r="21840" s="197" customFormat="1" ht="12.75" x14ac:dyDescent="0.2"/>
    <row r="21841" s="197" customFormat="1" ht="12.75" x14ac:dyDescent="0.2"/>
    <row r="21842" s="197" customFormat="1" ht="12.75" x14ac:dyDescent="0.2"/>
    <row r="21843" s="197" customFormat="1" ht="12.75" x14ac:dyDescent="0.2"/>
    <row r="21844" s="197" customFormat="1" ht="12.75" x14ac:dyDescent="0.2"/>
    <row r="21845" s="197" customFormat="1" ht="12.75" x14ac:dyDescent="0.2"/>
    <row r="21846" s="197" customFormat="1" ht="12.75" x14ac:dyDescent="0.2"/>
    <row r="21847" s="197" customFormat="1" ht="12.75" x14ac:dyDescent="0.2"/>
    <row r="21848" s="197" customFormat="1" ht="12.75" x14ac:dyDescent="0.2"/>
    <row r="21849" s="197" customFormat="1" ht="12.75" x14ac:dyDescent="0.2"/>
    <row r="21850" s="197" customFormat="1" ht="12.75" x14ac:dyDescent="0.2"/>
    <row r="21851" s="197" customFormat="1" ht="12.75" x14ac:dyDescent="0.2"/>
    <row r="21852" s="197" customFormat="1" ht="12.75" x14ac:dyDescent="0.2"/>
    <row r="21853" s="197" customFormat="1" ht="12.75" x14ac:dyDescent="0.2"/>
    <row r="21854" s="197" customFormat="1" ht="12.75" x14ac:dyDescent="0.2"/>
    <row r="21855" s="197" customFormat="1" ht="12.75" x14ac:dyDescent="0.2"/>
    <row r="21856" s="197" customFormat="1" ht="12.75" x14ac:dyDescent="0.2"/>
    <row r="21857" s="197" customFormat="1" ht="12.75" x14ac:dyDescent="0.2"/>
    <row r="21858" s="197" customFormat="1" ht="12.75" x14ac:dyDescent="0.2"/>
    <row r="21859" s="197" customFormat="1" ht="12.75" x14ac:dyDescent="0.2"/>
    <row r="21860" s="197" customFormat="1" ht="12.75" x14ac:dyDescent="0.2"/>
    <row r="21861" s="197" customFormat="1" ht="12.75" x14ac:dyDescent="0.2"/>
    <row r="21862" s="197" customFormat="1" ht="12.75" x14ac:dyDescent="0.2"/>
    <row r="21863" s="197" customFormat="1" ht="12.75" x14ac:dyDescent="0.2"/>
    <row r="21864" s="197" customFormat="1" ht="12.75" x14ac:dyDescent="0.2"/>
    <row r="21865" s="197" customFormat="1" ht="12.75" x14ac:dyDescent="0.2"/>
    <row r="21866" s="197" customFormat="1" ht="12.75" x14ac:dyDescent="0.2"/>
    <row r="21867" s="197" customFormat="1" ht="12.75" x14ac:dyDescent="0.2"/>
    <row r="21868" s="197" customFormat="1" ht="12.75" x14ac:dyDescent="0.2"/>
    <row r="21869" s="197" customFormat="1" ht="12.75" x14ac:dyDescent="0.2"/>
    <row r="21870" s="197" customFormat="1" ht="12.75" x14ac:dyDescent="0.2"/>
    <row r="21871" s="197" customFormat="1" ht="12.75" x14ac:dyDescent="0.2"/>
    <row r="21872" s="197" customFormat="1" ht="12.75" x14ac:dyDescent="0.2"/>
    <row r="21873" s="197" customFormat="1" ht="12.75" x14ac:dyDescent="0.2"/>
    <row r="21874" s="197" customFormat="1" ht="12.75" x14ac:dyDescent="0.2"/>
    <row r="21875" s="197" customFormat="1" ht="12.75" x14ac:dyDescent="0.2"/>
    <row r="21876" s="197" customFormat="1" ht="12.75" x14ac:dyDescent="0.2"/>
    <row r="21877" s="197" customFormat="1" ht="12.75" x14ac:dyDescent="0.2"/>
    <row r="21878" s="197" customFormat="1" ht="12.75" x14ac:dyDescent="0.2"/>
    <row r="21879" s="197" customFormat="1" ht="12.75" x14ac:dyDescent="0.2"/>
    <row r="21880" s="197" customFormat="1" ht="12.75" x14ac:dyDescent="0.2"/>
    <row r="21881" s="197" customFormat="1" ht="12.75" x14ac:dyDescent="0.2"/>
    <row r="21882" s="197" customFormat="1" ht="12.75" x14ac:dyDescent="0.2"/>
    <row r="21883" s="197" customFormat="1" ht="12.75" x14ac:dyDescent="0.2"/>
    <row r="21884" s="197" customFormat="1" ht="12.75" x14ac:dyDescent="0.2"/>
    <row r="21885" s="197" customFormat="1" ht="12.75" x14ac:dyDescent="0.2"/>
    <row r="21886" s="197" customFormat="1" ht="12.75" x14ac:dyDescent="0.2"/>
    <row r="21887" s="197" customFormat="1" ht="12.75" x14ac:dyDescent="0.2"/>
    <row r="21888" s="197" customFormat="1" ht="12.75" x14ac:dyDescent="0.2"/>
    <row r="21889" s="197" customFormat="1" ht="12.75" x14ac:dyDescent="0.2"/>
    <row r="21890" s="197" customFormat="1" ht="12.75" x14ac:dyDescent="0.2"/>
    <row r="21891" s="197" customFormat="1" ht="12.75" x14ac:dyDescent="0.2"/>
    <row r="21892" s="197" customFormat="1" ht="12.75" x14ac:dyDescent="0.2"/>
    <row r="21893" s="197" customFormat="1" ht="12.75" x14ac:dyDescent="0.2"/>
    <row r="21894" s="197" customFormat="1" ht="12.75" x14ac:dyDescent="0.2"/>
    <row r="21895" s="197" customFormat="1" ht="12.75" x14ac:dyDescent="0.2"/>
    <row r="21896" s="197" customFormat="1" ht="12.75" x14ac:dyDescent="0.2"/>
    <row r="21897" s="197" customFormat="1" ht="12.75" x14ac:dyDescent="0.2"/>
    <row r="21898" s="197" customFormat="1" ht="12.75" x14ac:dyDescent="0.2"/>
    <row r="21899" s="197" customFormat="1" ht="12.75" x14ac:dyDescent="0.2"/>
    <row r="21900" s="197" customFormat="1" ht="12.75" x14ac:dyDescent="0.2"/>
    <row r="21901" s="197" customFormat="1" ht="12.75" x14ac:dyDescent="0.2"/>
    <row r="21902" s="197" customFormat="1" ht="12.75" x14ac:dyDescent="0.2"/>
    <row r="21903" s="197" customFormat="1" ht="12.75" x14ac:dyDescent="0.2"/>
    <row r="21904" s="197" customFormat="1" ht="12.75" x14ac:dyDescent="0.2"/>
    <row r="21905" s="197" customFormat="1" ht="12.75" x14ac:dyDescent="0.2"/>
    <row r="21906" s="197" customFormat="1" ht="12.75" x14ac:dyDescent="0.2"/>
    <row r="21907" s="197" customFormat="1" ht="12.75" x14ac:dyDescent="0.2"/>
    <row r="21908" s="197" customFormat="1" ht="12.75" x14ac:dyDescent="0.2"/>
    <row r="21909" s="197" customFormat="1" ht="12.75" x14ac:dyDescent="0.2"/>
    <row r="21910" s="197" customFormat="1" ht="12.75" x14ac:dyDescent="0.2"/>
    <row r="21911" s="197" customFormat="1" ht="12.75" x14ac:dyDescent="0.2"/>
    <row r="21912" s="197" customFormat="1" ht="12.75" x14ac:dyDescent="0.2"/>
    <row r="21913" s="197" customFormat="1" ht="12.75" x14ac:dyDescent="0.2"/>
    <row r="21914" s="197" customFormat="1" ht="12.75" x14ac:dyDescent="0.2"/>
    <row r="21915" s="197" customFormat="1" ht="12.75" x14ac:dyDescent="0.2"/>
    <row r="21916" s="197" customFormat="1" ht="12.75" x14ac:dyDescent="0.2"/>
    <row r="21917" s="197" customFormat="1" ht="12.75" x14ac:dyDescent="0.2"/>
    <row r="21918" s="197" customFormat="1" ht="12.75" x14ac:dyDescent="0.2"/>
    <row r="21919" s="197" customFormat="1" ht="12.75" x14ac:dyDescent="0.2"/>
    <row r="21920" s="197" customFormat="1" ht="12.75" x14ac:dyDescent="0.2"/>
    <row r="21921" s="197" customFormat="1" ht="12.75" x14ac:dyDescent="0.2"/>
    <row r="21922" s="197" customFormat="1" ht="12.75" x14ac:dyDescent="0.2"/>
    <row r="21923" s="197" customFormat="1" ht="12.75" x14ac:dyDescent="0.2"/>
    <row r="21924" s="197" customFormat="1" ht="12.75" x14ac:dyDescent="0.2"/>
    <row r="21925" s="197" customFormat="1" ht="12.75" x14ac:dyDescent="0.2"/>
    <row r="21926" s="197" customFormat="1" ht="12.75" x14ac:dyDescent="0.2"/>
    <row r="21927" s="197" customFormat="1" ht="12.75" x14ac:dyDescent="0.2"/>
    <row r="21928" s="197" customFormat="1" ht="12.75" x14ac:dyDescent="0.2"/>
    <row r="21929" s="197" customFormat="1" ht="12.75" x14ac:dyDescent="0.2"/>
    <row r="21930" s="197" customFormat="1" ht="12.75" x14ac:dyDescent="0.2"/>
    <row r="21931" s="197" customFormat="1" ht="12.75" x14ac:dyDescent="0.2"/>
    <row r="21932" s="197" customFormat="1" ht="12.75" x14ac:dyDescent="0.2"/>
    <row r="21933" s="197" customFormat="1" ht="12.75" x14ac:dyDescent="0.2"/>
    <row r="21934" s="197" customFormat="1" ht="12.75" x14ac:dyDescent="0.2"/>
    <row r="21935" s="197" customFormat="1" ht="12.75" x14ac:dyDescent="0.2"/>
    <row r="21936" s="197" customFormat="1" ht="12.75" x14ac:dyDescent="0.2"/>
    <row r="21937" s="197" customFormat="1" ht="12.75" x14ac:dyDescent="0.2"/>
    <row r="21938" s="197" customFormat="1" ht="12.75" x14ac:dyDescent="0.2"/>
    <row r="21939" s="197" customFormat="1" ht="12.75" x14ac:dyDescent="0.2"/>
    <row r="21940" s="197" customFormat="1" ht="12.75" x14ac:dyDescent="0.2"/>
    <row r="21941" s="197" customFormat="1" ht="12.75" x14ac:dyDescent="0.2"/>
    <row r="21942" s="197" customFormat="1" ht="12.75" x14ac:dyDescent="0.2"/>
    <row r="21943" s="197" customFormat="1" ht="12.75" x14ac:dyDescent="0.2"/>
    <row r="21944" s="197" customFormat="1" ht="12.75" x14ac:dyDescent="0.2"/>
    <row r="21945" s="197" customFormat="1" ht="12.75" x14ac:dyDescent="0.2"/>
    <row r="21946" s="197" customFormat="1" ht="12.75" x14ac:dyDescent="0.2"/>
    <row r="21947" s="197" customFormat="1" ht="12.75" x14ac:dyDescent="0.2"/>
    <row r="21948" s="197" customFormat="1" ht="12.75" x14ac:dyDescent="0.2"/>
    <row r="21949" s="197" customFormat="1" ht="12.75" x14ac:dyDescent="0.2"/>
    <row r="21950" s="197" customFormat="1" ht="12.75" x14ac:dyDescent="0.2"/>
    <row r="21951" s="197" customFormat="1" ht="12.75" x14ac:dyDescent="0.2"/>
    <row r="21952" s="197" customFormat="1" ht="12.75" x14ac:dyDescent="0.2"/>
    <row r="21953" s="197" customFormat="1" ht="12.75" x14ac:dyDescent="0.2"/>
    <row r="21954" s="197" customFormat="1" ht="12.75" x14ac:dyDescent="0.2"/>
    <row r="21955" s="197" customFormat="1" ht="12.75" x14ac:dyDescent="0.2"/>
    <row r="21956" s="197" customFormat="1" ht="12.75" x14ac:dyDescent="0.2"/>
    <row r="21957" s="197" customFormat="1" ht="12.75" x14ac:dyDescent="0.2"/>
    <row r="21958" s="197" customFormat="1" ht="12.75" x14ac:dyDescent="0.2"/>
    <row r="21959" s="197" customFormat="1" ht="12.75" x14ac:dyDescent="0.2"/>
    <row r="21960" s="197" customFormat="1" ht="12.75" x14ac:dyDescent="0.2"/>
    <row r="21961" s="197" customFormat="1" ht="12.75" x14ac:dyDescent="0.2"/>
    <row r="21962" s="197" customFormat="1" ht="12.75" x14ac:dyDescent="0.2"/>
    <row r="21963" s="197" customFormat="1" ht="12.75" x14ac:dyDescent="0.2"/>
    <row r="21964" s="197" customFormat="1" ht="12.75" x14ac:dyDescent="0.2"/>
    <row r="21965" s="197" customFormat="1" ht="12.75" x14ac:dyDescent="0.2"/>
    <row r="21966" s="197" customFormat="1" ht="12.75" x14ac:dyDescent="0.2"/>
    <row r="21967" s="197" customFormat="1" ht="12.75" x14ac:dyDescent="0.2"/>
    <row r="21968" s="197" customFormat="1" ht="12.75" x14ac:dyDescent="0.2"/>
    <row r="21969" s="197" customFormat="1" ht="12.75" x14ac:dyDescent="0.2"/>
    <row r="21970" s="197" customFormat="1" ht="12.75" x14ac:dyDescent="0.2"/>
    <row r="21971" s="197" customFormat="1" ht="12.75" x14ac:dyDescent="0.2"/>
    <row r="21972" s="197" customFormat="1" ht="12.75" x14ac:dyDescent="0.2"/>
    <row r="21973" s="197" customFormat="1" ht="12.75" x14ac:dyDescent="0.2"/>
    <row r="21974" s="197" customFormat="1" ht="12.75" x14ac:dyDescent="0.2"/>
    <row r="21975" s="197" customFormat="1" ht="12.75" x14ac:dyDescent="0.2"/>
    <row r="21976" s="197" customFormat="1" ht="12.75" x14ac:dyDescent="0.2"/>
    <row r="21977" s="197" customFormat="1" ht="12.75" x14ac:dyDescent="0.2"/>
    <row r="21978" s="197" customFormat="1" ht="12.75" x14ac:dyDescent="0.2"/>
    <row r="21979" s="197" customFormat="1" ht="12.75" x14ac:dyDescent="0.2"/>
    <row r="21980" s="197" customFormat="1" ht="12.75" x14ac:dyDescent="0.2"/>
    <row r="21981" s="197" customFormat="1" ht="12.75" x14ac:dyDescent="0.2"/>
    <row r="21982" s="197" customFormat="1" ht="12.75" x14ac:dyDescent="0.2"/>
    <row r="21983" s="197" customFormat="1" ht="12.75" x14ac:dyDescent="0.2"/>
    <row r="21984" s="197" customFormat="1" ht="12.75" x14ac:dyDescent="0.2"/>
    <row r="21985" s="197" customFormat="1" ht="12.75" x14ac:dyDescent="0.2"/>
    <row r="21986" s="197" customFormat="1" ht="12.75" x14ac:dyDescent="0.2"/>
    <row r="21987" s="197" customFormat="1" ht="12.75" x14ac:dyDescent="0.2"/>
    <row r="21988" s="197" customFormat="1" ht="12.75" x14ac:dyDescent="0.2"/>
    <row r="21989" s="197" customFormat="1" ht="12.75" x14ac:dyDescent="0.2"/>
    <row r="21990" s="197" customFormat="1" ht="12.75" x14ac:dyDescent="0.2"/>
    <row r="21991" s="197" customFormat="1" ht="12.75" x14ac:dyDescent="0.2"/>
    <row r="21992" s="197" customFormat="1" ht="12.75" x14ac:dyDescent="0.2"/>
    <row r="21993" s="197" customFormat="1" ht="12.75" x14ac:dyDescent="0.2"/>
    <row r="21994" s="197" customFormat="1" ht="12.75" x14ac:dyDescent="0.2"/>
    <row r="21995" s="197" customFormat="1" ht="12.75" x14ac:dyDescent="0.2"/>
    <row r="21996" s="197" customFormat="1" ht="12.75" x14ac:dyDescent="0.2"/>
    <row r="21997" s="197" customFormat="1" ht="12.75" x14ac:dyDescent="0.2"/>
    <row r="21998" s="197" customFormat="1" ht="12.75" x14ac:dyDescent="0.2"/>
    <row r="21999" s="197" customFormat="1" ht="12.75" x14ac:dyDescent="0.2"/>
    <row r="22000" s="197" customFormat="1" ht="12.75" x14ac:dyDescent="0.2"/>
    <row r="22001" s="197" customFormat="1" ht="12.75" x14ac:dyDescent="0.2"/>
    <row r="22002" s="197" customFormat="1" ht="12.75" x14ac:dyDescent="0.2"/>
    <row r="22003" s="197" customFormat="1" ht="12.75" x14ac:dyDescent="0.2"/>
    <row r="22004" s="197" customFormat="1" ht="12.75" x14ac:dyDescent="0.2"/>
    <row r="22005" s="197" customFormat="1" ht="12.75" x14ac:dyDescent="0.2"/>
    <row r="22006" s="197" customFormat="1" ht="12.75" x14ac:dyDescent="0.2"/>
    <row r="22007" s="197" customFormat="1" ht="12.75" x14ac:dyDescent="0.2"/>
    <row r="22008" s="197" customFormat="1" ht="12.75" x14ac:dyDescent="0.2"/>
    <row r="22009" s="197" customFormat="1" ht="12.75" x14ac:dyDescent="0.2"/>
    <row r="22010" s="197" customFormat="1" ht="12.75" x14ac:dyDescent="0.2"/>
    <row r="22011" s="197" customFormat="1" ht="12.75" x14ac:dyDescent="0.2"/>
    <row r="22012" s="197" customFormat="1" ht="12.75" x14ac:dyDescent="0.2"/>
    <row r="22013" s="197" customFormat="1" ht="12.75" x14ac:dyDescent="0.2"/>
    <row r="22014" s="197" customFormat="1" ht="12.75" x14ac:dyDescent="0.2"/>
    <row r="22015" s="197" customFormat="1" ht="12.75" x14ac:dyDescent="0.2"/>
    <row r="22016" s="197" customFormat="1" ht="12.75" x14ac:dyDescent="0.2"/>
    <row r="22017" s="197" customFormat="1" ht="12.75" x14ac:dyDescent="0.2"/>
    <row r="22018" s="197" customFormat="1" ht="12.75" x14ac:dyDescent="0.2"/>
    <row r="22019" s="197" customFormat="1" ht="12.75" x14ac:dyDescent="0.2"/>
    <row r="22020" s="197" customFormat="1" ht="12.75" x14ac:dyDescent="0.2"/>
    <row r="22021" s="197" customFormat="1" ht="12.75" x14ac:dyDescent="0.2"/>
    <row r="22022" s="197" customFormat="1" ht="12.75" x14ac:dyDescent="0.2"/>
    <row r="22023" s="197" customFormat="1" ht="12.75" x14ac:dyDescent="0.2"/>
    <row r="22024" s="197" customFormat="1" ht="12.75" x14ac:dyDescent="0.2"/>
    <row r="22025" s="197" customFormat="1" ht="12.75" x14ac:dyDescent="0.2"/>
    <row r="22026" s="197" customFormat="1" ht="12.75" x14ac:dyDescent="0.2"/>
    <row r="22027" s="197" customFormat="1" ht="12.75" x14ac:dyDescent="0.2"/>
    <row r="22028" s="197" customFormat="1" ht="12.75" x14ac:dyDescent="0.2"/>
    <row r="22029" s="197" customFormat="1" ht="12.75" x14ac:dyDescent="0.2"/>
    <row r="22030" s="197" customFormat="1" ht="12.75" x14ac:dyDescent="0.2"/>
    <row r="22031" s="197" customFormat="1" ht="12.75" x14ac:dyDescent="0.2"/>
    <row r="22032" s="197" customFormat="1" ht="12.75" x14ac:dyDescent="0.2"/>
    <row r="22033" s="197" customFormat="1" ht="12.75" x14ac:dyDescent="0.2"/>
    <row r="22034" s="197" customFormat="1" ht="12.75" x14ac:dyDescent="0.2"/>
    <row r="22035" s="197" customFormat="1" ht="12.75" x14ac:dyDescent="0.2"/>
    <row r="22036" s="197" customFormat="1" ht="12.75" x14ac:dyDescent="0.2"/>
    <row r="22037" s="197" customFormat="1" ht="12.75" x14ac:dyDescent="0.2"/>
    <row r="22038" s="197" customFormat="1" ht="12.75" x14ac:dyDescent="0.2"/>
    <row r="22039" s="197" customFormat="1" ht="12.75" x14ac:dyDescent="0.2"/>
    <row r="22040" s="197" customFormat="1" ht="12.75" x14ac:dyDescent="0.2"/>
    <row r="22041" s="197" customFormat="1" ht="12.75" x14ac:dyDescent="0.2"/>
    <row r="22042" s="197" customFormat="1" ht="12.75" x14ac:dyDescent="0.2"/>
    <row r="22043" s="197" customFormat="1" ht="12.75" x14ac:dyDescent="0.2"/>
    <row r="22044" s="197" customFormat="1" ht="12.75" x14ac:dyDescent="0.2"/>
    <row r="22045" s="197" customFormat="1" ht="12.75" x14ac:dyDescent="0.2"/>
    <row r="22046" s="197" customFormat="1" ht="12.75" x14ac:dyDescent="0.2"/>
    <row r="22047" s="197" customFormat="1" ht="12.75" x14ac:dyDescent="0.2"/>
    <row r="22048" s="197" customFormat="1" ht="12.75" x14ac:dyDescent="0.2"/>
    <row r="22049" s="197" customFormat="1" ht="12.75" x14ac:dyDescent="0.2"/>
    <row r="22050" s="197" customFormat="1" ht="12.75" x14ac:dyDescent="0.2"/>
    <row r="22051" s="197" customFormat="1" ht="12.75" x14ac:dyDescent="0.2"/>
    <row r="22052" s="197" customFormat="1" ht="12.75" x14ac:dyDescent="0.2"/>
    <row r="22053" s="197" customFormat="1" ht="12.75" x14ac:dyDescent="0.2"/>
    <row r="22054" s="197" customFormat="1" ht="12.75" x14ac:dyDescent="0.2"/>
    <row r="22055" s="197" customFormat="1" ht="12.75" x14ac:dyDescent="0.2"/>
    <row r="22056" s="197" customFormat="1" ht="12.75" x14ac:dyDescent="0.2"/>
    <row r="22057" s="197" customFormat="1" ht="12.75" x14ac:dyDescent="0.2"/>
    <row r="22058" s="197" customFormat="1" ht="12.75" x14ac:dyDescent="0.2"/>
    <row r="22059" s="197" customFormat="1" ht="12.75" x14ac:dyDescent="0.2"/>
    <row r="22060" s="197" customFormat="1" ht="12.75" x14ac:dyDescent="0.2"/>
    <row r="22061" s="197" customFormat="1" ht="12.75" x14ac:dyDescent="0.2"/>
    <row r="22062" s="197" customFormat="1" ht="12.75" x14ac:dyDescent="0.2"/>
    <row r="22063" s="197" customFormat="1" ht="12.75" x14ac:dyDescent="0.2"/>
    <row r="22064" s="197" customFormat="1" ht="12.75" x14ac:dyDescent="0.2"/>
    <row r="22065" s="197" customFormat="1" ht="12.75" x14ac:dyDescent="0.2"/>
    <row r="22066" s="197" customFormat="1" ht="12.75" x14ac:dyDescent="0.2"/>
    <row r="22067" s="197" customFormat="1" ht="12.75" x14ac:dyDescent="0.2"/>
    <row r="22068" s="197" customFormat="1" ht="12.75" x14ac:dyDescent="0.2"/>
    <row r="22069" s="197" customFormat="1" ht="12.75" x14ac:dyDescent="0.2"/>
    <row r="22070" s="197" customFormat="1" ht="12.75" x14ac:dyDescent="0.2"/>
    <row r="22071" s="197" customFormat="1" ht="12.75" x14ac:dyDescent="0.2"/>
    <row r="22072" s="197" customFormat="1" ht="12.75" x14ac:dyDescent="0.2"/>
    <row r="22073" s="197" customFormat="1" ht="12.75" x14ac:dyDescent="0.2"/>
    <row r="22074" s="197" customFormat="1" ht="12.75" x14ac:dyDescent="0.2"/>
    <row r="22075" s="197" customFormat="1" ht="12.75" x14ac:dyDescent="0.2"/>
    <row r="22076" s="197" customFormat="1" ht="12.75" x14ac:dyDescent="0.2"/>
    <row r="22077" s="197" customFormat="1" ht="12.75" x14ac:dyDescent="0.2"/>
    <row r="22078" s="197" customFormat="1" ht="12.75" x14ac:dyDescent="0.2"/>
    <row r="22079" s="197" customFormat="1" ht="12.75" x14ac:dyDescent="0.2"/>
    <row r="22080" s="197" customFormat="1" ht="12.75" x14ac:dyDescent="0.2"/>
    <row r="22081" s="197" customFormat="1" ht="12.75" x14ac:dyDescent="0.2"/>
    <row r="22082" s="197" customFormat="1" ht="12.75" x14ac:dyDescent="0.2"/>
    <row r="22083" s="197" customFormat="1" ht="12.75" x14ac:dyDescent="0.2"/>
    <row r="22084" s="197" customFormat="1" ht="12.75" x14ac:dyDescent="0.2"/>
    <row r="22085" s="197" customFormat="1" ht="12.75" x14ac:dyDescent="0.2"/>
    <row r="22086" s="197" customFormat="1" ht="12.75" x14ac:dyDescent="0.2"/>
    <row r="22087" s="197" customFormat="1" ht="12.75" x14ac:dyDescent="0.2"/>
    <row r="22088" s="197" customFormat="1" ht="12.75" x14ac:dyDescent="0.2"/>
    <row r="22089" s="197" customFormat="1" ht="12.75" x14ac:dyDescent="0.2"/>
    <row r="22090" s="197" customFormat="1" ht="12.75" x14ac:dyDescent="0.2"/>
    <row r="22091" s="197" customFormat="1" ht="12.75" x14ac:dyDescent="0.2"/>
    <row r="22092" s="197" customFormat="1" ht="12.75" x14ac:dyDescent="0.2"/>
    <row r="22093" s="197" customFormat="1" ht="12.75" x14ac:dyDescent="0.2"/>
    <row r="22094" s="197" customFormat="1" ht="12.75" x14ac:dyDescent="0.2"/>
    <row r="22095" s="197" customFormat="1" ht="12.75" x14ac:dyDescent="0.2"/>
    <row r="22096" s="197" customFormat="1" ht="12.75" x14ac:dyDescent="0.2"/>
    <row r="22097" s="197" customFormat="1" ht="12.75" x14ac:dyDescent="0.2"/>
    <row r="22098" s="197" customFormat="1" ht="12.75" x14ac:dyDescent="0.2"/>
    <row r="22099" s="197" customFormat="1" ht="12.75" x14ac:dyDescent="0.2"/>
    <row r="22100" s="197" customFormat="1" ht="12.75" x14ac:dyDescent="0.2"/>
    <row r="22101" s="197" customFormat="1" ht="12.75" x14ac:dyDescent="0.2"/>
    <row r="22102" s="197" customFormat="1" ht="12.75" x14ac:dyDescent="0.2"/>
    <row r="22103" s="197" customFormat="1" ht="12.75" x14ac:dyDescent="0.2"/>
    <row r="22104" s="197" customFormat="1" ht="12.75" x14ac:dyDescent="0.2"/>
    <row r="22105" s="197" customFormat="1" ht="12.75" x14ac:dyDescent="0.2"/>
    <row r="22106" s="197" customFormat="1" ht="12.75" x14ac:dyDescent="0.2"/>
    <row r="22107" s="197" customFormat="1" ht="12.75" x14ac:dyDescent="0.2"/>
    <row r="22108" s="197" customFormat="1" ht="12.75" x14ac:dyDescent="0.2"/>
    <row r="22109" s="197" customFormat="1" ht="12.75" x14ac:dyDescent="0.2"/>
    <row r="22110" s="197" customFormat="1" ht="12.75" x14ac:dyDescent="0.2"/>
    <row r="22111" s="197" customFormat="1" ht="12.75" x14ac:dyDescent="0.2"/>
    <row r="22112" s="197" customFormat="1" ht="12.75" x14ac:dyDescent="0.2"/>
    <row r="22113" s="197" customFormat="1" ht="12.75" x14ac:dyDescent="0.2"/>
    <row r="22114" s="197" customFormat="1" ht="12.75" x14ac:dyDescent="0.2"/>
    <row r="22115" s="197" customFormat="1" ht="12.75" x14ac:dyDescent="0.2"/>
    <row r="22116" s="197" customFormat="1" ht="12.75" x14ac:dyDescent="0.2"/>
    <row r="22117" s="197" customFormat="1" ht="12.75" x14ac:dyDescent="0.2"/>
    <row r="22118" s="197" customFormat="1" ht="12.75" x14ac:dyDescent="0.2"/>
    <row r="22119" s="197" customFormat="1" ht="12.75" x14ac:dyDescent="0.2"/>
    <row r="22120" s="197" customFormat="1" ht="12.75" x14ac:dyDescent="0.2"/>
    <row r="22121" s="197" customFormat="1" ht="12.75" x14ac:dyDescent="0.2"/>
    <row r="22122" s="197" customFormat="1" ht="12.75" x14ac:dyDescent="0.2"/>
    <row r="22123" s="197" customFormat="1" ht="12.75" x14ac:dyDescent="0.2"/>
    <row r="22124" s="197" customFormat="1" ht="12.75" x14ac:dyDescent="0.2"/>
    <row r="22125" s="197" customFormat="1" ht="12.75" x14ac:dyDescent="0.2"/>
    <row r="22126" s="197" customFormat="1" ht="12.75" x14ac:dyDescent="0.2"/>
    <row r="22127" s="197" customFormat="1" ht="12.75" x14ac:dyDescent="0.2"/>
    <row r="22128" s="197" customFormat="1" ht="12.75" x14ac:dyDescent="0.2"/>
    <row r="22129" s="197" customFormat="1" ht="12.75" x14ac:dyDescent="0.2"/>
    <row r="22130" s="197" customFormat="1" ht="12.75" x14ac:dyDescent="0.2"/>
    <row r="22131" s="197" customFormat="1" ht="12.75" x14ac:dyDescent="0.2"/>
    <row r="22132" s="197" customFormat="1" ht="12.75" x14ac:dyDescent="0.2"/>
    <row r="22133" s="197" customFormat="1" ht="12.75" x14ac:dyDescent="0.2"/>
    <row r="22134" s="197" customFormat="1" ht="12.75" x14ac:dyDescent="0.2"/>
    <row r="22135" s="197" customFormat="1" ht="12.75" x14ac:dyDescent="0.2"/>
    <row r="22136" s="197" customFormat="1" ht="12.75" x14ac:dyDescent="0.2"/>
    <row r="22137" s="197" customFormat="1" ht="12.75" x14ac:dyDescent="0.2"/>
    <row r="22138" s="197" customFormat="1" ht="12.75" x14ac:dyDescent="0.2"/>
    <row r="22139" s="197" customFormat="1" ht="12.75" x14ac:dyDescent="0.2"/>
    <row r="22140" s="197" customFormat="1" ht="12.75" x14ac:dyDescent="0.2"/>
    <row r="22141" s="197" customFormat="1" ht="12.75" x14ac:dyDescent="0.2"/>
    <row r="22142" s="197" customFormat="1" ht="12.75" x14ac:dyDescent="0.2"/>
    <row r="22143" s="197" customFormat="1" ht="12.75" x14ac:dyDescent="0.2"/>
    <row r="22144" s="197" customFormat="1" ht="12.75" x14ac:dyDescent="0.2"/>
    <row r="22145" s="197" customFormat="1" ht="12.75" x14ac:dyDescent="0.2"/>
    <row r="22146" s="197" customFormat="1" ht="12.75" x14ac:dyDescent="0.2"/>
    <row r="22147" s="197" customFormat="1" ht="12.75" x14ac:dyDescent="0.2"/>
    <row r="22148" s="197" customFormat="1" ht="12.75" x14ac:dyDescent="0.2"/>
    <row r="22149" s="197" customFormat="1" ht="12.75" x14ac:dyDescent="0.2"/>
    <row r="22150" s="197" customFormat="1" ht="12.75" x14ac:dyDescent="0.2"/>
    <row r="22151" s="197" customFormat="1" ht="12.75" x14ac:dyDescent="0.2"/>
    <row r="22152" s="197" customFormat="1" ht="12.75" x14ac:dyDescent="0.2"/>
    <row r="22153" s="197" customFormat="1" ht="12.75" x14ac:dyDescent="0.2"/>
    <row r="22154" s="197" customFormat="1" ht="12.75" x14ac:dyDescent="0.2"/>
    <row r="22155" s="197" customFormat="1" ht="12.75" x14ac:dyDescent="0.2"/>
    <row r="22156" s="197" customFormat="1" ht="12.75" x14ac:dyDescent="0.2"/>
    <row r="22157" s="197" customFormat="1" ht="12.75" x14ac:dyDescent="0.2"/>
    <row r="22158" s="197" customFormat="1" ht="12.75" x14ac:dyDescent="0.2"/>
    <row r="22159" s="197" customFormat="1" ht="12.75" x14ac:dyDescent="0.2"/>
    <row r="22160" s="197" customFormat="1" ht="12.75" x14ac:dyDescent="0.2"/>
    <row r="22161" s="197" customFormat="1" ht="12.75" x14ac:dyDescent="0.2"/>
    <row r="22162" s="197" customFormat="1" ht="12.75" x14ac:dyDescent="0.2"/>
    <row r="22163" s="197" customFormat="1" ht="12.75" x14ac:dyDescent="0.2"/>
    <row r="22164" s="197" customFormat="1" ht="12.75" x14ac:dyDescent="0.2"/>
    <row r="22165" s="197" customFormat="1" ht="12.75" x14ac:dyDescent="0.2"/>
    <row r="22166" s="197" customFormat="1" ht="12.75" x14ac:dyDescent="0.2"/>
    <row r="22167" s="197" customFormat="1" ht="12.75" x14ac:dyDescent="0.2"/>
    <row r="22168" s="197" customFormat="1" ht="12.75" x14ac:dyDescent="0.2"/>
    <row r="22169" s="197" customFormat="1" ht="12.75" x14ac:dyDescent="0.2"/>
    <row r="22170" s="197" customFormat="1" ht="12.75" x14ac:dyDescent="0.2"/>
    <row r="22171" s="197" customFormat="1" ht="12.75" x14ac:dyDescent="0.2"/>
    <row r="22172" s="197" customFormat="1" ht="12.75" x14ac:dyDescent="0.2"/>
    <row r="22173" s="197" customFormat="1" ht="12.75" x14ac:dyDescent="0.2"/>
    <row r="22174" s="197" customFormat="1" ht="12.75" x14ac:dyDescent="0.2"/>
    <row r="22175" s="197" customFormat="1" ht="12.75" x14ac:dyDescent="0.2"/>
    <row r="22176" s="197" customFormat="1" ht="12.75" x14ac:dyDescent="0.2"/>
    <row r="22177" s="197" customFormat="1" ht="12.75" x14ac:dyDescent="0.2"/>
    <row r="22178" s="197" customFormat="1" ht="12.75" x14ac:dyDescent="0.2"/>
    <row r="22179" s="197" customFormat="1" ht="12.75" x14ac:dyDescent="0.2"/>
    <row r="22180" s="197" customFormat="1" ht="12.75" x14ac:dyDescent="0.2"/>
    <row r="22181" s="197" customFormat="1" ht="12.75" x14ac:dyDescent="0.2"/>
    <row r="22182" s="197" customFormat="1" ht="12.75" x14ac:dyDescent="0.2"/>
    <row r="22183" s="197" customFormat="1" ht="12.75" x14ac:dyDescent="0.2"/>
    <row r="22184" s="197" customFormat="1" ht="12.75" x14ac:dyDescent="0.2"/>
    <row r="22185" s="197" customFormat="1" ht="12.75" x14ac:dyDescent="0.2"/>
    <row r="22186" s="197" customFormat="1" ht="12.75" x14ac:dyDescent="0.2"/>
    <row r="22187" s="197" customFormat="1" ht="12.75" x14ac:dyDescent="0.2"/>
    <row r="22188" s="197" customFormat="1" ht="12.75" x14ac:dyDescent="0.2"/>
    <row r="22189" s="197" customFormat="1" ht="12.75" x14ac:dyDescent="0.2"/>
    <row r="22190" s="197" customFormat="1" ht="12.75" x14ac:dyDescent="0.2"/>
    <row r="22191" s="197" customFormat="1" ht="12.75" x14ac:dyDescent="0.2"/>
    <row r="22192" s="197" customFormat="1" ht="12.75" x14ac:dyDescent="0.2"/>
    <row r="22193" s="197" customFormat="1" ht="12.75" x14ac:dyDescent="0.2"/>
    <row r="22194" s="197" customFormat="1" ht="12.75" x14ac:dyDescent="0.2"/>
    <row r="22195" s="197" customFormat="1" ht="12.75" x14ac:dyDescent="0.2"/>
    <row r="22196" s="197" customFormat="1" ht="12.75" x14ac:dyDescent="0.2"/>
    <row r="22197" s="197" customFormat="1" ht="12.75" x14ac:dyDescent="0.2"/>
    <row r="22198" s="197" customFormat="1" ht="12.75" x14ac:dyDescent="0.2"/>
    <row r="22199" s="197" customFormat="1" ht="12.75" x14ac:dyDescent="0.2"/>
    <row r="22200" s="197" customFormat="1" ht="12.75" x14ac:dyDescent="0.2"/>
    <row r="22201" s="197" customFormat="1" ht="12.75" x14ac:dyDescent="0.2"/>
    <row r="22202" s="197" customFormat="1" ht="12.75" x14ac:dyDescent="0.2"/>
    <row r="22203" s="197" customFormat="1" ht="12.75" x14ac:dyDescent="0.2"/>
    <row r="22204" s="197" customFormat="1" ht="12.75" x14ac:dyDescent="0.2"/>
    <row r="22205" s="197" customFormat="1" ht="12.75" x14ac:dyDescent="0.2"/>
    <row r="22206" s="197" customFormat="1" ht="12.75" x14ac:dyDescent="0.2"/>
    <row r="22207" s="197" customFormat="1" ht="12.75" x14ac:dyDescent="0.2"/>
    <row r="22208" s="197" customFormat="1" ht="12.75" x14ac:dyDescent="0.2"/>
    <row r="22209" s="197" customFormat="1" ht="12.75" x14ac:dyDescent="0.2"/>
    <row r="22210" s="197" customFormat="1" ht="12.75" x14ac:dyDescent="0.2"/>
    <row r="22211" s="197" customFormat="1" ht="12.75" x14ac:dyDescent="0.2"/>
    <row r="22212" s="197" customFormat="1" ht="12.75" x14ac:dyDescent="0.2"/>
    <row r="22213" s="197" customFormat="1" ht="12.75" x14ac:dyDescent="0.2"/>
    <row r="22214" s="197" customFormat="1" ht="12.75" x14ac:dyDescent="0.2"/>
    <row r="22215" s="197" customFormat="1" ht="12.75" x14ac:dyDescent="0.2"/>
    <row r="22216" s="197" customFormat="1" ht="12.75" x14ac:dyDescent="0.2"/>
    <row r="22217" s="197" customFormat="1" ht="12.75" x14ac:dyDescent="0.2"/>
    <row r="22218" s="197" customFormat="1" ht="12.75" x14ac:dyDescent="0.2"/>
    <row r="22219" s="197" customFormat="1" ht="12.75" x14ac:dyDescent="0.2"/>
    <row r="22220" s="197" customFormat="1" ht="12.75" x14ac:dyDescent="0.2"/>
    <row r="22221" s="197" customFormat="1" ht="12.75" x14ac:dyDescent="0.2"/>
    <row r="22222" s="197" customFormat="1" ht="12.75" x14ac:dyDescent="0.2"/>
    <row r="22223" s="197" customFormat="1" ht="12.75" x14ac:dyDescent="0.2"/>
    <row r="22224" s="197" customFormat="1" ht="12.75" x14ac:dyDescent="0.2"/>
    <row r="22225" s="197" customFormat="1" ht="12.75" x14ac:dyDescent="0.2"/>
    <row r="22226" s="197" customFormat="1" ht="12.75" x14ac:dyDescent="0.2"/>
    <row r="22227" s="197" customFormat="1" ht="12.75" x14ac:dyDescent="0.2"/>
    <row r="22228" s="197" customFormat="1" ht="12.75" x14ac:dyDescent="0.2"/>
    <row r="22229" s="197" customFormat="1" ht="12.75" x14ac:dyDescent="0.2"/>
    <row r="22230" s="197" customFormat="1" ht="12.75" x14ac:dyDescent="0.2"/>
    <row r="22231" s="197" customFormat="1" ht="12.75" x14ac:dyDescent="0.2"/>
    <row r="22232" s="197" customFormat="1" ht="12.75" x14ac:dyDescent="0.2"/>
    <row r="22233" s="197" customFormat="1" ht="12.75" x14ac:dyDescent="0.2"/>
    <row r="22234" s="197" customFormat="1" ht="12.75" x14ac:dyDescent="0.2"/>
    <row r="22235" s="197" customFormat="1" ht="12.75" x14ac:dyDescent="0.2"/>
    <row r="22236" s="197" customFormat="1" ht="12.75" x14ac:dyDescent="0.2"/>
    <row r="22237" s="197" customFormat="1" ht="12.75" x14ac:dyDescent="0.2"/>
    <row r="22238" s="197" customFormat="1" ht="12.75" x14ac:dyDescent="0.2"/>
    <row r="22239" s="197" customFormat="1" ht="12.75" x14ac:dyDescent="0.2"/>
    <row r="22240" s="197" customFormat="1" ht="12.75" x14ac:dyDescent="0.2"/>
    <row r="22241" s="197" customFormat="1" ht="12.75" x14ac:dyDescent="0.2"/>
    <row r="22242" s="197" customFormat="1" ht="12.75" x14ac:dyDescent="0.2"/>
    <row r="22243" s="197" customFormat="1" ht="12.75" x14ac:dyDescent="0.2"/>
    <row r="22244" s="197" customFormat="1" ht="12.75" x14ac:dyDescent="0.2"/>
    <row r="22245" s="197" customFormat="1" ht="12.75" x14ac:dyDescent="0.2"/>
    <row r="22246" s="197" customFormat="1" ht="12.75" x14ac:dyDescent="0.2"/>
    <row r="22247" s="197" customFormat="1" ht="12.75" x14ac:dyDescent="0.2"/>
    <row r="22248" s="197" customFormat="1" ht="12.75" x14ac:dyDescent="0.2"/>
    <row r="22249" s="197" customFormat="1" ht="12.75" x14ac:dyDescent="0.2"/>
    <row r="22250" s="197" customFormat="1" ht="12.75" x14ac:dyDescent="0.2"/>
    <row r="22251" s="197" customFormat="1" ht="12.75" x14ac:dyDescent="0.2"/>
    <row r="22252" s="197" customFormat="1" ht="12.75" x14ac:dyDescent="0.2"/>
    <row r="22253" s="197" customFormat="1" ht="12.75" x14ac:dyDescent="0.2"/>
    <row r="22254" s="197" customFormat="1" ht="12.75" x14ac:dyDescent="0.2"/>
    <row r="22255" s="197" customFormat="1" ht="12.75" x14ac:dyDescent="0.2"/>
    <row r="22256" s="197" customFormat="1" ht="12.75" x14ac:dyDescent="0.2"/>
    <row r="22257" s="197" customFormat="1" ht="12.75" x14ac:dyDescent="0.2"/>
    <row r="22258" s="197" customFormat="1" ht="12.75" x14ac:dyDescent="0.2"/>
    <row r="22259" s="197" customFormat="1" ht="12.75" x14ac:dyDescent="0.2"/>
    <row r="22260" s="197" customFormat="1" ht="12.75" x14ac:dyDescent="0.2"/>
    <row r="22261" s="197" customFormat="1" ht="12.75" x14ac:dyDescent="0.2"/>
    <row r="22262" s="197" customFormat="1" ht="12.75" x14ac:dyDescent="0.2"/>
    <row r="22263" s="197" customFormat="1" ht="12.75" x14ac:dyDescent="0.2"/>
    <row r="22264" s="197" customFormat="1" ht="12.75" x14ac:dyDescent="0.2"/>
    <row r="22265" s="197" customFormat="1" ht="12.75" x14ac:dyDescent="0.2"/>
    <row r="22266" s="197" customFormat="1" ht="12.75" x14ac:dyDescent="0.2"/>
    <row r="22267" s="197" customFormat="1" ht="12.75" x14ac:dyDescent="0.2"/>
    <row r="22268" s="197" customFormat="1" ht="12.75" x14ac:dyDescent="0.2"/>
    <row r="22269" s="197" customFormat="1" ht="12.75" x14ac:dyDescent="0.2"/>
    <row r="22270" s="197" customFormat="1" ht="12.75" x14ac:dyDescent="0.2"/>
    <row r="22271" s="197" customFormat="1" ht="12.75" x14ac:dyDescent="0.2"/>
    <row r="22272" s="197" customFormat="1" ht="12.75" x14ac:dyDescent="0.2"/>
    <row r="22273" s="197" customFormat="1" ht="12.75" x14ac:dyDescent="0.2"/>
    <row r="22274" s="197" customFormat="1" ht="12.75" x14ac:dyDescent="0.2"/>
    <row r="22275" s="197" customFormat="1" ht="12.75" x14ac:dyDescent="0.2"/>
    <row r="22276" s="197" customFormat="1" ht="12.75" x14ac:dyDescent="0.2"/>
    <row r="22277" s="197" customFormat="1" ht="12.75" x14ac:dyDescent="0.2"/>
    <row r="22278" s="197" customFormat="1" ht="12.75" x14ac:dyDescent="0.2"/>
    <row r="22279" s="197" customFormat="1" ht="12.75" x14ac:dyDescent="0.2"/>
    <row r="22280" s="197" customFormat="1" ht="12.75" x14ac:dyDescent="0.2"/>
    <row r="22281" s="197" customFormat="1" ht="12.75" x14ac:dyDescent="0.2"/>
    <row r="22282" s="197" customFormat="1" ht="12.75" x14ac:dyDescent="0.2"/>
    <row r="22283" s="197" customFormat="1" ht="12.75" x14ac:dyDescent="0.2"/>
    <row r="22284" s="197" customFormat="1" ht="12.75" x14ac:dyDescent="0.2"/>
    <row r="22285" s="197" customFormat="1" ht="12.75" x14ac:dyDescent="0.2"/>
    <row r="22286" s="197" customFormat="1" ht="12.75" x14ac:dyDescent="0.2"/>
    <row r="22287" s="197" customFormat="1" ht="12.75" x14ac:dyDescent="0.2"/>
    <row r="22288" s="197" customFormat="1" ht="12.75" x14ac:dyDescent="0.2"/>
    <row r="22289" s="197" customFormat="1" ht="12.75" x14ac:dyDescent="0.2"/>
    <row r="22290" s="197" customFormat="1" ht="12.75" x14ac:dyDescent="0.2"/>
    <row r="22291" s="197" customFormat="1" ht="12.75" x14ac:dyDescent="0.2"/>
    <row r="22292" s="197" customFormat="1" ht="12.75" x14ac:dyDescent="0.2"/>
    <row r="22293" s="197" customFormat="1" ht="12.75" x14ac:dyDescent="0.2"/>
    <row r="22294" s="197" customFormat="1" ht="12.75" x14ac:dyDescent="0.2"/>
    <row r="22295" s="197" customFormat="1" ht="12.75" x14ac:dyDescent="0.2"/>
    <row r="22296" s="197" customFormat="1" ht="12.75" x14ac:dyDescent="0.2"/>
    <row r="22297" s="197" customFormat="1" ht="12.75" x14ac:dyDescent="0.2"/>
    <row r="22298" s="197" customFormat="1" ht="12.75" x14ac:dyDescent="0.2"/>
    <row r="22299" s="197" customFormat="1" ht="12.75" x14ac:dyDescent="0.2"/>
    <row r="22300" s="197" customFormat="1" ht="12.75" x14ac:dyDescent="0.2"/>
    <row r="22301" s="197" customFormat="1" ht="12.75" x14ac:dyDescent="0.2"/>
    <row r="22302" s="197" customFormat="1" ht="12.75" x14ac:dyDescent="0.2"/>
    <row r="22303" s="197" customFormat="1" ht="12.75" x14ac:dyDescent="0.2"/>
    <row r="22304" s="197" customFormat="1" ht="12.75" x14ac:dyDescent="0.2"/>
    <row r="22305" s="197" customFormat="1" ht="12.75" x14ac:dyDescent="0.2"/>
    <row r="22306" s="197" customFormat="1" ht="12.75" x14ac:dyDescent="0.2"/>
    <row r="22307" s="197" customFormat="1" ht="12.75" x14ac:dyDescent="0.2"/>
    <row r="22308" s="197" customFormat="1" ht="12.75" x14ac:dyDescent="0.2"/>
    <row r="22309" s="197" customFormat="1" ht="12.75" x14ac:dyDescent="0.2"/>
    <row r="22310" s="197" customFormat="1" ht="12.75" x14ac:dyDescent="0.2"/>
    <row r="22311" s="197" customFormat="1" ht="12.75" x14ac:dyDescent="0.2"/>
    <row r="22312" s="197" customFormat="1" ht="12.75" x14ac:dyDescent="0.2"/>
    <row r="22313" s="197" customFormat="1" ht="12.75" x14ac:dyDescent="0.2"/>
    <row r="22314" s="197" customFormat="1" ht="12.75" x14ac:dyDescent="0.2"/>
    <row r="22315" s="197" customFormat="1" ht="12.75" x14ac:dyDescent="0.2"/>
    <row r="22316" s="197" customFormat="1" ht="12.75" x14ac:dyDescent="0.2"/>
    <row r="22317" s="197" customFormat="1" ht="12.75" x14ac:dyDescent="0.2"/>
    <row r="22318" s="197" customFormat="1" ht="12.75" x14ac:dyDescent="0.2"/>
    <row r="22319" s="197" customFormat="1" ht="12.75" x14ac:dyDescent="0.2"/>
    <row r="22320" s="197" customFormat="1" ht="12.75" x14ac:dyDescent="0.2"/>
    <row r="22321" s="197" customFormat="1" ht="12.75" x14ac:dyDescent="0.2"/>
    <row r="22322" s="197" customFormat="1" ht="12.75" x14ac:dyDescent="0.2"/>
    <row r="22323" s="197" customFormat="1" ht="12.75" x14ac:dyDescent="0.2"/>
    <row r="22324" s="197" customFormat="1" ht="12.75" x14ac:dyDescent="0.2"/>
    <row r="22325" s="197" customFormat="1" ht="12.75" x14ac:dyDescent="0.2"/>
    <row r="22326" s="197" customFormat="1" ht="12.75" x14ac:dyDescent="0.2"/>
    <row r="22327" s="197" customFormat="1" ht="12.75" x14ac:dyDescent="0.2"/>
    <row r="22328" s="197" customFormat="1" ht="12.75" x14ac:dyDescent="0.2"/>
    <row r="22329" s="197" customFormat="1" ht="12.75" x14ac:dyDescent="0.2"/>
    <row r="22330" s="197" customFormat="1" ht="12.75" x14ac:dyDescent="0.2"/>
    <row r="22331" s="197" customFormat="1" ht="12.75" x14ac:dyDescent="0.2"/>
    <row r="22332" s="197" customFormat="1" ht="12.75" x14ac:dyDescent="0.2"/>
    <row r="22333" s="197" customFormat="1" ht="12.75" x14ac:dyDescent="0.2"/>
    <row r="22334" s="197" customFormat="1" ht="12.75" x14ac:dyDescent="0.2"/>
    <row r="22335" s="197" customFormat="1" ht="12.75" x14ac:dyDescent="0.2"/>
    <row r="22336" s="197" customFormat="1" ht="12.75" x14ac:dyDescent="0.2"/>
    <row r="22337" s="197" customFormat="1" ht="12.75" x14ac:dyDescent="0.2"/>
    <row r="22338" s="197" customFormat="1" ht="12.75" x14ac:dyDescent="0.2"/>
    <row r="22339" s="197" customFormat="1" ht="12.75" x14ac:dyDescent="0.2"/>
    <row r="22340" s="197" customFormat="1" ht="12.75" x14ac:dyDescent="0.2"/>
    <row r="22341" s="197" customFormat="1" ht="12.75" x14ac:dyDescent="0.2"/>
    <row r="22342" s="197" customFormat="1" ht="12.75" x14ac:dyDescent="0.2"/>
    <row r="22343" s="197" customFormat="1" ht="12.75" x14ac:dyDescent="0.2"/>
    <row r="22344" s="197" customFormat="1" ht="12.75" x14ac:dyDescent="0.2"/>
    <row r="22345" s="197" customFormat="1" ht="12.75" x14ac:dyDescent="0.2"/>
    <row r="22346" s="197" customFormat="1" ht="12.75" x14ac:dyDescent="0.2"/>
    <row r="22347" s="197" customFormat="1" ht="12.75" x14ac:dyDescent="0.2"/>
    <row r="22348" s="197" customFormat="1" ht="12.75" x14ac:dyDescent="0.2"/>
    <row r="22349" s="197" customFormat="1" ht="12.75" x14ac:dyDescent="0.2"/>
    <row r="22350" s="197" customFormat="1" ht="12.75" x14ac:dyDescent="0.2"/>
    <row r="22351" s="197" customFormat="1" ht="12.75" x14ac:dyDescent="0.2"/>
    <row r="22352" s="197" customFormat="1" ht="12.75" x14ac:dyDescent="0.2"/>
    <row r="22353" s="197" customFormat="1" ht="12.75" x14ac:dyDescent="0.2"/>
    <row r="22354" s="197" customFormat="1" ht="12.75" x14ac:dyDescent="0.2"/>
    <row r="22355" s="197" customFormat="1" ht="12.75" x14ac:dyDescent="0.2"/>
    <row r="22356" s="197" customFormat="1" ht="12.75" x14ac:dyDescent="0.2"/>
    <row r="22357" s="197" customFormat="1" ht="12.75" x14ac:dyDescent="0.2"/>
    <row r="22358" s="197" customFormat="1" ht="12.75" x14ac:dyDescent="0.2"/>
    <row r="22359" s="197" customFormat="1" ht="12.75" x14ac:dyDescent="0.2"/>
    <row r="22360" s="197" customFormat="1" ht="12.75" x14ac:dyDescent="0.2"/>
    <row r="22361" s="197" customFormat="1" ht="12.75" x14ac:dyDescent="0.2"/>
    <row r="22362" s="197" customFormat="1" ht="12.75" x14ac:dyDescent="0.2"/>
    <row r="22363" s="197" customFormat="1" ht="12.75" x14ac:dyDescent="0.2"/>
    <row r="22364" s="197" customFormat="1" ht="12.75" x14ac:dyDescent="0.2"/>
    <row r="22365" s="197" customFormat="1" ht="12.75" x14ac:dyDescent="0.2"/>
    <row r="22366" s="197" customFormat="1" ht="12.75" x14ac:dyDescent="0.2"/>
    <row r="22367" s="197" customFormat="1" ht="12.75" x14ac:dyDescent="0.2"/>
    <row r="22368" s="197" customFormat="1" ht="12.75" x14ac:dyDescent="0.2"/>
    <row r="22369" s="197" customFormat="1" ht="12.75" x14ac:dyDescent="0.2"/>
    <row r="22370" s="197" customFormat="1" ht="12.75" x14ac:dyDescent="0.2"/>
    <row r="22371" s="197" customFormat="1" ht="12.75" x14ac:dyDescent="0.2"/>
    <row r="22372" s="197" customFormat="1" ht="12.75" x14ac:dyDescent="0.2"/>
    <row r="22373" s="197" customFormat="1" ht="12.75" x14ac:dyDescent="0.2"/>
    <row r="22374" s="197" customFormat="1" ht="12.75" x14ac:dyDescent="0.2"/>
    <row r="22375" s="197" customFormat="1" ht="12.75" x14ac:dyDescent="0.2"/>
    <row r="22376" s="197" customFormat="1" ht="12.75" x14ac:dyDescent="0.2"/>
    <row r="22377" s="197" customFormat="1" ht="12.75" x14ac:dyDescent="0.2"/>
    <row r="22378" s="197" customFormat="1" ht="12.75" x14ac:dyDescent="0.2"/>
    <row r="22379" s="197" customFormat="1" ht="12.75" x14ac:dyDescent="0.2"/>
    <row r="22380" s="197" customFormat="1" ht="12.75" x14ac:dyDescent="0.2"/>
    <row r="22381" s="197" customFormat="1" ht="12.75" x14ac:dyDescent="0.2"/>
    <row r="22382" s="197" customFormat="1" ht="12.75" x14ac:dyDescent="0.2"/>
    <row r="22383" s="197" customFormat="1" ht="12.75" x14ac:dyDescent="0.2"/>
    <row r="22384" s="197" customFormat="1" ht="12.75" x14ac:dyDescent="0.2"/>
    <row r="22385" s="197" customFormat="1" ht="12.75" x14ac:dyDescent="0.2"/>
    <row r="22386" s="197" customFormat="1" ht="12.75" x14ac:dyDescent="0.2"/>
    <row r="22387" s="197" customFormat="1" ht="12.75" x14ac:dyDescent="0.2"/>
    <row r="22388" s="197" customFormat="1" ht="12.75" x14ac:dyDescent="0.2"/>
    <row r="22389" s="197" customFormat="1" ht="12.75" x14ac:dyDescent="0.2"/>
    <row r="22390" s="197" customFormat="1" ht="12.75" x14ac:dyDescent="0.2"/>
    <row r="22391" s="197" customFormat="1" ht="12.75" x14ac:dyDescent="0.2"/>
    <row r="22392" s="197" customFormat="1" ht="12.75" x14ac:dyDescent="0.2"/>
    <row r="22393" s="197" customFormat="1" ht="12.75" x14ac:dyDescent="0.2"/>
    <row r="22394" s="197" customFormat="1" ht="12.75" x14ac:dyDescent="0.2"/>
    <row r="22395" s="197" customFormat="1" ht="12.75" x14ac:dyDescent="0.2"/>
    <row r="22396" s="197" customFormat="1" ht="12.75" x14ac:dyDescent="0.2"/>
    <row r="22397" s="197" customFormat="1" ht="12.75" x14ac:dyDescent="0.2"/>
    <row r="22398" s="197" customFormat="1" ht="12.75" x14ac:dyDescent="0.2"/>
    <row r="22399" s="197" customFormat="1" ht="12.75" x14ac:dyDescent="0.2"/>
    <row r="22400" s="197" customFormat="1" ht="12.75" x14ac:dyDescent="0.2"/>
    <row r="22401" s="197" customFormat="1" ht="12.75" x14ac:dyDescent="0.2"/>
    <row r="22402" s="197" customFormat="1" ht="12.75" x14ac:dyDescent="0.2"/>
    <row r="22403" s="197" customFormat="1" ht="12.75" x14ac:dyDescent="0.2"/>
    <row r="22404" s="197" customFormat="1" ht="12.75" x14ac:dyDescent="0.2"/>
    <row r="22405" s="197" customFormat="1" ht="12.75" x14ac:dyDescent="0.2"/>
    <row r="22406" s="197" customFormat="1" ht="12.75" x14ac:dyDescent="0.2"/>
    <row r="22407" s="197" customFormat="1" ht="12.75" x14ac:dyDescent="0.2"/>
    <row r="22408" s="197" customFormat="1" ht="12.75" x14ac:dyDescent="0.2"/>
    <row r="22409" s="197" customFormat="1" ht="12.75" x14ac:dyDescent="0.2"/>
    <row r="22410" s="197" customFormat="1" ht="12.75" x14ac:dyDescent="0.2"/>
    <row r="22411" s="197" customFormat="1" ht="12.75" x14ac:dyDescent="0.2"/>
    <row r="22412" s="197" customFormat="1" ht="12.75" x14ac:dyDescent="0.2"/>
    <row r="22413" s="197" customFormat="1" ht="12.75" x14ac:dyDescent="0.2"/>
    <row r="22414" s="197" customFormat="1" ht="12.75" x14ac:dyDescent="0.2"/>
    <row r="22415" s="197" customFormat="1" ht="12.75" x14ac:dyDescent="0.2"/>
    <row r="22416" s="197" customFormat="1" ht="12.75" x14ac:dyDescent="0.2"/>
    <row r="22417" s="197" customFormat="1" ht="12.75" x14ac:dyDescent="0.2"/>
    <row r="22418" s="197" customFormat="1" ht="12.75" x14ac:dyDescent="0.2"/>
    <row r="22419" s="197" customFormat="1" ht="12.75" x14ac:dyDescent="0.2"/>
    <row r="22420" s="197" customFormat="1" ht="12.75" x14ac:dyDescent="0.2"/>
    <row r="22421" s="197" customFormat="1" ht="12.75" x14ac:dyDescent="0.2"/>
    <row r="22422" s="197" customFormat="1" ht="12.75" x14ac:dyDescent="0.2"/>
    <row r="22423" s="197" customFormat="1" ht="12.75" x14ac:dyDescent="0.2"/>
    <row r="22424" s="197" customFormat="1" ht="12.75" x14ac:dyDescent="0.2"/>
    <row r="22425" s="197" customFormat="1" ht="12.75" x14ac:dyDescent="0.2"/>
    <row r="22426" s="197" customFormat="1" ht="12.75" x14ac:dyDescent="0.2"/>
    <row r="22427" s="197" customFormat="1" ht="12.75" x14ac:dyDescent="0.2"/>
    <row r="22428" s="197" customFormat="1" ht="12.75" x14ac:dyDescent="0.2"/>
    <row r="22429" s="197" customFormat="1" ht="12.75" x14ac:dyDescent="0.2"/>
    <row r="22430" s="197" customFormat="1" ht="12.75" x14ac:dyDescent="0.2"/>
    <row r="22431" s="197" customFormat="1" ht="12.75" x14ac:dyDescent="0.2"/>
    <row r="22432" s="197" customFormat="1" ht="12.75" x14ac:dyDescent="0.2"/>
    <row r="22433" s="197" customFormat="1" ht="12.75" x14ac:dyDescent="0.2"/>
    <row r="22434" s="197" customFormat="1" ht="12.75" x14ac:dyDescent="0.2"/>
    <row r="22435" s="197" customFormat="1" ht="12.75" x14ac:dyDescent="0.2"/>
    <row r="22436" s="197" customFormat="1" ht="12.75" x14ac:dyDescent="0.2"/>
    <row r="22437" s="197" customFormat="1" ht="12.75" x14ac:dyDescent="0.2"/>
    <row r="22438" s="197" customFormat="1" ht="12.75" x14ac:dyDescent="0.2"/>
    <row r="22439" s="197" customFormat="1" ht="12.75" x14ac:dyDescent="0.2"/>
    <row r="22440" s="197" customFormat="1" ht="12.75" x14ac:dyDescent="0.2"/>
    <row r="22441" s="197" customFormat="1" ht="12.75" x14ac:dyDescent="0.2"/>
    <row r="22442" s="197" customFormat="1" ht="12.75" x14ac:dyDescent="0.2"/>
    <row r="22443" s="197" customFormat="1" ht="12.75" x14ac:dyDescent="0.2"/>
    <row r="22444" s="197" customFormat="1" ht="12.75" x14ac:dyDescent="0.2"/>
    <row r="22445" s="197" customFormat="1" ht="12.75" x14ac:dyDescent="0.2"/>
    <row r="22446" s="197" customFormat="1" ht="12.75" x14ac:dyDescent="0.2"/>
    <row r="22447" s="197" customFormat="1" ht="12.75" x14ac:dyDescent="0.2"/>
    <row r="22448" s="197" customFormat="1" ht="12.75" x14ac:dyDescent="0.2"/>
    <row r="22449" s="197" customFormat="1" ht="12.75" x14ac:dyDescent="0.2"/>
    <row r="22450" s="197" customFormat="1" ht="12.75" x14ac:dyDescent="0.2"/>
    <row r="22451" s="197" customFormat="1" ht="12.75" x14ac:dyDescent="0.2"/>
    <row r="22452" s="197" customFormat="1" ht="12.75" x14ac:dyDescent="0.2"/>
    <row r="22453" s="197" customFormat="1" ht="12.75" x14ac:dyDescent="0.2"/>
    <row r="22454" s="197" customFormat="1" ht="12.75" x14ac:dyDescent="0.2"/>
    <row r="22455" s="197" customFormat="1" ht="12.75" x14ac:dyDescent="0.2"/>
    <row r="22456" s="197" customFormat="1" ht="12.75" x14ac:dyDescent="0.2"/>
    <row r="22457" s="197" customFormat="1" ht="12.75" x14ac:dyDescent="0.2"/>
    <row r="22458" s="197" customFormat="1" ht="12.75" x14ac:dyDescent="0.2"/>
    <row r="22459" s="197" customFormat="1" ht="12.75" x14ac:dyDescent="0.2"/>
    <row r="22460" s="197" customFormat="1" ht="12.75" x14ac:dyDescent="0.2"/>
    <row r="22461" s="197" customFormat="1" ht="12.75" x14ac:dyDescent="0.2"/>
    <row r="22462" s="197" customFormat="1" ht="12.75" x14ac:dyDescent="0.2"/>
    <row r="22463" s="197" customFormat="1" ht="12.75" x14ac:dyDescent="0.2"/>
    <row r="22464" s="197" customFormat="1" ht="12.75" x14ac:dyDescent="0.2"/>
    <row r="22465" s="197" customFormat="1" ht="12.75" x14ac:dyDescent="0.2"/>
    <row r="22466" s="197" customFormat="1" ht="12.75" x14ac:dyDescent="0.2"/>
    <row r="22467" s="197" customFormat="1" ht="12.75" x14ac:dyDescent="0.2"/>
    <row r="22468" s="197" customFormat="1" ht="12.75" x14ac:dyDescent="0.2"/>
    <row r="22469" s="197" customFormat="1" ht="12.75" x14ac:dyDescent="0.2"/>
    <row r="22470" s="197" customFormat="1" ht="12.75" x14ac:dyDescent="0.2"/>
    <row r="22471" s="197" customFormat="1" ht="12.75" x14ac:dyDescent="0.2"/>
    <row r="22472" s="197" customFormat="1" ht="12.75" x14ac:dyDescent="0.2"/>
    <row r="22473" s="197" customFormat="1" ht="12.75" x14ac:dyDescent="0.2"/>
    <row r="22474" s="197" customFormat="1" ht="12.75" x14ac:dyDescent="0.2"/>
    <row r="22475" s="197" customFormat="1" ht="12.75" x14ac:dyDescent="0.2"/>
    <row r="22476" s="197" customFormat="1" ht="12.75" x14ac:dyDescent="0.2"/>
    <row r="22477" s="197" customFormat="1" ht="12.75" x14ac:dyDescent="0.2"/>
    <row r="22478" s="197" customFormat="1" ht="12.75" x14ac:dyDescent="0.2"/>
    <row r="22479" s="197" customFormat="1" ht="12.75" x14ac:dyDescent="0.2"/>
    <row r="22480" s="197" customFormat="1" ht="12.75" x14ac:dyDescent="0.2"/>
    <row r="22481" s="197" customFormat="1" ht="12.75" x14ac:dyDescent="0.2"/>
    <row r="22482" s="197" customFormat="1" ht="12.75" x14ac:dyDescent="0.2"/>
    <row r="22483" s="197" customFormat="1" ht="12.75" x14ac:dyDescent="0.2"/>
    <row r="22484" s="197" customFormat="1" ht="12.75" x14ac:dyDescent="0.2"/>
    <row r="22485" s="197" customFormat="1" ht="12.75" x14ac:dyDescent="0.2"/>
    <row r="22486" s="197" customFormat="1" ht="12.75" x14ac:dyDescent="0.2"/>
    <row r="22487" s="197" customFormat="1" ht="12.75" x14ac:dyDescent="0.2"/>
    <row r="22488" s="197" customFormat="1" ht="12.75" x14ac:dyDescent="0.2"/>
    <row r="22489" s="197" customFormat="1" ht="12.75" x14ac:dyDescent="0.2"/>
    <row r="22490" s="197" customFormat="1" ht="12.75" x14ac:dyDescent="0.2"/>
    <row r="22491" s="197" customFormat="1" ht="12.75" x14ac:dyDescent="0.2"/>
    <row r="22492" s="197" customFormat="1" ht="12.75" x14ac:dyDescent="0.2"/>
    <row r="22493" s="197" customFormat="1" ht="12.75" x14ac:dyDescent="0.2"/>
    <row r="22494" s="197" customFormat="1" ht="12.75" x14ac:dyDescent="0.2"/>
    <row r="22495" s="197" customFormat="1" ht="12.75" x14ac:dyDescent="0.2"/>
    <row r="22496" s="197" customFormat="1" ht="12.75" x14ac:dyDescent="0.2"/>
    <row r="22497" s="197" customFormat="1" ht="12.75" x14ac:dyDescent="0.2"/>
    <row r="22498" s="197" customFormat="1" ht="12.75" x14ac:dyDescent="0.2"/>
    <row r="22499" s="197" customFormat="1" ht="12.75" x14ac:dyDescent="0.2"/>
    <row r="22500" s="197" customFormat="1" ht="12.75" x14ac:dyDescent="0.2"/>
    <row r="22501" s="197" customFormat="1" ht="12.75" x14ac:dyDescent="0.2"/>
    <row r="22502" s="197" customFormat="1" ht="12.75" x14ac:dyDescent="0.2"/>
    <row r="22503" s="197" customFormat="1" ht="12.75" x14ac:dyDescent="0.2"/>
    <row r="22504" s="197" customFormat="1" ht="12.75" x14ac:dyDescent="0.2"/>
    <row r="22505" s="197" customFormat="1" ht="12.75" x14ac:dyDescent="0.2"/>
    <row r="22506" s="197" customFormat="1" ht="12.75" x14ac:dyDescent="0.2"/>
    <row r="22507" s="197" customFormat="1" ht="12.75" x14ac:dyDescent="0.2"/>
    <row r="22508" s="197" customFormat="1" ht="12.75" x14ac:dyDescent="0.2"/>
    <row r="22509" s="197" customFormat="1" ht="12.75" x14ac:dyDescent="0.2"/>
    <row r="22510" s="197" customFormat="1" ht="12.75" x14ac:dyDescent="0.2"/>
    <row r="22511" s="197" customFormat="1" ht="12.75" x14ac:dyDescent="0.2"/>
    <row r="22512" s="197" customFormat="1" ht="12.75" x14ac:dyDescent="0.2"/>
    <row r="22513" s="197" customFormat="1" ht="12.75" x14ac:dyDescent="0.2"/>
    <row r="22514" s="197" customFormat="1" ht="12.75" x14ac:dyDescent="0.2"/>
    <row r="22515" s="197" customFormat="1" ht="12.75" x14ac:dyDescent="0.2"/>
    <row r="22516" s="197" customFormat="1" ht="12.75" x14ac:dyDescent="0.2"/>
    <row r="22517" s="197" customFormat="1" ht="12.75" x14ac:dyDescent="0.2"/>
    <row r="22518" s="197" customFormat="1" ht="12.75" x14ac:dyDescent="0.2"/>
    <row r="22519" s="197" customFormat="1" ht="12.75" x14ac:dyDescent="0.2"/>
    <row r="22520" s="197" customFormat="1" ht="12.75" x14ac:dyDescent="0.2"/>
    <row r="22521" s="197" customFormat="1" ht="12.75" x14ac:dyDescent="0.2"/>
    <row r="22522" s="197" customFormat="1" ht="12.75" x14ac:dyDescent="0.2"/>
    <row r="22523" s="197" customFormat="1" ht="12.75" x14ac:dyDescent="0.2"/>
    <row r="22524" s="197" customFormat="1" ht="12.75" x14ac:dyDescent="0.2"/>
    <row r="22525" s="197" customFormat="1" ht="12.75" x14ac:dyDescent="0.2"/>
    <row r="22526" s="197" customFormat="1" ht="12.75" x14ac:dyDescent="0.2"/>
    <row r="22527" s="197" customFormat="1" ht="12.75" x14ac:dyDescent="0.2"/>
    <row r="22528" s="197" customFormat="1" ht="12.75" x14ac:dyDescent="0.2"/>
    <row r="22529" s="197" customFormat="1" ht="12.75" x14ac:dyDescent="0.2"/>
    <row r="22530" s="197" customFormat="1" ht="12.75" x14ac:dyDescent="0.2"/>
    <row r="22531" s="197" customFormat="1" ht="12.75" x14ac:dyDescent="0.2"/>
    <row r="22532" s="197" customFormat="1" ht="12.75" x14ac:dyDescent="0.2"/>
    <row r="22533" s="197" customFormat="1" ht="12.75" x14ac:dyDescent="0.2"/>
    <row r="22534" s="197" customFormat="1" ht="12.75" x14ac:dyDescent="0.2"/>
    <row r="22535" s="197" customFormat="1" ht="12.75" x14ac:dyDescent="0.2"/>
    <row r="22536" s="197" customFormat="1" ht="12.75" x14ac:dyDescent="0.2"/>
    <row r="22537" s="197" customFormat="1" ht="12.75" x14ac:dyDescent="0.2"/>
    <row r="22538" s="197" customFormat="1" ht="12.75" x14ac:dyDescent="0.2"/>
    <row r="22539" s="197" customFormat="1" ht="12.75" x14ac:dyDescent="0.2"/>
    <row r="22540" s="197" customFormat="1" ht="12.75" x14ac:dyDescent="0.2"/>
    <row r="22541" s="197" customFormat="1" ht="12.75" x14ac:dyDescent="0.2"/>
    <row r="22542" s="197" customFormat="1" ht="12.75" x14ac:dyDescent="0.2"/>
    <row r="22543" s="197" customFormat="1" ht="12.75" x14ac:dyDescent="0.2"/>
    <row r="22544" s="197" customFormat="1" ht="12.75" x14ac:dyDescent="0.2"/>
    <row r="22545" s="197" customFormat="1" ht="12.75" x14ac:dyDescent="0.2"/>
    <row r="22546" s="197" customFormat="1" ht="12.75" x14ac:dyDescent="0.2"/>
    <row r="22547" s="197" customFormat="1" ht="12.75" x14ac:dyDescent="0.2"/>
    <row r="22548" s="197" customFormat="1" ht="12.75" x14ac:dyDescent="0.2"/>
    <row r="22549" s="197" customFormat="1" ht="12.75" x14ac:dyDescent="0.2"/>
    <row r="22550" s="197" customFormat="1" ht="12.75" x14ac:dyDescent="0.2"/>
    <row r="22551" s="197" customFormat="1" ht="12.75" x14ac:dyDescent="0.2"/>
    <row r="22552" s="197" customFormat="1" ht="12.75" x14ac:dyDescent="0.2"/>
    <row r="22553" s="197" customFormat="1" ht="12.75" x14ac:dyDescent="0.2"/>
    <row r="22554" s="197" customFormat="1" ht="12.75" x14ac:dyDescent="0.2"/>
    <row r="22555" s="197" customFormat="1" ht="12.75" x14ac:dyDescent="0.2"/>
    <row r="22556" s="197" customFormat="1" ht="12.75" x14ac:dyDescent="0.2"/>
    <row r="22557" s="197" customFormat="1" ht="12.75" x14ac:dyDescent="0.2"/>
    <row r="22558" s="197" customFormat="1" ht="12.75" x14ac:dyDescent="0.2"/>
    <row r="22559" s="197" customFormat="1" ht="12.75" x14ac:dyDescent="0.2"/>
    <row r="22560" s="197" customFormat="1" ht="12.75" x14ac:dyDescent="0.2"/>
    <row r="22561" s="197" customFormat="1" ht="12.75" x14ac:dyDescent="0.2"/>
    <row r="22562" s="197" customFormat="1" ht="12.75" x14ac:dyDescent="0.2"/>
    <row r="22563" s="197" customFormat="1" ht="12.75" x14ac:dyDescent="0.2"/>
    <row r="22564" s="197" customFormat="1" ht="12.75" x14ac:dyDescent="0.2"/>
    <row r="22565" s="197" customFormat="1" ht="12.75" x14ac:dyDescent="0.2"/>
    <row r="22566" s="197" customFormat="1" ht="12.75" x14ac:dyDescent="0.2"/>
    <row r="22567" s="197" customFormat="1" ht="12.75" x14ac:dyDescent="0.2"/>
    <row r="22568" s="197" customFormat="1" ht="12.75" x14ac:dyDescent="0.2"/>
    <row r="22569" s="197" customFormat="1" ht="12.75" x14ac:dyDescent="0.2"/>
    <row r="22570" s="197" customFormat="1" ht="12.75" x14ac:dyDescent="0.2"/>
    <row r="22571" s="197" customFormat="1" ht="12.75" x14ac:dyDescent="0.2"/>
    <row r="22572" s="197" customFormat="1" ht="12.75" x14ac:dyDescent="0.2"/>
    <row r="22573" s="197" customFormat="1" ht="12.75" x14ac:dyDescent="0.2"/>
    <row r="22574" s="197" customFormat="1" ht="12.75" x14ac:dyDescent="0.2"/>
    <row r="22575" s="197" customFormat="1" ht="12.75" x14ac:dyDescent="0.2"/>
    <row r="22576" s="197" customFormat="1" ht="12.75" x14ac:dyDescent="0.2"/>
    <row r="22577" s="197" customFormat="1" ht="12.75" x14ac:dyDescent="0.2"/>
    <row r="22578" s="197" customFormat="1" ht="12.75" x14ac:dyDescent="0.2"/>
    <row r="22579" s="197" customFormat="1" ht="12.75" x14ac:dyDescent="0.2"/>
    <row r="22580" s="197" customFormat="1" ht="12.75" x14ac:dyDescent="0.2"/>
    <row r="22581" s="197" customFormat="1" ht="12.75" x14ac:dyDescent="0.2"/>
    <row r="22582" s="197" customFormat="1" ht="12.75" x14ac:dyDescent="0.2"/>
    <row r="22583" s="197" customFormat="1" ht="12.75" x14ac:dyDescent="0.2"/>
    <row r="22584" s="197" customFormat="1" ht="12.75" x14ac:dyDescent="0.2"/>
    <row r="22585" s="197" customFormat="1" ht="12.75" x14ac:dyDescent="0.2"/>
    <row r="22586" s="197" customFormat="1" ht="12.75" x14ac:dyDescent="0.2"/>
    <row r="22587" s="197" customFormat="1" ht="12.75" x14ac:dyDescent="0.2"/>
    <row r="22588" s="197" customFormat="1" ht="12.75" x14ac:dyDescent="0.2"/>
    <row r="22589" s="197" customFormat="1" ht="12.75" x14ac:dyDescent="0.2"/>
    <row r="22590" s="197" customFormat="1" ht="12.75" x14ac:dyDescent="0.2"/>
    <row r="22591" s="197" customFormat="1" ht="12.75" x14ac:dyDescent="0.2"/>
    <row r="22592" s="197" customFormat="1" ht="12.75" x14ac:dyDescent="0.2"/>
    <row r="22593" s="197" customFormat="1" ht="12.75" x14ac:dyDescent="0.2"/>
    <row r="22594" s="197" customFormat="1" ht="12.75" x14ac:dyDescent="0.2"/>
    <row r="22595" s="197" customFormat="1" ht="12.75" x14ac:dyDescent="0.2"/>
    <row r="22596" s="197" customFormat="1" ht="12.75" x14ac:dyDescent="0.2"/>
    <row r="22597" s="197" customFormat="1" ht="12.75" x14ac:dyDescent="0.2"/>
    <row r="22598" s="197" customFormat="1" ht="12.75" x14ac:dyDescent="0.2"/>
    <row r="22599" s="197" customFormat="1" ht="12.75" x14ac:dyDescent="0.2"/>
    <row r="22600" s="197" customFormat="1" ht="12.75" x14ac:dyDescent="0.2"/>
    <row r="22601" s="197" customFormat="1" ht="12.75" x14ac:dyDescent="0.2"/>
    <row r="22602" s="197" customFormat="1" ht="12.75" x14ac:dyDescent="0.2"/>
    <row r="22603" s="197" customFormat="1" ht="12.75" x14ac:dyDescent="0.2"/>
    <row r="22604" s="197" customFormat="1" ht="12.75" x14ac:dyDescent="0.2"/>
    <row r="22605" s="197" customFormat="1" ht="12.75" x14ac:dyDescent="0.2"/>
    <row r="22606" s="197" customFormat="1" ht="12.75" x14ac:dyDescent="0.2"/>
    <row r="22607" s="197" customFormat="1" ht="12.75" x14ac:dyDescent="0.2"/>
    <row r="22608" s="197" customFormat="1" ht="12.75" x14ac:dyDescent="0.2"/>
    <row r="22609" s="197" customFormat="1" ht="12.75" x14ac:dyDescent="0.2"/>
    <row r="22610" s="197" customFormat="1" ht="12.75" x14ac:dyDescent="0.2"/>
    <row r="22611" s="197" customFormat="1" ht="12.75" x14ac:dyDescent="0.2"/>
    <row r="22612" s="197" customFormat="1" ht="12.75" x14ac:dyDescent="0.2"/>
    <row r="22613" s="197" customFormat="1" ht="12.75" x14ac:dyDescent="0.2"/>
    <row r="22614" s="197" customFormat="1" ht="12.75" x14ac:dyDescent="0.2"/>
    <row r="22615" s="197" customFormat="1" ht="12.75" x14ac:dyDescent="0.2"/>
    <row r="22616" s="197" customFormat="1" ht="12.75" x14ac:dyDescent="0.2"/>
    <row r="22617" s="197" customFormat="1" ht="12.75" x14ac:dyDescent="0.2"/>
    <row r="22618" s="197" customFormat="1" ht="12.75" x14ac:dyDescent="0.2"/>
    <row r="22619" s="197" customFormat="1" ht="12.75" x14ac:dyDescent="0.2"/>
    <row r="22620" s="197" customFormat="1" ht="12.75" x14ac:dyDescent="0.2"/>
    <row r="22621" s="197" customFormat="1" ht="12.75" x14ac:dyDescent="0.2"/>
    <row r="22622" s="197" customFormat="1" ht="12.75" x14ac:dyDescent="0.2"/>
    <row r="22623" s="197" customFormat="1" ht="12.75" x14ac:dyDescent="0.2"/>
    <row r="22624" s="197" customFormat="1" ht="12.75" x14ac:dyDescent="0.2"/>
    <row r="22625" s="197" customFormat="1" ht="12.75" x14ac:dyDescent="0.2"/>
    <row r="22626" s="197" customFormat="1" ht="12.75" x14ac:dyDescent="0.2"/>
    <row r="22627" s="197" customFormat="1" ht="12.75" x14ac:dyDescent="0.2"/>
    <row r="22628" s="197" customFormat="1" ht="12.75" x14ac:dyDescent="0.2"/>
    <row r="22629" s="197" customFormat="1" ht="12.75" x14ac:dyDescent="0.2"/>
    <row r="22630" s="197" customFormat="1" ht="12.75" x14ac:dyDescent="0.2"/>
    <row r="22631" s="197" customFormat="1" ht="12.75" x14ac:dyDescent="0.2"/>
    <row r="22632" s="197" customFormat="1" ht="12.75" x14ac:dyDescent="0.2"/>
    <row r="22633" s="197" customFormat="1" ht="12.75" x14ac:dyDescent="0.2"/>
    <row r="22634" s="197" customFormat="1" ht="12.75" x14ac:dyDescent="0.2"/>
    <row r="22635" s="197" customFormat="1" ht="12.75" x14ac:dyDescent="0.2"/>
    <row r="22636" s="197" customFormat="1" ht="12.75" x14ac:dyDescent="0.2"/>
    <row r="22637" s="197" customFormat="1" ht="12.75" x14ac:dyDescent="0.2"/>
    <row r="22638" s="197" customFormat="1" ht="12.75" x14ac:dyDescent="0.2"/>
    <row r="22639" s="197" customFormat="1" ht="12.75" x14ac:dyDescent="0.2"/>
    <row r="22640" s="197" customFormat="1" ht="12.75" x14ac:dyDescent="0.2"/>
    <row r="22641" s="197" customFormat="1" ht="12.75" x14ac:dyDescent="0.2"/>
    <row r="22642" s="197" customFormat="1" ht="12.75" x14ac:dyDescent="0.2"/>
    <row r="22643" s="197" customFormat="1" ht="12.75" x14ac:dyDescent="0.2"/>
    <row r="22644" s="197" customFormat="1" ht="12.75" x14ac:dyDescent="0.2"/>
    <row r="22645" s="197" customFormat="1" ht="12.75" x14ac:dyDescent="0.2"/>
    <row r="22646" s="197" customFormat="1" ht="12.75" x14ac:dyDescent="0.2"/>
    <row r="22647" s="197" customFormat="1" ht="12.75" x14ac:dyDescent="0.2"/>
    <row r="22648" s="197" customFormat="1" ht="12.75" x14ac:dyDescent="0.2"/>
    <row r="22649" s="197" customFormat="1" ht="12.75" x14ac:dyDescent="0.2"/>
    <row r="22650" s="197" customFormat="1" ht="12.75" x14ac:dyDescent="0.2"/>
    <row r="22651" s="197" customFormat="1" ht="12.75" x14ac:dyDescent="0.2"/>
    <row r="22652" s="197" customFormat="1" ht="12.75" x14ac:dyDescent="0.2"/>
    <row r="22653" s="197" customFormat="1" ht="12.75" x14ac:dyDescent="0.2"/>
    <row r="22654" s="197" customFormat="1" ht="12.75" x14ac:dyDescent="0.2"/>
    <row r="22655" s="197" customFormat="1" ht="12.75" x14ac:dyDescent="0.2"/>
    <row r="22656" s="197" customFormat="1" ht="12.75" x14ac:dyDescent="0.2"/>
    <row r="22657" s="197" customFormat="1" ht="12.75" x14ac:dyDescent="0.2"/>
    <row r="22658" s="197" customFormat="1" ht="12.75" x14ac:dyDescent="0.2"/>
    <row r="22659" s="197" customFormat="1" ht="12.75" x14ac:dyDescent="0.2"/>
    <row r="22660" s="197" customFormat="1" ht="12.75" x14ac:dyDescent="0.2"/>
    <row r="22661" s="197" customFormat="1" ht="12.75" x14ac:dyDescent="0.2"/>
    <row r="22662" s="197" customFormat="1" ht="12.75" x14ac:dyDescent="0.2"/>
    <row r="22663" s="197" customFormat="1" ht="12.75" x14ac:dyDescent="0.2"/>
    <row r="22664" s="197" customFormat="1" ht="12.75" x14ac:dyDescent="0.2"/>
    <row r="22665" s="197" customFormat="1" ht="12.75" x14ac:dyDescent="0.2"/>
    <row r="22666" s="197" customFormat="1" ht="12.75" x14ac:dyDescent="0.2"/>
    <row r="22667" s="197" customFormat="1" ht="12.75" x14ac:dyDescent="0.2"/>
    <row r="22668" s="197" customFormat="1" ht="12.75" x14ac:dyDescent="0.2"/>
    <row r="22669" s="197" customFormat="1" ht="12.75" x14ac:dyDescent="0.2"/>
    <row r="22670" s="197" customFormat="1" ht="12.75" x14ac:dyDescent="0.2"/>
    <row r="22671" s="197" customFormat="1" ht="12.75" x14ac:dyDescent="0.2"/>
    <row r="22672" s="197" customFormat="1" ht="12.75" x14ac:dyDescent="0.2"/>
    <row r="22673" s="197" customFormat="1" ht="12.75" x14ac:dyDescent="0.2"/>
    <row r="22674" s="197" customFormat="1" ht="12.75" x14ac:dyDescent="0.2"/>
    <row r="22675" s="197" customFormat="1" ht="12.75" x14ac:dyDescent="0.2"/>
    <row r="22676" s="197" customFormat="1" ht="12.75" x14ac:dyDescent="0.2"/>
    <row r="22677" s="197" customFormat="1" ht="12.75" x14ac:dyDescent="0.2"/>
    <row r="22678" s="197" customFormat="1" ht="12.75" x14ac:dyDescent="0.2"/>
    <row r="22679" s="197" customFormat="1" ht="12.75" x14ac:dyDescent="0.2"/>
    <row r="22680" s="197" customFormat="1" ht="12.75" x14ac:dyDescent="0.2"/>
    <row r="22681" s="197" customFormat="1" ht="12.75" x14ac:dyDescent="0.2"/>
    <row r="22682" s="197" customFormat="1" ht="12.75" x14ac:dyDescent="0.2"/>
    <row r="22683" s="197" customFormat="1" ht="12.75" x14ac:dyDescent="0.2"/>
    <row r="22684" s="197" customFormat="1" ht="12.75" x14ac:dyDescent="0.2"/>
    <row r="22685" s="197" customFormat="1" ht="12.75" x14ac:dyDescent="0.2"/>
    <row r="22686" s="197" customFormat="1" ht="12.75" x14ac:dyDescent="0.2"/>
    <row r="22687" s="197" customFormat="1" ht="12.75" x14ac:dyDescent="0.2"/>
    <row r="22688" s="197" customFormat="1" ht="12.75" x14ac:dyDescent="0.2"/>
    <row r="22689" s="197" customFormat="1" ht="12.75" x14ac:dyDescent="0.2"/>
    <row r="22690" s="197" customFormat="1" ht="12.75" x14ac:dyDescent="0.2"/>
    <row r="22691" s="197" customFormat="1" ht="12.75" x14ac:dyDescent="0.2"/>
    <row r="22692" s="197" customFormat="1" ht="12.75" x14ac:dyDescent="0.2"/>
    <row r="22693" s="197" customFormat="1" ht="12.75" x14ac:dyDescent="0.2"/>
    <row r="22694" s="197" customFormat="1" ht="12.75" x14ac:dyDescent="0.2"/>
    <row r="22695" s="197" customFormat="1" ht="12.75" x14ac:dyDescent="0.2"/>
    <row r="22696" s="197" customFormat="1" ht="12.75" x14ac:dyDescent="0.2"/>
    <row r="22697" s="197" customFormat="1" ht="12.75" x14ac:dyDescent="0.2"/>
    <row r="22698" s="197" customFormat="1" ht="12.75" x14ac:dyDescent="0.2"/>
    <row r="22699" s="197" customFormat="1" ht="12.75" x14ac:dyDescent="0.2"/>
    <row r="22700" s="197" customFormat="1" ht="12.75" x14ac:dyDescent="0.2"/>
    <row r="22701" s="197" customFormat="1" ht="12.75" x14ac:dyDescent="0.2"/>
    <row r="22702" s="197" customFormat="1" ht="12.75" x14ac:dyDescent="0.2"/>
    <row r="22703" s="197" customFormat="1" ht="12.75" x14ac:dyDescent="0.2"/>
    <row r="22704" s="197" customFormat="1" ht="12.75" x14ac:dyDescent="0.2"/>
    <row r="22705" s="197" customFormat="1" ht="12.75" x14ac:dyDescent="0.2"/>
    <row r="22706" s="197" customFormat="1" ht="12.75" x14ac:dyDescent="0.2"/>
    <row r="22707" s="197" customFormat="1" ht="12.75" x14ac:dyDescent="0.2"/>
    <row r="22708" s="197" customFormat="1" ht="12.75" x14ac:dyDescent="0.2"/>
    <row r="22709" s="197" customFormat="1" ht="12.75" x14ac:dyDescent="0.2"/>
    <row r="22710" s="197" customFormat="1" ht="12.75" x14ac:dyDescent="0.2"/>
    <row r="22711" s="197" customFormat="1" ht="12.75" x14ac:dyDescent="0.2"/>
    <row r="22712" s="197" customFormat="1" ht="12.75" x14ac:dyDescent="0.2"/>
    <row r="22713" s="197" customFormat="1" ht="12.75" x14ac:dyDescent="0.2"/>
    <row r="22714" s="197" customFormat="1" ht="12.75" x14ac:dyDescent="0.2"/>
    <row r="22715" s="197" customFormat="1" ht="12.75" x14ac:dyDescent="0.2"/>
    <row r="22716" s="197" customFormat="1" ht="12.75" x14ac:dyDescent="0.2"/>
    <row r="22717" s="197" customFormat="1" ht="12.75" x14ac:dyDescent="0.2"/>
    <row r="22718" s="197" customFormat="1" ht="12.75" x14ac:dyDescent="0.2"/>
    <row r="22719" s="197" customFormat="1" ht="12.75" x14ac:dyDescent="0.2"/>
    <row r="22720" s="197" customFormat="1" ht="12.75" x14ac:dyDescent="0.2"/>
    <row r="22721" s="197" customFormat="1" ht="12.75" x14ac:dyDescent="0.2"/>
    <row r="22722" s="197" customFormat="1" ht="12.75" x14ac:dyDescent="0.2"/>
    <row r="22723" s="197" customFormat="1" ht="12.75" x14ac:dyDescent="0.2"/>
    <row r="22724" s="197" customFormat="1" ht="12.75" x14ac:dyDescent="0.2"/>
    <row r="22725" s="197" customFormat="1" ht="12.75" x14ac:dyDescent="0.2"/>
    <row r="22726" s="197" customFormat="1" ht="12.75" x14ac:dyDescent="0.2"/>
    <row r="22727" s="197" customFormat="1" ht="12.75" x14ac:dyDescent="0.2"/>
    <row r="22728" s="197" customFormat="1" ht="12.75" x14ac:dyDescent="0.2"/>
    <row r="22729" s="197" customFormat="1" ht="12.75" x14ac:dyDescent="0.2"/>
    <row r="22730" s="197" customFormat="1" ht="12.75" x14ac:dyDescent="0.2"/>
    <row r="22731" s="197" customFormat="1" ht="12.75" x14ac:dyDescent="0.2"/>
    <row r="22732" s="197" customFormat="1" ht="12.75" x14ac:dyDescent="0.2"/>
    <row r="22733" s="197" customFormat="1" ht="12.75" x14ac:dyDescent="0.2"/>
    <row r="22734" s="197" customFormat="1" ht="12.75" x14ac:dyDescent="0.2"/>
    <row r="22735" s="197" customFormat="1" ht="12.75" x14ac:dyDescent="0.2"/>
    <row r="22736" s="197" customFormat="1" ht="12.75" x14ac:dyDescent="0.2"/>
    <row r="22737" s="197" customFormat="1" ht="12.75" x14ac:dyDescent="0.2"/>
    <row r="22738" s="197" customFormat="1" ht="12.75" x14ac:dyDescent="0.2"/>
    <row r="22739" s="197" customFormat="1" ht="12.75" x14ac:dyDescent="0.2"/>
    <row r="22740" s="197" customFormat="1" ht="12.75" x14ac:dyDescent="0.2"/>
    <row r="22741" s="197" customFormat="1" ht="12.75" x14ac:dyDescent="0.2"/>
    <row r="22742" s="197" customFormat="1" ht="12.75" x14ac:dyDescent="0.2"/>
    <row r="22743" s="197" customFormat="1" ht="12.75" x14ac:dyDescent="0.2"/>
    <row r="22744" s="197" customFormat="1" ht="12.75" x14ac:dyDescent="0.2"/>
    <row r="22745" s="197" customFormat="1" ht="12.75" x14ac:dyDescent="0.2"/>
    <row r="22746" s="197" customFormat="1" ht="12.75" x14ac:dyDescent="0.2"/>
    <row r="22747" s="197" customFormat="1" ht="12.75" x14ac:dyDescent="0.2"/>
    <row r="22748" s="197" customFormat="1" ht="12.75" x14ac:dyDescent="0.2"/>
    <row r="22749" s="197" customFormat="1" ht="12.75" x14ac:dyDescent="0.2"/>
    <row r="22750" s="197" customFormat="1" ht="12.75" x14ac:dyDescent="0.2"/>
    <row r="22751" s="197" customFormat="1" ht="12.75" x14ac:dyDescent="0.2"/>
    <row r="22752" s="197" customFormat="1" ht="12.75" x14ac:dyDescent="0.2"/>
    <row r="22753" s="197" customFormat="1" ht="12.75" x14ac:dyDescent="0.2"/>
    <row r="22754" s="197" customFormat="1" ht="12.75" x14ac:dyDescent="0.2"/>
    <row r="22755" s="197" customFormat="1" ht="12.75" x14ac:dyDescent="0.2"/>
    <row r="22756" s="197" customFormat="1" ht="12.75" x14ac:dyDescent="0.2"/>
    <row r="22757" s="197" customFormat="1" ht="12.75" x14ac:dyDescent="0.2"/>
    <row r="22758" s="197" customFormat="1" ht="12.75" x14ac:dyDescent="0.2"/>
    <row r="22759" s="197" customFormat="1" ht="12.75" x14ac:dyDescent="0.2"/>
    <row r="22760" s="197" customFormat="1" ht="12.75" x14ac:dyDescent="0.2"/>
    <row r="22761" s="197" customFormat="1" ht="12.75" x14ac:dyDescent="0.2"/>
    <row r="22762" s="197" customFormat="1" ht="12.75" x14ac:dyDescent="0.2"/>
    <row r="22763" s="197" customFormat="1" ht="12.75" x14ac:dyDescent="0.2"/>
    <row r="22764" s="197" customFormat="1" ht="12.75" x14ac:dyDescent="0.2"/>
    <row r="22765" s="197" customFormat="1" ht="12.75" x14ac:dyDescent="0.2"/>
    <row r="22766" s="197" customFormat="1" ht="12.75" x14ac:dyDescent="0.2"/>
    <row r="22767" s="197" customFormat="1" ht="12.75" x14ac:dyDescent="0.2"/>
    <row r="22768" s="197" customFormat="1" ht="12.75" x14ac:dyDescent="0.2"/>
    <row r="22769" s="197" customFormat="1" ht="12.75" x14ac:dyDescent="0.2"/>
    <row r="22770" s="197" customFormat="1" ht="12.75" x14ac:dyDescent="0.2"/>
    <row r="22771" s="197" customFormat="1" ht="12.75" x14ac:dyDescent="0.2"/>
    <row r="22772" s="197" customFormat="1" ht="12.75" x14ac:dyDescent="0.2"/>
    <row r="22773" s="197" customFormat="1" ht="12.75" x14ac:dyDescent="0.2"/>
    <row r="22774" s="197" customFormat="1" ht="12.75" x14ac:dyDescent="0.2"/>
    <row r="22775" s="197" customFormat="1" ht="12.75" x14ac:dyDescent="0.2"/>
    <row r="22776" s="197" customFormat="1" ht="12.75" x14ac:dyDescent="0.2"/>
    <row r="22777" s="197" customFormat="1" ht="12.75" x14ac:dyDescent="0.2"/>
    <row r="22778" s="197" customFormat="1" ht="12.75" x14ac:dyDescent="0.2"/>
    <row r="22779" s="197" customFormat="1" ht="12.75" x14ac:dyDescent="0.2"/>
    <row r="22780" s="197" customFormat="1" ht="12.75" x14ac:dyDescent="0.2"/>
    <row r="22781" s="197" customFormat="1" ht="12.75" x14ac:dyDescent="0.2"/>
    <row r="22782" s="197" customFormat="1" ht="12.75" x14ac:dyDescent="0.2"/>
    <row r="22783" s="197" customFormat="1" ht="12.75" x14ac:dyDescent="0.2"/>
    <row r="22784" s="197" customFormat="1" ht="12.75" x14ac:dyDescent="0.2"/>
    <row r="22785" s="197" customFormat="1" ht="12.75" x14ac:dyDescent="0.2"/>
    <row r="22786" s="197" customFormat="1" ht="12.75" x14ac:dyDescent="0.2"/>
    <row r="22787" s="197" customFormat="1" ht="12.75" x14ac:dyDescent="0.2"/>
    <row r="22788" s="197" customFormat="1" ht="12.75" x14ac:dyDescent="0.2"/>
    <row r="22789" s="197" customFormat="1" ht="12.75" x14ac:dyDescent="0.2"/>
    <row r="22790" s="197" customFormat="1" ht="12.75" x14ac:dyDescent="0.2"/>
    <row r="22791" s="197" customFormat="1" ht="12.75" x14ac:dyDescent="0.2"/>
    <row r="22792" s="197" customFormat="1" ht="12.75" x14ac:dyDescent="0.2"/>
    <row r="22793" s="197" customFormat="1" ht="12.75" x14ac:dyDescent="0.2"/>
    <row r="22794" s="197" customFormat="1" ht="12.75" x14ac:dyDescent="0.2"/>
    <row r="22795" s="197" customFormat="1" ht="12.75" x14ac:dyDescent="0.2"/>
    <row r="22796" s="197" customFormat="1" ht="12.75" x14ac:dyDescent="0.2"/>
    <row r="22797" s="197" customFormat="1" ht="12.75" x14ac:dyDescent="0.2"/>
    <row r="22798" s="197" customFormat="1" ht="12.75" x14ac:dyDescent="0.2"/>
    <row r="22799" s="197" customFormat="1" ht="12.75" x14ac:dyDescent="0.2"/>
    <row r="22800" s="197" customFormat="1" ht="12.75" x14ac:dyDescent="0.2"/>
    <row r="22801" s="197" customFormat="1" ht="12.75" x14ac:dyDescent="0.2"/>
    <row r="22802" s="197" customFormat="1" ht="12.75" x14ac:dyDescent="0.2"/>
    <row r="22803" s="197" customFormat="1" ht="12.75" x14ac:dyDescent="0.2"/>
    <row r="22804" s="197" customFormat="1" ht="12.75" x14ac:dyDescent="0.2"/>
    <row r="22805" s="197" customFormat="1" ht="12.75" x14ac:dyDescent="0.2"/>
    <row r="22806" s="197" customFormat="1" ht="12.75" x14ac:dyDescent="0.2"/>
    <row r="22807" s="197" customFormat="1" ht="12.75" x14ac:dyDescent="0.2"/>
    <row r="22808" s="197" customFormat="1" ht="12.75" x14ac:dyDescent="0.2"/>
    <row r="22809" s="197" customFormat="1" ht="12.75" x14ac:dyDescent="0.2"/>
    <row r="22810" s="197" customFormat="1" ht="12.75" x14ac:dyDescent="0.2"/>
    <row r="22811" s="197" customFormat="1" ht="12.75" x14ac:dyDescent="0.2"/>
    <row r="22812" s="197" customFormat="1" ht="12.75" x14ac:dyDescent="0.2"/>
    <row r="22813" s="197" customFormat="1" ht="12.75" x14ac:dyDescent="0.2"/>
    <row r="22814" s="197" customFormat="1" ht="12.75" x14ac:dyDescent="0.2"/>
    <row r="22815" s="197" customFormat="1" ht="12.75" x14ac:dyDescent="0.2"/>
    <row r="22816" s="197" customFormat="1" ht="12.75" x14ac:dyDescent="0.2"/>
    <row r="22817" s="197" customFormat="1" ht="12.75" x14ac:dyDescent="0.2"/>
    <row r="22818" s="197" customFormat="1" ht="12.75" x14ac:dyDescent="0.2"/>
    <row r="22819" s="197" customFormat="1" ht="12.75" x14ac:dyDescent="0.2"/>
    <row r="22820" s="197" customFormat="1" ht="12.75" x14ac:dyDescent="0.2"/>
    <row r="22821" s="197" customFormat="1" ht="12.75" x14ac:dyDescent="0.2"/>
    <row r="22822" s="197" customFormat="1" ht="12.75" x14ac:dyDescent="0.2"/>
    <row r="22823" s="197" customFormat="1" ht="12.75" x14ac:dyDescent="0.2"/>
    <row r="22824" s="197" customFormat="1" ht="12.75" x14ac:dyDescent="0.2"/>
    <row r="22825" s="197" customFormat="1" ht="12.75" x14ac:dyDescent="0.2"/>
    <row r="22826" s="197" customFormat="1" ht="12.75" x14ac:dyDescent="0.2"/>
    <row r="22827" s="197" customFormat="1" ht="12.75" x14ac:dyDescent="0.2"/>
    <row r="22828" s="197" customFormat="1" ht="12.75" x14ac:dyDescent="0.2"/>
    <row r="22829" s="197" customFormat="1" ht="12.75" x14ac:dyDescent="0.2"/>
    <row r="22830" s="197" customFormat="1" ht="12.75" x14ac:dyDescent="0.2"/>
    <row r="22831" s="197" customFormat="1" ht="12.75" x14ac:dyDescent="0.2"/>
    <row r="22832" s="197" customFormat="1" ht="12.75" x14ac:dyDescent="0.2"/>
    <row r="22833" s="197" customFormat="1" ht="12.75" x14ac:dyDescent="0.2"/>
    <row r="22834" s="197" customFormat="1" ht="12.75" x14ac:dyDescent="0.2"/>
    <row r="22835" s="197" customFormat="1" ht="12.75" x14ac:dyDescent="0.2"/>
    <row r="22836" s="197" customFormat="1" ht="12.75" x14ac:dyDescent="0.2"/>
    <row r="22837" s="197" customFormat="1" ht="12.75" x14ac:dyDescent="0.2"/>
    <row r="22838" s="197" customFormat="1" ht="12.75" x14ac:dyDescent="0.2"/>
    <row r="22839" s="197" customFormat="1" ht="12.75" x14ac:dyDescent="0.2"/>
    <row r="22840" s="197" customFormat="1" ht="12.75" x14ac:dyDescent="0.2"/>
    <row r="22841" s="197" customFormat="1" ht="12.75" x14ac:dyDescent="0.2"/>
    <row r="22842" s="197" customFormat="1" ht="12.75" x14ac:dyDescent="0.2"/>
    <row r="22843" s="197" customFormat="1" ht="12.75" x14ac:dyDescent="0.2"/>
    <row r="22844" s="197" customFormat="1" ht="12.75" x14ac:dyDescent="0.2"/>
    <row r="22845" s="197" customFormat="1" ht="12.75" x14ac:dyDescent="0.2"/>
    <row r="22846" s="197" customFormat="1" ht="12.75" x14ac:dyDescent="0.2"/>
    <row r="22847" s="197" customFormat="1" ht="12.75" x14ac:dyDescent="0.2"/>
    <row r="22848" s="197" customFormat="1" ht="12.75" x14ac:dyDescent="0.2"/>
    <row r="22849" s="197" customFormat="1" ht="12.75" x14ac:dyDescent="0.2"/>
    <row r="22850" s="197" customFormat="1" ht="12.75" x14ac:dyDescent="0.2"/>
    <row r="22851" s="197" customFormat="1" ht="12.75" x14ac:dyDescent="0.2"/>
    <row r="22852" s="197" customFormat="1" ht="12.75" x14ac:dyDescent="0.2"/>
    <row r="22853" s="197" customFormat="1" ht="12.75" x14ac:dyDescent="0.2"/>
    <row r="22854" s="197" customFormat="1" ht="12.75" x14ac:dyDescent="0.2"/>
    <row r="22855" s="197" customFormat="1" ht="12.75" x14ac:dyDescent="0.2"/>
    <row r="22856" s="197" customFormat="1" ht="12.75" x14ac:dyDescent="0.2"/>
    <row r="22857" s="197" customFormat="1" ht="12.75" x14ac:dyDescent="0.2"/>
    <row r="22858" s="197" customFormat="1" ht="12.75" x14ac:dyDescent="0.2"/>
    <row r="22859" s="197" customFormat="1" ht="12.75" x14ac:dyDescent="0.2"/>
    <row r="22860" s="197" customFormat="1" ht="12.75" x14ac:dyDescent="0.2"/>
    <row r="22861" s="197" customFormat="1" ht="12.75" x14ac:dyDescent="0.2"/>
    <row r="22862" s="197" customFormat="1" ht="12.75" x14ac:dyDescent="0.2"/>
    <row r="22863" s="197" customFormat="1" ht="12.75" x14ac:dyDescent="0.2"/>
    <row r="22864" s="197" customFormat="1" ht="12.75" x14ac:dyDescent="0.2"/>
    <row r="22865" s="197" customFormat="1" ht="12.75" x14ac:dyDescent="0.2"/>
    <row r="22866" s="197" customFormat="1" ht="12.75" x14ac:dyDescent="0.2"/>
    <row r="22867" s="197" customFormat="1" ht="12.75" x14ac:dyDescent="0.2"/>
    <row r="22868" s="197" customFormat="1" ht="12.75" x14ac:dyDescent="0.2"/>
    <row r="22869" s="197" customFormat="1" ht="12.75" x14ac:dyDescent="0.2"/>
    <row r="22870" s="197" customFormat="1" ht="12.75" x14ac:dyDescent="0.2"/>
    <row r="22871" s="197" customFormat="1" ht="12.75" x14ac:dyDescent="0.2"/>
    <row r="22872" s="197" customFormat="1" ht="12.75" x14ac:dyDescent="0.2"/>
    <row r="22873" s="197" customFormat="1" ht="12.75" x14ac:dyDescent="0.2"/>
    <row r="22874" s="197" customFormat="1" ht="12.75" x14ac:dyDescent="0.2"/>
    <row r="22875" s="197" customFormat="1" ht="12.75" x14ac:dyDescent="0.2"/>
    <row r="22876" s="197" customFormat="1" ht="12.75" x14ac:dyDescent="0.2"/>
    <row r="22877" s="197" customFormat="1" ht="12.75" x14ac:dyDescent="0.2"/>
    <row r="22878" s="197" customFormat="1" ht="12.75" x14ac:dyDescent="0.2"/>
    <row r="22879" s="197" customFormat="1" ht="12.75" x14ac:dyDescent="0.2"/>
    <row r="22880" s="197" customFormat="1" ht="12.75" x14ac:dyDescent="0.2"/>
    <row r="22881" s="197" customFormat="1" ht="12.75" x14ac:dyDescent="0.2"/>
    <row r="22882" s="197" customFormat="1" ht="12.75" x14ac:dyDescent="0.2"/>
    <row r="22883" s="197" customFormat="1" ht="12.75" x14ac:dyDescent="0.2"/>
    <row r="22884" s="197" customFormat="1" ht="12.75" x14ac:dyDescent="0.2"/>
    <row r="22885" s="197" customFormat="1" ht="12.75" x14ac:dyDescent="0.2"/>
    <row r="22886" s="197" customFormat="1" ht="12.75" x14ac:dyDescent="0.2"/>
    <row r="22887" s="197" customFormat="1" ht="12.75" x14ac:dyDescent="0.2"/>
    <row r="22888" s="197" customFormat="1" ht="12.75" x14ac:dyDescent="0.2"/>
    <row r="22889" s="197" customFormat="1" ht="12.75" x14ac:dyDescent="0.2"/>
    <row r="22890" s="197" customFormat="1" ht="12.75" x14ac:dyDescent="0.2"/>
    <row r="22891" s="197" customFormat="1" ht="12.75" x14ac:dyDescent="0.2"/>
    <row r="22892" s="197" customFormat="1" ht="12.75" x14ac:dyDescent="0.2"/>
    <row r="22893" s="197" customFormat="1" ht="12.75" x14ac:dyDescent="0.2"/>
    <row r="22894" s="197" customFormat="1" ht="12.75" x14ac:dyDescent="0.2"/>
    <row r="22895" s="197" customFormat="1" ht="12.75" x14ac:dyDescent="0.2"/>
    <row r="22896" s="197" customFormat="1" ht="12.75" x14ac:dyDescent="0.2"/>
    <row r="22897" s="197" customFormat="1" ht="12.75" x14ac:dyDescent="0.2"/>
    <row r="22898" s="197" customFormat="1" ht="12.75" x14ac:dyDescent="0.2"/>
    <row r="22899" s="197" customFormat="1" ht="12.75" x14ac:dyDescent="0.2"/>
    <row r="22900" s="197" customFormat="1" ht="12.75" x14ac:dyDescent="0.2"/>
    <row r="22901" s="197" customFormat="1" ht="12.75" x14ac:dyDescent="0.2"/>
    <row r="22902" s="197" customFormat="1" ht="12.75" x14ac:dyDescent="0.2"/>
    <row r="22903" s="197" customFormat="1" ht="12.75" x14ac:dyDescent="0.2"/>
    <row r="22904" s="197" customFormat="1" ht="12.75" x14ac:dyDescent="0.2"/>
    <row r="22905" s="197" customFormat="1" ht="12.75" x14ac:dyDescent="0.2"/>
    <row r="22906" s="197" customFormat="1" ht="12.75" x14ac:dyDescent="0.2"/>
    <row r="22907" s="197" customFormat="1" ht="12.75" x14ac:dyDescent="0.2"/>
    <row r="22908" s="197" customFormat="1" ht="12.75" x14ac:dyDescent="0.2"/>
    <row r="22909" s="197" customFormat="1" ht="12.75" x14ac:dyDescent="0.2"/>
    <row r="22910" s="197" customFormat="1" ht="12.75" x14ac:dyDescent="0.2"/>
    <row r="22911" s="197" customFormat="1" ht="12.75" x14ac:dyDescent="0.2"/>
    <row r="22912" s="197" customFormat="1" ht="12.75" x14ac:dyDescent="0.2"/>
    <row r="22913" s="197" customFormat="1" ht="12.75" x14ac:dyDescent="0.2"/>
    <row r="22914" s="197" customFormat="1" ht="12.75" x14ac:dyDescent="0.2"/>
    <row r="22915" s="197" customFormat="1" ht="12.75" x14ac:dyDescent="0.2"/>
    <row r="22916" s="197" customFormat="1" ht="12.75" x14ac:dyDescent="0.2"/>
    <row r="22917" s="197" customFormat="1" ht="12.75" x14ac:dyDescent="0.2"/>
    <row r="22918" s="197" customFormat="1" ht="12.75" x14ac:dyDescent="0.2"/>
    <row r="22919" s="197" customFormat="1" ht="12.75" x14ac:dyDescent="0.2"/>
    <row r="22920" s="197" customFormat="1" ht="12.75" x14ac:dyDescent="0.2"/>
    <row r="22921" s="197" customFormat="1" ht="12.75" x14ac:dyDescent="0.2"/>
    <row r="22922" s="197" customFormat="1" ht="12.75" x14ac:dyDescent="0.2"/>
    <row r="22923" s="197" customFormat="1" ht="12.75" x14ac:dyDescent="0.2"/>
    <row r="22924" s="197" customFormat="1" ht="12.75" x14ac:dyDescent="0.2"/>
    <row r="22925" s="197" customFormat="1" ht="12.75" x14ac:dyDescent="0.2"/>
    <row r="22926" s="197" customFormat="1" ht="12.75" x14ac:dyDescent="0.2"/>
    <row r="22927" s="197" customFormat="1" ht="12.75" x14ac:dyDescent="0.2"/>
    <row r="22928" s="197" customFormat="1" ht="12.75" x14ac:dyDescent="0.2"/>
    <row r="22929" s="197" customFormat="1" ht="12.75" x14ac:dyDescent="0.2"/>
    <row r="22930" s="197" customFormat="1" ht="12.75" x14ac:dyDescent="0.2"/>
    <row r="22931" s="197" customFormat="1" ht="12.75" x14ac:dyDescent="0.2"/>
    <row r="22932" s="197" customFormat="1" ht="12.75" x14ac:dyDescent="0.2"/>
    <row r="22933" s="197" customFormat="1" ht="12.75" x14ac:dyDescent="0.2"/>
    <row r="22934" s="197" customFormat="1" ht="12.75" x14ac:dyDescent="0.2"/>
    <row r="22935" s="197" customFormat="1" ht="12.75" x14ac:dyDescent="0.2"/>
    <row r="22936" s="197" customFormat="1" ht="12.75" x14ac:dyDescent="0.2"/>
    <row r="22937" s="197" customFormat="1" ht="12.75" x14ac:dyDescent="0.2"/>
    <row r="22938" s="197" customFormat="1" ht="12.75" x14ac:dyDescent="0.2"/>
    <row r="22939" s="197" customFormat="1" ht="12.75" x14ac:dyDescent="0.2"/>
    <row r="22940" s="197" customFormat="1" ht="12.75" x14ac:dyDescent="0.2"/>
    <row r="22941" s="197" customFormat="1" ht="12.75" x14ac:dyDescent="0.2"/>
    <row r="22942" s="197" customFormat="1" ht="12.75" x14ac:dyDescent="0.2"/>
    <row r="22943" s="197" customFormat="1" ht="12.75" x14ac:dyDescent="0.2"/>
    <row r="22944" s="197" customFormat="1" ht="12.75" x14ac:dyDescent="0.2"/>
    <row r="22945" s="197" customFormat="1" ht="12.75" x14ac:dyDescent="0.2"/>
    <row r="22946" s="197" customFormat="1" ht="12.75" x14ac:dyDescent="0.2"/>
    <row r="22947" s="197" customFormat="1" ht="12.75" x14ac:dyDescent="0.2"/>
    <row r="22948" s="197" customFormat="1" ht="12.75" x14ac:dyDescent="0.2"/>
    <row r="22949" s="197" customFormat="1" ht="12.75" x14ac:dyDescent="0.2"/>
    <row r="22950" s="197" customFormat="1" ht="12.75" x14ac:dyDescent="0.2"/>
    <row r="22951" s="197" customFormat="1" ht="12.75" x14ac:dyDescent="0.2"/>
    <row r="22952" s="197" customFormat="1" ht="12.75" x14ac:dyDescent="0.2"/>
    <row r="22953" s="197" customFormat="1" ht="12.75" x14ac:dyDescent="0.2"/>
    <row r="22954" s="197" customFormat="1" ht="12.75" x14ac:dyDescent="0.2"/>
    <row r="22955" s="197" customFormat="1" ht="12.75" x14ac:dyDescent="0.2"/>
    <row r="22956" s="197" customFormat="1" ht="12.75" x14ac:dyDescent="0.2"/>
    <row r="22957" s="197" customFormat="1" ht="12.75" x14ac:dyDescent="0.2"/>
    <row r="22958" s="197" customFormat="1" ht="12.75" x14ac:dyDescent="0.2"/>
    <row r="22959" s="197" customFormat="1" ht="12.75" x14ac:dyDescent="0.2"/>
    <row r="22960" s="197" customFormat="1" ht="12.75" x14ac:dyDescent="0.2"/>
    <row r="22961" s="197" customFormat="1" ht="12.75" x14ac:dyDescent="0.2"/>
    <row r="22962" s="197" customFormat="1" ht="12.75" x14ac:dyDescent="0.2"/>
    <row r="22963" s="197" customFormat="1" ht="12.75" x14ac:dyDescent="0.2"/>
    <row r="22964" s="197" customFormat="1" ht="12.75" x14ac:dyDescent="0.2"/>
    <row r="22965" s="197" customFormat="1" ht="12.75" x14ac:dyDescent="0.2"/>
    <row r="22966" s="197" customFormat="1" ht="12.75" x14ac:dyDescent="0.2"/>
    <row r="22967" s="197" customFormat="1" ht="12.75" x14ac:dyDescent="0.2"/>
    <row r="22968" s="197" customFormat="1" ht="12.75" x14ac:dyDescent="0.2"/>
    <row r="22969" s="197" customFormat="1" ht="12.75" x14ac:dyDescent="0.2"/>
    <row r="22970" s="197" customFormat="1" ht="12.75" x14ac:dyDescent="0.2"/>
    <row r="22971" s="197" customFormat="1" ht="12.75" x14ac:dyDescent="0.2"/>
    <row r="22972" s="197" customFormat="1" ht="12.75" x14ac:dyDescent="0.2"/>
    <row r="22973" s="197" customFormat="1" ht="12.75" x14ac:dyDescent="0.2"/>
    <row r="22974" s="197" customFormat="1" ht="12.75" x14ac:dyDescent="0.2"/>
    <row r="22975" s="197" customFormat="1" ht="12.75" x14ac:dyDescent="0.2"/>
    <row r="22976" s="197" customFormat="1" ht="12.75" x14ac:dyDescent="0.2"/>
    <row r="22977" s="197" customFormat="1" ht="12.75" x14ac:dyDescent="0.2"/>
    <row r="22978" s="197" customFormat="1" ht="12.75" x14ac:dyDescent="0.2"/>
    <row r="22979" s="197" customFormat="1" ht="12.75" x14ac:dyDescent="0.2"/>
    <row r="22980" s="197" customFormat="1" ht="12.75" x14ac:dyDescent="0.2"/>
    <row r="22981" s="197" customFormat="1" ht="12.75" x14ac:dyDescent="0.2"/>
    <row r="22982" s="197" customFormat="1" ht="12.75" x14ac:dyDescent="0.2"/>
    <row r="22983" s="197" customFormat="1" ht="12.75" x14ac:dyDescent="0.2"/>
    <row r="22984" s="197" customFormat="1" ht="12.75" x14ac:dyDescent="0.2"/>
    <row r="22985" s="197" customFormat="1" ht="12.75" x14ac:dyDescent="0.2"/>
    <row r="22986" s="197" customFormat="1" ht="12.75" x14ac:dyDescent="0.2"/>
    <row r="22987" s="197" customFormat="1" ht="12.75" x14ac:dyDescent="0.2"/>
    <row r="22988" s="197" customFormat="1" ht="12.75" x14ac:dyDescent="0.2"/>
    <row r="22989" s="197" customFormat="1" ht="12.75" x14ac:dyDescent="0.2"/>
    <row r="22990" s="197" customFormat="1" ht="12.75" x14ac:dyDescent="0.2"/>
    <row r="22991" s="197" customFormat="1" ht="12.75" x14ac:dyDescent="0.2"/>
    <row r="22992" s="197" customFormat="1" ht="12.75" x14ac:dyDescent="0.2"/>
    <row r="22993" s="197" customFormat="1" ht="12.75" x14ac:dyDescent="0.2"/>
    <row r="22994" s="197" customFormat="1" ht="12.75" x14ac:dyDescent="0.2"/>
    <row r="22995" s="197" customFormat="1" ht="12.75" x14ac:dyDescent="0.2"/>
    <row r="22996" s="197" customFormat="1" ht="12.75" x14ac:dyDescent="0.2"/>
    <row r="22997" s="197" customFormat="1" ht="12.75" x14ac:dyDescent="0.2"/>
    <row r="22998" s="197" customFormat="1" ht="12.75" x14ac:dyDescent="0.2"/>
    <row r="22999" s="197" customFormat="1" ht="12.75" x14ac:dyDescent="0.2"/>
    <row r="23000" s="197" customFormat="1" ht="12.75" x14ac:dyDescent="0.2"/>
    <row r="23001" s="197" customFormat="1" ht="12.75" x14ac:dyDescent="0.2"/>
    <row r="23002" s="197" customFormat="1" ht="12.75" x14ac:dyDescent="0.2"/>
    <row r="23003" s="197" customFormat="1" ht="12.75" x14ac:dyDescent="0.2"/>
    <row r="23004" s="197" customFormat="1" ht="12.75" x14ac:dyDescent="0.2"/>
    <row r="23005" s="197" customFormat="1" ht="12.75" x14ac:dyDescent="0.2"/>
    <row r="23006" s="197" customFormat="1" ht="12.75" x14ac:dyDescent="0.2"/>
    <row r="23007" s="197" customFormat="1" ht="12.75" x14ac:dyDescent="0.2"/>
    <row r="23008" s="197" customFormat="1" ht="12.75" x14ac:dyDescent="0.2"/>
    <row r="23009" s="197" customFormat="1" ht="12.75" x14ac:dyDescent="0.2"/>
    <row r="23010" s="197" customFormat="1" ht="12.75" x14ac:dyDescent="0.2"/>
    <row r="23011" s="197" customFormat="1" ht="12.75" x14ac:dyDescent="0.2"/>
    <row r="23012" s="197" customFormat="1" ht="12.75" x14ac:dyDescent="0.2"/>
    <row r="23013" s="197" customFormat="1" ht="12.75" x14ac:dyDescent="0.2"/>
    <row r="23014" s="197" customFormat="1" ht="12.75" x14ac:dyDescent="0.2"/>
    <row r="23015" s="197" customFormat="1" ht="12.75" x14ac:dyDescent="0.2"/>
    <row r="23016" s="197" customFormat="1" ht="12.75" x14ac:dyDescent="0.2"/>
    <row r="23017" s="197" customFormat="1" ht="12.75" x14ac:dyDescent="0.2"/>
    <row r="23018" s="197" customFormat="1" ht="12.75" x14ac:dyDescent="0.2"/>
    <row r="23019" s="197" customFormat="1" ht="12.75" x14ac:dyDescent="0.2"/>
    <row r="23020" s="197" customFormat="1" ht="12.75" x14ac:dyDescent="0.2"/>
    <row r="23021" s="197" customFormat="1" ht="12.75" x14ac:dyDescent="0.2"/>
    <row r="23022" s="197" customFormat="1" ht="12.75" x14ac:dyDescent="0.2"/>
    <row r="23023" s="197" customFormat="1" ht="12.75" x14ac:dyDescent="0.2"/>
    <row r="23024" s="197" customFormat="1" ht="12.75" x14ac:dyDescent="0.2"/>
    <row r="23025" s="197" customFormat="1" ht="12.75" x14ac:dyDescent="0.2"/>
    <row r="23026" s="197" customFormat="1" ht="12.75" x14ac:dyDescent="0.2"/>
    <row r="23027" s="197" customFormat="1" ht="12.75" x14ac:dyDescent="0.2"/>
    <row r="23028" s="197" customFormat="1" ht="12.75" x14ac:dyDescent="0.2"/>
    <row r="23029" s="197" customFormat="1" ht="12.75" x14ac:dyDescent="0.2"/>
    <row r="23030" s="197" customFormat="1" ht="12.75" x14ac:dyDescent="0.2"/>
    <row r="23031" s="197" customFormat="1" ht="12.75" x14ac:dyDescent="0.2"/>
    <row r="23032" s="197" customFormat="1" ht="12.75" x14ac:dyDescent="0.2"/>
    <row r="23033" s="197" customFormat="1" ht="12.75" x14ac:dyDescent="0.2"/>
    <row r="23034" s="197" customFormat="1" ht="12.75" x14ac:dyDescent="0.2"/>
    <row r="23035" s="197" customFormat="1" ht="12.75" x14ac:dyDescent="0.2"/>
    <row r="23036" s="197" customFormat="1" ht="12.75" x14ac:dyDescent="0.2"/>
    <row r="23037" s="197" customFormat="1" ht="12.75" x14ac:dyDescent="0.2"/>
    <row r="23038" s="197" customFormat="1" ht="12.75" x14ac:dyDescent="0.2"/>
    <row r="23039" s="197" customFormat="1" ht="12.75" x14ac:dyDescent="0.2"/>
    <row r="23040" s="197" customFormat="1" ht="12.75" x14ac:dyDescent="0.2"/>
    <row r="23041" s="197" customFormat="1" ht="12.75" x14ac:dyDescent="0.2"/>
    <row r="23042" s="197" customFormat="1" ht="12.75" x14ac:dyDescent="0.2"/>
    <row r="23043" s="197" customFormat="1" ht="12.75" x14ac:dyDescent="0.2"/>
    <row r="23044" s="197" customFormat="1" ht="12.75" x14ac:dyDescent="0.2"/>
    <row r="23045" s="197" customFormat="1" ht="12.75" x14ac:dyDescent="0.2"/>
    <row r="23046" s="197" customFormat="1" ht="12.75" x14ac:dyDescent="0.2"/>
    <row r="23047" s="197" customFormat="1" ht="12.75" x14ac:dyDescent="0.2"/>
    <row r="23048" s="197" customFormat="1" ht="12.75" x14ac:dyDescent="0.2"/>
    <row r="23049" s="197" customFormat="1" ht="12.75" x14ac:dyDescent="0.2"/>
    <row r="23050" s="197" customFormat="1" ht="12.75" x14ac:dyDescent="0.2"/>
    <row r="23051" s="197" customFormat="1" ht="12.75" x14ac:dyDescent="0.2"/>
    <row r="23052" s="197" customFormat="1" ht="12.75" x14ac:dyDescent="0.2"/>
    <row r="23053" s="197" customFormat="1" ht="12.75" x14ac:dyDescent="0.2"/>
    <row r="23054" s="197" customFormat="1" ht="12.75" x14ac:dyDescent="0.2"/>
    <row r="23055" s="197" customFormat="1" ht="12.75" x14ac:dyDescent="0.2"/>
    <row r="23056" s="197" customFormat="1" ht="12.75" x14ac:dyDescent="0.2"/>
    <row r="23057" s="197" customFormat="1" ht="12.75" x14ac:dyDescent="0.2"/>
    <row r="23058" s="197" customFormat="1" ht="12.75" x14ac:dyDescent="0.2"/>
    <row r="23059" s="197" customFormat="1" ht="12.75" x14ac:dyDescent="0.2"/>
    <row r="23060" s="197" customFormat="1" ht="12.75" x14ac:dyDescent="0.2"/>
    <row r="23061" s="197" customFormat="1" ht="12.75" x14ac:dyDescent="0.2"/>
    <row r="23062" s="197" customFormat="1" ht="12.75" x14ac:dyDescent="0.2"/>
    <row r="23063" s="197" customFormat="1" ht="12.75" x14ac:dyDescent="0.2"/>
    <row r="23064" s="197" customFormat="1" ht="12.75" x14ac:dyDescent="0.2"/>
    <row r="23065" s="197" customFormat="1" ht="12.75" x14ac:dyDescent="0.2"/>
    <row r="23066" s="197" customFormat="1" ht="12.75" x14ac:dyDescent="0.2"/>
    <row r="23067" s="197" customFormat="1" ht="12.75" x14ac:dyDescent="0.2"/>
    <row r="23068" s="197" customFormat="1" ht="12.75" x14ac:dyDescent="0.2"/>
    <row r="23069" s="197" customFormat="1" ht="12.75" x14ac:dyDescent="0.2"/>
    <row r="23070" s="197" customFormat="1" ht="12.75" x14ac:dyDescent="0.2"/>
    <row r="23071" s="197" customFormat="1" ht="12.75" x14ac:dyDescent="0.2"/>
    <row r="23072" s="197" customFormat="1" ht="12.75" x14ac:dyDescent="0.2"/>
    <row r="23073" s="197" customFormat="1" ht="12.75" x14ac:dyDescent="0.2"/>
    <row r="23074" s="197" customFormat="1" ht="12.75" x14ac:dyDescent="0.2"/>
    <row r="23075" s="197" customFormat="1" ht="12.75" x14ac:dyDescent="0.2"/>
    <row r="23076" s="197" customFormat="1" ht="12.75" x14ac:dyDescent="0.2"/>
    <row r="23077" s="197" customFormat="1" ht="12.75" x14ac:dyDescent="0.2"/>
    <row r="23078" s="197" customFormat="1" ht="12.75" x14ac:dyDescent="0.2"/>
    <row r="23079" s="197" customFormat="1" ht="12.75" x14ac:dyDescent="0.2"/>
    <row r="23080" s="197" customFormat="1" ht="12.75" x14ac:dyDescent="0.2"/>
    <row r="23081" s="197" customFormat="1" ht="12.75" x14ac:dyDescent="0.2"/>
    <row r="23082" s="197" customFormat="1" ht="12.75" x14ac:dyDescent="0.2"/>
    <row r="23083" s="197" customFormat="1" ht="12.75" x14ac:dyDescent="0.2"/>
    <row r="23084" s="197" customFormat="1" ht="12.75" x14ac:dyDescent="0.2"/>
    <row r="23085" s="197" customFormat="1" ht="12.75" x14ac:dyDescent="0.2"/>
    <row r="23086" s="197" customFormat="1" ht="12.75" x14ac:dyDescent="0.2"/>
    <row r="23087" s="197" customFormat="1" ht="12.75" x14ac:dyDescent="0.2"/>
    <row r="23088" s="197" customFormat="1" ht="12.75" x14ac:dyDescent="0.2"/>
    <row r="23089" s="197" customFormat="1" ht="12.75" x14ac:dyDescent="0.2"/>
    <row r="23090" s="197" customFormat="1" ht="12.75" x14ac:dyDescent="0.2"/>
    <row r="23091" s="197" customFormat="1" ht="12.75" x14ac:dyDescent="0.2"/>
    <row r="23092" s="197" customFormat="1" ht="12.75" x14ac:dyDescent="0.2"/>
    <row r="23093" s="197" customFormat="1" ht="12.75" x14ac:dyDescent="0.2"/>
    <row r="23094" s="197" customFormat="1" ht="12.75" x14ac:dyDescent="0.2"/>
    <row r="23095" s="197" customFormat="1" ht="12.75" x14ac:dyDescent="0.2"/>
    <row r="23096" s="197" customFormat="1" ht="12.75" x14ac:dyDescent="0.2"/>
    <row r="23097" s="197" customFormat="1" ht="12.75" x14ac:dyDescent="0.2"/>
    <row r="23098" s="197" customFormat="1" ht="12.75" x14ac:dyDescent="0.2"/>
    <row r="23099" s="197" customFormat="1" ht="12.75" x14ac:dyDescent="0.2"/>
    <row r="23100" s="197" customFormat="1" ht="12.75" x14ac:dyDescent="0.2"/>
    <row r="23101" s="197" customFormat="1" ht="12.75" x14ac:dyDescent="0.2"/>
    <row r="23102" s="197" customFormat="1" ht="12.75" x14ac:dyDescent="0.2"/>
    <row r="23103" s="197" customFormat="1" ht="12.75" x14ac:dyDescent="0.2"/>
    <row r="23104" s="197" customFormat="1" ht="12.75" x14ac:dyDescent="0.2"/>
    <row r="23105" s="197" customFormat="1" ht="12.75" x14ac:dyDescent="0.2"/>
    <row r="23106" s="197" customFormat="1" ht="12.75" x14ac:dyDescent="0.2"/>
    <row r="23107" s="197" customFormat="1" ht="12.75" x14ac:dyDescent="0.2"/>
    <row r="23108" s="197" customFormat="1" ht="12.75" x14ac:dyDescent="0.2"/>
    <row r="23109" s="197" customFormat="1" ht="12.75" x14ac:dyDescent="0.2"/>
    <row r="23110" s="197" customFormat="1" ht="12.75" x14ac:dyDescent="0.2"/>
    <row r="23111" s="197" customFormat="1" ht="12.75" x14ac:dyDescent="0.2"/>
    <row r="23112" s="197" customFormat="1" ht="12.75" x14ac:dyDescent="0.2"/>
    <row r="23113" s="197" customFormat="1" ht="12.75" x14ac:dyDescent="0.2"/>
    <row r="23114" s="197" customFormat="1" ht="12.75" x14ac:dyDescent="0.2"/>
    <row r="23115" s="197" customFormat="1" ht="12.75" x14ac:dyDescent="0.2"/>
    <row r="23116" s="197" customFormat="1" ht="12.75" x14ac:dyDescent="0.2"/>
    <row r="23117" s="197" customFormat="1" ht="12.75" x14ac:dyDescent="0.2"/>
    <row r="23118" s="197" customFormat="1" ht="12.75" x14ac:dyDescent="0.2"/>
    <row r="23119" s="197" customFormat="1" ht="12.75" x14ac:dyDescent="0.2"/>
    <row r="23120" s="197" customFormat="1" ht="12.75" x14ac:dyDescent="0.2"/>
    <row r="23121" s="197" customFormat="1" ht="12.75" x14ac:dyDescent="0.2"/>
    <row r="23122" s="197" customFormat="1" ht="12.75" x14ac:dyDescent="0.2"/>
    <row r="23123" s="197" customFormat="1" ht="12.75" x14ac:dyDescent="0.2"/>
    <row r="23124" s="197" customFormat="1" ht="12.75" x14ac:dyDescent="0.2"/>
    <row r="23125" s="197" customFormat="1" ht="12.75" x14ac:dyDescent="0.2"/>
    <row r="23126" s="197" customFormat="1" ht="12.75" x14ac:dyDescent="0.2"/>
    <row r="23127" s="197" customFormat="1" ht="12.75" x14ac:dyDescent="0.2"/>
    <row r="23128" s="197" customFormat="1" ht="12.75" x14ac:dyDescent="0.2"/>
    <row r="23129" s="197" customFormat="1" ht="12.75" x14ac:dyDescent="0.2"/>
    <row r="23130" s="197" customFormat="1" ht="12.75" x14ac:dyDescent="0.2"/>
    <row r="23131" s="197" customFormat="1" ht="12.75" x14ac:dyDescent="0.2"/>
    <row r="23132" s="197" customFormat="1" ht="12.75" x14ac:dyDescent="0.2"/>
    <row r="23133" s="197" customFormat="1" ht="12.75" x14ac:dyDescent="0.2"/>
    <row r="23134" s="197" customFormat="1" ht="12.75" x14ac:dyDescent="0.2"/>
    <row r="23135" s="197" customFormat="1" ht="12.75" x14ac:dyDescent="0.2"/>
    <row r="23136" s="197" customFormat="1" ht="12.75" x14ac:dyDescent="0.2"/>
    <row r="23137" s="197" customFormat="1" ht="12.75" x14ac:dyDescent="0.2"/>
    <row r="23138" s="197" customFormat="1" ht="12.75" x14ac:dyDescent="0.2"/>
    <row r="23139" s="197" customFormat="1" ht="12.75" x14ac:dyDescent="0.2"/>
    <row r="23140" s="197" customFormat="1" ht="12.75" x14ac:dyDescent="0.2"/>
    <row r="23141" s="197" customFormat="1" ht="12.75" x14ac:dyDescent="0.2"/>
    <row r="23142" s="197" customFormat="1" ht="12.75" x14ac:dyDescent="0.2"/>
    <row r="23143" s="197" customFormat="1" ht="12.75" x14ac:dyDescent="0.2"/>
    <row r="23144" s="197" customFormat="1" ht="12.75" x14ac:dyDescent="0.2"/>
    <row r="23145" s="197" customFormat="1" ht="12.75" x14ac:dyDescent="0.2"/>
    <row r="23146" s="197" customFormat="1" ht="12.75" x14ac:dyDescent="0.2"/>
    <row r="23147" s="197" customFormat="1" ht="12.75" x14ac:dyDescent="0.2"/>
    <row r="23148" s="197" customFormat="1" ht="12.75" x14ac:dyDescent="0.2"/>
    <row r="23149" s="197" customFormat="1" ht="12.75" x14ac:dyDescent="0.2"/>
    <row r="23150" s="197" customFormat="1" ht="12.75" x14ac:dyDescent="0.2"/>
    <row r="23151" s="197" customFormat="1" ht="12.75" x14ac:dyDescent="0.2"/>
    <row r="23152" s="197" customFormat="1" ht="12.75" x14ac:dyDescent="0.2"/>
    <row r="23153" s="197" customFormat="1" ht="12.75" x14ac:dyDescent="0.2"/>
    <row r="23154" s="197" customFormat="1" ht="12.75" x14ac:dyDescent="0.2"/>
    <row r="23155" s="197" customFormat="1" ht="12.75" x14ac:dyDescent="0.2"/>
    <row r="23156" s="197" customFormat="1" ht="12.75" x14ac:dyDescent="0.2"/>
    <row r="23157" s="197" customFormat="1" ht="12.75" x14ac:dyDescent="0.2"/>
    <row r="23158" s="197" customFormat="1" ht="12.75" x14ac:dyDescent="0.2"/>
    <row r="23159" s="197" customFormat="1" ht="12.75" x14ac:dyDescent="0.2"/>
    <row r="23160" s="197" customFormat="1" ht="12.75" x14ac:dyDescent="0.2"/>
    <row r="23161" s="197" customFormat="1" ht="12.75" x14ac:dyDescent="0.2"/>
    <row r="23162" s="197" customFormat="1" ht="12.75" x14ac:dyDescent="0.2"/>
    <row r="23163" s="197" customFormat="1" ht="12.75" x14ac:dyDescent="0.2"/>
    <row r="23164" s="197" customFormat="1" ht="12.75" x14ac:dyDescent="0.2"/>
    <row r="23165" s="197" customFormat="1" ht="12.75" x14ac:dyDescent="0.2"/>
    <row r="23166" s="197" customFormat="1" ht="12.75" x14ac:dyDescent="0.2"/>
    <row r="23167" s="197" customFormat="1" ht="12.75" x14ac:dyDescent="0.2"/>
    <row r="23168" s="197" customFormat="1" ht="12.75" x14ac:dyDescent="0.2"/>
    <row r="23169" s="197" customFormat="1" ht="12.75" x14ac:dyDescent="0.2"/>
    <row r="23170" s="197" customFormat="1" ht="12.75" x14ac:dyDescent="0.2"/>
    <row r="23171" s="197" customFormat="1" ht="12.75" x14ac:dyDescent="0.2"/>
    <row r="23172" s="197" customFormat="1" ht="12.75" x14ac:dyDescent="0.2"/>
    <row r="23173" s="197" customFormat="1" ht="12.75" x14ac:dyDescent="0.2"/>
    <row r="23174" s="197" customFormat="1" ht="12.75" x14ac:dyDescent="0.2"/>
    <row r="23175" s="197" customFormat="1" ht="12.75" x14ac:dyDescent="0.2"/>
    <row r="23176" s="197" customFormat="1" ht="12.75" x14ac:dyDescent="0.2"/>
    <row r="23177" s="197" customFormat="1" ht="12.75" x14ac:dyDescent="0.2"/>
    <row r="23178" s="197" customFormat="1" ht="12.75" x14ac:dyDescent="0.2"/>
    <row r="23179" s="197" customFormat="1" ht="12.75" x14ac:dyDescent="0.2"/>
    <row r="23180" s="197" customFormat="1" ht="12.75" x14ac:dyDescent="0.2"/>
    <row r="23181" s="197" customFormat="1" ht="12.75" x14ac:dyDescent="0.2"/>
    <row r="23182" s="197" customFormat="1" ht="12.75" x14ac:dyDescent="0.2"/>
    <row r="23183" s="197" customFormat="1" ht="12.75" x14ac:dyDescent="0.2"/>
    <row r="23184" s="197" customFormat="1" ht="12.75" x14ac:dyDescent="0.2"/>
    <row r="23185" s="197" customFormat="1" ht="12.75" x14ac:dyDescent="0.2"/>
    <row r="23186" s="197" customFormat="1" ht="12.75" x14ac:dyDescent="0.2"/>
    <row r="23187" s="197" customFormat="1" ht="12.75" x14ac:dyDescent="0.2"/>
    <row r="23188" s="197" customFormat="1" ht="12.75" x14ac:dyDescent="0.2"/>
    <row r="23189" s="197" customFormat="1" ht="12.75" x14ac:dyDescent="0.2"/>
    <row r="23190" s="197" customFormat="1" ht="12.75" x14ac:dyDescent="0.2"/>
    <row r="23191" s="197" customFormat="1" ht="12.75" x14ac:dyDescent="0.2"/>
    <row r="23192" s="197" customFormat="1" ht="12.75" x14ac:dyDescent="0.2"/>
    <row r="23193" s="197" customFormat="1" ht="12.75" x14ac:dyDescent="0.2"/>
    <row r="23194" s="197" customFormat="1" ht="12.75" x14ac:dyDescent="0.2"/>
    <row r="23195" s="197" customFormat="1" ht="12.75" x14ac:dyDescent="0.2"/>
    <row r="23196" s="197" customFormat="1" ht="12.75" x14ac:dyDescent="0.2"/>
    <row r="23197" s="197" customFormat="1" ht="12.75" x14ac:dyDescent="0.2"/>
    <row r="23198" s="197" customFormat="1" ht="12.75" x14ac:dyDescent="0.2"/>
    <row r="23199" s="197" customFormat="1" ht="12.75" x14ac:dyDescent="0.2"/>
    <row r="23200" s="197" customFormat="1" ht="12.75" x14ac:dyDescent="0.2"/>
    <row r="23201" s="197" customFormat="1" ht="12.75" x14ac:dyDescent="0.2"/>
    <row r="23202" s="197" customFormat="1" ht="12.75" x14ac:dyDescent="0.2"/>
    <row r="23203" s="197" customFormat="1" ht="12.75" x14ac:dyDescent="0.2"/>
    <row r="23204" s="197" customFormat="1" ht="12.75" x14ac:dyDescent="0.2"/>
    <row r="23205" s="197" customFormat="1" ht="12.75" x14ac:dyDescent="0.2"/>
    <row r="23206" s="197" customFormat="1" ht="12.75" x14ac:dyDescent="0.2"/>
    <row r="23207" s="197" customFormat="1" ht="12.75" x14ac:dyDescent="0.2"/>
    <row r="23208" s="197" customFormat="1" ht="12.75" x14ac:dyDescent="0.2"/>
    <row r="23209" s="197" customFormat="1" ht="12.75" x14ac:dyDescent="0.2"/>
    <row r="23210" s="197" customFormat="1" ht="12.75" x14ac:dyDescent="0.2"/>
    <row r="23211" s="197" customFormat="1" ht="12.75" x14ac:dyDescent="0.2"/>
    <row r="23212" s="197" customFormat="1" ht="12.75" x14ac:dyDescent="0.2"/>
    <row r="23213" s="197" customFormat="1" ht="12.75" x14ac:dyDescent="0.2"/>
    <row r="23214" s="197" customFormat="1" ht="12.75" x14ac:dyDescent="0.2"/>
    <row r="23215" s="197" customFormat="1" ht="12.75" x14ac:dyDescent="0.2"/>
    <row r="23216" s="197" customFormat="1" ht="12.75" x14ac:dyDescent="0.2"/>
    <row r="23217" s="197" customFormat="1" ht="12.75" x14ac:dyDescent="0.2"/>
    <row r="23218" s="197" customFormat="1" ht="12.75" x14ac:dyDescent="0.2"/>
    <row r="23219" s="197" customFormat="1" ht="12.75" x14ac:dyDescent="0.2"/>
    <row r="23220" s="197" customFormat="1" ht="12.75" x14ac:dyDescent="0.2"/>
    <row r="23221" s="197" customFormat="1" ht="12.75" x14ac:dyDescent="0.2"/>
    <row r="23222" s="197" customFormat="1" ht="12.75" x14ac:dyDescent="0.2"/>
    <row r="23223" s="197" customFormat="1" ht="12.75" x14ac:dyDescent="0.2"/>
    <row r="23224" s="197" customFormat="1" ht="12.75" x14ac:dyDescent="0.2"/>
    <row r="23225" s="197" customFormat="1" ht="12.75" x14ac:dyDescent="0.2"/>
    <row r="23226" s="197" customFormat="1" ht="12.75" x14ac:dyDescent="0.2"/>
    <row r="23227" s="197" customFormat="1" ht="12.75" x14ac:dyDescent="0.2"/>
    <row r="23228" s="197" customFormat="1" ht="12.75" x14ac:dyDescent="0.2"/>
    <row r="23229" s="197" customFormat="1" ht="12.75" x14ac:dyDescent="0.2"/>
    <row r="23230" s="197" customFormat="1" ht="12.75" x14ac:dyDescent="0.2"/>
    <row r="23231" s="197" customFormat="1" ht="12.75" x14ac:dyDescent="0.2"/>
    <row r="23232" s="197" customFormat="1" ht="12.75" x14ac:dyDescent="0.2"/>
    <row r="23233" s="197" customFormat="1" ht="12.75" x14ac:dyDescent="0.2"/>
    <row r="23234" s="197" customFormat="1" ht="12.75" x14ac:dyDescent="0.2"/>
    <row r="23235" s="197" customFormat="1" ht="12.75" x14ac:dyDescent="0.2"/>
    <row r="23236" s="197" customFormat="1" ht="12.75" x14ac:dyDescent="0.2"/>
    <row r="23237" s="197" customFormat="1" ht="12.75" x14ac:dyDescent="0.2"/>
    <row r="23238" s="197" customFormat="1" ht="12.75" x14ac:dyDescent="0.2"/>
    <row r="23239" s="197" customFormat="1" ht="12.75" x14ac:dyDescent="0.2"/>
    <row r="23240" s="197" customFormat="1" ht="12.75" x14ac:dyDescent="0.2"/>
    <row r="23241" s="197" customFormat="1" ht="12.75" x14ac:dyDescent="0.2"/>
    <row r="23242" s="197" customFormat="1" ht="12.75" x14ac:dyDescent="0.2"/>
    <row r="23243" s="197" customFormat="1" ht="12.75" x14ac:dyDescent="0.2"/>
    <row r="23244" s="197" customFormat="1" ht="12.75" x14ac:dyDescent="0.2"/>
    <row r="23245" s="197" customFormat="1" ht="12.75" x14ac:dyDescent="0.2"/>
    <row r="23246" s="197" customFormat="1" ht="12.75" x14ac:dyDescent="0.2"/>
    <row r="23247" s="197" customFormat="1" ht="12.75" x14ac:dyDescent="0.2"/>
    <row r="23248" s="197" customFormat="1" ht="12.75" x14ac:dyDescent="0.2"/>
    <row r="23249" s="197" customFormat="1" ht="12.75" x14ac:dyDescent="0.2"/>
    <row r="23250" s="197" customFormat="1" ht="12.75" x14ac:dyDescent="0.2"/>
    <row r="23251" s="197" customFormat="1" ht="12.75" x14ac:dyDescent="0.2"/>
    <row r="23252" s="197" customFormat="1" ht="12.75" x14ac:dyDescent="0.2"/>
    <row r="23253" s="197" customFormat="1" ht="12.75" x14ac:dyDescent="0.2"/>
    <row r="23254" s="197" customFormat="1" ht="12.75" x14ac:dyDescent="0.2"/>
    <row r="23255" s="197" customFormat="1" ht="12.75" x14ac:dyDescent="0.2"/>
    <row r="23256" s="197" customFormat="1" ht="12.75" x14ac:dyDescent="0.2"/>
    <row r="23257" s="197" customFormat="1" ht="12.75" x14ac:dyDescent="0.2"/>
    <row r="23258" s="197" customFormat="1" ht="12.75" x14ac:dyDescent="0.2"/>
    <row r="23259" s="197" customFormat="1" ht="12.75" x14ac:dyDescent="0.2"/>
    <row r="23260" s="197" customFormat="1" ht="12.75" x14ac:dyDescent="0.2"/>
    <row r="23261" s="197" customFormat="1" ht="12.75" x14ac:dyDescent="0.2"/>
    <row r="23262" s="197" customFormat="1" ht="12.75" x14ac:dyDescent="0.2"/>
    <row r="23263" s="197" customFormat="1" ht="12.75" x14ac:dyDescent="0.2"/>
    <row r="23264" s="197" customFormat="1" ht="12.75" x14ac:dyDescent="0.2"/>
    <row r="23265" s="197" customFormat="1" ht="12.75" x14ac:dyDescent="0.2"/>
    <row r="23266" s="197" customFormat="1" ht="12.75" x14ac:dyDescent="0.2"/>
    <row r="23267" s="197" customFormat="1" ht="12.75" x14ac:dyDescent="0.2"/>
    <row r="23268" s="197" customFormat="1" ht="12.75" x14ac:dyDescent="0.2"/>
    <row r="23269" s="197" customFormat="1" ht="12.75" x14ac:dyDescent="0.2"/>
    <row r="23270" s="197" customFormat="1" ht="12.75" x14ac:dyDescent="0.2"/>
    <row r="23271" s="197" customFormat="1" ht="12.75" x14ac:dyDescent="0.2"/>
    <row r="23272" s="197" customFormat="1" ht="12.75" x14ac:dyDescent="0.2"/>
    <row r="23273" s="197" customFormat="1" ht="12.75" x14ac:dyDescent="0.2"/>
    <row r="23274" s="197" customFormat="1" ht="12.75" x14ac:dyDescent="0.2"/>
    <row r="23275" s="197" customFormat="1" ht="12.75" x14ac:dyDescent="0.2"/>
    <row r="23276" s="197" customFormat="1" ht="12.75" x14ac:dyDescent="0.2"/>
    <row r="23277" s="197" customFormat="1" ht="12.75" x14ac:dyDescent="0.2"/>
    <row r="23278" s="197" customFormat="1" ht="12.75" x14ac:dyDescent="0.2"/>
    <row r="23279" s="197" customFormat="1" ht="12.75" x14ac:dyDescent="0.2"/>
    <row r="23280" s="197" customFormat="1" ht="12.75" x14ac:dyDescent="0.2"/>
    <row r="23281" s="197" customFormat="1" ht="12.75" x14ac:dyDescent="0.2"/>
    <row r="23282" s="197" customFormat="1" ht="12.75" x14ac:dyDescent="0.2"/>
    <row r="23283" s="197" customFormat="1" ht="12.75" x14ac:dyDescent="0.2"/>
    <row r="23284" s="197" customFormat="1" ht="12.75" x14ac:dyDescent="0.2"/>
    <row r="23285" s="197" customFormat="1" ht="12.75" x14ac:dyDescent="0.2"/>
    <row r="23286" s="197" customFormat="1" ht="12.75" x14ac:dyDescent="0.2"/>
    <row r="23287" s="197" customFormat="1" ht="12.75" x14ac:dyDescent="0.2"/>
    <row r="23288" s="197" customFormat="1" ht="12.75" x14ac:dyDescent="0.2"/>
    <row r="23289" s="197" customFormat="1" ht="12.75" x14ac:dyDescent="0.2"/>
    <row r="23290" s="197" customFormat="1" ht="12.75" x14ac:dyDescent="0.2"/>
    <row r="23291" s="197" customFormat="1" ht="12.75" x14ac:dyDescent="0.2"/>
    <row r="23292" s="197" customFormat="1" ht="12.75" x14ac:dyDescent="0.2"/>
    <row r="23293" s="197" customFormat="1" ht="12.75" x14ac:dyDescent="0.2"/>
    <row r="23294" s="197" customFormat="1" ht="12.75" x14ac:dyDescent="0.2"/>
    <row r="23295" s="197" customFormat="1" ht="12.75" x14ac:dyDescent="0.2"/>
    <row r="23296" s="197" customFormat="1" ht="12.75" x14ac:dyDescent="0.2"/>
    <row r="23297" s="197" customFormat="1" ht="12.75" x14ac:dyDescent="0.2"/>
    <row r="23298" s="197" customFormat="1" ht="12.75" x14ac:dyDescent="0.2"/>
    <row r="23299" s="197" customFormat="1" ht="12.75" x14ac:dyDescent="0.2"/>
    <row r="23300" s="197" customFormat="1" ht="12.75" x14ac:dyDescent="0.2"/>
    <row r="23301" s="197" customFormat="1" ht="12.75" x14ac:dyDescent="0.2"/>
    <row r="23302" s="197" customFormat="1" ht="12.75" x14ac:dyDescent="0.2"/>
    <row r="23303" s="197" customFormat="1" ht="12.75" x14ac:dyDescent="0.2"/>
    <row r="23304" s="197" customFormat="1" ht="12.75" x14ac:dyDescent="0.2"/>
    <row r="23305" s="197" customFormat="1" ht="12.75" x14ac:dyDescent="0.2"/>
    <row r="23306" s="197" customFormat="1" ht="12.75" x14ac:dyDescent="0.2"/>
    <row r="23307" s="197" customFormat="1" ht="12.75" x14ac:dyDescent="0.2"/>
    <row r="23308" s="197" customFormat="1" ht="12.75" x14ac:dyDescent="0.2"/>
    <row r="23309" s="197" customFormat="1" ht="12.75" x14ac:dyDescent="0.2"/>
    <row r="23310" s="197" customFormat="1" ht="12.75" x14ac:dyDescent="0.2"/>
    <row r="23311" s="197" customFormat="1" ht="12.75" x14ac:dyDescent="0.2"/>
    <row r="23312" s="197" customFormat="1" ht="12.75" x14ac:dyDescent="0.2"/>
    <row r="23313" s="197" customFormat="1" ht="12.75" x14ac:dyDescent="0.2"/>
    <row r="23314" s="197" customFormat="1" ht="12.75" x14ac:dyDescent="0.2"/>
    <row r="23315" s="197" customFormat="1" ht="12.75" x14ac:dyDescent="0.2"/>
    <row r="23316" s="197" customFormat="1" ht="12.75" x14ac:dyDescent="0.2"/>
    <row r="23317" s="197" customFormat="1" ht="12.75" x14ac:dyDescent="0.2"/>
    <row r="23318" s="197" customFormat="1" ht="12.75" x14ac:dyDescent="0.2"/>
    <row r="23319" s="197" customFormat="1" ht="12.75" x14ac:dyDescent="0.2"/>
    <row r="23320" s="197" customFormat="1" ht="12.75" x14ac:dyDescent="0.2"/>
    <row r="23321" s="197" customFormat="1" ht="12.75" x14ac:dyDescent="0.2"/>
    <row r="23322" s="197" customFormat="1" ht="12.75" x14ac:dyDescent="0.2"/>
    <row r="23323" s="197" customFormat="1" ht="12.75" x14ac:dyDescent="0.2"/>
    <row r="23324" s="197" customFormat="1" ht="12.75" x14ac:dyDescent="0.2"/>
    <row r="23325" s="197" customFormat="1" ht="12.75" x14ac:dyDescent="0.2"/>
    <row r="23326" s="197" customFormat="1" ht="12.75" x14ac:dyDescent="0.2"/>
    <row r="23327" s="197" customFormat="1" ht="12.75" x14ac:dyDescent="0.2"/>
    <row r="23328" s="197" customFormat="1" ht="12.75" x14ac:dyDescent="0.2"/>
    <row r="23329" s="197" customFormat="1" ht="12.75" x14ac:dyDescent="0.2"/>
    <row r="23330" s="197" customFormat="1" ht="12.75" x14ac:dyDescent="0.2"/>
    <row r="23331" s="197" customFormat="1" ht="12.75" x14ac:dyDescent="0.2"/>
    <row r="23332" s="197" customFormat="1" ht="12.75" x14ac:dyDescent="0.2"/>
    <row r="23333" s="197" customFormat="1" ht="12.75" x14ac:dyDescent="0.2"/>
    <row r="23334" s="197" customFormat="1" ht="12.75" x14ac:dyDescent="0.2"/>
    <row r="23335" s="197" customFormat="1" ht="12.75" x14ac:dyDescent="0.2"/>
    <row r="23336" s="197" customFormat="1" ht="12.75" x14ac:dyDescent="0.2"/>
    <row r="23337" s="197" customFormat="1" ht="12.75" x14ac:dyDescent="0.2"/>
    <row r="23338" s="197" customFormat="1" ht="12.75" x14ac:dyDescent="0.2"/>
    <row r="23339" s="197" customFormat="1" ht="12.75" x14ac:dyDescent="0.2"/>
    <row r="23340" s="197" customFormat="1" ht="12.75" x14ac:dyDescent="0.2"/>
    <row r="23341" s="197" customFormat="1" ht="12.75" x14ac:dyDescent="0.2"/>
    <row r="23342" s="197" customFormat="1" ht="12.75" x14ac:dyDescent="0.2"/>
    <row r="23343" s="197" customFormat="1" ht="12.75" x14ac:dyDescent="0.2"/>
    <row r="23344" s="197" customFormat="1" ht="12.75" x14ac:dyDescent="0.2"/>
    <row r="23345" s="197" customFormat="1" ht="12.75" x14ac:dyDescent="0.2"/>
    <row r="23346" s="197" customFormat="1" ht="12.75" x14ac:dyDescent="0.2"/>
    <row r="23347" s="197" customFormat="1" ht="12.75" x14ac:dyDescent="0.2"/>
    <row r="23348" s="197" customFormat="1" ht="12.75" x14ac:dyDescent="0.2"/>
    <row r="23349" s="197" customFormat="1" ht="12.75" x14ac:dyDescent="0.2"/>
    <row r="23350" s="197" customFormat="1" ht="12.75" x14ac:dyDescent="0.2"/>
    <row r="23351" s="197" customFormat="1" ht="12.75" x14ac:dyDescent="0.2"/>
    <row r="23352" s="197" customFormat="1" ht="12.75" x14ac:dyDescent="0.2"/>
    <row r="23353" s="197" customFormat="1" ht="12.75" x14ac:dyDescent="0.2"/>
    <row r="23354" s="197" customFormat="1" ht="12.75" x14ac:dyDescent="0.2"/>
    <row r="23355" s="197" customFormat="1" ht="12.75" x14ac:dyDescent="0.2"/>
    <row r="23356" s="197" customFormat="1" ht="12.75" x14ac:dyDescent="0.2"/>
    <row r="23357" s="197" customFormat="1" ht="12.75" x14ac:dyDescent="0.2"/>
    <row r="23358" s="197" customFormat="1" ht="12.75" x14ac:dyDescent="0.2"/>
    <row r="23359" s="197" customFormat="1" ht="12.75" x14ac:dyDescent="0.2"/>
    <row r="23360" s="197" customFormat="1" ht="12.75" x14ac:dyDescent="0.2"/>
    <row r="23361" s="197" customFormat="1" ht="12.75" x14ac:dyDescent="0.2"/>
    <row r="23362" s="197" customFormat="1" ht="12.75" x14ac:dyDescent="0.2"/>
    <row r="23363" s="197" customFormat="1" ht="12.75" x14ac:dyDescent="0.2"/>
    <row r="23364" s="197" customFormat="1" ht="12.75" x14ac:dyDescent="0.2"/>
    <row r="23365" s="197" customFormat="1" ht="12.75" x14ac:dyDescent="0.2"/>
    <row r="23366" s="197" customFormat="1" ht="12.75" x14ac:dyDescent="0.2"/>
    <row r="23367" s="197" customFormat="1" ht="12.75" x14ac:dyDescent="0.2"/>
    <row r="23368" s="197" customFormat="1" ht="12.75" x14ac:dyDescent="0.2"/>
    <row r="23369" s="197" customFormat="1" ht="12.75" x14ac:dyDescent="0.2"/>
    <row r="23370" s="197" customFormat="1" ht="12.75" x14ac:dyDescent="0.2"/>
    <row r="23371" s="197" customFormat="1" ht="12.75" x14ac:dyDescent="0.2"/>
    <row r="23372" s="197" customFormat="1" ht="12.75" x14ac:dyDescent="0.2"/>
    <row r="23373" s="197" customFormat="1" ht="12.75" x14ac:dyDescent="0.2"/>
    <row r="23374" s="197" customFormat="1" ht="12.75" x14ac:dyDescent="0.2"/>
    <row r="23375" s="197" customFormat="1" ht="12.75" x14ac:dyDescent="0.2"/>
    <row r="23376" s="197" customFormat="1" ht="12.75" x14ac:dyDescent="0.2"/>
    <row r="23377" s="197" customFormat="1" ht="12.75" x14ac:dyDescent="0.2"/>
    <row r="23378" s="197" customFormat="1" ht="12.75" x14ac:dyDescent="0.2"/>
    <row r="23379" s="197" customFormat="1" ht="12.75" x14ac:dyDescent="0.2"/>
    <row r="23380" s="197" customFormat="1" ht="12.75" x14ac:dyDescent="0.2"/>
    <row r="23381" s="197" customFormat="1" ht="12.75" x14ac:dyDescent="0.2"/>
    <row r="23382" s="197" customFormat="1" ht="12.75" x14ac:dyDescent="0.2"/>
    <row r="23383" s="197" customFormat="1" ht="12.75" x14ac:dyDescent="0.2"/>
    <row r="23384" s="197" customFormat="1" ht="12.75" x14ac:dyDescent="0.2"/>
    <row r="23385" s="197" customFormat="1" ht="12.75" x14ac:dyDescent="0.2"/>
    <row r="23386" s="197" customFormat="1" ht="12.75" x14ac:dyDescent="0.2"/>
    <row r="23387" s="197" customFormat="1" ht="12.75" x14ac:dyDescent="0.2"/>
    <row r="23388" s="197" customFormat="1" ht="12.75" x14ac:dyDescent="0.2"/>
    <row r="23389" s="197" customFormat="1" ht="12.75" x14ac:dyDescent="0.2"/>
    <row r="23390" s="197" customFormat="1" ht="12.75" x14ac:dyDescent="0.2"/>
    <row r="23391" s="197" customFormat="1" ht="12.75" x14ac:dyDescent="0.2"/>
    <row r="23392" s="197" customFormat="1" ht="12.75" x14ac:dyDescent="0.2"/>
    <row r="23393" s="197" customFormat="1" ht="12.75" x14ac:dyDescent="0.2"/>
    <row r="23394" s="197" customFormat="1" ht="12.75" x14ac:dyDescent="0.2"/>
    <row r="23395" s="197" customFormat="1" ht="12.75" x14ac:dyDescent="0.2"/>
    <row r="23396" s="197" customFormat="1" ht="12.75" x14ac:dyDescent="0.2"/>
    <row r="23397" s="197" customFormat="1" ht="12.75" x14ac:dyDescent="0.2"/>
    <row r="23398" s="197" customFormat="1" ht="12.75" x14ac:dyDescent="0.2"/>
    <row r="23399" s="197" customFormat="1" ht="12.75" x14ac:dyDescent="0.2"/>
    <row r="23400" s="197" customFormat="1" ht="12.75" x14ac:dyDescent="0.2"/>
    <row r="23401" s="197" customFormat="1" ht="12.75" x14ac:dyDescent="0.2"/>
    <row r="23402" s="197" customFormat="1" ht="12.75" x14ac:dyDescent="0.2"/>
    <row r="23403" s="197" customFormat="1" ht="12.75" x14ac:dyDescent="0.2"/>
    <row r="23404" s="197" customFormat="1" ht="12.75" x14ac:dyDescent="0.2"/>
    <row r="23405" s="197" customFormat="1" ht="12.75" x14ac:dyDescent="0.2"/>
    <row r="23406" s="197" customFormat="1" ht="12.75" x14ac:dyDescent="0.2"/>
    <row r="23407" s="197" customFormat="1" ht="12.75" x14ac:dyDescent="0.2"/>
    <row r="23408" s="197" customFormat="1" ht="12.75" x14ac:dyDescent="0.2"/>
    <row r="23409" s="197" customFormat="1" ht="12.75" x14ac:dyDescent="0.2"/>
    <row r="23410" s="197" customFormat="1" ht="12.75" x14ac:dyDescent="0.2"/>
    <row r="23411" s="197" customFormat="1" ht="12.75" x14ac:dyDescent="0.2"/>
    <row r="23412" s="197" customFormat="1" ht="12.75" x14ac:dyDescent="0.2"/>
    <row r="23413" s="197" customFormat="1" ht="12.75" x14ac:dyDescent="0.2"/>
    <row r="23414" s="197" customFormat="1" ht="12.75" x14ac:dyDescent="0.2"/>
    <row r="23415" s="197" customFormat="1" ht="12.75" x14ac:dyDescent="0.2"/>
    <row r="23416" s="197" customFormat="1" ht="12.75" x14ac:dyDescent="0.2"/>
    <row r="23417" s="197" customFormat="1" ht="12.75" x14ac:dyDescent="0.2"/>
    <row r="23418" s="197" customFormat="1" ht="12.75" x14ac:dyDescent="0.2"/>
    <row r="23419" s="197" customFormat="1" ht="12.75" x14ac:dyDescent="0.2"/>
    <row r="23420" s="197" customFormat="1" ht="12.75" x14ac:dyDescent="0.2"/>
    <row r="23421" s="197" customFormat="1" ht="12.75" x14ac:dyDescent="0.2"/>
    <row r="23422" s="197" customFormat="1" ht="12.75" x14ac:dyDescent="0.2"/>
    <row r="23423" s="197" customFormat="1" ht="12.75" x14ac:dyDescent="0.2"/>
    <row r="23424" s="197" customFormat="1" ht="12.75" x14ac:dyDescent="0.2"/>
    <row r="23425" s="197" customFormat="1" ht="12.75" x14ac:dyDescent="0.2"/>
    <row r="23426" s="197" customFormat="1" ht="12.75" x14ac:dyDescent="0.2"/>
    <row r="23427" s="197" customFormat="1" ht="12.75" x14ac:dyDescent="0.2"/>
    <row r="23428" s="197" customFormat="1" ht="12.75" x14ac:dyDescent="0.2"/>
    <row r="23429" s="197" customFormat="1" ht="12.75" x14ac:dyDescent="0.2"/>
    <row r="23430" s="197" customFormat="1" ht="12.75" x14ac:dyDescent="0.2"/>
    <row r="23431" s="197" customFormat="1" ht="12.75" x14ac:dyDescent="0.2"/>
    <row r="23432" s="197" customFormat="1" ht="12.75" x14ac:dyDescent="0.2"/>
    <row r="23433" s="197" customFormat="1" ht="12.75" x14ac:dyDescent="0.2"/>
    <row r="23434" s="197" customFormat="1" ht="12.75" x14ac:dyDescent="0.2"/>
    <row r="23435" s="197" customFormat="1" ht="12.75" x14ac:dyDescent="0.2"/>
    <row r="23436" s="197" customFormat="1" ht="12.75" x14ac:dyDescent="0.2"/>
    <row r="23437" s="197" customFormat="1" ht="12.75" x14ac:dyDescent="0.2"/>
    <row r="23438" s="197" customFormat="1" ht="12.75" x14ac:dyDescent="0.2"/>
    <row r="23439" s="197" customFormat="1" ht="12.75" x14ac:dyDescent="0.2"/>
    <row r="23440" s="197" customFormat="1" ht="12.75" x14ac:dyDescent="0.2"/>
    <row r="23441" s="197" customFormat="1" ht="12.75" x14ac:dyDescent="0.2"/>
    <row r="23442" s="197" customFormat="1" ht="12.75" x14ac:dyDescent="0.2"/>
    <row r="23443" s="197" customFormat="1" ht="12.75" x14ac:dyDescent="0.2"/>
    <row r="23444" s="197" customFormat="1" ht="12.75" x14ac:dyDescent="0.2"/>
    <row r="23445" s="197" customFormat="1" ht="12.75" x14ac:dyDescent="0.2"/>
    <row r="23446" s="197" customFormat="1" ht="12.75" x14ac:dyDescent="0.2"/>
    <row r="23447" s="197" customFormat="1" ht="12.75" x14ac:dyDescent="0.2"/>
    <row r="23448" s="197" customFormat="1" ht="12.75" x14ac:dyDescent="0.2"/>
    <row r="23449" s="197" customFormat="1" ht="12.75" x14ac:dyDescent="0.2"/>
    <row r="23450" s="197" customFormat="1" ht="12.75" x14ac:dyDescent="0.2"/>
    <row r="23451" s="197" customFormat="1" ht="12.75" x14ac:dyDescent="0.2"/>
    <row r="23452" s="197" customFormat="1" ht="12.75" x14ac:dyDescent="0.2"/>
    <row r="23453" s="197" customFormat="1" ht="12.75" x14ac:dyDescent="0.2"/>
    <row r="23454" s="197" customFormat="1" ht="12.75" x14ac:dyDescent="0.2"/>
    <row r="23455" s="197" customFormat="1" ht="12.75" x14ac:dyDescent="0.2"/>
    <row r="23456" s="197" customFormat="1" ht="12.75" x14ac:dyDescent="0.2"/>
    <row r="23457" s="197" customFormat="1" ht="12.75" x14ac:dyDescent="0.2"/>
    <row r="23458" s="197" customFormat="1" ht="12.75" x14ac:dyDescent="0.2"/>
    <row r="23459" s="197" customFormat="1" ht="12.75" x14ac:dyDescent="0.2"/>
    <row r="23460" s="197" customFormat="1" ht="12.75" x14ac:dyDescent="0.2"/>
    <row r="23461" s="197" customFormat="1" ht="12.75" x14ac:dyDescent="0.2"/>
    <row r="23462" s="197" customFormat="1" ht="12.75" x14ac:dyDescent="0.2"/>
    <row r="23463" s="197" customFormat="1" ht="12.75" x14ac:dyDescent="0.2"/>
    <row r="23464" s="197" customFormat="1" ht="12.75" x14ac:dyDescent="0.2"/>
    <row r="23465" s="197" customFormat="1" ht="12.75" x14ac:dyDescent="0.2"/>
    <row r="23466" s="197" customFormat="1" ht="12.75" x14ac:dyDescent="0.2"/>
    <row r="23467" s="197" customFormat="1" ht="12.75" x14ac:dyDescent="0.2"/>
    <row r="23468" s="197" customFormat="1" ht="12.75" x14ac:dyDescent="0.2"/>
    <row r="23469" s="197" customFormat="1" ht="12.75" x14ac:dyDescent="0.2"/>
    <row r="23470" s="197" customFormat="1" ht="12.75" x14ac:dyDescent="0.2"/>
    <row r="23471" s="197" customFormat="1" ht="12.75" x14ac:dyDescent="0.2"/>
    <row r="23472" s="197" customFormat="1" ht="12.75" x14ac:dyDescent="0.2"/>
    <row r="23473" s="197" customFormat="1" ht="12.75" x14ac:dyDescent="0.2"/>
    <row r="23474" s="197" customFormat="1" ht="12.75" x14ac:dyDescent="0.2"/>
    <row r="23475" s="197" customFormat="1" ht="12.75" x14ac:dyDescent="0.2"/>
    <row r="23476" s="197" customFormat="1" ht="12.75" x14ac:dyDescent="0.2"/>
    <row r="23477" s="197" customFormat="1" ht="12.75" x14ac:dyDescent="0.2"/>
    <row r="23478" s="197" customFormat="1" ht="12.75" x14ac:dyDescent="0.2"/>
    <row r="23479" s="197" customFormat="1" ht="12.75" x14ac:dyDescent="0.2"/>
    <row r="23480" s="197" customFormat="1" ht="12.75" x14ac:dyDescent="0.2"/>
    <row r="23481" s="197" customFormat="1" ht="12.75" x14ac:dyDescent="0.2"/>
    <row r="23482" s="197" customFormat="1" ht="12.75" x14ac:dyDescent="0.2"/>
    <row r="23483" s="197" customFormat="1" ht="12.75" x14ac:dyDescent="0.2"/>
    <row r="23484" s="197" customFormat="1" ht="12.75" x14ac:dyDescent="0.2"/>
    <row r="23485" s="197" customFormat="1" ht="12.75" x14ac:dyDescent="0.2"/>
    <row r="23486" s="197" customFormat="1" ht="12.75" x14ac:dyDescent="0.2"/>
    <row r="23487" s="197" customFormat="1" ht="12.75" x14ac:dyDescent="0.2"/>
    <row r="23488" s="197" customFormat="1" ht="12.75" x14ac:dyDescent="0.2"/>
    <row r="23489" s="197" customFormat="1" ht="12.75" x14ac:dyDescent="0.2"/>
    <row r="23490" s="197" customFormat="1" ht="12.75" x14ac:dyDescent="0.2"/>
    <row r="23491" s="197" customFormat="1" ht="12.75" x14ac:dyDescent="0.2"/>
    <row r="23492" s="197" customFormat="1" ht="12.75" x14ac:dyDescent="0.2"/>
    <row r="23493" s="197" customFormat="1" ht="12.75" x14ac:dyDescent="0.2"/>
    <row r="23494" s="197" customFormat="1" ht="12.75" x14ac:dyDescent="0.2"/>
    <row r="23495" s="197" customFormat="1" ht="12.75" x14ac:dyDescent="0.2"/>
    <row r="23496" s="197" customFormat="1" ht="12.75" x14ac:dyDescent="0.2"/>
    <row r="23497" s="197" customFormat="1" ht="12.75" x14ac:dyDescent="0.2"/>
    <row r="23498" s="197" customFormat="1" ht="12.75" x14ac:dyDescent="0.2"/>
    <row r="23499" s="197" customFormat="1" ht="12.75" x14ac:dyDescent="0.2"/>
    <row r="23500" s="197" customFormat="1" ht="12.75" x14ac:dyDescent="0.2"/>
    <row r="23501" s="197" customFormat="1" ht="12.75" x14ac:dyDescent="0.2"/>
    <row r="23502" s="197" customFormat="1" ht="12.75" x14ac:dyDescent="0.2"/>
    <row r="23503" s="197" customFormat="1" ht="12.75" x14ac:dyDescent="0.2"/>
    <row r="23504" s="197" customFormat="1" ht="12.75" x14ac:dyDescent="0.2"/>
    <row r="23505" s="197" customFormat="1" ht="12.75" x14ac:dyDescent="0.2"/>
    <row r="23506" s="197" customFormat="1" ht="12.75" x14ac:dyDescent="0.2"/>
    <row r="23507" s="197" customFormat="1" ht="12.75" x14ac:dyDescent="0.2"/>
    <row r="23508" s="197" customFormat="1" ht="12.75" x14ac:dyDescent="0.2"/>
    <row r="23509" s="197" customFormat="1" ht="12.75" x14ac:dyDescent="0.2"/>
    <row r="23510" s="197" customFormat="1" ht="12.75" x14ac:dyDescent="0.2"/>
    <row r="23511" s="197" customFormat="1" ht="12.75" x14ac:dyDescent="0.2"/>
    <row r="23512" s="197" customFormat="1" ht="12.75" x14ac:dyDescent="0.2"/>
    <row r="23513" s="197" customFormat="1" ht="12.75" x14ac:dyDescent="0.2"/>
    <row r="23514" s="197" customFormat="1" ht="12.75" x14ac:dyDescent="0.2"/>
    <row r="23515" s="197" customFormat="1" ht="12.75" x14ac:dyDescent="0.2"/>
    <row r="23516" s="197" customFormat="1" ht="12.75" x14ac:dyDescent="0.2"/>
    <row r="23517" s="197" customFormat="1" ht="12.75" x14ac:dyDescent="0.2"/>
    <row r="23518" s="197" customFormat="1" ht="12.75" x14ac:dyDescent="0.2"/>
    <row r="23519" s="197" customFormat="1" ht="12.75" x14ac:dyDescent="0.2"/>
    <row r="23520" s="197" customFormat="1" ht="12.75" x14ac:dyDescent="0.2"/>
    <row r="23521" s="197" customFormat="1" ht="12.75" x14ac:dyDescent="0.2"/>
    <row r="23522" s="197" customFormat="1" ht="12.75" x14ac:dyDescent="0.2"/>
    <row r="23523" s="197" customFormat="1" ht="12.75" x14ac:dyDescent="0.2"/>
    <row r="23524" s="197" customFormat="1" ht="12.75" x14ac:dyDescent="0.2"/>
    <row r="23525" s="197" customFormat="1" ht="12.75" x14ac:dyDescent="0.2"/>
    <row r="23526" s="197" customFormat="1" ht="12.75" x14ac:dyDescent="0.2"/>
    <row r="23527" s="197" customFormat="1" ht="12.75" x14ac:dyDescent="0.2"/>
    <row r="23528" s="197" customFormat="1" ht="12.75" x14ac:dyDescent="0.2"/>
    <row r="23529" s="197" customFormat="1" ht="12.75" x14ac:dyDescent="0.2"/>
    <row r="23530" s="197" customFormat="1" ht="12.75" x14ac:dyDescent="0.2"/>
    <row r="23531" s="197" customFormat="1" ht="12.75" x14ac:dyDescent="0.2"/>
    <row r="23532" s="197" customFormat="1" ht="12.75" x14ac:dyDescent="0.2"/>
    <row r="23533" s="197" customFormat="1" ht="12.75" x14ac:dyDescent="0.2"/>
    <row r="23534" s="197" customFormat="1" ht="12.75" x14ac:dyDescent="0.2"/>
    <row r="23535" s="197" customFormat="1" ht="12.75" x14ac:dyDescent="0.2"/>
    <row r="23536" s="197" customFormat="1" ht="12.75" x14ac:dyDescent="0.2"/>
    <row r="23537" s="197" customFormat="1" ht="12.75" x14ac:dyDescent="0.2"/>
    <row r="23538" s="197" customFormat="1" ht="12.75" x14ac:dyDescent="0.2"/>
    <row r="23539" s="197" customFormat="1" ht="12.75" x14ac:dyDescent="0.2"/>
    <row r="23540" s="197" customFormat="1" ht="12.75" x14ac:dyDescent="0.2"/>
    <row r="23541" s="197" customFormat="1" ht="12.75" x14ac:dyDescent="0.2"/>
    <row r="23542" s="197" customFormat="1" ht="12.75" x14ac:dyDescent="0.2"/>
    <row r="23543" s="197" customFormat="1" ht="12.75" x14ac:dyDescent="0.2"/>
    <row r="23544" s="197" customFormat="1" ht="12.75" x14ac:dyDescent="0.2"/>
    <row r="23545" s="197" customFormat="1" ht="12.75" x14ac:dyDescent="0.2"/>
    <row r="23546" s="197" customFormat="1" ht="12.75" x14ac:dyDescent="0.2"/>
    <row r="23547" s="197" customFormat="1" ht="12.75" x14ac:dyDescent="0.2"/>
    <row r="23548" s="197" customFormat="1" ht="12.75" x14ac:dyDescent="0.2"/>
    <row r="23549" s="197" customFormat="1" ht="12.75" x14ac:dyDescent="0.2"/>
    <row r="23550" s="197" customFormat="1" ht="12.75" x14ac:dyDescent="0.2"/>
    <row r="23551" s="197" customFormat="1" ht="12.75" x14ac:dyDescent="0.2"/>
    <row r="23552" s="197" customFormat="1" ht="12.75" x14ac:dyDescent="0.2"/>
    <row r="23553" s="197" customFormat="1" ht="12.75" x14ac:dyDescent="0.2"/>
    <row r="23554" s="197" customFormat="1" ht="12.75" x14ac:dyDescent="0.2"/>
    <row r="23555" s="197" customFormat="1" ht="12.75" x14ac:dyDescent="0.2"/>
    <row r="23556" s="197" customFormat="1" ht="12.75" x14ac:dyDescent="0.2"/>
    <row r="23557" s="197" customFormat="1" ht="12.75" x14ac:dyDescent="0.2"/>
    <row r="23558" s="197" customFormat="1" ht="12.75" x14ac:dyDescent="0.2"/>
    <row r="23559" s="197" customFormat="1" ht="12.75" x14ac:dyDescent="0.2"/>
    <row r="23560" s="197" customFormat="1" ht="12.75" x14ac:dyDescent="0.2"/>
    <row r="23561" s="197" customFormat="1" ht="12.75" x14ac:dyDescent="0.2"/>
    <row r="23562" s="197" customFormat="1" ht="12.75" x14ac:dyDescent="0.2"/>
    <row r="23563" s="197" customFormat="1" ht="12.75" x14ac:dyDescent="0.2"/>
    <row r="23564" s="197" customFormat="1" ht="12.75" x14ac:dyDescent="0.2"/>
    <row r="23565" s="197" customFormat="1" ht="12.75" x14ac:dyDescent="0.2"/>
    <row r="23566" s="197" customFormat="1" ht="12.75" x14ac:dyDescent="0.2"/>
    <row r="23567" s="197" customFormat="1" ht="12.75" x14ac:dyDescent="0.2"/>
    <row r="23568" s="197" customFormat="1" ht="12.75" x14ac:dyDescent="0.2"/>
    <row r="23569" s="197" customFormat="1" ht="12.75" x14ac:dyDescent="0.2"/>
    <row r="23570" s="197" customFormat="1" ht="12.75" x14ac:dyDescent="0.2"/>
    <row r="23571" s="197" customFormat="1" ht="12.75" x14ac:dyDescent="0.2"/>
    <row r="23572" s="197" customFormat="1" ht="12.75" x14ac:dyDescent="0.2"/>
    <row r="23573" s="197" customFormat="1" ht="12.75" x14ac:dyDescent="0.2"/>
    <row r="23574" s="197" customFormat="1" ht="12.75" x14ac:dyDescent="0.2"/>
    <row r="23575" s="197" customFormat="1" ht="12.75" x14ac:dyDescent="0.2"/>
    <row r="23576" s="197" customFormat="1" ht="12.75" x14ac:dyDescent="0.2"/>
    <row r="23577" s="197" customFormat="1" ht="12.75" x14ac:dyDescent="0.2"/>
    <row r="23578" s="197" customFormat="1" ht="12.75" x14ac:dyDescent="0.2"/>
    <row r="23579" s="197" customFormat="1" ht="12.75" x14ac:dyDescent="0.2"/>
    <row r="23580" s="197" customFormat="1" ht="12.75" x14ac:dyDescent="0.2"/>
    <row r="23581" s="197" customFormat="1" ht="12.75" x14ac:dyDescent="0.2"/>
    <row r="23582" s="197" customFormat="1" ht="12.75" x14ac:dyDescent="0.2"/>
    <row r="23583" s="197" customFormat="1" ht="12.75" x14ac:dyDescent="0.2"/>
    <row r="23584" s="197" customFormat="1" ht="12.75" x14ac:dyDescent="0.2"/>
    <row r="23585" s="197" customFormat="1" ht="12.75" x14ac:dyDescent="0.2"/>
    <row r="23586" s="197" customFormat="1" ht="12.75" x14ac:dyDescent="0.2"/>
    <row r="23587" s="197" customFormat="1" ht="12.75" x14ac:dyDescent="0.2"/>
    <row r="23588" s="197" customFormat="1" ht="12.75" x14ac:dyDescent="0.2"/>
    <row r="23589" s="197" customFormat="1" ht="12.75" x14ac:dyDescent="0.2"/>
    <row r="23590" s="197" customFormat="1" ht="12.75" x14ac:dyDescent="0.2"/>
    <row r="23591" s="197" customFormat="1" ht="12.75" x14ac:dyDescent="0.2"/>
    <row r="23592" s="197" customFormat="1" ht="12.75" x14ac:dyDescent="0.2"/>
    <row r="23593" s="197" customFormat="1" ht="12.75" x14ac:dyDescent="0.2"/>
    <row r="23594" s="197" customFormat="1" ht="12.75" x14ac:dyDescent="0.2"/>
    <row r="23595" s="197" customFormat="1" ht="12.75" x14ac:dyDescent="0.2"/>
    <row r="23596" s="197" customFormat="1" ht="12.75" x14ac:dyDescent="0.2"/>
    <row r="23597" s="197" customFormat="1" ht="12.75" x14ac:dyDescent="0.2"/>
    <row r="23598" s="197" customFormat="1" ht="12.75" x14ac:dyDescent="0.2"/>
    <row r="23599" s="197" customFormat="1" ht="12.75" x14ac:dyDescent="0.2"/>
    <row r="23600" s="197" customFormat="1" ht="12.75" x14ac:dyDescent="0.2"/>
    <row r="23601" s="197" customFormat="1" ht="12.75" x14ac:dyDescent="0.2"/>
    <row r="23602" s="197" customFormat="1" ht="12.75" x14ac:dyDescent="0.2"/>
    <row r="23603" s="197" customFormat="1" ht="12.75" x14ac:dyDescent="0.2"/>
    <row r="23604" s="197" customFormat="1" ht="12.75" x14ac:dyDescent="0.2"/>
    <row r="23605" s="197" customFormat="1" ht="12.75" x14ac:dyDescent="0.2"/>
    <row r="23606" s="197" customFormat="1" ht="12.75" x14ac:dyDescent="0.2"/>
    <row r="23607" s="197" customFormat="1" ht="12.75" x14ac:dyDescent="0.2"/>
    <row r="23608" s="197" customFormat="1" ht="12.75" x14ac:dyDescent="0.2"/>
    <row r="23609" s="197" customFormat="1" ht="12.75" x14ac:dyDescent="0.2"/>
    <row r="23610" s="197" customFormat="1" ht="12.75" x14ac:dyDescent="0.2"/>
    <row r="23611" s="197" customFormat="1" ht="12.75" x14ac:dyDescent="0.2"/>
    <row r="23612" s="197" customFormat="1" ht="12.75" x14ac:dyDescent="0.2"/>
    <row r="23613" s="197" customFormat="1" ht="12.75" x14ac:dyDescent="0.2"/>
    <row r="23614" s="197" customFormat="1" ht="12.75" x14ac:dyDescent="0.2"/>
    <row r="23615" s="197" customFormat="1" ht="12.75" x14ac:dyDescent="0.2"/>
    <row r="23616" s="197" customFormat="1" ht="12.75" x14ac:dyDescent="0.2"/>
    <row r="23617" s="197" customFormat="1" ht="12.75" x14ac:dyDescent="0.2"/>
    <row r="23618" s="197" customFormat="1" ht="12.75" x14ac:dyDescent="0.2"/>
    <row r="23619" s="197" customFormat="1" ht="12.75" x14ac:dyDescent="0.2"/>
    <row r="23620" s="197" customFormat="1" ht="12.75" x14ac:dyDescent="0.2"/>
    <row r="23621" s="197" customFormat="1" ht="12.75" x14ac:dyDescent="0.2"/>
    <row r="23622" s="197" customFormat="1" ht="12.75" x14ac:dyDescent="0.2"/>
    <row r="23623" s="197" customFormat="1" ht="12.75" x14ac:dyDescent="0.2"/>
    <row r="23624" s="197" customFormat="1" ht="12.75" x14ac:dyDescent="0.2"/>
    <row r="23625" s="197" customFormat="1" ht="12.75" x14ac:dyDescent="0.2"/>
    <row r="23626" s="197" customFormat="1" ht="12.75" x14ac:dyDescent="0.2"/>
    <row r="23627" s="197" customFormat="1" ht="12.75" x14ac:dyDescent="0.2"/>
    <row r="23628" s="197" customFormat="1" ht="12.75" x14ac:dyDescent="0.2"/>
    <row r="23629" s="197" customFormat="1" ht="12.75" x14ac:dyDescent="0.2"/>
    <row r="23630" s="197" customFormat="1" ht="12.75" x14ac:dyDescent="0.2"/>
    <row r="23631" s="197" customFormat="1" ht="12.75" x14ac:dyDescent="0.2"/>
    <row r="23632" s="197" customFormat="1" ht="12.75" x14ac:dyDescent="0.2"/>
    <row r="23633" s="197" customFormat="1" ht="12.75" x14ac:dyDescent="0.2"/>
    <row r="23634" s="197" customFormat="1" ht="12.75" x14ac:dyDescent="0.2"/>
    <row r="23635" s="197" customFormat="1" ht="12.75" x14ac:dyDescent="0.2"/>
    <row r="23636" s="197" customFormat="1" ht="12.75" x14ac:dyDescent="0.2"/>
    <row r="23637" s="197" customFormat="1" ht="12.75" x14ac:dyDescent="0.2"/>
    <row r="23638" s="197" customFormat="1" ht="12.75" x14ac:dyDescent="0.2"/>
    <row r="23639" s="197" customFormat="1" ht="12.75" x14ac:dyDescent="0.2"/>
    <row r="23640" s="197" customFormat="1" ht="12.75" x14ac:dyDescent="0.2"/>
    <row r="23641" s="197" customFormat="1" ht="12.75" x14ac:dyDescent="0.2"/>
    <row r="23642" s="197" customFormat="1" ht="12.75" x14ac:dyDescent="0.2"/>
    <row r="23643" s="197" customFormat="1" ht="12.75" x14ac:dyDescent="0.2"/>
    <row r="23644" s="197" customFormat="1" ht="12.75" x14ac:dyDescent="0.2"/>
    <row r="23645" s="197" customFormat="1" ht="12.75" x14ac:dyDescent="0.2"/>
    <row r="23646" s="197" customFormat="1" ht="12.75" x14ac:dyDescent="0.2"/>
    <row r="23647" s="197" customFormat="1" ht="12.75" x14ac:dyDescent="0.2"/>
    <row r="23648" s="197" customFormat="1" ht="12.75" x14ac:dyDescent="0.2"/>
    <row r="23649" s="197" customFormat="1" ht="12.75" x14ac:dyDescent="0.2"/>
    <row r="23650" s="197" customFormat="1" ht="12.75" x14ac:dyDescent="0.2"/>
    <row r="23651" s="197" customFormat="1" ht="12.75" x14ac:dyDescent="0.2"/>
    <row r="23652" s="197" customFormat="1" ht="12.75" x14ac:dyDescent="0.2"/>
    <row r="23653" s="197" customFormat="1" ht="12.75" x14ac:dyDescent="0.2"/>
    <row r="23654" s="197" customFormat="1" ht="12.75" x14ac:dyDescent="0.2"/>
    <row r="23655" s="197" customFormat="1" ht="12.75" x14ac:dyDescent="0.2"/>
    <row r="23656" s="197" customFormat="1" ht="12.75" x14ac:dyDescent="0.2"/>
    <row r="23657" s="197" customFormat="1" ht="12.75" x14ac:dyDescent="0.2"/>
    <row r="23658" s="197" customFormat="1" ht="12.75" x14ac:dyDescent="0.2"/>
    <row r="23659" s="197" customFormat="1" ht="12.75" x14ac:dyDescent="0.2"/>
    <row r="23660" s="197" customFormat="1" ht="12.75" x14ac:dyDescent="0.2"/>
    <row r="23661" s="197" customFormat="1" ht="12.75" x14ac:dyDescent="0.2"/>
    <row r="23662" s="197" customFormat="1" ht="12.75" x14ac:dyDescent="0.2"/>
    <row r="23663" s="197" customFormat="1" ht="12.75" x14ac:dyDescent="0.2"/>
    <row r="23664" s="197" customFormat="1" ht="12.75" x14ac:dyDescent="0.2"/>
    <row r="23665" s="197" customFormat="1" ht="12.75" x14ac:dyDescent="0.2"/>
    <row r="23666" s="197" customFormat="1" ht="12.75" x14ac:dyDescent="0.2"/>
    <row r="23667" s="197" customFormat="1" ht="12.75" x14ac:dyDescent="0.2"/>
    <row r="23668" s="197" customFormat="1" ht="12.75" x14ac:dyDescent="0.2"/>
    <row r="23669" s="197" customFormat="1" ht="12.75" x14ac:dyDescent="0.2"/>
    <row r="23670" s="197" customFormat="1" ht="12.75" x14ac:dyDescent="0.2"/>
    <row r="23671" s="197" customFormat="1" ht="12.75" x14ac:dyDescent="0.2"/>
    <row r="23672" s="197" customFormat="1" ht="12.75" x14ac:dyDescent="0.2"/>
    <row r="23673" s="197" customFormat="1" ht="12.75" x14ac:dyDescent="0.2"/>
    <row r="23674" s="197" customFormat="1" ht="12.75" x14ac:dyDescent="0.2"/>
    <row r="23675" s="197" customFormat="1" ht="12.75" x14ac:dyDescent="0.2"/>
    <row r="23676" s="197" customFormat="1" ht="12.75" x14ac:dyDescent="0.2"/>
    <row r="23677" s="197" customFormat="1" ht="12.75" x14ac:dyDescent="0.2"/>
    <row r="23678" s="197" customFormat="1" ht="12.75" x14ac:dyDescent="0.2"/>
    <row r="23679" s="197" customFormat="1" ht="12.75" x14ac:dyDescent="0.2"/>
    <row r="23680" s="197" customFormat="1" ht="12.75" x14ac:dyDescent="0.2"/>
    <row r="23681" s="197" customFormat="1" ht="12.75" x14ac:dyDescent="0.2"/>
    <row r="23682" s="197" customFormat="1" ht="12.75" x14ac:dyDescent="0.2"/>
    <row r="23683" s="197" customFormat="1" ht="12.75" x14ac:dyDescent="0.2"/>
    <row r="23684" s="197" customFormat="1" ht="12.75" x14ac:dyDescent="0.2"/>
    <row r="23685" s="197" customFormat="1" ht="12.75" x14ac:dyDescent="0.2"/>
    <row r="23686" s="197" customFormat="1" ht="12.75" x14ac:dyDescent="0.2"/>
    <row r="23687" s="197" customFormat="1" ht="12.75" x14ac:dyDescent="0.2"/>
    <row r="23688" s="197" customFormat="1" ht="12.75" x14ac:dyDescent="0.2"/>
    <row r="23689" s="197" customFormat="1" ht="12.75" x14ac:dyDescent="0.2"/>
    <row r="23690" s="197" customFormat="1" ht="12.75" x14ac:dyDescent="0.2"/>
    <row r="23691" s="197" customFormat="1" ht="12.75" x14ac:dyDescent="0.2"/>
    <row r="23692" s="197" customFormat="1" ht="12.75" x14ac:dyDescent="0.2"/>
    <row r="23693" s="197" customFormat="1" ht="12.75" x14ac:dyDescent="0.2"/>
    <row r="23694" s="197" customFormat="1" ht="12.75" x14ac:dyDescent="0.2"/>
    <row r="23695" s="197" customFormat="1" ht="12.75" x14ac:dyDescent="0.2"/>
    <row r="23696" s="197" customFormat="1" ht="12.75" x14ac:dyDescent="0.2"/>
    <row r="23697" s="197" customFormat="1" ht="12.75" x14ac:dyDescent="0.2"/>
    <row r="23698" s="197" customFormat="1" ht="12.75" x14ac:dyDescent="0.2"/>
    <row r="23699" s="197" customFormat="1" ht="12.75" x14ac:dyDescent="0.2"/>
    <row r="23700" s="197" customFormat="1" ht="12.75" x14ac:dyDescent="0.2"/>
    <row r="23701" s="197" customFormat="1" ht="12.75" x14ac:dyDescent="0.2"/>
    <row r="23702" s="197" customFormat="1" ht="12.75" x14ac:dyDescent="0.2"/>
    <row r="23703" s="197" customFormat="1" ht="12.75" x14ac:dyDescent="0.2"/>
    <row r="23704" s="197" customFormat="1" ht="12.75" x14ac:dyDescent="0.2"/>
    <row r="23705" s="197" customFormat="1" ht="12.75" x14ac:dyDescent="0.2"/>
    <row r="23706" s="197" customFormat="1" ht="12.75" x14ac:dyDescent="0.2"/>
    <row r="23707" s="197" customFormat="1" ht="12.75" x14ac:dyDescent="0.2"/>
    <row r="23708" s="197" customFormat="1" ht="12.75" x14ac:dyDescent="0.2"/>
    <row r="23709" s="197" customFormat="1" ht="12.75" x14ac:dyDescent="0.2"/>
    <row r="23710" s="197" customFormat="1" ht="12.75" x14ac:dyDescent="0.2"/>
    <row r="23711" s="197" customFormat="1" ht="12.75" x14ac:dyDescent="0.2"/>
    <row r="23712" s="197" customFormat="1" ht="12.75" x14ac:dyDescent="0.2"/>
    <row r="23713" s="197" customFormat="1" ht="12.75" x14ac:dyDescent="0.2"/>
    <row r="23714" s="197" customFormat="1" ht="12.75" x14ac:dyDescent="0.2"/>
    <row r="23715" s="197" customFormat="1" ht="12.75" x14ac:dyDescent="0.2"/>
    <row r="23716" s="197" customFormat="1" ht="12.75" x14ac:dyDescent="0.2"/>
    <row r="23717" s="197" customFormat="1" ht="12.75" x14ac:dyDescent="0.2"/>
    <row r="23718" s="197" customFormat="1" ht="12.75" x14ac:dyDescent="0.2"/>
    <row r="23719" s="197" customFormat="1" ht="12.75" x14ac:dyDescent="0.2"/>
    <row r="23720" s="197" customFormat="1" ht="12.75" x14ac:dyDescent="0.2"/>
    <row r="23721" s="197" customFormat="1" ht="12.75" x14ac:dyDescent="0.2"/>
    <row r="23722" s="197" customFormat="1" ht="12.75" x14ac:dyDescent="0.2"/>
    <row r="23723" s="197" customFormat="1" ht="12.75" x14ac:dyDescent="0.2"/>
    <row r="23724" s="197" customFormat="1" ht="12.75" x14ac:dyDescent="0.2"/>
    <row r="23725" s="197" customFormat="1" ht="12.75" x14ac:dyDescent="0.2"/>
    <row r="23726" s="197" customFormat="1" ht="12.75" x14ac:dyDescent="0.2"/>
    <row r="23727" s="197" customFormat="1" ht="12.75" x14ac:dyDescent="0.2"/>
    <row r="23728" s="197" customFormat="1" ht="12.75" x14ac:dyDescent="0.2"/>
    <row r="23729" s="197" customFormat="1" ht="12.75" x14ac:dyDescent="0.2"/>
    <row r="23730" s="197" customFormat="1" ht="12.75" x14ac:dyDescent="0.2"/>
    <row r="23731" s="197" customFormat="1" ht="12.75" x14ac:dyDescent="0.2"/>
    <row r="23732" s="197" customFormat="1" ht="12.75" x14ac:dyDescent="0.2"/>
    <row r="23733" s="197" customFormat="1" ht="12.75" x14ac:dyDescent="0.2"/>
    <row r="23734" s="197" customFormat="1" ht="12.75" x14ac:dyDescent="0.2"/>
    <row r="23735" s="197" customFormat="1" ht="12.75" x14ac:dyDescent="0.2"/>
    <row r="23736" s="197" customFormat="1" ht="12.75" x14ac:dyDescent="0.2"/>
    <row r="23737" s="197" customFormat="1" ht="12.75" x14ac:dyDescent="0.2"/>
    <row r="23738" s="197" customFormat="1" ht="12.75" x14ac:dyDescent="0.2"/>
    <row r="23739" s="197" customFormat="1" ht="12.75" x14ac:dyDescent="0.2"/>
    <row r="23740" s="197" customFormat="1" ht="12.75" x14ac:dyDescent="0.2"/>
    <row r="23741" s="197" customFormat="1" ht="12.75" x14ac:dyDescent="0.2"/>
    <row r="23742" s="197" customFormat="1" ht="12.75" x14ac:dyDescent="0.2"/>
    <row r="23743" s="197" customFormat="1" ht="12.75" x14ac:dyDescent="0.2"/>
    <row r="23744" s="197" customFormat="1" ht="12.75" x14ac:dyDescent="0.2"/>
    <row r="23745" s="197" customFormat="1" ht="12.75" x14ac:dyDescent="0.2"/>
    <row r="23746" s="197" customFormat="1" ht="12.75" x14ac:dyDescent="0.2"/>
    <row r="23747" s="197" customFormat="1" ht="12.75" x14ac:dyDescent="0.2"/>
    <row r="23748" s="197" customFormat="1" ht="12.75" x14ac:dyDescent="0.2"/>
    <row r="23749" s="197" customFormat="1" ht="12.75" x14ac:dyDescent="0.2"/>
    <row r="23750" s="197" customFormat="1" ht="12.75" x14ac:dyDescent="0.2"/>
    <row r="23751" s="197" customFormat="1" ht="12.75" x14ac:dyDescent="0.2"/>
    <row r="23752" s="197" customFormat="1" ht="12.75" x14ac:dyDescent="0.2"/>
    <row r="23753" s="197" customFormat="1" ht="12.75" x14ac:dyDescent="0.2"/>
    <row r="23754" s="197" customFormat="1" ht="12.75" x14ac:dyDescent="0.2"/>
    <row r="23755" s="197" customFormat="1" ht="12.75" x14ac:dyDescent="0.2"/>
    <row r="23756" s="197" customFormat="1" ht="12.75" x14ac:dyDescent="0.2"/>
    <row r="23757" s="197" customFormat="1" ht="12.75" x14ac:dyDescent="0.2"/>
    <row r="23758" s="197" customFormat="1" ht="12.75" x14ac:dyDescent="0.2"/>
    <row r="23759" s="197" customFormat="1" ht="12.75" x14ac:dyDescent="0.2"/>
    <row r="23760" s="197" customFormat="1" ht="12.75" x14ac:dyDescent="0.2"/>
    <row r="23761" s="197" customFormat="1" ht="12.75" x14ac:dyDescent="0.2"/>
    <row r="23762" s="197" customFormat="1" ht="12.75" x14ac:dyDescent="0.2"/>
    <row r="23763" s="197" customFormat="1" ht="12.75" x14ac:dyDescent="0.2"/>
    <row r="23764" s="197" customFormat="1" ht="12.75" x14ac:dyDescent="0.2"/>
    <row r="23765" s="197" customFormat="1" ht="12.75" x14ac:dyDescent="0.2"/>
    <row r="23766" s="197" customFormat="1" ht="12.75" x14ac:dyDescent="0.2"/>
    <row r="23767" s="197" customFormat="1" ht="12.75" x14ac:dyDescent="0.2"/>
    <row r="23768" s="197" customFormat="1" ht="12.75" x14ac:dyDescent="0.2"/>
    <row r="23769" s="197" customFormat="1" ht="12.75" x14ac:dyDescent="0.2"/>
    <row r="23770" s="197" customFormat="1" ht="12.75" x14ac:dyDescent="0.2"/>
    <row r="23771" s="197" customFormat="1" ht="12.75" x14ac:dyDescent="0.2"/>
    <row r="23772" s="197" customFormat="1" ht="12.75" x14ac:dyDescent="0.2"/>
    <row r="23773" s="197" customFormat="1" ht="12.75" x14ac:dyDescent="0.2"/>
    <row r="23774" s="197" customFormat="1" ht="12.75" x14ac:dyDescent="0.2"/>
    <row r="23775" s="197" customFormat="1" ht="12.75" x14ac:dyDescent="0.2"/>
    <row r="23776" s="197" customFormat="1" ht="12.75" x14ac:dyDescent="0.2"/>
    <row r="23777" s="197" customFormat="1" ht="12.75" x14ac:dyDescent="0.2"/>
    <row r="23778" s="197" customFormat="1" ht="12.75" x14ac:dyDescent="0.2"/>
    <row r="23779" s="197" customFormat="1" ht="12.75" x14ac:dyDescent="0.2"/>
    <row r="23780" s="197" customFormat="1" ht="12.75" x14ac:dyDescent="0.2"/>
    <row r="23781" s="197" customFormat="1" ht="12.75" x14ac:dyDescent="0.2"/>
    <row r="23782" s="197" customFormat="1" ht="12.75" x14ac:dyDescent="0.2"/>
    <row r="23783" s="197" customFormat="1" ht="12.75" x14ac:dyDescent="0.2"/>
    <row r="23784" s="197" customFormat="1" ht="12.75" x14ac:dyDescent="0.2"/>
    <row r="23785" s="197" customFormat="1" ht="12.75" x14ac:dyDescent="0.2"/>
    <row r="23786" s="197" customFormat="1" ht="12.75" x14ac:dyDescent="0.2"/>
    <row r="23787" s="197" customFormat="1" ht="12.75" x14ac:dyDescent="0.2"/>
    <row r="23788" s="197" customFormat="1" ht="12.75" x14ac:dyDescent="0.2"/>
    <row r="23789" s="197" customFormat="1" ht="12.75" x14ac:dyDescent="0.2"/>
    <row r="23790" s="197" customFormat="1" ht="12.75" x14ac:dyDescent="0.2"/>
    <row r="23791" s="197" customFormat="1" ht="12.75" x14ac:dyDescent="0.2"/>
    <row r="23792" s="197" customFormat="1" ht="12.75" x14ac:dyDescent="0.2"/>
    <row r="23793" s="197" customFormat="1" ht="12.75" x14ac:dyDescent="0.2"/>
    <row r="23794" s="197" customFormat="1" ht="12.75" x14ac:dyDescent="0.2"/>
    <row r="23795" s="197" customFormat="1" ht="12.75" x14ac:dyDescent="0.2"/>
    <row r="23796" s="197" customFormat="1" ht="12.75" x14ac:dyDescent="0.2"/>
    <row r="23797" s="197" customFormat="1" ht="12.75" x14ac:dyDescent="0.2"/>
    <row r="23798" s="197" customFormat="1" ht="12.75" x14ac:dyDescent="0.2"/>
    <row r="23799" s="197" customFormat="1" ht="12.75" x14ac:dyDescent="0.2"/>
    <row r="23800" s="197" customFormat="1" ht="12.75" x14ac:dyDescent="0.2"/>
    <row r="23801" s="197" customFormat="1" ht="12.75" x14ac:dyDescent="0.2"/>
    <row r="23802" s="197" customFormat="1" ht="12.75" x14ac:dyDescent="0.2"/>
    <row r="23803" s="197" customFormat="1" ht="12.75" x14ac:dyDescent="0.2"/>
    <row r="23804" s="197" customFormat="1" ht="12.75" x14ac:dyDescent="0.2"/>
    <row r="23805" s="197" customFormat="1" ht="12.75" x14ac:dyDescent="0.2"/>
    <row r="23806" s="197" customFormat="1" ht="12.75" x14ac:dyDescent="0.2"/>
    <row r="23807" s="197" customFormat="1" ht="12.75" x14ac:dyDescent="0.2"/>
    <row r="23808" s="197" customFormat="1" ht="12.75" x14ac:dyDescent="0.2"/>
    <row r="23809" s="197" customFormat="1" ht="12.75" x14ac:dyDescent="0.2"/>
    <row r="23810" s="197" customFormat="1" ht="12.75" x14ac:dyDescent="0.2"/>
    <row r="23811" s="197" customFormat="1" ht="12.75" x14ac:dyDescent="0.2"/>
    <row r="23812" s="197" customFormat="1" ht="12.75" x14ac:dyDescent="0.2"/>
    <row r="23813" s="197" customFormat="1" ht="12.75" x14ac:dyDescent="0.2"/>
    <row r="23814" s="197" customFormat="1" ht="12.75" x14ac:dyDescent="0.2"/>
    <row r="23815" s="197" customFormat="1" ht="12.75" x14ac:dyDescent="0.2"/>
    <row r="23816" s="197" customFormat="1" ht="12.75" x14ac:dyDescent="0.2"/>
    <row r="23817" s="197" customFormat="1" ht="12.75" x14ac:dyDescent="0.2"/>
    <row r="23818" s="197" customFormat="1" ht="12.75" x14ac:dyDescent="0.2"/>
    <row r="23819" s="197" customFormat="1" ht="12.75" x14ac:dyDescent="0.2"/>
    <row r="23820" s="197" customFormat="1" ht="12.75" x14ac:dyDescent="0.2"/>
    <row r="23821" s="197" customFormat="1" ht="12.75" x14ac:dyDescent="0.2"/>
    <row r="23822" s="197" customFormat="1" ht="12.75" x14ac:dyDescent="0.2"/>
    <row r="23823" s="197" customFormat="1" ht="12.75" x14ac:dyDescent="0.2"/>
    <row r="23824" s="197" customFormat="1" ht="12.75" x14ac:dyDescent="0.2"/>
    <row r="23825" s="197" customFormat="1" ht="12.75" x14ac:dyDescent="0.2"/>
    <row r="23826" s="197" customFormat="1" ht="12.75" x14ac:dyDescent="0.2"/>
    <row r="23827" s="197" customFormat="1" ht="12.75" x14ac:dyDescent="0.2"/>
    <row r="23828" s="197" customFormat="1" ht="12.75" x14ac:dyDescent="0.2"/>
    <row r="23829" s="197" customFormat="1" ht="12.75" x14ac:dyDescent="0.2"/>
    <row r="23830" s="197" customFormat="1" ht="12.75" x14ac:dyDescent="0.2"/>
    <row r="23831" s="197" customFormat="1" ht="12.75" x14ac:dyDescent="0.2"/>
    <row r="23832" s="197" customFormat="1" ht="12.75" x14ac:dyDescent="0.2"/>
    <row r="23833" s="197" customFormat="1" ht="12.75" x14ac:dyDescent="0.2"/>
    <row r="23834" s="197" customFormat="1" ht="12.75" x14ac:dyDescent="0.2"/>
    <row r="23835" s="197" customFormat="1" ht="12.75" x14ac:dyDescent="0.2"/>
    <row r="23836" s="197" customFormat="1" ht="12.75" x14ac:dyDescent="0.2"/>
    <row r="23837" s="197" customFormat="1" ht="12.75" x14ac:dyDescent="0.2"/>
    <row r="23838" s="197" customFormat="1" ht="12.75" x14ac:dyDescent="0.2"/>
    <row r="23839" s="197" customFormat="1" ht="12.75" x14ac:dyDescent="0.2"/>
    <row r="23840" s="197" customFormat="1" ht="12.75" x14ac:dyDescent="0.2"/>
    <row r="23841" s="197" customFormat="1" ht="12.75" x14ac:dyDescent="0.2"/>
    <row r="23842" s="197" customFormat="1" ht="12.75" x14ac:dyDescent="0.2"/>
    <row r="23843" s="197" customFormat="1" ht="12.75" x14ac:dyDescent="0.2"/>
    <row r="23844" s="197" customFormat="1" ht="12.75" x14ac:dyDescent="0.2"/>
    <row r="23845" s="197" customFormat="1" ht="12.75" x14ac:dyDescent="0.2"/>
    <row r="23846" s="197" customFormat="1" ht="12.75" x14ac:dyDescent="0.2"/>
    <row r="23847" s="197" customFormat="1" ht="12.75" x14ac:dyDescent="0.2"/>
    <row r="23848" s="197" customFormat="1" ht="12.75" x14ac:dyDescent="0.2"/>
    <row r="23849" s="197" customFormat="1" ht="12.75" x14ac:dyDescent="0.2"/>
    <row r="23850" s="197" customFormat="1" ht="12.75" x14ac:dyDescent="0.2"/>
    <row r="23851" s="197" customFormat="1" ht="12.75" x14ac:dyDescent="0.2"/>
    <row r="23852" s="197" customFormat="1" ht="12.75" x14ac:dyDescent="0.2"/>
    <row r="23853" s="197" customFormat="1" ht="12.75" x14ac:dyDescent="0.2"/>
    <row r="23854" s="197" customFormat="1" ht="12.75" x14ac:dyDescent="0.2"/>
    <row r="23855" s="197" customFormat="1" ht="12.75" x14ac:dyDescent="0.2"/>
    <row r="23856" s="197" customFormat="1" ht="12.75" x14ac:dyDescent="0.2"/>
    <row r="23857" s="197" customFormat="1" ht="12.75" x14ac:dyDescent="0.2"/>
    <row r="23858" s="197" customFormat="1" ht="12.75" x14ac:dyDescent="0.2"/>
    <row r="23859" s="197" customFormat="1" ht="12.75" x14ac:dyDescent="0.2"/>
    <row r="23860" s="197" customFormat="1" ht="12.75" x14ac:dyDescent="0.2"/>
    <row r="23861" s="197" customFormat="1" ht="12.75" x14ac:dyDescent="0.2"/>
    <row r="23862" s="197" customFormat="1" ht="12.75" x14ac:dyDescent="0.2"/>
    <row r="23863" s="197" customFormat="1" ht="12.75" x14ac:dyDescent="0.2"/>
    <row r="23864" s="197" customFormat="1" ht="12.75" x14ac:dyDescent="0.2"/>
    <row r="23865" s="197" customFormat="1" ht="12.75" x14ac:dyDescent="0.2"/>
    <row r="23866" s="197" customFormat="1" ht="12.75" x14ac:dyDescent="0.2"/>
    <row r="23867" s="197" customFormat="1" ht="12.75" x14ac:dyDescent="0.2"/>
    <row r="23868" s="197" customFormat="1" ht="12.75" x14ac:dyDescent="0.2"/>
    <row r="23869" s="197" customFormat="1" ht="12.75" x14ac:dyDescent="0.2"/>
    <row r="23870" s="197" customFormat="1" ht="12.75" x14ac:dyDescent="0.2"/>
    <row r="23871" s="197" customFormat="1" ht="12.75" x14ac:dyDescent="0.2"/>
    <row r="23872" s="197" customFormat="1" ht="12.75" x14ac:dyDescent="0.2"/>
    <row r="23873" s="197" customFormat="1" ht="12.75" x14ac:dyDescent="0.2"/>
    <row r="23874" s="197" customFormat="1" ht="12.75" x14ac:dyDescent="0.2"/>
    <row r="23875" s="197" customFormat="1" ht="12.75" x14ac:dyDescent="0.2"/>
    <row r="23876" s="197" customFormat="1" ht="12.75" x14ac:dyDescent="0.2"/>
    <row r="23877" s="197" customFormat="1" ht="12.75" x14ac:dyDescent="0.2"/>
    <row r="23878" s="197" customFormat="1" ht="12.75" x14ac:dyDescent="0.2"/>
    <row r="23879" s="197" customFormat="1" ht="12.75" x14ac:dyDescent="0.2"/>
    <row r="23880" s="197" customFormat="1" ht="12.75" x14ac:dyDescent="0.2"/>
    <row r="23881" s="197" customFormat="1" ht="12.75" x14ac:dyDescent="0.2"/>
    <row r="23882" s="197" customFormat="1" ht="12.75" x14ac:dyDescent="0.2"/>
    <row r="23883" s="197" customFormat="1" ht="12.75" x14ac:dyDescent="0.2"/>
    <row r="23884" s="197" customFormat="1" ht="12.75" x14ac:dyDescent="0.2"/>
    <row r="23885" s="197" customFormat="1" ht="12.75" x14ac:dyDescent="0.2"/>
    <row r="23886" s="197" customFormat="1" ht="12.75" x14ac:dyDescent="0.2"/>
    <row r="23887" s="197" customFormat="1" ht="12.75" x14ac:dyDescent="0.2"/>
    <row r="23888" s="197" customFormat="1" ht="12.75" x14ac:dyDescent="0.2"/>
    <row r="23889" s="197" customFormat="1" ht="12.75" x14ac:dyDescent="0.2"/>
    <row r="23890" s="197" customFormat="1" ht="12.75" x14ac:dyDescent="0.2"/>
    <row r="23891" s="197" customFormat="1" ht="12.75" x14ac:dyDescent="0.2"/>
    <row r="23892" s="197" customFormat="1" ht="12.75" x14ac:dyDescent="0.2"/>
    <row r="23893" s="197" customFormat="1" ht="12.75" x14ac:dyDescent="0.2"/>
    <row r="23894" s="197" customFormat="1" ht="12.75" x14ac:dyDescent="0.2"/>
    <row r="23895" s="197" customFormat="1" ht="12.75" x14ac:dyDescent="0.2"/>
    <row r="23896" s="197" customFormat="1" ht="12.75" x14ac:dyDescent="0.2"/>
    <row r="23897" s="197" customFormat="1" ht="12.75" x14ac:dyDescent="0.2"/>
    <row r="23898" s="197" customFormat="1" ht="12.75" x14ac:dyDescent="0.2"/>
    <row r="23899" s="197" customFormat="1" ht="12.75" x14ac:dyDescent="0.2"/>
    <row r="23900" s="197" customFormat="1" ht="12.75" x14ac:dyDescent="0.2"/>
    <row r="23901" s="197" customFormat="1" ht="12.75" x14ac:dyDescent="0.2"/>
    <row r="23902" s="197" customFormat="1" ht="12.75" x14ac:dyDescent="0.2"/>
    <row r="23903" s="197" customFormat="1" ht="12.75" x14ac:dyDescent="0.2"/>
    <row r="23904" s="197" customFormat="1" ht="12.75" x14ac:dyDescent="0.2"/>
    <row r="23905" s="197" customFormat="1" ht="12.75" x14ac:dyDescent="0.2"/>
    <row r="23906" s="197" customFormat="1" ht="12.75" x14ac:dyDescent="0.2"/>
    <row r="23907" s="197" customFormat="1" ht="12.75" x14ac:dyDescent="0.2"/>
    <row r="23908" s="197" customFormat="1" ht="12.75" x14ac:dyDescent="0.2"/>
    <row r="23909" s="197" customFormat="1" ht="12.75" x14ac:dyDescent="0.2"/>
    <row r="23910" s="197" customFormat="1" ht="12.75" x14ac:dyDescent="0.2"/>
    <row r="23911" s="197" customFormat="1" ht="12.75" x14ac:dyDescent="0.2"/>
    <row r="23912" s="197" customFormat="1" ht="12.75" x14ac:dyDescent="0.2"/>
    <row r="23913" s="197" customFormat="1" ht="12.75" x14ac:dyDescent="0.2"/>
    <row r="23914" s="197" customFormat="1" ht="12.75" x14ac:dyDescent="0.2"/>
    <row r="23915" s="197" customFormat="1" ht="12.75" x14ac:dyDescent="0.2"/>
    <row r="23916" s="197" customFormat="1" ht="12.75" x14ac:dyDescent="0.2"/>
    <row r="23917" s="197" customFormat="1" ht="12.75" x14ac:dyDescent="0.2"/>
    <row r="23918" s="197" customFormat="1" ht="12.75" x14ac:dyDescent="0.2"/>
    <row r="23919" s="197" customFormat="1" ht="12.75" x14ac:dyDescent="0.2"/>
    <row r="23920" s="197" customFormat="1" ht="12.75" x14ac:dyDescent="0.2"/>
    <row r="23921" s="197" customFormat="1" ht="12.75" x14ac:dyDescent="0.2"/>
    <row r="23922" s="197" customFormat="1" ht="12.75" x14ac:dyDescent="0.2"/>
    <row r="23923" s="197" customFormat="1" ht="12.75" x14ac:dyDescent="0.2"/>
    <row r="23924" s="197" customFormat="1" ht="12.75" x14ac:dyDescent="0.2"/>
    <row r="23925" s="197" customFormat="1" ht="12.75" x14ac:dyDescent="0.2"/>
    <row r="23926" s="197" customFormat="1" ht="12.75" x14ac:dyDescent="0.2"/>
    <row r="23927" s="197" customFormat="1" ht="12.75" x14ac:dyDescent="0.2"/>
    <row r="23928" s="197" customFormat="1" ht="12.75" x14ac:dyDescent="0.2"/>
    <row r="23929" s="197" customFormat="1" ht="12.75" x14ac:dyDescent="0.2"/>
    <row r="23930" s="197" customFormat="1" ht="12.75" x14ac:dyDescent="0.2"/>
    <row r="23931" s="197" customFormat="1" ht="12.75" x14ac:dyDescent="0.2"/>
    <row r="23932" s="197" customFormat="1" ht="12.75" x14ac:dyDescent="0.2"/>
    <row r="23933" s="197" customFormat="1" ht="12.75" x14ac:dyDescent="0.2"/>
    <row r="23934" s="197" customFormat="1" ht="12.75" x14ac:dyDescent="0.2"/>
    <row r="23935" s="197" customFormat="1" ht="12.75" x14ac:dyDescent="0.2"/>
    <row r="23936" s="197" customFormat="1" ht="12.75" x14ac:dyDescent="0.2"/>
    <row r="23937" s="197" customFormat="1" ht="12.75" x14ac:dyDescent="0.2"/>
    <row r="23938" s="197" customFormat="1" ht="12.75" x14ac:dyDescent="0.2"/>
    <row r="23939" s="197" customFormat="1" ht="12.75" x14ac:dyDescent="0.2"/>
    <row r="23940" s="197" customFormat="1" ht="12.75" x14ac:dyDescent="0.2"/>
    <row r="23941" s="197" customFormat="1" ht="12.75" x14ac:dyDescent="0.2"/>
    <row r="23942" s="197" customFormat="1" ht="12.75" x14ac:dyDescent="0.2"/>
    <row r="23943" s="197" customFormat="1" ht="12.75" x14ac:dyDescent="0.2"/>
    <row r="23944" s="197" customFormat="1" ht="12.75" x14ac:dyDescent="0.2"/>
    <row r="23945" s="197" customFormat="1" ht="12.75" x14ac:dyDescent="0.2"/>
    <row r="23946" s="197" customFormat="1" ht="12.75" x14ac:dyDescent="0.2"/>
    <row r="23947" s="197" customFormat="1" ht="12.75" x14ac:dyDescent="0.2"/>
    <row r="23948" s="197" customFormat="1" ht="12.75" x14ac:dyDescent="0.2"/>
    <row r="23949" s="197" customFormat="1" ht="12.75" x14ac:dyDescent="0.2"/>
    <row r="23950" s="197" customFormat="1" ht="12.75" x14ac:dyDescent="0.2"/>
    <row r="23951" s="197" customFormat="1" ht="12.75" x14ac:dyDescent="0.2"/>
    <row r="23952" s="197" customFormat="1" ht="12.75" x14ac:dyDescent="0.2"/>
    <row r="23953" s="197" customFormat="1" ht="12.75" x14ac:dyDescent="0.2"/>
    <row r="23954" s="197" customFormat="1" ht="12.75" x14ac:dyDescent="0.2"/>
    <row r="23955" s="197" customFormat="1" ht="12.75" x14ac:dyDescent="0.2"/>
    <row r="23956" s="197" customFormat="1" ht="12.75" x14ac:dyDescent="0.2"/>
    <row r="23957" s="197" customFormat="1" ht="12.75" x14ac:dyDescent="0.2"/>
    <row r="23958" s="197" customFormat="1" ht="12.75" x14ac:dyDescent="0.2"/>
    <row r="23959" s="197" customFormat="1" ht="12.75" x14ac:dyDescent="0.2"/>
    <row r="23960" s="197" customFormat="1" ht="12.75" x14ac:dyDescent="0.2"/>
    <row r="23961" s="197" customFormat="1" ht="12.75" x14ac:dyDescent="0.2"/>
    <row r="23962" s="197" customFormat="1" ht="12.75" x14ac:dyDescent="0.2"/>
    <row r="23963" s="197" customFormat="1" ht="12.75" x14ac:dyDescent="0.2"/>
    <row r="23964" s="197" customFormat="1" ht="12.75" x14ac:dyDescent="0.2"/>
    <row r="23965" s="197" customFormat="1" ht="12.75" x14ac:dyDescent="0.2"/>
    <row r="23966" s="197" customFormat="1" ht="12.75" x14ac:dyDescent="0.2"/>
    <row r="23967" s="197" customFormat="1" ht="12.75" x14ac:dyDescent="0.2"/>
    <row r="23968" s="197" customFormat="1" ht="12.75" x14ac:dyDescent="0.2"/>
    <row r="23969" s="197" customFormat="1" ht="12.75" x14ac:dyDescent="0.2"/>
    <row r="23970" s="197" customFormat="1" ht="12.75" x14ac:dyDescent="0.2"/>
    <row r="23971" s="197" customFormat="1" ht="12.75" x14ac:dyDescent="0.2"/>
    <row r="23972" s="197" customFormat="1" ht="12.75" x14ac:dyDescent="0.2"/>
    <row r="23973" s="197" customFormat="1" ht="12.75" x14ac:dyDescent="0.2"/>
    <row r="23974" s="197" customFormat="1" ht="12.75" x14ac:dyDescent="0.2"/>
    <row r="23975" s="197" customFormat="1" ht="12.75" x14ac:dyDescent="0.2"/>
    <row r="23976" s="197" customFormat="1" ht="12.75" x14ac:dyDescent="0.2"/>
    <row r="23977" s="197" customFormat="1" ht="12.75" x14ac:dyDescent="0.2"/>
    <row r="23978" s="197" customFormat="1" ht="12.75" x14ac:dyDescent="0.2"/>
    <row r="23979" s="197" customFormat="1" ht="12.75" x14ac:dyDescent="0.2"/>
    <row r="23980" s="197" customFormat="1" ht="12.75" x14ac:dyDescent="0.2"/>
    <row r="23981" s="197" customFormat="1" ht="12.75" x14ac:dyDescent="0.2"/>
    <row r="23982" s="197" customFormat="1" ht="12.75" x14ac:dyDescent="0.2"/>
    <row r="23983" s="197" customFormat="1" ht="12.75" x14ac:dyDescent="0.2"/>
    <row r="23984" s="197" customFormat="1" ht="12.75" x14ac:dyDescent="0.2"/>
    <row r="23985" s="197" customFormat="1" ht="12.75" x14ac:dyDescent="0.2"/>
    <row r="23986" s="197" customFormat="1" ht="12.75" x14ac:dyDescent="0.2"/>
    <row r="23987" s="197" customFormat="1" ht="12.75" x14ac:dyDescent="0.2"/>
    <row r="23988" s="197" customFormat="1" ht="12.75" x14ac:dyDescent="0.2"/>
    <row r="23989" s="197" customFormat="1" ht="12.75" x14ac:dyDescent="0.2"/>
    <row r="23990" s="197" customFormat="1" ht="12.75" x14ac:dyDescent="0.2"/>
    <row r="23991" s="197" customFormat="1" ht="12.75" x14ac:dyDescent="0.2"/>
    <row r="23992" s="197" customFormat="1" ht="12.75" x14ac:dyDescent="0.2"/>
    <row r="23993" s="197" customFormat="1" ht="12.75" x14ac:dyDescent="0.2"/>
    <row r="23994" s="197" customFormat="1" ht="12.75" x14ac:dyDescent="0.2"/>
    <row r="23995" s="197" customFormat="1" ht="12.75" x14ac:dyDescent="0.2"/>
    <row r="23996" s="197" customFormat="1" ht="12.75" x14ac:dyDescent="0.2"/>
    <row r="23997" s="197" customFormat="1" ht="12.75" x14ac:dyDescent="0.2"/>
    <row r="23998" s="197" customFormat="1" ht="12.75" x14ac:dyDescent="0.2"/>
    <row r="23999" s="197" customFormat="1" ht="12.75" x14ac:dyDescent="0.2"/>
    <row r="24000" s="197" customFormat="1" ht="12.75" x14ac:dyDescent="0.2"/>
    <row r="24001" s="197" customFormat="1" ht="12.75" x14ac:dyDescent="0.2"/>
    <row r="24002" s="197" customFormat="1" ht="12.75" x14ac:dyDescent="0.2"/>
    <row r="24003" s="197" customFormat="1" ht="12.75" x14ac:dyDescent="0.2"/>
    <row r="24004" s="197" customFormat="1" ht="12.75" x14ac:dyDescent="0.2"/>
    <row r="24005" s="197" customFormat="1" ht="12.75" x14ac:dyDescent="0.2"/>
    <row r="24006" s="197" customFormat="1" ht="12.75" x14ac:dyDescent="0.2"/>
    <row r="24007" s="197" customFormat="1" ht="12.75" x14ac:dyDescent="0.2"/>
    <row r="24008" s="197" customFormat="1" ht="12.75" x14ac:dyDescent="0.2"/>
    <row r="24009" s="197" customFormat="1" ht="12.75" x14ac:dyDescent="0.2"/>
    <row r="24010" s="197" customFormat="1" ht="12.75" x14ac:dyDescent="0.2"/>
    <row r="24011" s="197" customFormat="1" ht="12.75" x14ac:dyDescent="0.2"/>
    <row r="24012" s="197" customFormat="1" ht="12.75" x14ac:dyDescent="0.2"/>
    <row r="24013" s="197" customFormat="1" ht="12.75" x14ac:dyDescent="0.2"/>
    <row r="24014" s="197" customFormat="1" ht="12.75" x14ac:dyDescent="0.2"/>
    <row r="24015" s="197" customFormat="1" ht="12.75" x14ac:dyDescent="0.2"/>
    <row r="24016" s="197" customFormat="1" ht="12.75" x14ac:dyDescent="0.2"/>
    <row r="24017" s="197" customFormat="1" ht="12.75" x14ac:dyDescent="0.2"/>
    <row r="24018" s="197" customFormat="1" ht="12.75" x14ac:dyDescent="0.2"/>
    <row r="24019" s="197" customFormat="1" ht="12.75" x14ac:dyDescent="0.2"/>
    <row r="24020" s="197" customFormat="1" ht="12.75" x14ac:dyDescent="0.2"/>
    <row r="24021" s="197" customFormat="1" ht="12.75" x14ac:dyDescent="0.2"/>
    <row r="24022" s="197" customFormat="1" ht="12.75" x14ac:dyDescent="0.2"/>
    <row r="24023" s="197" customFormat="1" ht="12.75" x14ac:dyDescent="0.2"/>
    <row r="24024" s="197" customFormat="1" ht="12.75" x14ac:dyDescent="0.2"/>
    <row r="24025" s="197" customFormat="1" ht="12.75" x14ac:dyDescent="0.2"/>
    <row r="24026" s="197" customFormat="1" ht="12.75" x14ac:dyDescent="0.2"/>
    <row r="24027" s="197" customFormat="1" ht="12.75" x14ac:dyDescent="0.2"/>
    <row r="24028" s="197" customFormat="1" ht="12.75" x14ac:dyDescent="0.2"/>
    <row r="24029" s="197" customFormat="1" ht="12.75" x14ac:dyDescent="0.2"/>
    <row r="24030" s="197" customFormat="1" ht="12.75" x14ac:dyDescent="0.2"/>
    <row r="24031" s="197" customFormat="1" ht="12.75" x14ac:dyDescent="0.2"/>
    <row r="24032" s="197" customFormat="1" ht="12.75" x14ac:dyDescent="0.2"/>
    <row r="24033" s="197" customFormat="1" ht="12.75" x14ac:dyDescent="0.2"/>
    <row r="24034" s="197" customFormat="1" ht="12.75" x14ac:dyDescent="0.2"/>
    <row r="24035" s="197" customFormat="1" ht="12.75" x14ac:dyDescent="0.2"/>
    <row r="24036" s="197" customFormat="1" ht="12.75" x14ac:dyDescent="0.2"/>
    <row r="24037" s="197" customFormat="1" ht="12.75" x14ac:dyDescent="0.2"/>
    <row r="24038" s="197" customFormat="1" ht="12.75" x14ac:dyDescent="0.2"/>
    <row r="24039" s="197" customFormat="1" ht="12.75" x14ac:dyDescent="0.2"/>
    <row r="24040" s="197" customFormat="1" ht="12.75" x14ac:dyDescent="0.2"/>
    <row r="24041" s="197" customFormat="1" ht="12.75" x14ac:dyDescent="0.2"/>
    <row r="24042" s="197" customFormat="1" ht="12.75" x14ac:dyDescent="0.2"/>
    <row r="24043" s="197" customFormat="1" ht="12.75" x14ac:dyDescent="0.2"/>
    <row r="24044" s="197" customFormat="1" ht="12.75" x14ac:dyDescent="0.2"/>
    <row r="24045" s="197" customFormat="1" ht="12.75" x14ac:dyDescent="0.2"/>
    <row r="24046" s="197" customFormat="1" ht="12.75" x14ac:dyDescent="0.2"/>
    <row r="24047" s="197" customFormat="1" ht="12.75" x14ac:dyDescent="0.2"/>
    <row r="24048" s="197" customFormat="1" ht="12.75" x14ac:dyDescent="0.2"/>
    <row r="24049" s="197" customFormat="1" ht="12.75" x14ac:dyDescent="0.2"/>
    <row r="24050" s="197" customFormat="1" ht="12.75" x14ac:dyDescent="0.2"/>
    <row r="24051" s="197" customFormat="1" ht="12.75" x14ac:dyDescent="0.2"/>
    <row r="24052" s="197" customFormat="1" ht="12.75" x14ac:dyDescent="0.2"/>
    <row r="24053" s="197" customFormat="1" ht="12.75" x14ac:dyDescent="0.2"/>
    <row r="24054" s="197" customFormat="1" ht="12.75" x14ac:dyDescent="0.2"/>
    <row r="24055" s="197" customFormat="1" ht="12.75" x14ac:dyDescent="0.2"/>
    <row r="24056" s="197" customFormat="1" ht="12.75" x14ac:dyDescent="0.2"/>
    <row r="24057" s="197" customFormat="1" ht="12.75" x14ac:dyDescent="0.2"/>
    <row r="24058" s="197" customFormat="1" ht="12.75" x14ac:dyDescent="0.2"/>
    <row r="24059" s="197" customFormat="1" ht="12.75" x14ac:dyDescent="0.2"/>
    <row r="24060" s="197" customFormat="1" ht="12.75" x14ac:dyDescent="0.2"/>
    <row r="24061" s="197" customFormat="1" ht="12.75" x14ac:dyDescent="0.2"/>
    <row r="24062" s="197" customFormat="1" ht="12.75" x14ac:dyDescent="0.2"/>
    <row r="24063" s="197" customFormat="1" ht="12.75" x14ac:dyDescent="0.2"/>
    <row r="24064" s="197" customFormat="1" ht="12.75" x14ac:dyDescent="0.2"/>
    <row r="24065" s="197" customFormat="1" ht="12.75" x14ac:dyDescent="0.2"/>
    <row r="24066" s="197" customFormat="1" ht="12.75" x14ac:dyDescent="0.2"/>
    <row r="24067" s="197" customFormat="1" ht="12.75" x14ac:dyDescent="0.2"/>
    <row r="24068" s="197" customFormat="1" ht="12.75" x14ac:dyDescent="0.2"/>
    <row r="24069" s="197" customFormat="1" ht="12.75" x14ac:dyDescent="0.2"/>
    <row r="24070" s="197" customFormat="1" ht="12.75" x14ac:dyDescent="0.2"/>
    <row r="24071" s="197" customFormat="1" ht="12.75" x14ac:dyDescent="0.2"/>
    <row r="24072" s="197" customFormat="1" ht="12.75" x14ac:dyDescent="0.2"/>
    <row r="24073" s="197" customFormat="1" ht="12.75" x14ac:dyDescent="0.2"/>
    <row r="24074" s="197" customFormat="1" ht="12.75" x14ac:dyDescent="0.2"/>
    <row r="24075" s="197" customFormat="1" ht="12.75" x14ac:dyDescent="0.2"/>
    <row r="24076" s="197" customFormat="1" ht="12.75" x14ac:dyDescent="0.2"/>
    <row r="24077" s="197" customFormat="1" ht="12.75" x14ac:dyDescent="0.2"/>
    <row r="24078" s="197" customFormat="1" ht="12.75" x14ac:dyDescent="0.2"/>
    <row r="24079" s="197" customFormat="1" ht="12.75" x14ac:dyDescent="0.2"/>
    <row r="24080" s="197" customFormat="1" ht="12.75" x14ac:dyDescent="0.2"/>
    <row r="24081" s="197" customFormat="1" ht="12.75" x14ac:dyDescent="0.2"/>
    <row r="24082" s="197" customFormat="1" ht="12.75" x14ac:dyDescent="0.2"/>
    <row r="24083" s="197" customFormat="1" ht="12.75" x14ac:dyDescent="0.2"/>
    <row r="24084" s="197" customFormat="1" ht="12.75" x14ac:dyDescent="0.2"/>
    <row r="24085" s="197" customFormat="1" ht="12.75" x14ac:dyDescent="0.2"/>
    <row r="24086" s="197" customFormat="1" ht="12.75" x14ac:dyDescent="0.2"/>
    <row r="24087" s="197" customFormat="1" ht="12.75" x14ac:dyDescent="0.2"/>
    <row r="24088" s="197" customFormat="1" ht="12.75" x14ac:dyDescent="0.2"/>
    <row r="24089" s="197" customFormat="1" ht="12.75" x14ac:dyDescent="0.2"/>
    <row r="24090" s="197" customFormat="1" ht="12.75" x14ac:dyDescent="0.2"/>
    <row r="24091" s="197" customFormat="1" ht="12.75" x14ac:dyDescent="0.2"/>
    <row r="24092" s="197" customFormat="1" ht="12.75" x14ac:dyDescent="0.2"/>
    <row r="24093" s="197" customFormat="1" ht="12.75" x14ac:dyDescent="0.2"/>
    <row r="24094" s="197" customFormat="1" ht="12.75" x14ac:dyDescent="0.2"/>
    <row r="24095" s="197" customFormat="1" ht="12.75" x14ac:dyDescent="0.2"/>
    <row r="24096" s="197" customFormat="1" ht="12.75" x14ac:dyDescent="0.2"/>
    <row r="24097" s="197" customFormat="1" ht="12.75" x14ac:dyDescent="0.2"/>
    <row r="24098" s="197" customFormat="1" ht="12.75" x14ac:dyDescent="0.2"/>
    <row r="24099" s="197" customFormat="1" ht="12.75" x14ac:dyDescent="0.2"/>
    <row r="24100" s="197" customFormat="1" ht="12.75" x14ac:dyDescent="0.2"/>
    <row r="24101" s="197" customFormat="1" ht="12.75" x14ac:dyDescent="0.2"/>
    <row r="24102" s="197" customFormat="1" ht="12.75" x14ac:dyDescent="0.2"/>
    <row r="24103" s="197" customFormat="1" ht="12.75" x14ac:dyDescent="0.2"/>
    <row r="24104" s="197" customFormat="1" ht="12.75" x14ac:dyDescent="0.2"/>
    <row r="24105" s="197" customFormat="1" ht="12.75" x14ac:dyDescent="0.2"/>
    <row r="24106" s="197" customFormat="1" ht="12.75" x14ac:dyDescent="0.2"/>
    <row r="24107" s="197" customFormat="1" ht="12.75" x14ac:dyDescent="0.2"/>
    <row r="24108" s="197" customFormat="1" ht="12.75" x14ac:dyDescent="0.2"/>
    <row r="24109" s="197" customFormat="1" ht="12.75" x14ac:dyDescent="0.2"/>
    <row r="24110" s="197" customFormat="1" ht="12.75" x14ac:dyDescent="0.2"/>
    <row r="24111" s="197" customFormat="1" ht="12.75" x14ac:dyDescent="0.2"/>
    <row r="24112" s="197" customFormat="1" ht="12.75" x14ac:dyDescent="0.2"/>
    <row r="24113" s="197" customFormat="1" ht="12.75" x14ac:dyDescent="0.2"/>
    <row r="24114" s="197" customFormat="1" ht="12.75" x14ac:dyDescent="0.2"/>
    <row r="24115" s="197" customFormat="1" ht="12.75" x14ac:dyDescent="0.2"/>
    <row r="24116" s="197" customFormat="1" ht="12.75" x14ac:dyDescent="0.2"/>
    <row r="24117" s="197" customFormat="1" ht="12.75" x14ac:dyDescent="0.2"/>
    <row r="24118" s="197" customFormat="1" ht="12.75" x14ac:dyDescent="0.2"/>
    <row r="24119" s="197" customFormat="1" ht="12.75" x14ac:dyDescent="0.2"/>
    <row r="24120" s="197" customFormat="1" ht="12.75" x14ac:dyDescent="0.2"/>
    <row r="24121" s="197" customFormat="1" ht="12.75" x14ac:dyDescent="0.2"/>
    <row r="24122" s="197" customFormat="1" ht="12.75" x14ac:dyDescent="0.2"/>
    <row r="24123" s="197" customFormat="1" ht="12.75" x14ac:dyDescent="0.2"/>
    <row r="24124" s="197" customFormat="1" ht="12.75" x14ac:dyDescent="0.2"/>
    <row r="24125" s="197" customFormat="1" ht="12.75" x14ac:dyDescent="0.2"/>
    <row r="24126" s="197" customFormat="1" ht="12.75" x14ac:dyDescent="0.2"/>
    <row r="24127" s="197" customFormat="1" ht="12.75" x14ac:dyDescent="0.2"/>
    <row r="24128" s="197" customFormat="1" ht="12.75" x14ac:dyDescent="0.2"/>
    <row r="24129" s="197" customFormat="1" ht="12.75" x14ac:dyDescent="0.2"/>
    <row r="24130" s="197" customFormat="1" ht="12.75" x14ac:dyDescent="0.2"/>
    <row r="24131" s="197" customFormat="1" ht="12.75" x14ac:dyDescent="0.2"/>
    <row r="24132" s="197" customFormat="1" ht="12.75" x14ac:dyDescent="0.2"/>
    <row r="24133" s="197" customFormat="1" ht="12.75" x14ac:dyDescent="0.2"/>
    <row r="24134" s="197" customFormat="1" ht="12.75" x14ac:dyDescent="0.2"/>
    <row r="24135" s="197" customFormat="1" ht="12.75" x14ac:dyDescent="0.2"/>
    <row r="24136" s="197" customFormat="1" ht="12.75" x14ac:dyDescent="0.2"/>
    <row r="24137" s="197" customFormat="1" ht="12.75" x14ac:dyDescent="0.2"/>
    <row r="24138" s="197" customFormat="1" ht="12.75" x14ac:dyDescent="0.2"/>
    <row r="24139" s="197" customFormat="1" ht="12.75" x14ac:dyDescent="0.2"/>
    <row r="24140" s="197" customFormat="1" ht="12.75" x14ac:dyDescent="0.2"/>
    <row r="24141" s="197" customFormat="1" ht="12.75" x14ac:dyDescent="0.2"/>
    <row r="24142" s="197" customFormat="1" ht="12.75" x14ac:dyDescent="0.2"/>
    <row r="24143" s="197" customFormat="1" ht="12.75" x14ac:dyDescent="0.2"/>
    <row r="24144" s="197" customFormat="1" ht="12.75" x14ac:dyDescent="0.2"/>
    <row r="24145" s="197" customFormat="1" ht="12.75" x14ac:dyDescent="0.2"/>
    <row r="24146" s="197" customFormat="1" ht="12.75" x14ac:dyDescent="0.2"/>
    <row r="24147" s="197" customFormat="1" ht="12.75" x14ac:dyDescent="0.2"/>
    <row r="24148" s="197" customFormat="1" ht="12.75" x14ac:dyDescent="0.2"/>
    <row r="24149" s="197" customFormat="1" ht="12.75" x14ac:dyDescent="0.2"/>
    <row r="24150" s="197" customFormat="1" ht="12.75" x14ac:dyDescent="0.2"/>
    <row r="24151" s="197" customFormat="1" ht="12.75" x14ac:dyDescent="0.2"/>
    <row r="24152" s="197" customFormat="1" ht="12.75" x14ac:dyDescent="0.2"/>
    <row r="24153" s="197" customFormat="1" ht="12.75" x14ac:dyDescent="0.2"/>
    <row r="24154" s="197" customFormat="1" ht="12.75" x14ac:dyDescent="0.2"/>
    <row r="24155" s="197" customFormat="1" ht="12.75" x14ac:dyDescent="0.2"/>
    <row r="24156" s="197" customFormat="1" ht="12.75" x14ac:dyDescent="0.2"/>
    <row r="24157" s="197" customFormat="1" ht="12.75" x14ac:dyDescent="0.2"/>
    <row r="24158" s="197" customFormat="1" ht="12.75" x14ac:dyDescent="0.2"/>
    <row r="24159" s="197" customFormat="1" ht="12.75" x14ac:dyDescent="0.2"/>
    <row r="24160" s="197" customFormat="1" ht="12.75" x14ac:dyDescent="0.2"/>
    <row r="24161" s="197" customFormat="1" ht="12.75" x14ac:dyDescent="0.2"/>
    <row r="24162" s="197" customFormat="1" ht="12.75" x14ac:dyDescent="0.2"/>
    <row r="24163" s="197" customFormat="1" ht="12.75" x14ac:dyDescent="0.2"/>
    <row r="24164" s="197" customFormat="1" ht="12.75" x14ac:dyDescent="0.2"/>
    <row r="24165" s="197" customFormat="1" ht="12.75" x14ac:dyDescent="0.2"/>
    <row r="24166" s="197" customFormat="1" ht="12.75" x14ac:dyDescent="0.2"/>
    <row r="24167" s="197" customFormat="1" ht="12.75" x14ac:dyDescent="0.2"/>
    <row r="24168" s="197" customFormat="1" ht="12.75" x14ac:dyDescent="0.2"/>
    <row r="24169" s="197" customFormat="1" ht="12.75" x14ac:dyDescent="0.2"/>
    <row r="24170" s="197" customFormat="1" ht="12.75" x14ac:dyDescent="0.2"/>
    <row r="24171" s="197" customFormat="1" ht="12.75" x14ac:dyDescent="0.2"/>
    <row r="24172" s="197" customFormat="1" ht="12.75" x14ac:dyDescent="0.2"/>
    <row r="24173" s="197" customFormat="1" ht="12.75" x14ac:dyDescent="0.2"/>
    <row r="24174" s="197" customFormat="1" ht="12.75" x14ac:dyDescent="0.2"/>
    <row r="24175" s="197" customFormat="1" ht="12.75" x14ac:dyDescent="0.2"/>
    <row r="24176" s="197" customFormat="1" ht="12.75" x14ac:dyDescent="0.2"/>
    <row r="24177" s="197" customFormat="1" ht="12.75" x14ac:dyDescent="0.2"/>
    <row r="24178" s="197" customFormat="1" ht="12.75" x14ac:dyDescent="0.2"/>
    <row r="24179" s="197" customFormat="1" ht="12.75" x14ac:dyDescent="0.2"/>
    <row r="24180" s="197" customFormat="1" ht="12.75" x14ac:dyDescent="0.2"/>
    <row r="24181" s="197" customFormat="1" ht="12.75" x14ac:dyDescent="0.2"/>
    <row r="24182" s="197" customFormat="1" ht="12.75" x14ac:dyDescent="0.2"/>
    <row r="24183" s="197" customFormat="1" ht="12.75" x14ac:dyDescent="0.2"/>
    <row r="24184" s="197" customFormat="1" ht="12.75" x14ac:dyDescent="0.2"/>
    <row r="24185" s="197" customFormat="1" ht="12.75" x14ac:dyDescent="0.2"/>
    <row r="24186" s="197" customFormat="1" ht="12.75" x14ac:dyDescent="0.2"/>
    <row r="24187" s="197" customFormat="1" ht="12.75" x14ac:dyDescent="0.2"/>
    <row r="24188" s="197" customFormat="1" ht="12.75" x14ac:dyDescent="0.2"/>
    <row r="24189" s="197" customFormat="1" ht="12.75" x14ac:dyDescent="0.2"/>
    <row r="24190" s="197" customFormat="1" ht="12.75" x14ac:dyDescent="0.2"/>
    <row r="24191" s="197" customFormat="1" ht="12.75" x14ac:dyDescent="0.2"/>
    <row r="24192" s="197" customFormat="1" ht="12.75" x14ac:dyDescent="0.2"/>
    <row r="24193" s="197" customFormat="1" ht="12.75" x14ac:dyDescent="0.2"/>
    <row r="24194" s="197" customFormat="1" ht="12.75" x14ac:dyDescent="0.2"/>
    <row r="24195" s="197" customFormat="1" ht="12.75" x14ac:dyDescent="0.2"/>
    <row r="24196" s="197" customFormat="1" ht="12.75" x14ac:dyDescent="0.2"/>
    <row r="24197" s="197" customFormat="1" ht="12.75" x14ac:dyDescent="0.2"/>
    <row r="24198" s="197" customFormat="1" ht="12.75" x14ac:dyDescent="0.2"/>
    <row r="24199" s="197" customFormat="1" ht="12.75" x14ac:dyDescent="0.2"/>
    <row r="24200" s="197" customFormat="1" ht="12.75" x14ac:dyDescent="0.2"/>
    <row r="24201" s="197" customFormat="1" ht="12.75" x14ac:dyDescent="0.2"/>
    <row r="24202" s="197" customFormat="1" ht="12.75" x14ac:dyDescent="0.2"/>
    <row r="24203" s="197" customFormat="1" ht="12.75" x14ac:dyDescent="0.2"/>
    <row r="24204" s="197" customFormat="1" ht="12.75" x14ac:dyDescent="0.2"/>
    <row r="24205" s="197" customFormat="1" ht="12.75" x14ac:dyDescent="0.2"/>
    <row r="24206" s="197" customFormat="1" ht="12.75" x14ac:dyDescent="0.2"/>
    <row r="24207" s="197" customFormat="1" ht="12.75" x14ac:dyDescent="0.2"/>
    <row r="24208" s="197" customFormat="1" ht="12.75" x14ac:dyDescent="0.2"/>
    <row r="24209" s="197" customFormat="1" ht="12.75" x14ac:dyDescent="0.2"/>
    <row r="24210" s="197" customFormat="1" ht="12.75" x14ac:dyDescent="0.2"/>
    <row r="24211" s="197" customFormat="1" ht="12.75" x14ac:dyDescent="0.2"/>
    <row r="24212" s="197" customFormat="1" ht="12.75" x14ac:dyDescent="0.2"/>
    <row r="24213" s="197" customFormat="1" ht="12.75" x14ac:dyDescent="0.2"/>
    <row r="24214" s="197" customFormat="1" ht="12.75" x14ac:dyDescent="0.2"/>
    <row r="24215" s="197" customFormat="1" ht="12.75" x14ac:dyDescent="0.2"/>
    <row r="24216" s="197" customFormat="1" ht="12.75" x14ac:dyDescent="0.2"/>
    <row r="24217" s="197" customFormat="1" ht="12.75" x14ac:dyDescent="0.2"/>
    <row r="24218" s="197" customFormat="1" ht="12.75" x14ac:dyDescent="0.2"/>
    <row r="24219" s="197" customFormat="1" ht="12.75" x14ac:dyDescent="0.2"/>
    <row r="24220" s="197" customFormat="1" ht="12.75" x14ac:dyDescent="0.2"/>
    <row r="24221" s="197" customFormat="1" ht="12.75" x14ac:dyDescent="0.2"/>
    <row r="24222" s="197" customFormat="1" ht="12.75" x14ac:dyDescent="0.2"/>
    <row r="24223" s="197" customFormat="1" ht="12.75" x14ac:dyDescent="0.2"/>
    <row r="24224" s="197" customFormat="1" ht="12.75" x14ac:dyDescent="0.2"/>
    <row r="24225" s="197" customFormat="1" ht="12.75" x14ac:dyDescent="0.2"/>
    <row r="24226" s="197" customFormat="1" ht="12.75" x14ac:dyDescent="0.2"/>
    <row r="24227" s="197" customFormat="1" ht="12.75" x14ac:dyDescent="0.2"/>
    <row r="24228" s="197" customFormat="1" ht="12.75" x14ac:dyDescent="0.2"/>
    <row r="24229" s="197" customFormat="1" ht="12.75" x14ac:dyDescent="0.2"/>
    <row r="24230" s="197" customFormat="1" ht="12.75" x14ac:dyDescent="0.2"/>
    <row r="24231" s="197" customFormat="1" ht="12.75" x14ac:dyDescent="0.2"/>
    <row r="24232" s="197" customFormat="1" ht="12.75" x14ac:dyDescent="0.2"/>
    <row r="24233" s="197" customFormat="1" ht="12.75" x14ac:dyDescent="0.2"/>
    <row r="24234" s="197" customFormat="1" ht="12.75" x14ac:dyDescent="0.2"/>
    <row r="24235" s="197" customFormat="1" ht="12.75" x14ac:dyDescent="0.2"/>
    <row r="24236" s="197" customFormat="1" ht="12.75" x14ac:dyDescent="0.2"/>
    <row r="24237" s="197" customFormat="1" ht="12.75" x14ac:dyDescent="0.2"/>
    <row r="24238" s="197" customFormat="1" ht="12.75" x14ac:dyDescent="0.2"/>
    <row r="24239" s="197" customFormat="1" ht="12.75" x14ac:dyDescent="0.2"/>
    <row r="24240" s="197" customFormat="1" ht="12.75" x14ac:dyDescent="0.2"/>
    <row r="24241" s="197" customFormat="1" ht="12.75" x14ac:dyDescent="0.2"/>
    <row r="24242" s="197" customFormat="1" ht="12.75" x14ac:dyDescent="0.2"/>
    <row r="24243" s="197" customFormat="1" ht="12.75" x14ac:dyDescent="0.2"/>
    <row r="24244" s="197" customFormat="1" ht="12.75" x14ac:dyDescent="0.2"/>
    <row r="24245" s="197" customFormat="1" ht="12.75" x14ac:dyDescent="0.2"/>
    <row r="24246" s="197" customFormat="1" ht="12.75" x14ac:dyDescent="0.2"/>
    <row r="24247" s="197" customFormat="1" ht="12.75" x14ac:dyDescent="0.2"/>
    <row r="24248" s="197" customFormat="1" ht="12.75" x14ac:dyDescent="0.2"/>
    <row r="24249" s="197" customFormat="1" ht="12.75" x14ac:dyDescent="0.2"/>
    <row r="24250" s="197" customFormat="1" ht="12.75" x14ac:dyDescent="0.2"/>
    <row r="24251" s="197" customFormat="1" ht="12.75" x14ac:dyDescent="0.2"/>
    <row r="24252" s="197" customFormat="1" ht="12.75" x14ac:dyDescent="0.2"/>
    <row r="24253" s="197" customFormat="1" ht="12.75" x14ac:dyDescent="0.2"/>
    <row r="24254" s="197" customFormat="1" ht="12.75" x14ac:dyDescent="0.2"/>
    <row r="24255" s="197" customFormat="1" ht="12.75" x14ac:dyDescent="0.2"/>
    <row r="24256" s="197" customFormat="1" ht="12.75" x14ac:dyDescent="0.2"/>
    <row r="24257" s="197" customFormat="1" ht="12.75" x14ac:dyDescent="0.2"/>
    <row r="24258" s="197" customFormat="1" ht="12.75" x14ac:dyDescent="0.2"/>
    <row r="24259" s="197" customFormat="1" ht="12.75" x14ac:dyDescent="0.2"/>
    <row r="24260" s="197" customFormat="1" ht="12.75" x14ac:dyDescent="0.2"/>
    <row r="24261" s="197" customFormat="1" ht="12.75" x14ac:dyDescent="0.2"/>
    <row r="24262" s="197" customFormat="1" ht="12.75" x14ac:dyDescent="0.2"/>
    <row r="24263" s="197" customFormat="1" ht="12.75" x14ac:dyDescent="0.2"/>
    <row r="24264" s="197" customFormat="1" ht="12.75" x14ac:dyDescent="0.2"/>
    <row r="24265" s="197" customFormat="1" ht="12.75" x14ac:dyDescent="0.2"/>
    <row r="24266" s="197" customFormat="1" ht="12.75" x14ac:dyDescent="0.2"/>
    <row r="24267" s="197" customFormat="1" ht="12.75" x14ac:dyDescent="0.2"/>
    <row r="24268" s="197" customFormat="1" ht="12.75" x14ac:dyDescent="0.2"/>
    <row r="24269" s="197" customFormat="1" ht="12.75" x14ac:dyDescent="0.2"/>
    <row r="24270" s="197" customFormat="1" ht="12.75" x14ac:dyDescent="0.2"/>
    <row r="24271" s="197" customFormat="1" ht="12.75" x14ac:dyDescent="0.2"/>
    <row r="24272" s="197" customFormat="1" ht="12.75" x14ac:dyDescent="0.2"/>
    <row r="24273" s="197" customFormat="1" ht="12.75" x14ac:dyDescent="0.2"/>
    <row r="24274" s="197" customFormat="1" ht="12.75" x14ac:dyDescent="0.2"/>
    <row r="24275" s="197" customFormat="1" ht="12.75" x14ac:dyDescent="0.2"/>
    <row r="24276" s="197" customFormat="1" ht="12.75" x14ac:dyDescent="0.2"/>
    <row r="24277" s="197" customFormat="1" ht="12.75" x14ac:dyDescent="0.2"/>
    <row r="24278" s="197" customFormat="1" ht="12.75" x14ac:dyDescent="0.2"/>
    <row r="24279" s="197" customFormat="1" ht="12.75" x14ac:dyDescent="0.2"/>
    <row r="24280" s="197" customFormat="1" ht="12.75" x14ac:dyDescent="0.2"/>
    <row r="24281" s="197" customFormat="1" ht="12.75" x14ac:dyDescent="0.2"/>
    <row r="24282" s="197" customFormat="1" ht="12.75" x14ac:dyDescent="0.2"/>
    <row r="24283" s="197" customFormat="1" ht="12.75" x14ac:dyDescent="0.2"/>
    <row r="24284" s="197" customFormat="1" ht="12.75" x14ac:dyDescent="0.2"/>
    <row r="24285" s="197" customFormat="1" ht="12.75" x14ac:dyDescent="0.2"/>
    <row r="24286" s="197" customFormat="1" ht="12.75" x14ac:dyDescent="0.2"/>
    <row r="24287" s="197" customFormat="1" ht="12.75" x14ac:dyDescent="0.2"/>
    <row r="24288" s="197" customFormat="1" ht="12.75" x14ac:dyDescent="0.2"/>
    <row r="24289" s="197" customFormat="1" ht="12.75" x14ac:dyDescent="0.2"/>
    <row r="24290" s="197" customFormat="1" ht="12.75" x14ac:dyDescent="0.2"/>
    <row r="24291" s="197" customFormat="1" ht="12.75" x14ac:dyDescent="0.2"/>
    <row r="24292" s="197" customFormat="1" ht="12.75" x14ac:dyDescent="0.2"/>
    <row r="24293" s="197" customFormat="1" ht="12.75" x14ac:dyDescent="0.2"/>
    <row r="24294" s="197" customFormat="1" ht="12.75" x14ac:dyDescent="0.2"/>
    <row r="24295" s="197" customFormat="1" ht="12.75" x14ac:dyDescent="0.2"/>
    <row r="24296" s="197" customFormat="1" ht="12.75" x14ac:dyDescent="0.2"/>
    <row r="24297" s="197" customFormat="1" ht="12.75" x14ac:dyDescent="0.2"/>
    <row r="24298" s="197" customFormat="1" ht="12.75" x14ac:dyDescent="0.2"/>
    <row r="24299" s="197" customFormat="1" ht="12.75" x14ac:dyDescent="0.2"/>
    <row r="24300" s="197" customFormat="1" ht="12.75" x14ac:dyDescent="0.2"/>
    <row r="24301" s="197" customFormat="1" ht="12.75" x14ac:dyDescent="0.2"/>
    <row r="24302" s="197" customFormat="1" ht="12.75" x14ac:dyDescent="0.2"/>
    <row r="24303" s="197" customFormat="1" ht="12.75" x14ac:dyDescent="0.2"/>
    <row r="24304" s="197" customFormat="1" ht="12.75" x14ac:dyDescent="0.2"/>
    <row r="24305" s="197" customFormat="1" ht="12.75" x14ac:dyDescent="0.2"/>
    <row r="24306" s="197" customFormat="1" ht="12.75" x14ac:dyDescent="0.2"/>
    <row r="24307" s="197" customFormat="1" ht="12.75" x14ac:dyDescent="0.2"/>
    <row r="24308" s="197" customFormat="1" ht="12.75" x14ac:dyDescent="0.2"/>
    <row r="24309" s="197" customFormat="1" ht="12.75" x14ac:dyDescent="0.2"/>
    <row r="24310" s="197" customFormat="1" ht="12.75" x14ac:dyDescent="0.2"/>
    <row r="24311" s="197" customFormat="1" ht="12.75" x14ac:dyDescent="0.2"/>
    <row r="24312" s="197" customFormat="1" ht="12.75" x14ac:dyDescent="0.2"/>
    <row r="24313" s="197" customFormat="1" ht="12.75" x14ac:dyDescent="0.2"/>
    <row r="24314" s="197" customFormat="1" ht="12.75" x14ac:dyDescent="0.2"/>
    <row r="24315" s="197" customFormat="1" ht="12.75" x14ac:dyDescent="0.2"/>
    <row r="24316" s="197" customFormat="1" ht="12.75" x14ac:dyDescent="0.2"/>
    <row r="24317" s="197" customFormat="1" ht="12.75" x14ac:dyDescent="0.2"/>
    <row r="24318" s="197" customFormat="1" ht="12.75" x14ac:dyDescent="0.2"/>
    <row r="24319" s="197" customFormat="1" ht="12.75" x14ac:dyDescent="0.2"/>
    <row r="24320" s="197" customFormat="1" ht="12.75" x14ac:dyDescent="0.2"/>
    <row r="24321" s="197" customFormat="1" ht="12.75" x14ac:dyDescent="0.2"/>
    <row r="24322" s="197" customFormat="1" ht="12.75" x14ac:dyDescent="0.2"/>
    <row r="24323" s="197" customFormat="1" ht="12.75" x14ac:dyDescent="0.2"/>
    <row r="24324" s="197" customFormat="1" ht="12.75" x14ac:dyDescent="0.2"/>
    <row r="24325" s="197" customFormat="1" ht="12.75" x14ac:dyDescent="0.2"/>
    <row r="24326" s="197" customFormat="1" ht="12.75" x14ac:dyDescent="0.2"/>
    <row r="24327" s="197" customFormat="1" ht="12.75" x14ac:dyDescent="0.2"/>
    <row r="24328" s="197" customFormat="1" ht="12.75" x14ac:dyDescent="0.2"/>
    <row r="24329" s="197" customFormat="1" ht="12.75" x14ac:dyDescent="0.2"/>
    <row r="24330" s="197" customFormat="1" ht="12.75" x14ac:dyDescent="0.2"/>
    <row r="24331" s="197" customFormat="1" ht="12.75" x14ac:dyDescent="0.2"/>
    <row r="24332" s="197" customFormat="1" ht="12.75" x14ac:dyDescent="0.2"/>
    <row r="24333" s="197" customFormat="1" ht="12.75" x14ac:dyDescent="0.2"/>
    <row r="24334" s="197" customFormat="1" ht="12.75" x14ac:dyDescent="0.2"/>
    <row r="24335" s="197" customFormat="1" ht="12.75" x14ac:dyDescent="0.2"/>
    <row r="24336" s="197" customFormat="1" ht="12.75" x14ac:dyDescent="0.2"/>
    <row r="24337" s="197" customFormat="1" ht="12.75" x14ac:dyDescent="0.2"/>
    <row r="24338" s="197" customFormat="1" ht="12.75" x14ac:dyDescent="0.2"/>
    <row r="24339" s="197" customFormat="1" ht="12.75" x14ac:dyDescent="0.2"/>
    <row r="24340" s="197" customFormat="1" ht="12.75" x14ac:dyDescent="0.2"/>
    <row r="24341" s="197" customFormat="1" ht="12.75" x14ac:dyDescent="0.2"/>
    <row r="24342" s="197" customFormat="1" ht="12.75" x14ac:dyDescent="0.2"/>
    <row r="24343" s="197" customFormat="1" ht="12.75" x14ac:dyDescent="0.2"/>
    <row r="24344" s="197" customFormat="1" ht="12.75" x14ac:dyDescent="0.2"/>
    <row r="24345" s="197" customFormat="1" ht="12.75" x14ac:dyDescent="0.2"/>
    <row r="24346" s="197" customFormat="1" ht="12.75" x14ac:dyDescent="0.2"/>
    <row r="24347" s="197" customFormat="1" ht="12.75" x14ac:dyDescent="0.2"/>
    <row r="24348" s="197" customFormat="1" ht="12.75" x14ac:dyDescent="0.2"/>
    <row r="24349" s="197" customFormat="1" ht="12.75" x14ac:dyDescent="0.2"/>
    <row r="24350" s="197" customFormat="1" ht="12.75" x14ac:dyDescent="0.2"/>
    <row r="24351" s="197" customFormat="1" ht="12.75" x14ac:dyDescent="0.2"/>
    <row r="24352" s="197" customFormat="1" ht="12.75" x14ac:dyDescent="0.2"/>
    <row r="24353" s="197" customFormat="1" ht="12.75" x14ac:dyDescent="0.2"/>
    <row r="24354" s="197" customFormat="1" ht="12.75" x14ac:dyDescent="0.2"/>
    <row r="24355" s="197" customFormat="1" ht="12.75" x14ac:dyDescent="0.2"/>
    <row r="24356" s="197" customFormat="1" ht="12.75" x14ac:dyDescent="0.2"/>
    <row r="24357" s="197" customFormat="1" ht="12.75" x14ac:dyDescent="0.2"/>
    <row r="24358" s="197" customFormat="1" ht="12.75" x14ac:dyDescent="0.2"/>
    <row r="24359" s="197" customFormat="1" ht="12.75" x14ac:dyDescent="0.2"/>
    <row r="24360" s="197" customFormat="1" ht="12.75" x14ac:dyDescent="0.2"/>
    <row r="24361" s="197" customFormat="1" ht="12.75" x14ac:dyDescent="0.2"/>
    <row r="24362" s="197" customFormat="1" ht="12.75" x14ac:dyDescent="0.2"/>
    <row r="24363" s="197" customFormat="1" ht="12.75" x14ac:dyDescent="0.2"/>
    <row r="24364" s="197" customFormat="1" ht="12.75" x14ac:dyDescent="0.2"/>
    <row r="24365" s="197" customFormat="1" ht="12.75" x14ac:dyDescent="0.2"/>
    <row r="24366" s="197" customFormat="1" ht="12.75" x14ac:dyDescent="0.2"/>
    <row r="24367" s="197" customFormat="1" ht="12.75" x14ac:dyDescent="0.2"/>
    <row r="24368" s="197" customFormat="1" ht="12.75" x14ac:dyDescent="0.2"/>
    <row r="24369" s="197" customFormat="1" ht="12.75" x14ac:dyDescent="0.2"/>
    <row r="24370" s="197" customFormat="1" ht="12.75" x14ac:dyDescent="0.2"/>
    <row r="24371" s="197" customFormat="1" ht="12.75" x14ac:dyDescent="0.2"/>
    <row r="24372" s="197" customFormat="1" ht="12.75" x14ac:dyDescent="0.2"/>
    <row r="24373" s="197" customFormat="1" ht="12.75" x14ac:dyDescent="0.2"/>
    <row r="24374" s="197" customFormat="1" ht="12.75" x14ac:dyDescent="0.2"/>
    <row r="24375" s="197" customFormat="1" ht="12.75" x14ac:dyDescent="0.2"/>
    <row r="24376" s="197" customFormat="1" ht="12.75" x14ac:dyDescent="0.2"/>
    <row r="24377" s="197" customFormat="1" ht="12.75" x14ac:dyDescent="0.2"/>
    <row r="24378" s="197" customFormat="1" ht="12.75" x14ac:dyDescent="0.2"/>
    <row r="24379" s="197" customFormat="1" ht="12.75" x14ac:dyDescent="0.2"/>
    <row r="24380" s="197" customFormat="1" ht="12.75" x14ac:dyDescent="0.2"/>
    <row r="24381" s="197" customFormat="1" ht="12.75" x14ac:dyDescent="0.2"/>
    <row r="24382" s="197" customFormat="1" ht="12.75" x14ac:dyDescent="0.2"/>
    <row r="24383" s="197" customFormat="1" ht="12.75" x14ac:dyDescent="0.2"/>
    <row r="24384" s="197" customFormat="1" ht="12.75" x14ac:dyDescent="0.2"/>
    <row r="24385" s="197" customFormat="1" ht="12.75" x14ac:dyDescent="0.2"/>
    <row r="24386" s="197" customFormat="1" ht="12.75" x14ac:dyDescent="0.2"/>
    <row r="24387" s="197" customFormat="1" ht="12.75" x14ac:dyDescent="0.2"/>
    <row r="24388" s="197" customFormat="1" ht="12.75" x14ac:dyDescent="0.2"/>
    <row r="24389" s="197" customFormat="1" ht="12.75" x14ac:dyDescent="0.2"/>
    <row r="24390" s="197" customFormat="1" ht="12.75" x14ac:dyDescent="0.2"/>
    <row r="24391" s="197" customFormat="1" ht="12.75" x14ac:dyDescent="0.2"/>
    <row r="24392" s="197" customFormat="1" ht="12.75" x14ac:dyDescent="0.2"/>
    <row r="24393" s="197" customFormat="1" ht="12.75" x14ac:dyDescent="0.2"/>
    <row r="24394" s="197" customFormat="1" ht="12.75" x14ac:dyDescent="0.2"/>
    <row r="24395" s="197" customFormat="1" ht="12.75" x14ac:dyDescent="0.2"/>
    <row r="24396" s="197" customFormat="1" ht="12.75" x14ac:dyDescent="0.2"/>
    <row r="24397" s="197" customFormat="1" ht="12.75" x14ac:dyDescent="0.2"/>
    <row r="24398" s="197" customFormat="1" ht="12.75" x14ac:dyDescent="0.2"/>
    <row r="24399" s="197" customFormat="1" ht="12.75" x14ac:dyDescent="0.2"/>
    <row r="24400" s="197" customFormat="1" ht="12.75" x14ac:dyDescent="0.2"/>
    <row r="24401" s="197" customFormat="1" ht="12.75" x14ac:dyDescent="0.2"/>
    <row r="24402" s="197" customFormat="1" ht="12.75" x14ac:dyDescent="0.2"/>
    <row r="24403" s="197" customFormat="1" ht="12.75" x14ac:dyDescent="0.2"/>
    <row r="24404" s="197" customFormat="1" ht="12.75" x14ac:dyDescent="0.2"/>
    <row r="24405" s="197" customFormat="1" ht="12.75" x14ac:dyDescent="0.2"/>
    <row r="24406" s="197" customFormat="1" ht="12.75" x14ac:dyDescent="0.2"/>
    <row r="24407" s="197" customFormat="1" ht="12.75" x14ac:dyDescent="0.2"/>
    <row r="24408" s="197" customFormat="1" ht="12.75" x14ac:dyDescent="0.2"/>
    <row r="24409" s="197" customFormat="1" ht="12.75" x14ac:dyDescent="0.2"/>
    <row r="24410" s="197" customFormat="1" ht="12.75" x14ac:dyDescent="0.2"/>
    <row r="24411" s="197" customFormat="1" ht="12.75" x14ac:dyDescent="0.2"/>
    <row r="24412" s="197" customFormat="1" ht="12.75" x14ac:dyDescent="0.2"/>
    <row r="24413" s="197" customFormat="1" ht="12.75" x14ac:dyDescent="0.2"/>
    <row r="24414" s="197" customFormat="1" ht="12.75" x14ac:dyDescent="0.2"/>
    <row r="24415" s="197" customFormat="1" ht="12.75" x14ac:dyDescent="0.2"/>
    <row r="24416" s="197" customFormat="1" ht="12.75" x14ac:dyDescent="0.2"/>
    <row r="24417" s="197" customFormat="1" ht="12.75" x14ac:dyDescent="0.2"/>
    <row r="24418" s="197" customFormat="1" ht="12.75" x14ac:dyDescent="0.2"/>
    <row r="24419" s="197" customFormat="1" ht="12.75" x14ac:dyDescent="0.2"/>
    <row r="24420" s="197" customFormat="1" ht="12.75" x14ac:dyDescent="0.2"/>
    <row r="24421" s="197" customFormat="1" ht="12.75" x14ac:dyDescent="0.2"/>
    <row r="24422" s="197" customFormat="1" ht="12.75" x14ac:dyDescent="0.2"/>
    <row r="24423" s="197" customFormat="1" ht="12.75" x14ac:dyDescent="0.2"/>
    <row r="24424" s="197" customFormat="1" ht="12.75" x14ac:dyDescent="0.2"/>
    <row r="24425" s="197" customFormat="1" ht="12.75" x14ac:dyDescent="0.2"/>
    <row r="24426" s="197" customFormat="1" ht="12.75" x14ac:dyDescent="0.2"/>
    <row r="24427" s="197" customFormat="1" ht="12.75" x14ac:dyDescent="0.2"/>
    <row r="24428" s="197" customFormat="1" ht="12.75" x14ac:dyDescent="0.2"/>
    <row r="24429" s="197" customFormat="1" ht="12.75" x14ac:dyDescent="0.2"/>
    <row r="24430" s="197" customFormat="1" ht="12.75" x14ac:dyDescent="0.2"/>
    <row r="24431" s="197" customFormat="1" ht="12.75" x14ac:dyDescent="0.2"/>
    <row r="24432" s="197" customFormat="1" ht="12.75" x14ac:dyDescent="0.2"/>
    <row r="24433" s="197" customFormat="1" ht="12.75" x14ac:dyDescent="0.2"/>
    <row r="24434" s="197" customFormat="1" ht="12.75" x14ac:dyDescent="0.2"/>
    <row r="24435" s="197" customFormat="1" ht="12.75" x14ac:dyDescent="0.2"/>
    <row r="24436" s="197" customFormat="1" ht="12.75" x14ac:dyDescent="0.2"/>
    <row r="24437" s="197" customFormat="1" ht="12.75" x14ac:dyDescent="0.2"/>
    <row r="24438" s="197" customFormat="1" ht="12.75" x14ac:dyDescent="0.2"/>
    <row r="24439" s="197" customFormat="1" ht="12.75" x14ac:dyDescent="0.2"/>
    <row r="24440" s="197" customFormat="1" ht="12.75" x14ac:dyDescent="0.2"/>
    <row r="24441" s="197" customFormat="1" ht="12.75" x14ac:dyDescent="0.2"/>
    <row r="24442" s="197" customFormat="1" ht="12.75" x14ac:dyDescent="0.2"/>
    <row r="24443" s="197" customFormat="1" ht="12.75" x14ac:dyDescent="0.2"/>
    <row r="24444" s="197" customFormat="1" ht="12.75" x14ac:dyDescent="0.2"/>
    <row r="24445" s="197" customFormat="1" ht="12.75" x14ac:dyDescent="0.2"/>
    <row r="24446" s="197" customFormat="1" ht="12.75" x14ac:dyDescent="0.2"/>
    <row r="24447" s="197" customFormat="1" ht="12.75" x14ac:dyDescent="0.2"/>
    <row r="24448" s="197" customFormat="1" ht="12.75" x14ac:dyDescent="0.2"/>
    <row r="24449" s="197" customFormat="1" ht="12.75" x14ac:dyDescent="0.2"/>
    <row r="24450" s="197" customFormat="1" ht="12.75" x14ac:dyDescent="0.2"/>
    <row r="24451" s="197" customFormat="1" ht="12.75" x14ac:dyDescent="0.2"/>
    <row r="24452" s="197" customFormat="1" ht="12.75" x14ac:dyDescent="0.2"/>
    <row r="24453" s="197" customFormat="1" ht="12.75" x14ac:dyDescent="0.2"/>
    <row r="24454" s="197" customFormat="1" ht="12.75" x14ac:dyDescent="0.2"/>
    <row r="24455" s="197" customFormat="1" ht="12.75" x14ac:dyDescent="0.2"/>
    <row r="24456" s="197" customFormat="1" ht="12.75" x14ac:dyDescent="0.2"/>
    <row r="24457" s="197" customFormat="1" ht="12.75" x14ac:dyDescent="0.2"/>
    <row r="24458" s="197" customFormat="1" ht="12.75" x14ac:dyDescent="0.2"/>
    <row r="24459" s="197" customFormat="1" ht="12.75" x14ac:dyDescent="0.2"/>
    <row r="24460" s="197" customFormat="1" ht="12.75" x14ac:dyDescent="0.2"/>
    <row r="24461" s="197" customFormat="1" ht="12.75" x14ac:dyDescent="0.2"/>
    <row r="24462" s="197" customFormat="1" ht="12.75" x14ac:dyDescent="0.2"/>
    <row r="24463" s="197" customFormat="1" ht="12.75" x14ac:dyDescent="0.2"/>
    <row r="24464" s="197" customFormat="1" ht="12.75" x14ac:dyDescent="0.2"/>
    <row r="24465" s="197" customFormat="1" ht="12.75" x14ac:dyDescent="0.2"/>
    <row r="24466" s="197" customFormat="1" ht="12.75" x14ac:dyDescent="0.2"/>
    <row r="24467" s="197" customFormat="1" ht="12.75" x14ac:dyDescent="0.2"/>
    <row r="24468" s="197" customFormat="1" ht="12.75" x14ac:dyDescent="0.2"/>
    <row r="24469" s="197" customFormat="1" ht="12.75" x14ac:dyDescent="0.2"/>
    <row r="24470" s="197" customFormat="1" ht="12.75" x14ac:dyDescent="0.2"/>
    <row r="24471" s="197" customFormat="1" ht="12.75" x14ac:dyDescent="0.2"/>
    <row r="24472" s="197" customFormat="1" ht="12.75" x14ac:dyDescent="0.2"/>
    <row r="24473" s="197" customFormat="1" ht="12.75" x14ac:dyDescent="0.2"/>
    <row r="24474" s="197" customFormat="1" ht="12.75" x14ac:dyDescent="0.2"/>
    <row r="24475" s="197" customFormat="1" ht="12.75" x14ac:dyDescent="0.2"/>
    <row r="24476" s="197" customFormat="1" ht="12.75" x14ac:dyDescent="0.2"/>
    <row r="24477" s="197" customFormat="1" ht="12.75" x14ac:dyDescent="0.2"/>
    <row r="24478" s="197" customFormat="1" ht="12.75" x14ac:dyDescent="0.2"/>
    <row r="24479" s="197" customFormat="1" ht="12.75" x14ac:dyDescent="0.2"/>
    <row r="24480" s="197" customFormat="1" ht="12.75" x14ac:dyDescent="0.2"/>
    <row r="24481" s="197" customFormat="1" ht="12.75" x14ac:dyDescent="0.2"/>
    <row r="24482" s="197" customFormat="1" ht="12.75" x14ac:dyDescent="0.2"/>
    <row r="24483" s="197" customFormat="1" ht="12.75" x14ac:dyDescent="0.2"/>
    <row r="24484" s="197" customFormat="1" ht="12.75" x14ac:dyDescent="0.2"/>
    <row r="24485" s="197" customFormat="1" ht="12.75" x14ac:dyDescent="0.2"/>
    <row r="24486" s="197" customFormat="1" ht="12.75" x14ac:dyDescent="0.2"/>
    <row r="24487" s="197" customFormat="1" ht="12.75" x14ac:dyDescent="0.2"/>
    <row r="24488" s="197" customFormat="1" ht="12.75" x14ac:dyDescent="0.2"/>
    <row r="24489" s="197" customFormat="1" ht="12.75" x14ac:dyDescent="0.2"/>
    <row r="24490" s="197" customFormat="1" ht="12.75" x14ac:dyDescent="0.2"/>
    <row r="24491" s="197" customFormat="1" ht="12.75" x14ac:dyDescent="0.2"/>
    <row r="24492" s="197" customFormat="1" ht="12.75" x14ac:dyDescent="0.2"/>
    <row r="24493" s="197" customFormat="1" ht="12.75" x14ac:dyDescent="0.2"/>
    <row r="24494" s="197" customFormat="1" ht="12.75" x14ac:dyDescent="0.2"/>
    <row r="24495" s="197" customFormat="1" ht="12.75" x14ac:dyDescent="0.2"/>
    <row r="24496" s="197" customFormat="1" ht="12.75" x14ac:dyDescent="0.2"/>
    <row r="24497" s="197" customFormat="1" ht="12.75" x14ac:dyDescent="0.2"/>
    <row r="24498" s="197" customFormat="1" ht="12.75" x14ac:dyDescent="0.2"/>
    <row r="24499" s="197" customFormat="1" ht="12.75" x14ac:dyDescent="0.2"/>
    <row r="24500" s="197" customFormat="1" ht="12.75" x14ac:dyDescent="0.2"/>
    <row r="24501" s="197" customFormat="1" ht="12.75" x14ac:dyDescent="0.2"/>
    <row r="24502" s="197" customFormat="1" ht="12.75" x14ac:dyDescent="0.2"/>
    <row r="24503" s="197" customFormat="1" ht="12.75" x14ac:dyDescent="0.2"/>
    <row r="24504" s="197" customFormat="1" ht="12.75" x14ac:dyDescent="0.2"/>
    <row r="24505" s="197" customFormat="1" ht="12.75" x14ac:dyDescent="0.2"/>
    <row r="24506" s="197" customFormat="1" ht="12.75" x14ac:dyDescent="0.2"/>
    <row r="24507" s="197" customFormat="1" ht="12.75" x14ac:dyDescent="0.2"/>
    <row r="24508" s="197" customFormat="1" ht="12.75" x14ac:dyDescent="0.2"/>
    <row r="24509" s="197" customFormat="1" ht="12.75" x14ac:dyDescent="0.2"/>
    <row r="24510" s="197" customFormat="1" ht="12.75" x14ac:dyDescent="0.2"/>
    <row r="24511" s="197" customFormat="1" ht="12.75" x14ac:dyDescent="0.2"/>
    <row r="24512" s="197" customFormat="1" ht="12.75" x14ac:dyDescent="0.2"/>
    <row r="24513" s="197" customFormat="1" ht="12.75" x14ac:dyDescent="0.2"/>
    <row r="24514" s="197" customFormat="1" ht="12.75" x14ac:dyDescent="0.2"/>
    <row r="24515" s="197" customFormat="1" ht="12.75" x14ac:dyDescent="0.2"/>
    <row r="24516" s="197" customFormat="1" ht="12.75" x14ac:dyDescent="0.2"/>
    <row r="24517" s="197" customFormat="1" ht="12.75" x14ac:dyDescent="0.2"/>
    <row r="24518" s="197" customFormat="1" ht="12.75" x14ac:dyDescent="0.2"/>
    <row r="24519" s="197" customFormat="1" ht="12.75" x14ac:dyDescent="0.2"/>
    <row r="24520" s="197" customFormat="1" ht="12.75" x14ac:dyDescent="0.2"/>
    <row r="24521" s="197" customFormat="1" ht="12.75" x14ac:dyDescent="0.2"/>
    <row r="24522" s="197" customFormat="1" ht="12.75" x14ac:dyDescent="0.2"/>
    <row r="24523" s="197" customFormat="1" ht="12.75" x14ac:dyDescent="0.2"/>
    <row r="24524" s="197" customFormat="1" ht="12.75" x14ac:dyDescent="0.2"/>
    <row r="24525" s="197" customFormat="1" ht="12.75" x14ac:dyDescent="0.2"/>
    <row r="24526" s="197" customFormat="1" ht="12.75" x14ac:dyDescent="0.2"/>
    <row r="24527" s="197" customFormat="1" ht="12.75" x14ac:dyDescent="0.2"/>
    <row r="24528" s="197" customFormat="1" ht="12.75" x14ac:dyDescent="0.2"/>
    <row r="24529" s="197" customFormat="1" ht="12.75" x14ac:dyDescent="0.2"/>
    <row r="24530" s="197" customFormat="1" ht="12.75" x14ac:dyDescent="0.2"/>
    <row r="24531" s="197" customFormat="1" ht="12.75" x14ac:dyDescent="0.2"/>
    <row r="24532" s="197" customFormat="1" ht="12.75" x14ac:dyDescent="0.2"/>
    <row r="24533" s="197" customFormat="1" ht="12.75" x14ac:dyDescent="0.2"/>
    <row r="24534" s="197" customFormat="1" ht="12.75" x14ac:dyDescent="0.2"/>
    <row r="24535" s="197" customFormat="1" ht="12.75" x14ac:dyDescent="0.2"/>
    <row r="24536" s="197" customFormat="1" ht="12.75" x14ac:dyDescent="0.2"/>
    <row r="24537" s="197" customFormat="1" ht="12.75" x14ac:dyDescent="0.2"/>
    <row r="24538" s="197" customFormat="1" ht="12.75" x14ac:dyDescent="0.2"/>
    <row r="24539" s="197" customFormat="1" ht="12.75" x14ac:dyDescent="0.2"/>
    <row r="24540" s="197" customFormat="1" ht="12.75" x14ac:dyDescent="0.2"/>
    <row r="24541" s="197" customFormat="1" ht="12.75" x14ac:dyDescent="0.2"/>
    <row r="24542" s="197" customFormat="1" ht="12.75" x14ac:dyDescent="0.2"/>
    <row r="24543" s="197" customFormat="1" ht="12.75" x14ac:dyDescent="0.2"/>
    <row r="24544" s="197" customFormat="1" ht="12.75" x14ac:dyDescent="0.2"/>
    <row r="24545" s="197" customFormat="1" ht="12.75" x14ac:dyDescent="0.2"/>
    <row r="24546" s="197" customFormat="1" ht="12.75" x14ac:dyDescent="0.2"/>
    <row r="24547" s="197" customFormat="1" ht="12.75" x14ac:dyDescent="0.2"/>
    <row r="24548" s="197" customFormat="1" ht="12.75" x14ac:dyDescent="0.2"/>
    <row r="24549" s="197" customFormat="1" ht="12.75" x14ac:dyDescent="0.2"/>
    <row r="24550" s="197" customFormat="1" ht="12.75" x14ac:dyDescent="0.2"/>
    <row r="24551" s="197" customFormat="1" ht="12.75" x14ac:dyDescent="0.2"/>
    <row r="24552" s="197" customFormat="1" ht="12.75" x14ac:dyDescent="0.2"/>
    <row r="24553" s="197" customFormat="1" ht="12.75" x14ac:dyDescent="0.2"/>
    <row r="24554" s="197" customFormat="1" ht="12.75" x14ac:dyDescent="0.2"/>
    <row r="24555" s="197" customFormat="1" ht="12.75" x14ac:dyDescent="0.2"/>
    <row r="24556" s="197" customFormat="1" ht="12.75" x14ac:dyDescent="0.2"/>
    <row r="24557" s="197" customFormat="1" ht="12.75" x14ac:dyDescent="0.2"/>
    <row r="24558" s="197" customFormat="1" ht="12.75" x14ac:dyDescent="0.2"/>
    <row r="24559" s="197" customFormat="1" ht="12.75" x14ac:dyDescent="0.2"/>
    <row r="24560" s="197" customFormat="1" ht="12.75" x14ac:dyDescent="0.2"/>
    <row r="24561" s="197" customFormat="1" ht="12.75" x14ac:dyDescent="0.2"/>
    <row r="24562" s="197" customFormat="1" ht="12.75" x14ac:dyDescent="0.2"/>
    <row r="24563" s="197" customFormat="1" ht="12.75" x14ac:dyDescent="0.2"/>
    <row r="24564" s="197" customFormat="1" ht="12.75" x14ac:dyDescent="0.2"/>
    <row r="24565" s="197" customFormat="1" ht="12.75" x14ac:dyDescent="0.2"/>
    <row r="24566" s="197" customFormat="1" ht="12.75" x14ac:dyDescent="0.2"/>
    <row r="24567" s="197" customFormat="1" ht="12.75" x14ac:dyDescent="0.2"/>
    <row r="24568" s="197" customFormat="1" ht="12.75" x14ac:dyDescent="0.2"/>
    <row r="24569" s="197" customFormat="1" ht="12.75" x14ac:dyDescent="0.2"/>
    <row r="24570" s="197" customFormat="1" ht="12.75" x14ac:dyDescent="0.2"/>
    <row r="24571" s="197" customFormat="1" ht="12.75" x14ac:dyDescent="0.2"/>
    <row r="24572" s="197" customFormat="1" ht="12.75" x14ac:dyDescent="0.2"/>
    <row r="24573" s="197" customFormat="1" ht="12.75" x14ac:dyDescent="0.2"/>
    <row r="24574" s="197" customFormat="1" ht="12.75" x14ac:dyDescent="0.2"/>
    <row r="24575" s="197" customFormat="1" ht="12.75" x14ac:dyDescent="0.2"/>
    <row r="24576" s="197" customFormat="1" ht="12.75" x14ac:dyDescent="0.2"/>
    <row r="24577" s="197" customFormat="1" ht="12.75" x14ac:dyDescent="0.2"/>
    <row r="24578" s="197" customFormat="1" ht="12.75" x14ac:dyDescent="0.2"/>
    <row r="24579" s="197" customFormat="1" ht="12.75" x14ac:dyDescent="0.2"/>
    <row r="24580" s="197" customFormat="1" ht="12.75" x14ac:dyDescent="0.2"/>
    <row r="24581" s="197" customFormat="1" ht="12.75" x14ac:dyDescent="0.2"/>
    <row r="24582" s="197" customFormat="1" ht="12.75" x14ac:dyDescent="0.2"/>
    <row r="24583" s="197" customFormat="1" ht="12.75" x14ac:dyDescent="0.2"/>
    <row r="24584" s="197" customFormat="1" ht="12.75" x14ac:dyDescent="0.2"/>
    <row r="24585" s="197" customFormat="1" ht="12.75" x14ac:dyDescent="0.2"/>
    <row r="24586" s="197" customFormat="1" ht="12.75" x14ac:dyDescent="0.2"/>
    <row r="24587" s="197" customFormat="1" ht="12.75" x14ac:dyDescent="0.2"/>
    <row r="24588" s="197" customFormat="1" ht="12.75" x14ac:dyDescent="0.2"/>
    <row r="24589" s="197" customFormat="1" ht="12.75" x14ac:dyDescent="0.2"/>
    <row r="24590" s="197" customFormat="1" ht="12.75" x14ac:dyDescent="0.2"/>
    <row r="24591" s="197" customFormat="1" ht="12.75" x14ac:dyDescent="0.2"/>
    <row r="24592" s="197" customFormat="1" ht="12.75" x14ac:dyDescent="0.2"/>
    <row r="24593" s="197" customFormat="1" ht="12.75" x14ac:dyDescent="0.2"/>
    <row r="24594" s="197" customFormat="1" ht="12.75" x14ac:dyDescent="0.2"/>
    <row r="24595" s="197" customFormat="1" ht="12.75" x14ac:dyDescent="0.2"/>
    <row r="24596" s="197" customFormat="1" ht="12.75" x14ac:dyDescent="0.2"/>
    <row r="24597" s="197" customFormat="1" ht="12.75" x14ac:dyDescent="0.2"/>
    <row r="24598" s="197" customFormat="1" ht="12.75" x14ac:dyDescent="0.2"/>
    <row r="24599" s="197" customFormat="1" ht="12.75" x14ac:dyDescent="0.2"/>
    <row r="24600" s="197" customFormat="1" ht="12.75" x14ac:dyDescent="0.2"/>
    <row r="24601" s="197" customFormat="1" ht="12.75" x14ac:dyDescent="0.2"/>
    <row r="24602" s="197" customFormat="1" ht="12.75" x14ac:dyDescent="0.2"/>
    <row r="24603" s="197" customFormat="1" ht="12.75" x14ac:dyDescent="0.2"/>
    <row r="24604" s="197" customFormat="1" ht="12.75" x14ac:dyDescent="0.2"/>
    <row r="24605" s="197" customFormat="1" ht="12.75" x14ac:dyDescent="0.2"/>
    <row r="24606" s="197" customFormat="1" ht="12.75" x14ac:dyDescent="0.2"/>
    <row r="24607" s="197" customFormat="1" ht="12.75" x14ac:dyDescent="0.2"/>
    <row r="24608" s="197" customFormat="1" ht="12.75" x14ac:dyDescent="0.2"/>
    <row r="24609" s="197" customFormat="1" ht="12.75" x14ac:dyDescent="0.2"/>
    <row r="24610" s="197" customFormat="1" ht="12.75" x14ac:dyDescent="0.2"/>
    <row r="24611" s="197" customFormat="1" ht="12.75" x14ac:dyDescent="0.2"/>
    <row r="24612" s="197" customFormat="1" ht="12.75" x14ac:dyDescent="0.2"/>
    <row r="24613" s="197" customFormat="1" ht="12.75" x14ac:dyDescent="0.2"/>
    <row r="24614" s="197" customFormat="1" ht="12.75" x14ac:dyDescent="0.2"/>
    <row r="24615" s="197" customFormat="1" ht="12.75" x14ac:dyDescent="0.2"/>
    <row r="24616" s="197" customFormat="1" ht="12.75" x14ac:dyDescent="0.2"/>
    <row r="24617" s="197" customFormat="1" ht="12.75" x14ac:dyDescent="0.2"/>
    <row r="24618" s="197" customFormat="1" ht="12.75" x14ac:dyDescent="0.2"/>
    <row r="24619" s="197" customFormat="1" ht="12.75" x14ac:dyDescent="0.2"/>
    <row r="24620" s="197" customFormat="1" ht="12.75" x14ac:dyDescent="0.2"/>
    <row r="24621" s="197" customFormat="1" ht="12.75" x14ac:dyDescent="0.2"/>
    <row r="24622" s="197" customFormat="1" ht="12.75" x14ac:dyDescent="0.2"/>
    <row r="24623" s="197" customFormat="1" ht="12.75" x14ac:dyDescent="0.2"/>
    <row r="24624" s="197" customFormat="1" ht="12.75" x14ac:dyDescent="0.2"/>
    <row r="24625" s="197" customFormat="1" ht="12.75" x14ac:dyDescent="0.2"/>
    <row r="24626" s="197" customFormat="1" ht="12.75" x14ac:dyDescent="0.2"/>
    <row r="24627" s="197" customFormat="1" ht="12.75" x14ac:dyDescent="0.2"/>
    <row r="24628" s="197" customFormat="1" ht="12.75" x14ac:dyDescent="0.2"/>
    <row r="24629" s="197" customFormat="1" ht="12.75" x14ac:dyDescent="0.2"/>
    <row r="24630" s="197" customFormat="1" ht="12.75" x14ac:dyDescent="0.2"/>
    <row r="24631" s="197" customFormat="1" ht="12.75" x14ac:dyDescent="0.2"/>
    <row r="24632" s="197" customFormat="1" ht="12.75" x14ac:dyDescent="0.2"/>
    <row r="24633" s="197" customFormat="1" ht="12.75" x14ac:dyDescent="0.2"/>
    <row r="24634" s="197" customFormat="1" ht="12.75" x14ac:dyDescent="0.2"/>
    <row r="24635" s="197" customFormat="1" ht="12.75" x14ac:dyDescent="0.2"/>
    <row r="24636" s="197" customFormat="1" ht="12.75" x14ac:dyDescent="0.2"/>
    <row r="24637" s="197" customFormat="1" ht="12.75" x14ac:dyDescent="0.2"/>
    <row r="24638" s="197" customFormat="1" ht="12.75" x14ac:dyDescent="0.2"/>
    <row r="24639" s="197" customFormat="1" ht="12.75" x14ac:dyDescent="0.2"/>
    <row r="24640" s="197" customFormat="1" ht="12.75" x14ac:dyDescent="0.2"/>
    <row r="24641" s="197" customFormat="1" ht="12.75" x14ac:dyDescent="0.2"/>
    <row r="24642" s="197" customFormat="1" ht="12.75" x14ac:dyDescent="0.2"/>
    <row r="24643" s="197" customFormat="1" ht="12.75" x14ac:dyDescent="0.2"/>
    <row r="24644" s="197" customFormat="1" ht="12.75" x14ac:dyDescent="0.2"/>
    <row r="24645" s="197" customFormat="1" ht="12.75" x14ac:dyDescent="0.2"/>
    <row r="24646" s="197" customFormat="1" ht="12.75" x14ac:dyDescent="0.2"/>
    <row r="24647" s="197" customFormat="1" ht="12.75" x14ac:dyDescent="0.2"/>
    <row r="24648" s="197" customFormat="1" ht="12.75" x14ac:dyDescent="0.2"/>
    <row r="24649" s="197" customFormat="1" ht="12.75" x14ac:dyDescent="0.2"/>
    <row r="24650" s="197" customFormat="1" ht="12.75" x14ac:dyDescent="0.2"/>
    <row r="24651" s="197" customFormat="1" ht="12.75" x14ac:dyDescent="0.2"/>
    <row r="24652" s="197" customFormat="1" ht="12.75" x14ac:dyDescent="0.2"/>
    <row r="24653" s="197" customFormat="1" ht="12.75" x14ac:dyDescent="0.2"/>
    <row r="24654" s="197" customFormat="1" ht="12.75" x14ac:dyDescent="0.2"/>
    <row r="24655" s="197" customFormat="1" ht="12.75" x14ac:dyDescent="0.2"/>
    <row r="24656" s="197" customFormat="1" ht="12.75" x14ac:dyDescent="0.2"/>
    <row r="24657" s="197" customFormat="1" ht="12.75" x14ac:dyDescent="0.2"/>
    <row r="24658" s="197" customFormat="1" ht="12.75" x14ac:dyDescent="0.2"/>
    <row r="24659" s="197" customFormat="1" ht="12.75" x14ac:dyDescent="0.2"/>
    <row r="24660" s="197" customFormat="1" ht="12.75" x14ac:dyDescent="0.2"/>
    <row r="24661" s="197" customFormat="1" ht="12.75" x14ac:dyDescent="0.2"/>
    <row r="24662" s="197" customFormat="1" ht="12.75" x14ac:dyDescent="0.2"/>
    <row r="24663" s="197" customFormat="1" ht="12.75" x14ac:dyDescent="0.2"/>
    <row r="24664" s="197" customFormat="1" ht="12.75" x14ac:dyDescent="0.2"/>
    <row r="24665" s="197" customFormat="1" ht="12.75" x14ac:dyDescent="0.2"/>
    <row r="24666" s="197" customFormat="1" ht="12.75" x14ac:dyDescent="0.2"/>
    <row r="24667" s="197" customFormat="1" ht="12.75" x14ac:dyDescent="0.2"/>
    <row r="24668" s="197" customFormat="1" ht="12.75" x14ac:dyDescent="0.2"/>
    <row r="24669" s="197" customFormat="1" ht="12.75" x14ac:dyDescent="0.2"/>
    <row r="24670" s="197" customFormat="1" ht="12.75" x14ac:dyDescent="0.2"/>
    <row r="24671" s="197" customFormat="1" ht="12.75" x14ac:dyDescent="0.2"/>
    <row r="24672" s="197" customFormat="1" ht="12.75" x14ac:dyDescent="0.2"/>
    <row r="24673" s="197" customFormat="1" ht="12.75" x14ac:dyDescent="0.2"/>
    <row r="24674" s="197" customFormat="1" ht="12.75" x14ac:dyDescent="0.2"/>
    <row r="24675" s="197" customFormat="1" ht="12.75" x14ac:dyDescent="0.2"/>
    <row r="24676" s="197" customFormat="1" ht="12.75" x14ac:dyDescent="0.2"/>
    <row r="24677" s="197" customFormat="1" ht="12.75" x14ac:dyDescent="0.2"/>
    <row r="24678" s="197" customFormat="1" ht="12.75" x14ac:dyDescent="0.2"/>
    <row r="24679" s="197" customFormat="1" ht="12.75" x14ac:dyDescent="0.2"/>
    <row r="24680" s="197" customFormat="1" ht="12.75" x14ac:dyDescent="0.2"/>
    <row r="24681" s="197" customFormat="1" ht="12.75" x14ac:dyDescent="0.2"/>
    <row r="24682" s="197" customFormat="1" ht="12.75" x14ac:dyDescent="0.2"/>
    <row r="24683" s="197" customFormat="1" ht="12.75" x14ac:dyDescent="0.2"/>
    <row r="24684" s="197" customFormat="1" ht="12.75" x14ac:dyDescent="0.2"/>
    <row r="24685" s="197" customFormat="1" ht="12.75" x14ac:dyDescent="0.2"/>
    <row r="24686" s="197" customFormat="1" ht="12.75" x14ac:dyDescent="0.2"/>
    <row r="24687" s="197" customFormat="1" ht="12.75" x14ac:dyDescent="0.2"/>
    <row r="24688" s="197" customFormat="1" ht="12.75" x14ac:dyDescent="0.2"/>
    <row r="24689" s="197" customFormat="1" ht="12.75" x14ac:dyDescent="0.2"/>
    <row r="24690" s="197" customFormat="1" ht="12.75" x14ac:dyDescent="0.2"/>
    <row r="24691" s="197" customFormat="1" ht="12.75" x14ac:dyDescent="0.2"/>
    <row r="24692" s="197" customFormat="1" ht="12.75" x14ac:dyDescent="0.2"/>
    <row r="24693" s="197" customFormat="1" ht="12.75" x14ac:dyDescent="0.2"/>
    <row r="24694" s="197" customFormat="1" ht="12.75" x14ac:dyDescent="0.2"/>
    <row r="24695" s="197" customFormat="1" ht="12.75" x14ac:dyDescent="0.2"/>
    <row r="24696" s="197" customFormat="1" ht="12.75" x14ac:dyDescent="0.2"/>
    <row r="24697" s="197" customFormat="1" ht="12.75" x14ac:dyDescent="0.2"/>
    <row r="24698" s="197" customFormat="1" ht="12.75" x14ac:dyDescent="0.2"/>
    <row r="24699" s="197" customFormat="1" ht="12.75" x14ac:dyDescent="0.2"/>
    <row r="24700" s="197" customFormat="1" ht="12.75" x14ac:dyDescent="0.2"/>
    <row r="24701" s="197" customFormat="1" ht="12.75" x14ac:dyDescent="0.2"/>
    <row r="24702" s="197" customFormat="1" ht="12.75" x14ac:dyDescent="0.2"/>
    <row r="24703" s="197" customFormat="1" ht="12.75" x14ac:dyDescent="0.2"/>
    <row r="24704" s="197" customFormat="1" ht="12.75" x14ac:dyDescent="0.2"/>
    <row r="24705" s="197" customFormat="1" ht="12.75" x14ac:dyDescent="0.2"/>
    <row r="24706" s="197" customFormat="1" ht="12.75" x14ac:dyDescent="0.2"/>
    <row r="24707" s="197" customFormat="1" ht="12.75" x14ac:dyDescent="0.2"/>
    <row r="24708" s="197" customFormat="1" ht="12.75" x14ac:dyDescent="0.2"/>
    <row r="24709" s="197" customFormat="1" ht="12.75" x14ac:dyDescent="0.2"/>
    <row r="24710" s="197" customFormat="1" ht="12.75" x14ac:dyDescent="0.2"/>
    <row r="24711" s="197" customFormat="1" ht="12.75" x14ac:dyDescent="0.2"/>
    <row r="24712" s="197" customFormat="1" ht="12.75" x14ac:dyDescent="0.2"/>
    <row r="24713" s="197" customFormat="1" ht="12.75" x14ac:dyDescent="0.2"/>
    <row r="24714" s="197" customFormat="1" ht="12.75" x14ac:dyDescent="0.2"/>
    <row r="24715" s="197" customFormat="1" ht="12.75" x14ac:dyDescent="0.2"/>
    <row r="24716" s="197" customFormat="1" ht="12.75" x14ac:dyDescent="0.2"/>
    <row r="24717" s="197" customFormat="1" ht="12.75" x14ac:dyDescent="0.2"/>
    <row r="24718" s="197" customFormat="1" ht="12.75" x14ac:dyDescent="0.2"/>
    <row r="24719" s="197" customFormat="1" ht="12.75" x14ac:dyDescent="0.2"/>
    <row r="24720" s="197" customFormat="1" ht="12.75" x14ac:dyDescent="0.2"/>
    <row r="24721" s="197" customFormat="1" ht="12.75" x14ac:dyDescent="0.2"/>
    <row r="24722" s="197" customFormat="1" ht="12.75" x14ac:dyDescent="0.2"/>
    <row r="24723" s="197" customFormat="1" ht="12.75" x14ac:dyDescent="0.2"/>
    <row r="24724" s="197" customFormat="1" ht="12.75" x14ac:dyDescent="0.2"/>
    <row r="24725" s="197" customFormat="1" ht="12.75" x14ac:dyDescent="0.2"/>
    <row r="24726" s="197" customFormat="1" ht="12.75" x14ac:dyDescent="0.2"/>
    <row r="24727" s="197" customFormat="1" ht="12.75" x14ac:dyDescent="0.2"/>
    <row r="24728" s="197" customFormat="1" ht="12.75" x14ac:dyDescent="0.2"/>
    <row r="24729" s="197" customFormat="1" ht="12.75" x14ac:dyDescent="0.2"/>
    <row r="24730" s="197" customFormat="1" ht="12.75" x14ac:dyDescent="0.2"/>
    <row r="24731" s="197" customFormat="1" ht="12.75" x14ac:dyDescent="0.2"/>
    <row r="24732" s="197" customFormat="1" ht="12.75" x14ac:dyDescent="0.2"/>
    <row r="24733" s="197" customFormat="1" ht="12.75" x14ac:dyDescent="0.2"/>
    <row r="24734" s="197" customFormat="1" ht="12.75" x14ac:dyDescent="0.2"/>
    <row r="24735" s="197" customFormat="1" ht="12.75" x14ac:dyDescent="0.2"/>
    <row r="24736" s="197" customFormat="1" ht="12.75" x14ac:dyDescent="0.2"/>
    <row r="24737" s="197" customFormat="1" ht="12.75" x14ac:dyDescent="0.2"/>
    <row r="24738" s="197" customFormat="1" ht="12.75" x14ac:dyDescent="0.2"/>
    <row r="24739" s="197" customFormat="1" ht="12.75" x14ac:dyDescent="0.2"/>
    <row r="24740" s="197" customFormat="1" ht="12.75" x14ac:dyDescent="0.2"/>
    <row r="24741" s="197" customFormat="1" ht="12.75" x14ac:dyDescent="0.2"/>
    <row r="24742" s="197" customFormat="1" ht="12.75" x14ac:dyDescent="0.2"/>
    <row r="24743" s="197" customFormat="1" ht="12.75" x14ac:dyDescent="0.2"/>
    <row r="24744" s="197" customFormat="1" ht="12.75" x14ac:dyDescent="0.2"/>
    <row r="24745" s="197" customFormat="1" ht="12.75" x14ac:dyDescent="0.2"/>
    <row r="24746" s="197" customFormat="1" ht="12.75" x14ac:dyDescent="0.2"/>
    <row r="24747" s="197" customFormat="1" ht="12.75" x14ac:dyDescent="0.2"/>
    <row r="24748" s="197" customFormat="1" ht="12.75" x14ac:dyDescent="0.2"/>
    <row r="24749" s="197" customFormat="1" ht="12.75" x14ac:dyDescent="0.2"/>
    <row r="24750" s="197" customFormat="1" ht="12.75" x14ac:dyDescent="0.2"/>
    <row r="24751" s="197" customFormat="1" ht="12.75" x14ac:dyDescent="0.2"/>
    <row r="24752" s="197" customFormat="1" ht="12.75" x14ac:dyDescent="0.2"/>
    <row r="24753" s="197" customFormat="1" ht="12.75" x14ac:dyDescent="0.2"/>
    <row r="24754" s="197" customFormat="1" ht="12.75" x14ac:dyDescent="0.2"/>
    <row r="24755" s="197" customFormat="1" ht="12.75" x14ac:dyDescent="0.2"/>
    <row r="24756" s="197" customFormat="1" ht="12.75" x14ac:dyDescent="0.2"/>
    <row r="24757" s="197" customFormat="1" ht="12.75" x14ac:dyDescent="0.2"/>
    <row r="24758" s="197" customFormat="1" ht="12.75" x14ac:dyDescent="0.2"/>
    <row r="24759" s="197" customFormat="1" ht="12.75" x14ac:dyDescent="0.2"/>
    <row r="24760" s="197" customFormat="1" ht="12.75" x14ac:dyDescent="0.2"/>
    <row r="24761" s="197" customFormat="1" ht="12.75" x14ac:dyDescent="0.2"/>
    <row r="24762" s="197" customFormat="1" ht="12.75" x14ac:dyDescent="0.2"/>
    <row r="24763" s="197" customFormat="1" ht="12.75" x14ac:dyDescent="0.2"/>
    <row r="24764" s="197" customFormat="1" ht="12.75" x14ac:dyDescent="0.2"/>
    <row r="24765" s="197" customFormat="1" ht="12.75" x14ac:dyDescent="0.2"/>
    <row r="24766" s="197" customFormat="1" ht="12.75" x14ac:dyDescent="0.2"/>
    <row r="24767" s="197" customFormat="1" ht="12.75" x14ac:dyDescent="0.2"/>
    <row r="24768" s="197" customFormat="1" ht="12.75" x14ac:dyDescent="0.2"/>
    <row r="24769" s="197" customFormat="1" ht="12.75" x14ac:dyDescent="0.2"/>
    <row r="24770" s="197" customFormat="1" ht="12.75" x14ac:dyDescent="0.2"/>
    <row r="24771" s="197" customFormat="1" ht="12.75" x14ac:dyDescent="0.2"/>
    <row r="24772" s="197" customFormat="1" ht="12.75" x14ac:dyDescent="0.2"/>
    <row r="24773" s="197" customFormat="1" ht="12.75" x14ac:dyDescent="0.2"/>
    <row r="24774" s="197" customFormat="1" ht="12.75" x14ac:dyDescent="0.2"/>
    <row r="24775" s="197" customFormat="1" ht="12.75" x14ac:dyDescent="0.2"/>
    <row r="24776" s="197" customFormat="1" ht="12.75" x14ac:dyDescent="0.2"/>
    <row r="24777" s="197" customFormat="1" ht="12.75" x14ac:dyDescent="0.2"/>
    <row r="24778" s="197" customFormat="1" ht="12.75" x14ac:dyDescent="0.2"/>
    <row r="24779" s="197" customFormat="1" ht="12.75" x14ac:dyDescent="0.2"/>
    <row r="24780" s="197" customFormat="1" ht="12.75" x14ac:dyDescent="0.2"/>
    <row r="24781" s="197" customFormat="1" ht="12.75" x14ac:dyDescent="0.2"/>
    <row r="24782" s="197" customFormat="1" ht="12.75" x14ac:dyDescent="0.2"/>
    <row r="24783" s="197" customFormat="1" ht="12.75" x14ac:dyDescent="0.2"/>
    <row r="24784" s="197" customFormat="1" ht="12.75" x14ac:dyDescent="0.2"/>
    <row r="24785" s="197" customFormat="1" ht="12.75" x14ac:dyDescent="0.2"/>
    <row r="24786" s="197" customFormat="1" ht="12.75" x14ac:dyDescent="0.2"/>
    <row r="24787" s="197" customFormat="1" ht="12.75" x14ac:dyDescent="0.2"/>
    <row r="24788" s="197" customFormat="1" ht="12.75" x14ac:dyDescent="0.2"/>
    <row r="24789" s="197" customFormat="1" ht="12.75" x14ac:dyDescent="0.2"/>
    <row r="24790" s="197" customFormat="1" ht="12.75" x14ac:dyDescent="0.2"/>
    <row r="24791" s="197" customFormat="1" ht="12.75" x14ac:dyDescent="0.2"/>
    <row r="24792" s="197" customFormat="1" ht="12.75" x14ac:dyDescent="0.2"/>
    <row r="24793" s="197" customFormat="1" ht="12.75" x14ac:dyDescent="0.2"/>
    <row r="24794" s="197" customFormat="1" ht="12.75" x14ac:dyDescent="0.2"/>
    <row r="24795" s="197" customFormat="1" ht="12.75" x14ac:dyDescent="0.2"/>
    <row r="24796" s="197" customFormat="1" ht="12.75" x14ac:dyDescent="0.2"/>
    <row r="24797" s="197" customFormat="1" ht="12.75" x14ac:dyDescent="0.2"/>
    <row r="24798" s="197" customFormat="1" ht="12.75" x14ac:dyDescent="0.2"/>
    <row r="24799" s="197" customFormat="1" ht="12.75" x14ac:dyDescent="0.2"/>
    <row r="24800" s="197" customFormat="1" ht="12.75" x14ac:dyDescent="0.2"/>
    <row r="24801" s="197" customFormat="1" ht="12.75" x14ac:dyDescent="0.2"/>
    <row r="24802" s="197" customFormat="1" ht="12.75" x14ac:dyDescent="0.2"/>
    <row r="24803" s="197" customFormat="1" ht="12.75" x14ac:dyDescent="0.2"/>
    <row r="24804" s="197" customFormat="1" ht="12.75" x14ac:dyDescent="0.2"/>
    <row r="24805" s="197" customFormat="1" ht="12.75" x14ac:dyDescent="0.2"/>
    <row r="24806" s="197" customFormat="1" ht="12.75" x14ac:dyDescent="0.2"/>
    <row r="24807" s="197" customFormat="1" ht="12.75" x14ac:dyDescent="0.2"/>
    <row r="24808" s="197" customFormat="1" ht="12.75" x14ac:dyDescent="0.2"/>
    <row r="24809" s="197" customFormat="1" ht="12.75" x14ac:dyDescent="0.2"/>
    <row r="24810" s="197" customFormat="1" ht="12.75" x14ac:dyDescent="0.2"/>
    <row r="24811" s="197" customFormat="1" ht="12.75" x14ac:dyDescent="0.2"/>
    <row r="24812" s="197" customFormat="1" ht="12.75" x14ac:dyDescent="0.2"/>
    <row r="24813" s="197" customFormat="1" ht="12.75" x14ac:dyDescent="0.2"/>
    <row r="24814" s="197" customFormat="1" ht="12.75" x14ac:dyDescent="0.2"/>
    <row r="24815" s="197" customFormat="1" ht="12.75" x14ac:dyDescent="0.2"/>
    <row r="24816" s="197" customFormat="1" ht="12.75" x14ac:dyDescent="0.2"/>
    <row r="24817" s="197" customFormat="1" ht="12.75" x14ac:dyDescent="0.2"/>
    <row r="24818" s="197" customFormat="1" ht="12.75" x14ac:dyDescent="0.2"/>
    <row r="24819" s="197" customFormat="1" ht="12.75" x14ac:dyDescent="0.2"/>
    <row r="24820" s="197" customFormat="1" ht="12.75" x14ac:dyDescent="0.2"/>
    <row r="24821" s="197" customFormat="1" ht="12.75" x14ac:dyDescent="0.2"/>
    <row r="24822" s="197" customFormat="1" ht="12.75" x14ac:dyDescent="0.2"/>
    <row r="24823" s="197" customFormat="1" ht="12.75" x14ac:dyDescent="0.2"/>
    <row r="24824" s="197" customFormat="1" ht="12.75" x14ac:dyDescent="0.2"/>
    <row r="24825" s="197" customFormat="1" ht="12.75" x14ac:dyDescent="0.2"/>
    <row r="24826" s="197" customFormat="1" ht="12.75" x14ac:dyDescent="0.2"/>
    <row r="24827" s="197" customFormat="1" ht="12.75" x14ac:dyDescent="0.2"/>
    <row r="24828" s="197" customFormat="1" ht="12.75" x14ac:dyDescent="0.2"/>
    <row r="24829" s="197" customFormat="1" ht="12.75" x14ac:dyDescent="0.2"/>
    <row r="24830" s="197" customFormat="1" ht="12.75" x14ac:dyDescent="0.2"/>
    <row r="24831" s="197" customFormat="1" ht="12.75" x14ac:dyDescent="0.2"/>
    <row r="24832" s="197" customFormat="1" ht="12.75" x14ac:dyDescent="0.2"/>
    <row r="24833" s="197" customFormat="1" ht="12.75" x14ac:dyDescent="0.2"/>
    <row r="24834" s="197" customFormat="1" ht="12.75" x14ac:dyDescent="0.2"/>
    <row r="24835" s="197" customFormat="1" ht="12.75" x14ac:dyDescent="0.2"/>
    <row r="24836" s="197" customFormat="1" ht="12.75" x14ac:dyDescent="0.2"/>
    <row r="24837" s="197" customFormat="1" ht="12.75" x14ac:dyDescent="0.2"/>
    <row r="24838" s="197" customFormat="1" ht="12.75" x14ac:dyDescent="0.2"/>
    <row r="24839" s="197" customFormat="1" ht="12.75" x14ac:dyDescent="0.2"/>
    <row r="24840" s="197" customFormat="1" ht="12.75" x14ac:dyDescent="0.2"/>
    <row r="24841" s="197" customFormat="1" ht="12.75" x14ac:dyDescent="0.2"/>
    <row r="24842" s="197" customFormat="1" ht="12.75" x14ac:dyDescent="0.2"/>
    <row r="24843" s="197" customFormat="1" ht="12.75" x14ac:dyDescent="0.2"/>
    <row r="24844" s="197" customFormat="1" ht="12.75" x14ac:dyDescent="0.2"/>
    <row r="24845" s="197" customFormat="1" ht="12.75" x14ac:dyDescent="0.2"/>
    <row r="24846" s="197" customFormat="1" ht="12.75" x14ac:dyDescent="0.2"/>
    <row r="24847" s="197" customFormat="1" ht="12.75" x14ac:dyDescent="0.2"/>
    <row r="24848" s="197" customFormat="1" ht="12.75" x14ac:dyDescent="0.2"/>
    <row r="24849" s="197" customFormat="1" ht="12.75" x14ac:dyDescent="0.2"/>
    <row r="24850" s="197" customFormat="1" ht="12.75" x14ac:dyDescent="0.2"/>
    <row r="24851" s="197" customFormat="1" ht="12.75" x14ac:dyDescent="0.2"/>
    <row r="24852" s="197" customFormat="1" ht="12.75" x14ac:dyDescent="0.2"/>
    <row r="24853" s="197" customFormat="1" ht="12.75" x14ac:dyDescent="0.2"/>
    <row r="24854" s="197" customFormat="1" ht="12.75" x14ac:dyDescent="0.2"/>
    <row r="24855" s="197" customFormat="1" ht="12.75" x14ac:dyDescent="0.2"/>
    <row r="24856" s="197" customFormat="1" ht="12.75" x14ac:dyDescent="0.2"/>
    <row r="24857" s="197" customFormat="1" ht="12.75" x14ac:dyDescent="0.2"/>
    <row r="24858" s="197" customFormat="1" ht="12.75" x14ac:dyDescent="0.2"/>
    <row r="24859" s="197" customFormat="1" ht="12.75" x14ac:dyDescent="0.2"/>
    <row r="24860" s="197" customFormat="1" ht="12.75" x14ac:dyDescent="0.2"/>
    <row r="24861" s="197" customFormat="1" ht="12.75" x14ac:dyDescent="0.2"/>
    <row r="24862" s="197" customFormat="1" ht="12.75" x14ac:dyDescent="0.2"/>
    <row r="24863" s="197" customFormat="1" ht="12.75" x14ac:dyDescent="0.2"/>
    <row r="24864" s="197" customFormat="1" ht="12.75" x14ac:dyDescent="0.2"/>
    <row r="24865" s="197" customFormat="1" ht="12.75" x14ac:dyDescent="0.2"/>
    <row r="24866" s="197" customFormat="1" ht="12.75" x14ac:dyDescent="0.2"/>
    <row r="24867" s="197" customFormat="1" ht="12.75" x14ac:dyDescent="0.2"/>
    <row r="24868" s="197" customFormat="1" ht="12.75" x14ac:dyDescent="0.2"/>
    <row r="24869" s="197" customFormat="1" ht="12.75" x14ac:dyDescent="0.2"/>
    <row r="24870" s="197" customFormat="1" ht="12.75" x14ac:dyDescent="0.2"/>
    <row r="24871" s="197" customFormat="1" ht="12.75" x14ac:dyDescent="0.2"/>
    <row r="24872" s="197" customFormat="1" ht="12.75" x14ac:dyDescent="0.2"/>
    <row r="24873" s="197" customFormat="1" ht="12.75" x14ac:dyDescent="0.2"/>
    <row r="24874" s="197" customFormat="1" ht="12.75" x14ac:dyDescent="0.2"/>
    <row r="24875" s="197" customFormat="1" ht="12.75" x14ac:dyDescent="0.2"/>
    <row r="24876" s="197" customFormat="1" ht="12.75" x14ac:dyDescent="0.2"/>
    <row r="24877" s="197" customFormat="1" ht="12.75" x14ac:dyDescent="0.2"/>
    <row r="24878" s="197" customFormat="1" ht="12.75" x14ac:dyDescent="0.2"/>
    <row r="24879" s="197" customFormat="1" ht="12.75" x14ac:dyDescent="0.2"/>
    <row r="24880" s="197" customFormat="1" ht="12.75" x14ac:dyDescent="0.2"/>
    <row r="24881" s="197" customFormat="1" ht="12.75" x14ac:dyDescent="0.2"/>
    <row r="24882" s="197" customFormat="1" ht="12.75" x14ac:dyDescent="0.2"/>
    <row r="24883" s="197" customFormat="1" ht="12.75" x14ac:dyDescent="0.2"/>
    <row r="24884" s="197" customFormat="1" ht="12.75" x14ac:dyDescent="0.2"/>
    <row r="24885" s="197" customFormat="1" ht="12.75" x14ac:dyDescent="0.2"/>
    <row r="24886" s="197" customFormat="1" ht="12.75" x14ac:dyDescent="0.2"/>
    <row r="24887" s="197" customFormat="1" ht="12.75" x14ac:dyDescent="0.2"/>
    <row r="24888" s="197" customFormat="1" ht="12.75" x14ac:dyDescent="0.2"/>
    <row r="24889" s="197" customFormat="1" ht="12.75" x14ac:dyDescent="0.2"/>
    <row r="24890" s="197" customFormat="1" ht="12.75" x14ac:dyDescent="0.2"/>
    <row r="24891" s="197" customFormat="1" ht="12.75" x14ac:dyDescent="0.2"/>
    <row r="24892" s="197" customFormat="1" ht="12.75" x14ac:dyDescent="0.2"/>
    <row r="24893" s="197" customFormat="1" ht="12.75" x14ac:dyDescent="0.2"/>
    <row r="24894" s="197" customFormat="1" ht="12.75" x14ac:dyDescent="0.2"/>
    <row r="24895" s="197" customFormat="1" ht="12.75" x14ac:dyDescent="0.2"/>
    <row r="24896" s="197" customFormat="1" ht="12.75" x14ac:dyDescent="0.2"/>
    <row r="24897" s="197" customFormat="1" ht="12.75" x14ac:dyDescent="0.2"/>
    <row r="24898" s="197" customFormat="1" ht="12.75" x14ac:dyDescent="0.2"/>
    <row r="24899" s="197" customFormat="1" ht="12.75" x14ac:dyDescent="0.2"/>
    <row r="24900" s="197" customFormat="1" ht="12.75" x14ac:dyDescent="0.2"/>
    <row r="24901" s="197" customFormat="1" ht="12.75" x14ac:dyDescent="0.2"/>
    <row r="24902" s="197" customFormat="1" ht="12.75" x14ac:dyDescent="0.2"/>
    <row r="24903" s="197" customFormat="1" ht="12.75" x14ac:dyDescent="0.2"/>
    <row r="24904" s="197" customFormat="1" ht="12.75" x14ac:dyDescent="0.2"/>
    <row r="24905" s="197" customFormat="1" ht="12.75" x14ac:dyDescent="0.2"/>
    <row r="24906" s="197" customFormat="1" ht="12.75" x14ac:dyDescent="0.2"/>
    <row r="24907" s="197" customFormat="1" ht="12.75" x14ac:dyDescent="0.2"/>
    <row r="24908" s="197" customFormat="1" ht="12.75" x14ac:dyDescent="0.2"/>
    <row r="24909" s="197" customFormat="1" ht="12.75" x14ac:dyDescent="0.2"/>
    <row r="24910" s="197" customFormat="1" ht="12.75" x14ac:dyDescent="0.2"/>
    <row r="24911" s="197" customFormat="1" ht="12.75" x14ac:dyDescent="0.2"/>
    <row r="24912" s="197" customFormat="1" ht="12.75" x14ac:dyDescent="0.2"/>
    <row r="24913" s="197" customFormat="1" ht="12.75" x14ac:dyDescent="0.2"/>
    <row r="24914" s="197" customFormat="1" ht="12.75" x14ac:dyDescent="0.2"/>
    <row r="24915" s="197" customFormat="1" ht="12.75" x14ac:dyDescent="0.2"/>
    <row r="24916" s="197" customFormat="1" ht="12.75" x14ac:dyDescent="0.2"/>
    <row r="24917" s="197" customFormat="1" ht="12.75" x14ac:dyDescent="0.2"/>
    <row r="24918" s="197" customFormat="1" ht="12.75" x14ac:dyDescent="0.2"/>
    <row r="24919" s="197" customFormat="1" ht="12.75" x14ac:dyDescent="0.2"/>
    <row r="24920" s="197" customFormat="1" ht="12.75" x14ac:dyDescent="0.2"/>
    <row r="24921" s="197" customFormat="1" ht="12.75" x14ac:dyDescent="0.2"/>
    <row r="24922" s="197" customFormat="1" ht="12.75" x14ac:dyDescent="0.2"/>
    <row r="24923" s="197" customFormat="1" ht="12.75" x14ac:dyDescent="0.2"/>
    <row r="24924" s="197" customFormat="1" ht="12.75" x14ac:dyDescent="0.2"/>
    <row r="24925" s="197" customFormat="1" ht="12.75" x14ac:dyDescent="0.2"/>
    <row r="24926" s="197" customFormat="1" ht="12.75" x14ac:dyDescent="0.2"/>
    <row r="24927" s="197" customFormat="1" ht="12.75" x14ac:dyDescent="0.2"/>
    <row r="24928" s="197" customFormat="1" ht="12.75" x14ac:dyDescent="0.2"/>
    <row r="24929" s="197" customFormat="1" ht="12.75" x14ac:dyDescent="0.2"/>
    <row r="24930" s="197" customFormat="1" ht="12.75" x14ac:dyDescent="0.2"/>
    <row r="24931" s="197" customFormat="1" ht="12.75" x14ac:dyDescent="0.2"/>
    <row r="24932" s="197" customFormat="1" ht="12.75" x14ac:dyDescent="0.2"/>
    <row r="24933" s="197" customFormat="1" ht="12.75" x14ac:dyDescent="0.2"/>
    <row r="24934" s="197" customFormat="1" ht="12.75" x14ac:dyDescent="0.2"/>
    <row r="24935" s="197" customFormat="1" ht="12.75" x14ac:dyDescent="0.2"/>
    <row r="24936" s="197" customFormat="1" ht="12.75" x14ac:dyDescent="0.2"/>
    <row r="24937" s="197" customFormat="1" ht="12.75" x14ac:dyDescent="0.2"/>
    <row r="24938" s="197" customFormat="1" ht="12.75" x14ac:dyDescent="0.2"/>
    <row r="24939" s="197" customFormat="1" ht="12.75" x14ac:dyDescent="0.2"/>
    <row r="24940" s="197" customFormat="1" ht="12.75" x14ac:dyDescent="0.2"/>
    <row r="24941" s="197" customFormat="1" ht="12.75" x14ac:dyDescent="0.2"/>
    <row r="24942" s="197" customFormat="1" ht="12.75" x14ac:dyDescent="0.2"/>
    <row r="24943" s="197" customFormat="1" ht="12.75" x14ac:dyDescent="0.2"/>
    <row r="24944" s="197" customFormat="1" ht="12.75" x14ac:dyDescent="0.2"/>
    <row r="24945" s="197" customFormat="1" ht="12.75" x14ac:dyDescent="0.2"/>
    <row r="24946" s="197" customFormat="1" ht="12.75" x14ac:dyDescent="0.2"/>
    <row r="24947" s="197" customFormat="1" ht="12.75" x14ac:dyDescent="0.2"/>
    <row r="24948" s="197" customFormat="1" ht="12.75" x14ac:dyDescent="0.2"/>
    <row r="24949" s="197" customFormat="1" ht="12.75" x14ac:dyDescent="0.2"/>
    <row r="24950" s="197" customFormat="1" ht="12.75" x14ac:dyDescent="0.2"/>
    <row r="24951" s="197" customFormat="1" ht="12.75" x14ac:dyDescent="0.2"/>
    <row r="24952" s="197" customFormat="1" ht="12.75" x14ac:dyDescent="0.2"/>
    <row r="24953" s="197" customFormat="1" ht="12.75" x14ac:dyDescent="0.2"/>
    <row r="24954" s="197" customFormat="1" ht="12.75" x14ac:dyDescent="0.2"/>
    <row r="24955" s="197" customFormat="1" ht="12.75" x14ac:dyDescent="0.2"/>
    <row r="24956" s="197" customFormat="1" ht="12.75" x14ac:dyDescent="0.2"/>
    <row r="24957" s="197" customFormat="1" ht="12.75" x14ac:dyDescent="0.2"/>
    <row r="24958" s="197" customFormat="1" ht="12.75" x14ac:dyDescent="0.2"/>
    <row r="24959" s="197" customFormat="1" ht="12.75" x14ac:dyDescent="0.2"/>
    <row r="24960" s="197" customFormat="1" ht="12.75" x14ac:dyDescent="0.2"/>
    <row r="24961" s="197" customFormat="1" ht="12.75" x14ac:dyDescent="0.2"/>
    <row r="24962" s="197" customFormat="1" ht="12.75" x14ac:dyDescent="0.2"/>
    <row r="24963" s="197" customFormat="1" ht="12.75" x14ac:dyDescent="0.2"/>
    <row r="24964" s="197" customFormat="1" ht="12.75" x14ac:dyDescent="0.2"/>
    <row r="24965" s="197" customFormat="1" ht="12.75" x14ac:dyDescent="0.2"/>
    <row r="24966" s="197" customFormat="1" ht="12.75" x14ac:dyDescent="0.2"/>
    <row r="24967" s="197" customFormat="1" ht="12.75" x14ac:dyDescent="0.2"/>
    <row r="24968" s="197" customFormat="1" ht="12.75" x14ac:dyDescent="0.2"/>
    <row r="24969" s="197" customFormat="1" ht="12.75" x14ac:dyDescent="0.2"/>
    <row r="24970" s="197" customFormat="1" ht="12.75" x14ac:dyDescent="0.2"/>
    <row r="24971" s="197" customFormat="1" ht="12.75" x14ac:dyDescent="0.2"/>
    <row r="24972" s="197" customFormat="1" ht="12.75" x14ac:dyDescent="0.2"/>
    <row r="24973" s="197" customFormat="1" ht="12.75" x14ac:dyDescent="0.2"/>
    <row r="24974" s="197" customFormat="1" ht="12.75" x14ac:dyDescent="0.2"/>
    <row r="24975" s="197" customFormat="1" ht="12.75" x14ac:dyDescent="0.2"/>
    <row r="24976" s="197" customFormat="1" ht="12.75" x14ac:dyDescent="0.2"/>
    <row r="24977" s="197" customFormat="1" ht="12.75" x14ac:dyDescent="0.2"/>
    <row r="24978" s="197" customFormat="1" ht="12.75" x14ac:dyDescent="0.2"/>
    <row r="24979" s="197" customFormat="1" ht="12.75" x14ac:dyDescent="0.2"/>
    <row r="24980" s="197" customFormat="1" ht="12.75" x14ac:dyDescent="0.2"/>
    <row r="24981" s="197" customFormat="1" ht="12.75" x14ac:dyDescent="0.2"/>
    <row r="24982" s="197" customFormat="1" ht="12.75" x14ac:dyDescent="0.2"/>
    <row r="24983" s="197" customFormat="1" ht="12.75" x14ac:dyDescent="0.2"/>
    <row r="24984" s="197" customFormat="1" ht="12.75" x14ac:dyDescent="0.2"/>
    <row r="24985" s="197" customFormat="1" ht="12.75" x14ac:dyDescent="0.2"/>
    <row r="24986" s="197" customFormat="1" ht="12.75" x14ac:dyDescent="0.2"/>
    <row r="24987" s="197" customFormat="1" ht="12.75" x14ac:dyDescent="0.2"/>
    <row r="24988" s="197" customFormat="1" ht="12.75" x14ac:dyDescent="0.2"/>
    <row r="24989" s="197" customFormat="1" ht="12.75" x14ac:dyDescent="0.2"/>
    <row r="24990" s="197" customFormat="1" ht="12.75" x14ac:dyDescent="0.2"/>
    <row r="24991" s="197" customFormat="1" ht="12.75" x14ac:dyDescent="0.2"/>
    <row r="24992" s="197" customFormat="1" ht="12.75" x14ac:dyDescent="0.2"/>
    <row r="24993" s="197" customFormat="1" ht="12.75" x14ac:dyDescent="0.2"/>
    <row r="24994" s="197" customFormat="1" ht="12.75" x14ac:dyDescent="0.2"/>
    <row r="24995" s="197" customFormat="1" ht="12.75" x14ac:dyDescent="0.2"/>
    <row r="24996" s="197" customFormat="1" ht="12.75" x14ac:dyDescent="0.2"/>
    <row r="24997" s="197" customFormat="1" ht="12.75" x14ac:dyDescent="0.2"/>
    <row r="24998" s="197" customFormat="1" ht="12.75" x14ac:dyDescent="0.2"/>
    <row r="24999" s="197" customFormat="1" ht="12.75" x14ac:dyDescent="0.2"/>
    <row r="25000" s="197" customFormat="1" ht="12.75" x14ac:dyDescent="0.2"/>
    <row r="25001" s="197" customFormat="1" ht="12.75" x14ac:dyDescent="0.2"/>
    <row r="25002" s="197" customFormat="1" ht="12.75" x14ac:dyDescent="0.2"/>
    <row r="25003" s="197" customFormat="1" ht="12.75" x14ac:dyDescent="0.2"/>
    <row r="25004" s="197" customFormat="1" ht="12.75" x14ac:dyDescent="0.2"/>
    <row r="25005" s="197" customFormat="1" ht="12.75" x14ac:dyDescent="0.2"/>
    <row r="25006" s="197" customFormat="1" ht="12.75" x14ac:dyDescent="0.2"/>
    <row r="25007" s="197" customFormat="1" ht="12.75" x14ac:dyDescent="0.2"/>
    <row r="25008" s="197" customFormat="1" ht="12.75" x14ac:dyDescent="0.2"/>
    <row r="25009" s="197" customFormat="1" ht="12.75" x14ac:dyDescent="0.2"/>
    <row r="25010" s="197" customFormat="1" ht="12.75" x14ac:dyDescent="0.2"/>
    <row r="25011" s="197" customFormat="1" ht="12.75" x14ac:dyDescent="0.2"/>
    <row r="25012" s="197" customFormat="1" ht="12.75" x14ac:dyDescent="0.2"/>
    <row r="25013" s="197" customFormat="1" ht="12.75" x14ac:dyDescent="0.2"/>
    <row r="25014" s="197" customFormat="1" ht="12.75" x14ac:dyDescent="0.2"/>
    <row r="25015" s="197" customFormat="1" ht="12.75" x14ac:dyDescent="0.2"/>
    <row r="25016" s="197" customFormat="1" ht="12.75" x14ac:dyDescent="0.2"/>
    <row r="25017" s="197" customFormat="1" ht="12.75" x14ac:dyDescent="0.2"/>
    <row r="25018" s="197" customFormat="1" ht="12.75" x14ac:dyDescent="0.2"/>
    <row r="25019" s="197" customFormat="1" ht="12.75" x14ac:dyDescent="0.2"/>
    <row r="25020" s="197" customFormat="1" ht="12.75" x14ac:dyDescent="0.2"/>
    <row r="25021" s="197" customFormat="1" ht="12.75" x14ac:dyDescent="0.2"/>
    <row r="25022" s="197" customFormat="1" ht="12.75" x14ac:dyDescent="0.2"/>
    <row r="25023" s="197" customFormat="1" ht="12.75" x14ac:dyDescent="0.2"/>
    <row r="25024" s="197" customFormat="1" ht="12.75" x14ac:dyDescent="0.2"/>
    <row r="25025" s="197" customFormat="1" ht="12.75" x14ac:dyDescent="0.2"/>
    <row r="25026" s="197" customFormat="1" ht="12.75" x14ac:dyDescent="0.2"/>
    <row r="25027" s="197" customFormat="1" ht="12.75" x14ac:dyDescent="0.2"/>
    <row r="25028" s="197" customFormat="1" ht="12.75" x14ac:dyDescent="0.2"/>
    <row r="25029" s="197" customFormat="1" ht="12.75" x14ac:dyDescent="0.2"/>
    <row r="25030" s="197" customFormat="1" ht="12.75" x14ac:dyDescent="0.2"/>
    <row r="25031" s="197" customFormat="1" ht="12.75" x14ac:dyDescent="0.2"/>
    <row r="25032" s="197" customFormat="1" ht="12.75" x14ac:dyDescent="0.2"/>
    <row r="25033" s="197" customFormat="1" ht="12.75" x14ac:dyDescent="0.2"/>
    <row r="25034" s="197" customFormat="1" ht="12.75" x14ac:dyDescent="0.2"/>
    <row r="25035" s="197" customFormat="1" ht="12.75" x14ac:dyDescent="0.2"/>
    <row r="25036" s="197" customFormat="1" ht="12.75" x14ac:dyDescent="0.2"/>
    <row r="25037" s="197" customFormat="1" ht="12.75" x14ac:dyDescent="0.2"/>
    <row r="25038" s="197" customFormat="1" ht="12.75" x14ac:dyDescent="0.2"/>
    <row r="25039" s="197" customFormat="1" ht="12.75" x14ac:dyDescent="0.2"/>
    <row r="25040" s="197" customFormat="1" ht="12.75" x14ac:dyDescent="0.2"/>
    <row r="25041" s="197" customFormat="1" ht="12.75" x14ac:dyDescent="0.2"/>
    <row r="25042" s="197" customFormat="1" ht="12.75" x14ac:dyDescent="0.2"/>
    <row r="25043" s="197" customFormat="1" ht="12.75" x14ac:dyDescent="0.2"/>
    <row r="25044" s="197" customFormat="1" ht="12.75" x14ac:dyDescent="0.2"/>
    <row r="25045" s="197" customFormat="1" ht="12.75" x14ac:dyDescent="0.2"/>
    <row r="25046" s="197" customFormat="1" ht="12.75" x14ac:dyDescent="0.2"/>
    <row r="25047" s="197" customFormat="1" ht="12.75" x14ac:dyDescent="0.2"/>
    <row r="25048" s="197" customFormat="1" ht="12.75" x14ac:dyDescent="0.2"/>
    <row r="25049" s="197" customFormat="1" ht="12.75" x14ac:dyDescent="0.2"/>
    <row r="25050" s="197" customFormat="1" ht="12.75" x14ac:dyDescent="0.2"/>
    <row r="25051" s="197" customFormat="1" ht="12.75" x14ac:dyDescent="0.2"/>
    <row r="25052" s="197" customFormat="1" ht="12.75" x14ac:dyDescent="0.2"/>
    <row r="25053" s="197" customFormat="1" ht="12.75" x14ac:dyDescent="0.2"/>
    <row r="25054" s="197" customFormat="1" ht="12.75" x14ac:dyDescent="0.2"/>
    <row r="25055" s="197" customFormat="1" ht="12.75" x14ac:dyDescent="0.2"/>
    <row r="25056" s="197" customFormat="1" ht="12.75" x14ac:dyDescent="0.2"/>
    <row r="25057" s="197" customFormat="1" ht="12.75" x14ac:dyDescent="0.2"/>
    <row r="25058" s="197" customFormat="1" ht="12.75" x14ac:dyDescent="0.2"/>
    <row r="25059" s="197" customFormat="1" ht="12.75" x14ac:dyDescent="0.2"/>
    <row r="25060" s="197" customFormat="1" ht="12.75" x14ac:dyDescent="0.2"/>
    <row r="25061" s="197" customFormat="1" ht="12.75" x14ac:dyDescent="0.2"/>
    <row r="25062" s="197" customFormat="1" ht="12.75" x14ac:dyDescent="0.2"/>
    <row r="25063" s="197" customFormat="1" ht="12.75" x14ac:dyDescent="0.2"/>
    <row r="25064" s="197" customFormat="1" ht="12.75" x14ac:dyDescent="0.2"/>
    <row r="25065" s="197" customFormat="1" ht="12.75" x14ac:dyDescent="0.2"/>
    <row r="25066" s="197" customFormat="1" ht="12.75" x14ac:dyDescent="0.2"/>
    <row r="25067" s="197" customFormat="1" ht="12.75" x14ac:dyDescent="0.2"/>
    <row r="25068" s="197" customFormat="1" ht="12.75" x14ac:dyDescent="0.2"/>
    <row r="25069" s="197" customFormat="1" ht="12.75" x14ac:dyDescent="0.2"/>
    <row r="25070" s="197" customFormat="1" ht="12.75" x14ac:dyDescent="0.2"/>
    <row r="25071" s="197" customFormat="1" ht="12.75" x14ac:dyDescent="0.2"/>
    <row r="25072" s="197" customFormat="1" ht="12.75" x14ac:dyDescent="0.2"/>
    <row r="25073" s="197" customFormat="1" ht="12.75" x14ac:dyDescent="0.2"/>
    <row r="25074" s="197" customFormat="1" ht="12.75" x14ac:dyDescent="0.2"/>
    <row r="25075" s="197" customFormat="1" ht="12.75" x14ac:dyDescent="0.2"/>
    <row r="25076" s="197" customFormat="1" ht="12.75" x14ac:dyDescent="0.2"/>
    <row r="25077" s="197" customFormat="1" ht="12.75" x14ac:dyDescent="0.2"/>
    <row r="25078" s="197" customFormat="1" ht="12.75" x14ac:dyDescent="0.2"/>
    <row r="25079" s="197" customFormat="1" ht="12.75" x14ac:dyDescent="0.2"/>
    <row r="25080" s="197" customFormat="1" ht="12.75" x14ac:dyDescent="0.2"/>
    <row r="25081" s="197" customFormat="1" ht="12.75" x14ac:dyDescent="0.2"/>
    <row r="25082" s="197" customFormat="1" ht="12.75" x14ac:dyDescent="0.2"/>
    <row r="25083" s="197" customFormat="1" ht="12.75" x14ac:dyDescent="0.2"/>
    <row r="25084" s="197" customFormat="1" ht="12.75" x14ac:dyDescent="0.2"/>
    <row r="25085" s="197" customFormat="1" ht="12.75" x14ac:dyDescent="0.2"/>
    <row r="25086" s="197" customFormat="1" ht="12.75" x14ac:dyDescent="0.2"/>
    <row r="25087" s="197" customFormat="1" ht="12.75" x14ac:dyDescent="0.2"/>
    <row r="25088" s="197" customFormat="1" ht="12.75" x14ac:dyDescent="0.2"/>
    <row r="25089" s="197" customFormat="1" ht="12.75" x14ac:dyDescent="0.2"/>
    <row r="25090" s="197" customFormat="1" ht="12.75" x14ac:dyDescent="0.2"/>
    <row r="25091" s="197" customFormat="1" ht="12.75" x14ac:dyDescent="0.2"/>
    <row r="25092" s="197" customFormat="1" ht="12.75" x14ac:dyDescent="0.2"/>
    <row r="25093" s="197" customFormat="1" ht="12.75" x14ac:dyDescent="0.2"/>
    <row r="25094" s="197" customFormat="1" ht="12.75" x14ac:dyDescent="0.2"/>
    <row r="25095" s="197" customFormat="1" ht="12.75" x14ac:dyDescent="0.2"/>
    <row r="25096" s="197" customFormat="1" ht="12.75" x14ac:dyDescent="0.2"/>
    <row r="25097" s="197" customFormat="1" ht="12.75" x14ac:dyDescent="0.2"/>
    <row r="25098" s="197" customFormat="1" ht="12.75" x14ac:dyDescent="0.2"/>
    <row r="25099" s="197" customFormat="1" ht="12.75" x14ac:dyDescent="0.2"/>
    <row r="25100" s="197" customFormat="1" ht="12.75" x14ac:dyDescent="0.2"/>
    <row r="25101" s="197" customFormat="1" ht="12.75" x14ac:dyDescent="0.2"/>
    <row r="25102" s="197" customFormat="1" ht="12.75" x14ac:dyDescent="0.2"/>
    <row r="25103" s="197" customFormat="1" ht="12.75" x14ac:dyDescent="0.2"/>
    <row r="25104" s="197" customFormat="1" ht="12.75" x14ac:dyDescent="0.2"/>
    <row r="25105" s="197" customFormat="1" ht="12.75" x14ac:dyDescent="0.2"/>
    <row r="25106" s="197" customFormat="1" ht="12.75" x14ac:dyDescent="0.2"/>
    <row r="25107" s="197" customFormat="1" ht="12.75" x14ac:dyDescent="0.2"/>
    <row r="25108" s="197" customFormat="1" ht="12.75" x14ac:dyDescent="0.2"/>
    <row r="25109" s="197" customFormat="1" ht="12.75" x14ac:dyDescent="0.2"/>
    <row r="25110" s="197" customFormat="1" ht="12.75" x14ac:dyDescent="0.2"/>
    <row r="25111" s="197" customFormat="1" ht="12.75" x14ac:dyDescent="0.2"/>
    <row r="25112" s="197" customFormat="1" ht="12.75" x14ac:dyDescent="0.2"/>
    <row r="25113" s="197" customFormat="1" ht="12.75" x14ac:dyDescent="0.2"/>
    <row r="25114" s="197" customFormat="1" ht="12.75" x14ac:dyDescent="0.2"/>
    <row r="25115" s="197" customFormat="1" ht="12.75" x14ac:dyDescent="0.2"/>
    <row r="25116" s="197" customFormat="1" ht="12.75" x14ac:dyDescent="0.2"/>
    <row r="25117" s="197" customFormat="1" ht="12.75" x14ac:dyDescent="0.2"/>
    <row r="25118" s="197" customFormat="1" ht="12.75" x14ac:dyDescent="0.2"/>
    <row r="25119" s="197" customFormat="1" ht="12.75" x14ac:dyDescent="0.2"/>
    <row r="25120" s="197" customFormat="1" ht="12.75" x14ac:dyDescent="0.2"/>
    <row r="25121" s="197" customFormat="1" ht="12.75" x14ac:dyDescent="0.2"/>
    <row r="25122" s="197" customFormat="1" ht="12.75" x14ac:dyDescent="0.2"/>
    <row r="25123" s="197" customFormat="1" ht="12.75" x14ac:dyDescent="0.2"/>
    <row r="25124" s="197" customFormat="1" ht="12.75" x14ac:dyDescent="0.2"/>
    <row r="25125" s="197" customFormat="1" ht="12.75" x14ac:dyDescent="0.2"/>
    <row r="25126" s="197" customFormat="1" ht="12.75" x14ac:dyDescent="0.2"/>
    <row r="25127" s="197" customFormat="1" ht="12.75" x14ac:dyDescent="0.2"/>
    <row r="25128" s="197" customFormat="1" ht="12.75" x14ac:dyDescent="0.2"/>
    <row r="25129" s="197" customFormat="1" ht="12.75" x14ac:dyDescent="0.2"/>
    <row r="25130" s="197" customFormat="1" ht="12.75" x14ac:dyDescent="0.2"/>
    <row r="25131" s="197" customFormat="1" ht="12.75" x14ac:dyDescent="0.2"/>
    <row r="25132" s="197" customFormat="1" ht="12.75" x14ac:dyDescent="0.2"/>
    <row r="25133" s="197" customFormat="1" ht="12.75" x14ac:dyDescent="0.2"/>
    <row r="25134" s="197" customFormat="1" ht="12.75" x14ac:dyDescent="0.2"/>
    <row r="25135" s="197" customFormat="1" ht="12.75" x14ac:dyDescent="0.2"/>
    <row r="25136" s="197" customFormat="1" ht="12.75" x14ac:dyDescent="0.2"/>
    <row r="25137" s="197" customFormat="1" ht="12.75" x14ac:dyDescent="0.2"/>
    <row r="25138" s="197" customFormat="1" ht="12.75" x14ac:dyDescent="0.2"/>
    <row r="25139" s="197" customFormat="1" ht="12.75" x14ac:dyDescent="0.2"/>
    <row r="25140" s="197" customFormat="1" ht="12.75" x14ac:dyDescent="0.2"/>
    <row r="25141" s="197" customFormat="1" ht="12.75" x14ac:dyDescent="0.2"/>
    <row r="25142" s="197" customFormat="1" ht="12.75" x14ac:dyDescent="0.2"/>
    <row r="25143" s="197" customFormat="1" ht="12.75" x14ac:dyDescent="0.2"/>
    <row r="25144" s="197" customFormat="1" ht="12.75" x14ac:dyDescent="0.2"/>
    <row r="25145" s="197" customFormat="1" ht="12.75" x14ac:dyDescent="0.2"/>
    <row r="25146" s="197" customFormat="1" ht="12.75" x14ac:dyDescent="0.2"/>
    <row r="25147" s="197" customFormat="1" ht="12.75" x14ac:dyDescent="0.2"/>
    <row r="25148" s="197" customFormat="1" ht="12.75" x14ac:dyDescent="0.2"/>
    <row r="25149" s="197" customFormat="1" ht="12.75" x14ac:dyDescent="0.2"/>
    <row r="25150" s="197" customFormat="1" ht="12.75" x14ac:dyDescent="0.2"/>
    <row r="25151" s="197" customFormat="1" ht="12.75" x14ac:dyDescent="0.2"/>
    <row r="25152" s="197" customFormat="1" ht="12.75" x14ac:dyDescent="0.2"/>
    <row r="25153" s="197" customFormat="1" ht="12.75" x14ac:dyDescent="0.2"/>
    <row r="25154" s="197" customFormat="1" ht="12.75" x14ac:dyDescent="0.2"/>
    <row r="25155" s="197" customFormat="1" ht="12.75" x14ac:dyDescent="0.2"/>
    <row r="25156" s="197" customFormat="1" ht="12.75" x14ac:dyDescent="0.2"/>
    <row r="25157" s="197" customFormat="1" ht="12.75" x14ac:dyDescent="0.2"/>
    <row r="25158" s="197" customFormat="1" ht="12.75" x14ac:dyDescent="0.2"/>
    <row r="25159" s="197" customFormat="1" ht="12.75" x14ac:dyDescent="0.2"/>
    <row r="25160" s="197" customFormat="1" ht="12.75" x14ac:dyDescent="0.2"/>
    <row r="25161" s="197" customFormat="1" ht="12.75" x14ac:dyDescent="0.2"/>
    <row r="25162" s="197" customFormat="1" ht="12.75" x14ac:dyDescent="0.2"/>
    <row r="25163" s="197" customFormat="1" ht="12.75" x14ac:dyDescent="0.2"/>
    <row r="25164" s="197" customFormat="1" ht="12.75" x14ac:dyDescent="0.2"/>
    <row r="25165" s="197" customFormat="1" ht="12.75" x14ac:dyDescent="0.2"/>
    <row r="25166" s="197" customFormat="1" ht="12.75" x14ac:dyDescent="0.2"/>
    <row r="25167" s="197" customFormat="1" ht="12.75" x14ac:dyDescent="0.2"/>
    <row r="25168" s="197" customFormat="1" ht="12.75" x14ac:dyDescent="0.2"/>
    <row r="25169" s="197" customFormat="1" ht="12.75" x14ac:dyDescent="0.2"/>
    <row r="25170" s="197" customFormat="1" ht="12.75" x14ac:dyDescent="0.2"/>
    <row r="25171" s="197" customFormat="1" ht="12.75" x14ac:dyDescent="0.2"/>
    <row r="25172" s="197" customFormat="1" ht="12.75" x14ac:dyDescent="0.2"/>
    <row r="25173" s="197" customFormat="1" ht="12.75" x14ac:dyDescent="0.2"/>
    <row r="25174" s="197" customFormat="1" ht="12.75" x14ac:dyDescent="0.2"/>
    <row r="25175" s="197" customFormat="1" ht="12.75" x14ac:dyDescent="0.2"/>
    <row r="25176" s="197" customFormat="1" ht="12.75" x14ac:dyDescent="0.2"/>
    <row r="25177" s="197" customFormat="1" ht="12.75" x14ac:dyDescent="0.2"/>
    <row r="25178" s="197" customFormat="1" ht="12.75" x14ac:dyDescent="0.2"/>
    <row r="25179" s="197" customFormat="1" ht="12.75" x14ac:dyDescent="0.2"/>
    <row r="25180" s="197" customFormat="1" ht="12.75" x14ac:dyDescent="0.2"/>
    <row r="25181" s="197" customFormat="1" ht="12.75" x14ac:dyDescent="0.2"/>
    <row r="25182" s="197" customFormat="1" ht="12.75" x14ac:dyDescent="0.2"/>
    <row r="25183" s="197" customFormat="1" ht="12.75" x14ac:dyDescent="0.2"/>
    <row r="25184" s="197" customFormat="1" ht="12.75" x14ac:dyDescent="0.2"/>
    <row r="25185" s="197" customFormat="1" ht="12.75" x14ac:dyDescent="0.2"/>
    <row r="25186" s="197" customFormat="1" ht="12.75" x14ac:dyDescent="0.2"/>
    <row r="25187" s="197" customFormat="1" ht="12.75" x14ac:dyDescent="0.2"/>
    <row r="25188" s="197" customFormat="1" ht="12.75" x14ac:dyDescent="0.2"/>
    <row r="25189" s="197" customFormat="1" ht="12.75" x14ac:dyDescent="0.2"/>
    <row r="25190" s="197" customFormat="1" ht="12.75" x14ac:dyDescent="0.2"/>
    <row r="25191" s="197" customFormat="1" ht="12.75" x14ac:dyDescent="0.2"/>
    <row r="25192" s="197" customFormat="1" ht="12.75" x14ac:dyDescent="0.2"/>
    <row r="25193" s="197" customFormat="1" ht="12.75" x14ac:dyDescent="0.2"/>
    <row r="25194" s="197" customFormat="1" ht="12.75" x14ac:dyDescent="0.2"/>
    <row r="25195" s="197" customFormat="1" ht="12.75" x14ac:dyDescent="0.2"/>
    <row r="25196" s="197" customFormat="1" ht="12.75" x14ac:dyDescent="0.2"/>
    <row r="25197" s="197" customFormat="1" ht="12.75" x14ac:dyDescent="0.2"/>
    <row r="25198" s="197" customFormat="1" ht="12.75" x14ac:dyDescent="0.2"/>
    <row r="25199" s="197" customFormat="1" ht="12.75" x14ac:dyDescent="0.2"/>
    <row r="25200" s="197" customFormat="1" ht="12.75" x14ac:dyDescent="0.2"/>
    <row r="25201" s="197" customFormat="1" ht="12.75" x14ac:dyDescent="0.2"/>
    <row r="25202" s="197" customFormat="1" ht="12.75" x14ac:dyDescent="0.2"/>
    <row r="25203" s="197" customFormat="1" ht="12.75" x14ac:dyDescent="0.2"/>
    <row r="25204" s="197" customFormat="1" ht="12.75" x14ac:dyDescent="0.2"/>
    <row r="25205" s="197" customFormat="1" ht="12.75" x14ac:dyDescent="0.2"/>
    <row r="25206" s="197" customFormat="1" ht="12.75" x14ac:dyDescent="0.2"/>
    <row r="25207" s="197" customFormat="1" ht="12.75" x14ac:dyDescent="0.2"/>
    <row r="25208" s="197" customFormat="1" ht="12.75" x14ac:dyDescent="0.2"/>
    <row r="25209" s="197" customFormat="1" ht="12.75" x14ac:dyDescent="0.2"/>
    <row r="25210" s="197" customFormat="1" ht="12.75" x14ac:dyDescent="0.2"/>
    <row r="25211" s="197" customFormat="1" ht="12.75" x14ac:dyDescent="0.2"/>
    <row r="25212" s="197" customFormat="1" ht="12.75" x14ac:dyDescent="0.2"/>
    <row r="25213" s="197" customFormat="1" ht="12.75" x14ac:dyDescent="0.2"/>
    <row r="25214" s="197" customFormat="1" ht="12.75" x14ac:dyDescent="0.2"/>
    <row r="25215" s="197" customFormat="1" ht="12.75" x14ac:dyDescent="0.2"/>
    <row r="25216" s="197" customFormat="1" ht="12.75" x14ac:dyDescent="0.2"/>
    <row r="25217" s="197" customFormat="1" ht="12.75" x14ac:dyDescent="0.2"/>
    <row r="25218" s="197" customFormat="1" ht="12.75" x14ac:dyDescent="0.2"/>
    <row r="25219" s="197" customFormat="1" ht="12.75" x14ac:dyDescent="0.2"/>
    <row r="25220" s="197" customFormat="1" ht="12.75" x14ac:dyDescent="0.2"/>
    <row r="25221" s="197" customFormat="1" ht="12.75" x14ac:dyDescent="0.2"/>
    <row r="25222" s="197" customFormat="1" ht="12.75" x14ac:dyDescent="0.2"/>
    <row r="25223" s="197" customFormat="1" ht="12.75" x14ac:dyDescent="0.2"/>
    <row r="25224" s="197" customFormat="1" ht="12.75" x14ac:dyDescent="0.2"/>
    <row r="25225" s="197" customFormat="1" ht="12.75" x14ac:dyDescent="0.2"/>
    <row r="25226" s="197" customFormat="1" ht="12.75" x14ac:dyDescent="0.2"/>
    <row r="25227" s="197" customFormat="1" ht="12.75" x14ac:dyDescent="0.2"/>
    <row r="25228" s="197" customFormat="1" ht="12.75" x14ac:dyDescent="0.2"/>
    <row r="25229" s="197" customFormat="1" ht="12.75" x14ac:dyDescent="0.2"/>
    <row r="25230" s="197" customFormat="1" ht="12.75" x14ac:dyDescent="0.2"/>
    <row r="25231" s="197" customFormat="1" ht="12.75" x14ac:dyDescent="0.2"/>
    <row r="25232" s="197" customFormat="1" ht="12.75" x14ac:dyDescent="0.2"/>
    <row r="25233" s="197" customFormat="1" ht="12.75" x14ac:dyDescent="0.2"/>
    <row r="25234" s="197" customFormat="1" ht="12.75" x14ac:dyDescent="0.2"/>
    <row r="25235" s="197" customFormat="1" ht="12.75" x14ac:dyDescent="0.2"/>
    <row r="25236" s="197" customFormat="1" ht="12.75" x14ac:dyDescent="0.2"/>
    <row r="25237" s="197" customFormat="1" ht="12.75" x14ac:dyDescent="0.2"/>
    <row r="25238" s="197" customFormat="1" ht="12.75" x14ac:dyDescent="0.2"/>
    <row r="25239" s="197" customFormat="1" ht="12.75" x14ac:dyDescent="0.2"/>
    <row r="25240" s="197" customFormat="1" ht="12.75" x14ac:dyDescent="0.2"/>
    <row r="25241" s="197" customFormat="1" ht="12.75" x14ac:dyDescent="0.2"/>
    <row r="25242" s="197" customFormat="1" ht="12.75" x14ac:dyDescent="0.2"/>
    <row r="25243" s="197" customFormat="1" ht="12.75" x14ac:dyDescent="0.2"/>
    <row r="25244" s="197" customFormat="1" ht="12.75" x14ac:dyDescent="0.2"/>
    <row r="25245" s="197" customFormat="1" ht="12.75" x14ac:dyDescent="0.2"/>
    <row r="25246" s="197" customFormat="1" ht="12.75" x14ac:dyDescent="0.2"/>
    <row r="25247" s="197" customFormat="1" ht="12.75" x14ac:dyDescent="0.2"/>
    <row r="25248" s="197" customFormat="1" ht="12.75" x14ac:dyDescent="0.2"/>
    <row r="25249" s="197" customFormat="1" ht="12.75" x14ac:dyDescent="0.2"/>
    <row r="25250" s="197" customFormat="1" ht="12.75" x14ac:dyDescent="0.2"/>
    <row r="25251" s="197" customFormat="1" ht="12.75" x14ac:dyDescent="0.2"/>
    <row r="25252" s="197" customFormat="1" ht="12.75" x14ac:dyDescent="0.2"/>
    <row r="25253" s="197" customFormat="1" ht="12.75" x14ac:dyDescent="0.2"/>
    <row r="25254" s="197" customFormat="1" ht="12.75" x14ac:dyDescent="0.2"/>
    <row r="25255" s="197" customFormat="1" ht="12.75" x14ac:dyDescent="0.2"/>
    <row r="25256" s="197" customFormat="1" ht="12.75" x14ac:dyDescent="0.2"/>
    <row r="25257" s="197" customFormat="1" ht="12.75" x14ac:dyDescent="0.2"/>
    <row r="25258" s="197" customFormat="1" ht="12.75" x14ac:dyDescent="0.2"/>
    <row r="25259" s="197" customFormat="1" ht="12.75" x14ac:dyDescent="0.2"/>
    <row r="25260" s="197" customFormat="1" ht="12.75" x14ac:dyDescent="0.2"/>
    <row r="25261" s="197" customFormat="1" ht="12.75" x14ac:dyDescent="0.2"/>
    <row r="25262" s="197" customFormat="1" ht="12.75" x14ac:dyDescent="0.2"/>
    <row r="25263" s="197" customFormat="1" ht="12.75" x14ac:dyDescent="0.2"/>
    <row r="25264" s="197" customFormat="1" ht="12.75" x14ac:dyDescent="0.2"/>
    <row r="25265" s="197" customFormat="1" ht="12.75" x14ac:dyDescent="0.2"/>
    <row r="25266" s="197" customFormat="1" ht="12.75" x14ac:dyDescent="0.2"/>
    <row r="25267" s="197" customFormat="1" ht="12.75" x14ac:dyDescent="0.2"/>
    <row r="25268" s="197" customFormat="1" ht="12.75" x14ac:dyDescent="0.2"/>
    <row r="25269" s="197" customFormat="1" ht="12.75" x14ac:dyDescent="0.2"/>
    <row r="25270" s="197" customFormat="1" ht="12.75" x14ac:dyDescent="0.2"/>
    <row r="25271" s="197" customFormat="1" ht="12.75" x14ac:dyDescent="0.2"/>
    <row r="25272" s="197" customFormat="1" ht="12.75" x14ac:dyDescent="0.2"/>
    <row r="25273" s="197" customFormat="1" ht="12.75" x14ac:dyDescent="0.2"/>
    <row r="25274" s="197" customFormat="1" ht="12.75" x14ac:dyDescent="0.2"/>
    <row r="25275" s="197" customFormat="1" ht="12.75" x14ac:dyDescent="0.2"/>
    <row r="25276" s="197" customFormat="1" ht="12.75" x14ac:dyDescent="0.2"/>
    <row r="25277" s="197" customFormat="1" ht="12.75" x14ac:dyDescent="0.2"/>
    <row r="25278" s="197" customFormat="1" ht="12.75" x14ac:dyDescent="0.2"/>
    <row r="25279" s="197" customFormat="1" ht="12.75" x14ac:dyDescent="0.2"/>
    <row r="25280" s="197" customFormat="1" ht="12.75" x14ac:dyDescent="0.2"/>
    <row r="25281" s="197" customFormat="1" ht="12.75" x14ac:dyDescent="0.2"/>
    <row r="25282" s="197" customFormat="1" ht="12.75" x14ac:dyDescent="0.2"/>
    <row r="25283" s="197" customFormat="1" ht="12.75" x14ac:dyDescent="0.2"/>
    <row r="25284" s="197" customFormat="1" ht="12.75" x14ac:dyDescent="0.2"/>
    <row r="25285" s="197" customFormat="1" ht="12.75" x14ac:dyDescent="0.2"/>
    <row r="25286" s="197" customFormat="1" ht="12.75" x14ac:dyDescent="0.2"/>
    <row r="25287" s="197" customFormat="1" ht="12.75" x14ac:dyDescent="0.2"/>
    <row r="25288" s="197" customFormat="1" ht="12.75" x14ac:dyDescent="0.2"/>
    <row r="25289" s="197" customFormat="1" ht="12.75" x14ac:dyDescent="0.2"/>
    <row r="25290" s="197" customFormat="1" ht="12.75" x14ac:dyDescent="0.2"/>
    <row r="25291" s="197" customFormat="1" ht="12.75" x14ac:dyDescent="0.2"/>
    <row r="25292" s="197" customFormat="1" ht="12.75" x14ac:dyDescent="0.2"/>
    <row r="25293" s="197" customFormat="1" ht="12.75" x14ac:dyDescent="0.2"/>
    <row r="25294" s="197" customFormat="1" ht="12.75" x14ac:dyDescent="0.2"/>
    <row r="25295" s="197" customFormat="1" ht="12.75" x14ac:dyDescent="0.2"/>
    <row r="25296" s="197" customFormat="1" ht="12.75" x14ac:dyDescent="0.2"/>
    <row r="25297" s="197" customFormat="1" ht="12.75" x14ac:dyDescent="0.2"/>
    <row r="25298" s="197" customFormat="1" ht="12.75" x14ac:dyDescent="0.2"/>
    <row r="25299" s="197" customFormat="1" ht="12.75" x14ac:dyDescent="0.2"/>
    <row r="25300" s="197" customFormat="1" ht="12.75" x14ac:dyDescent="0.2"/>
    <row r="25301" s="197" customFormat="1" ht="12.75" x14ac:dyDescent="0.2"/>
    <row r="25302" s="197" customFormat="1" ht="12.75" x14ac:dyDescent="0.2"/>
    <row r="25303" s="197" customFormat="1" ht="12.75" x14ac:dyDescent="0.2"/>
    <row r="25304" s="197" customFormat="1" ht="12.75" x14ac:dyDescent="0.2"/>
    <row r="25305" s="197" customFormat="1" ht="12.75" x14ac:dyDescent="0.2"/>
    <row r="25306" s="197" customFormat="1" ht="12.75" x14ac:dyDescent="0.2"/>
    <row r="25307" s="197" customFormat="1" ht="12.75" x14ac:dyDescent="0.2"/>
    <row r="25308" s="197" customFormat="1" ht="12.75" x14ac:dyDescent="0.2"/>
    <row r="25309" s="197" customFormat="1" ht="12.75" x14ac:dyDescent="0.2"/>
    <row r="25310" s="197" customFormat="1" ht="12.75" x14ac:dyDescent="0.2"/>
    <row r="25311" s="197" customFormat="1" ht="12.75" x14ac:dyDescent="0.2"/>
    <row r="25312" s="197" customFormat="1" ht="12.75" x14ac:dyDescent="0.2"/>
    <row r="25313" s="197" customFormat="1" ht="12.75" x14ac:dyDescent="0.2"/>
    <row r="25314" s="197" customFormat="1" ht="12.75" x14ac:dyDescent="0.2"/>
    <row r="25315" s="197" customFormat="1" ht="12.75" x14ac:dyDescent="0.2"/>
    <row r="25316" s="197" customFormat="1" ht="12.75" x14ac:dyDescent="0.2"/>
    <row r="25317" s="197" customFormat="1" ht="12.75" x14ac:dyDescent="0.2"/>
    <row r="25318" s="197" customFormat="1" ht="12.75" x14ac:dyDescent="0.2"/>
    <row r="25319" s="197" customFormat="1" ht="12.75" x14ac:dyDescent="0.2"/>
    <row r="25320" s="197" customFormat="1" ht="12.75" x14ac:dyDescent="0.2"/>
    <row r="25321" s="197" customFormat="1" ht="12.75" x14ac:dyDescent="0.2"/>
    <row r="25322" s="197" customFormat="1" ht="12.75" x14ac:dyDescent="0.2"/>
    <row r="25323" s="197" customFormat="1" ht="12.75" x14ac:dyDescent="0.2"/>
    <row r="25324" s="197" customFormat="1" ht="12.75" x14ac:dyDescent="0.2"/>
    <row r="25325" s="197" customFormat="1" ht="12.75" x14ac:dyDescent="0.2"/>
    <row r="25326" s="197" customFormat="1" ht="12.75" x14ac:dyDescent="0.2"/>
    <row r="25327" s="197" customFormat="1" ht="12.75" x14ac:dyDescent="0.2"/>
    <row r="25328" s="197" customFormat="1" ht="12.75" x14ac:dyDescent="0.2"/>
    <row r="25329" s="197" customFormat="1" ht="12.75" x14ac:dyDescent="0.2"/>
    <row r="25330" s="197" customFormat="1" ht="12.75" x14ac:dyDescent="0.2"/>
    <row r="25331" s="197" customFormat="1" ht="12.75" x14ac:dyDescent="0.2"/>
    <row r="25332" s="197" customFormat="1" ht="12.75" x14ac:dyDescent="0.2"/>
    <row r="25333" s="197" customFormat="1" ht="12.75" x14ac:dyDescent="0.2"/>
    <row r="25334" s="197" customFormat="1" ht="12.75" x14ac:dyDescent="0.2"/>
    <row r="25335" s="197" customFormat="1" ht="12.75" x14ac:dyDescent="0.2"/>
    <row r="25336" s="197" customFormat="1" ht="12.75" x14ac:dyDescent="0.2"/>
    <row r="25337" s="197" customFormat="1" ht="12.75" x14ac:dyDescent="0.2"/>
    <row r="25338" s="197" customFormat="1" ht="12.75" x14ac:dyDescent="0.2"/>
    <row r="25339" s="197" customFormat="1" ht="12.75" x14ac:dyDescent="0.2"/>
    <row r="25340" s="197" customFormat="1" ht="12.75" x14ac:dyDescent="0.2"/>
    <row r="25341" s="197" customFormat="1" ht="12.75" x14ac:dyDescent="0.2"/>
    <row r="25342" s="197" customFormat="1" ht="12.75" x14ac:dyDescent="0.2"/>
    <row r="25343" s="197" customFormat="1" ht="12.75" x14ac:dyDescent="0.2"/>
    <row r="25344" s="197" customFormat="1" ht="12.75" x14ac:dyDescent="0.2"/>
    <row r="25345" s="197" customFormat="1" ht="12.75" x14ac:dyDescent="0.2"/>
    <row r="25346" s="197" customFormat="1" ht="12.75" x14ac:dyDescent="0.2"/>
    <row r="25347" s="197" customFormat="1" ht="12.75" x14ac:dyDescent="0.2"/>
    <row r="25348" s="197" customFormat="1" ht="12.75" x14ac:dyDescent="0.2"/>
    <row r="25349" s="197" customFormat="1" ht="12.75" x14ac:dyDescent="0.2"/>
    <row r="25350" s="197" customFormat="1" ht="12.75" x14ac:dyDescent="0.2"/>
    <row r="25351" s="197" customFormat="1" ht="12.75" x14ac:dyDescent="0.2"/>
    <row r="25352" s="197" customFormat="1" ht="12.75" x14ac:dyDescent="0.2"/>
    <row r="25353" s="197" customFormat="1" ht="12.75" x14ac:dyDescent="0.2"/>
    <row r="25354" s="197" customFormat="1" ht="12.75" x14ac:dyDescent="0.2"/>
    <row r="25355" s="197" customFormat="1" ht="12.75" x14ac:dyDescent="0.2"/>
    <row r="25356" s="197" customFormat="1" ht="12.75" x14ac:dyDescent="0.2"/>
    <row r="25357" s="197" customFormat="1" ht="12.75" x14ac:dyDescent="0.2"/>
    <row r="25358" s="197" customFormat="1" ht="12.75" x14ac:dyDescent="0.2"/>
    <row r="25359" s="197" customFormat="1" ht="12.75" x14ac:dyDescent="0.2"/>
    <row r="25360" s="197" customFormat="1" ht="12.75" x14ac:dyDescent="0.2"/>
    <row r="25361" s="197" customFormat="1" ht="12.75" x14ac:dyDescent="0.2"/>
    <row r="25362" s="197" customFormat="1" ht="12.75" x14ac:dyDescent="0.2"/>
    <row r="25363" s="197" customFormat="1" ht="12.75" x14ac:dyDescent="0.2"/>
    <row r="25364" s="197" customFormat="1" ht="12.75" x14ac:dyDescent="0.2"/>
    <row r="25365" s="197" customFormat="1" ht="12.75" x14ac:dyDescent="0.2"/>
    <row r="25366" s="197" customFormat="1" ht="12.75" x14ac:dyDescent="0.2"/>
    <row r="25367" s="197" customFormat="1" ht="12.75" x14ac:dyDescent="0.2"/>
    <row r="25368" s="197" customFormat="1" ht="12.75" x14ac:dyDescent="0.2"/>
    <row r="25369" s="197" customFormat="1" ht="12.75" x14ac:dyDescent="0.2"/>
    <row r="25370" s="197" customFormat="1" ht="12.75" x14ac:dyDescent="0.2"/>
    <row r="25371" s="197" customFormat="1" ht="12.75" x14ac:dyDescent="0.2"/>
    <row r="25372" s="197" customFormat="1" ht="12.75" x14ac:dyDescent="0.2"/>
    <row r="25373" s="197" customFormat="1" ht="12.75" x14ac:dyDescent="0.2"/>
    <row r="25374" s="197" customFormat="1" ht="12.75" x14ac:dyDescent="0.2"/>
    <row r="25375" s="197" customFormat="1" ht="12.75" x14ac:dyDescent="0.2"/>
    <row r="25376" s="197" customFormat="1" ht="12.75" x14ac:dyDescent="0.2"/>
    <row r="25377" s="197" customFormat="1" ht="12.75" x14ac:dyDescent="0.2"/>
    <row r="25378" s="197" customFormat="1" ht="12.75" x14ac:dyDescent="0.2"/>
    <row r="25379" s="197" customFormat="1" ht="12.75" x14ac:dyDescent="0.2"/>
    <row r="25380" s="197" customFormat="1" ht="12.75" x14ac:dyDescent="0.2"/>
    <row r="25381" s="197" customFormat="1" ht="12.75" x14ac:dyDescent="0.2"/>
    <row r="25382" s="197" customFormat="1" ht="12.75" x14ac:dyDescent="0.2"/>
    <row r="25383" s="197" customFormat="1" ht="12.75" x14ac:dyDescent="0.2"/>
    <row r="25384" s="197" customFormat="1" ht="12.75" x14ac:dyDescent="0.2"/>
    <row r="25385" s="197" customFormat="1" ht="12.75" x14ac:dyDescent="0.2"/>
    <row r="25386" s="197" customFormat="1" ht="12.75" x14ac:dyDescent="0.2"/>
    <row r="25387" s="197" customFormat="1" ht="12.75" x14ac:dyDescent="0.2"/>
    <row r="25388" s="197" customFormat="1" ht="12.75" x14ac:dyDescent="0.2"/>
    <row r="25389" s="197" customFormat="1" ht="12.75" x14ac:dyDescent="0.2"/>
    <row r="25390" s="197" customFormat="1" ht="12.75" x14ac:dyDescent="0.2"/>
    <row r="25391" s="197" customFormat="1" ht="12.75" x14ac:dyDescent="0.2"/>
    <row r="25392" s="197" customFormat="1" ht="12.75" x14ac:dyDescent="0.2"/>
    <row r="25393" s="197" customFormat="1" ht="12.75" x14ac:dyDescent="0.2"/>
    <row r="25394" s="197" customFormat="1" ht="12.75" x14ac:dyDescent="0.2"/>
    <row r="25395" s="197" customFormat="1" ht="12.75" x14ac:dyDescent="0.2"/>
    <row r="25396" s="197" customFormat="1" ht="12.75" x14ac:dyDescent="0.2"/>
    <row r="25397" s="197" customFormat="1" ht="12.75" x14ac:dyDescent="0.2"/>
    <row r="25398" s="197" customFormat="1" ht="12.75" x14ac:dyDescent="0.2"/>
    <row r="25399" s="197" customFormat="1" ht="12.75" x14ac:dyDescent="0.2"/>
    <row r="25400" s="197" customFormat="1" ht="12.75" x14ac:dyDescent="0.2"/>
    <row r="25401" s="197" customFormat="1" ht="12.75" x14ac:dyDescent="0.2"/>
    <row r="25402" s="197" customFormat="1" ht="12.75" x14ac:dyDescent="0.2"/>
    <row r="25403" s="197" customFormat="1" ht="12.75" x14ac:dyDescent="0.2"/>
    <row r="25404" s="197" customFormat="1" ht="12.75" x14ac:dyDescent="0.2"/>
    <row r="25405" s="197" customFormat="1" ht="12.75" x14ac:dyDescent="0.2"/>
    <row r="25406" s="197" customFormat="1" ht="12.75" x14ac:dyDescent="0.2"/>
    <row r="25407" s="197" customFormat="1" ht="12.75" x14ac:dyDescent="0.2"/>
    <row r="25408" s="197" customFormat="1" ht="12.75" x14ac:dyDescent="0.2"/>
    <row r="25409" s="197" customFormat="1" ht="12.75" x14ac:dyDescent="0.2"/>
    <row r="25410" s="197" customFormat="1" ht="12.75" x14ac:dyDescent="0.2"/>
    <row r="25411" s="197" customFormat="1" ht="12.75" x14ac:dyDescent="0.2"/>
    <row r="25412" s="197" customFormat="1" ht="12.75" x14ac:dyDescent="0.2"/>
    <row r="25413" s="197" customFormat="1" ht="12.75" x14ac:dyDescent="0.2"/>
    <row r="25414" s="197" customFormat="1" ht="12.75" x14ac:dyDescent="0.2"/>
    <row r="25415" s="197" customFormat="1" ht="12.75" x14ac:dyDescent="0.2"/>
    <row r="25416" s="197" customFormat="1" ht="12.75" x14ac:dyDescent="0.2"/>
    <row r="25417" s="197" customFormat="1" ht="12.75" x14ac:dyDescent="0.2"/>
    <row r="25418" s="197" customFormat="1" ht="12.75" x14ac:dyDescent="0.2"/>
    <row r="25419" s="197" customFormat="1" ht="12.75" x14ac:dyDescent="0.2"/>
    <row r="25420" s="197" customFormat="1" ht="12.75" x14ac:dyDescent="0.2"/>
    <row r="25421" s="197" customFormat="1" ht="12.75" x14ac:dyDescent="0.2"/>
    <row r="25422" s="197" customFormat="1" ht="12.75" x14ac:dyDescent="0.2"/>
    <row r="25423" s="197" customFormat="1" ht="12.75" x14ac:dyDescent="0.2"/>
    <row r="25424" s="197" customFormat="1" ht="12.75" x14ac:dyDescent="0.2"/>
    <row r="25425" s="197" customFormat="1" ht="12.75" x14ac:dyDescent="0.2"/>
    <row r="25426" s="197" customFormat="1" ht="12.75" x14ac:dyDescent="0.2"/>
    <row r="25427" s="197" customFormat="1" ht="12.75" x14ac:dyDescent="0.2"/>
    <row r="25428" s="197" customFormat="1" ht="12.75" x14ac:dyDescent="0.2"/>
    <row r="25429" s="197" customFormat="1" ht="12.75" x14ac:dyDescent="0.2"/>
    <row r="25430" s="197" customFormat="1" ht="12.75" x14ac:dyDescent="0.2"/>
    <row r="25431" s="197" customFormat="1" ht="12.75" x14ac:dyDescent="0.2"/>
    <row r="25432" s="197" customFormat="1" ht="12.75" x14ac:dyDescent="0.2"/>
    <row r="25433" s="197" customFormat="1" ht="12.75" x14ac:dyDescent="0.2"/>
    <row r="25434" s="197" customFormat="1" ht="12.75" x14ac:dyDescent="0.2"/>
    <row r="25435" s="197" customFormat="1" ht="12.75" x14ac:dyDescent="0.2"/>
    <row r="25436" s="197" customFormat="1" ht="12.75" x14ac:dyDescent="0.2"/>
    <row r="25437" s="197" customFormat="1" ht="12.75" x14ac:dyDescent="0.2"/>
    <row r="25438" s="197" customFormat="1" ht="12.75" x14ac:dyDescent="0.2"/>
    <row r="25439" s="197" customFormat="1" ht="12.75" x14ac:dyDescent="0.2"/>
    <row r="25440" s="197" customFormat="1" ht="12.75" x14ac:dyDescent="0.2"/>
    <row r="25441" s="197" customFormat="1" ht="12.75" x14ac:dyDescent="0.2"/>
    <row r="25442" s="197" customFormat="1" ht="12.75" x14ac:dyDescent="0.2"/>
    <row r="25443" s="197" customFormat="1" ht="12.75" x14ac:dyDescent="0.2"/>
    <row r="25444" s="197" customFormat="1" ht="12.75" x14ac:dyDescent="0.2"/>
    <row r="25445" s="197" customFormat="1" ht="12.75" x14ac:dyDescent="0.2"/>
    <row r="25446" s="197" customFormat="1" ht="12.75" x14ac:dyDescent="0.2"/>
    <row r="25447" s="197" customFormat="1" ht="12.75" x14ac:dyDescent="0.2"/>
    <row r="25448" s="197" customFormat="1" ht="12.75" x14ac:dyDescent="0.2"/>
    <row r="25449" s="197" customFormat="1" ht="12.75" x14ac:dyDescent="0.2"/>
    <row r="25450" s="197" customFormat="1" ht="12.75" x14ac:dyDescent="0.2"/>
    <row r="25451" s="197" customFormat="1" ht="12.75" x14ac:dyDescent="0.2"/>
    <row r="25452" s="197" customFormat="1" ht="12.75" x14ac:dyDescent="0.2"/>
    <row r="25453" s="197" customFormat="1" ht="12.75" x14ac:dyDescent="0.2"/>
    <row r="25454" s="197" customFormat="1" ht="12.75" x14ac:dyDescent="0.2"/>
    <row r="25455" s="197" customFormat="1" ht="12.75" x14ac:dyDescent="0.2"/>
    <row r="25456" s="197" customFormat="1" ht="12.75" x14ac:dyDescent="0.2"/>
    <row r="25457" s="197" customFormat="1" ht="12.75" x14ac:dyDescent="0.2"/>
    <row r="25458" s="197" customFormat="1" ht="12.75" x14ac:dyDescent="0.2"/>
    <row r="25459" s="197" customFormat="1" ht="12.75" x14ac:dyDescent="0.2"/>
    <row r="25460" s="197" customFormat="1" ht="12.75" x14ac:dyDescent="0.2"/>
    <row r="25461" s="197" customFormat="1" ht="12.75" x14ac:dyDescent="0.2"/>
    <row r="25462" s="197" customFormat="1" ht="12.75" x14ac:dyDescent="0.2"/>
    <row r="25463" s="197" customFormat="1" ht="12.75" x14ac:dyDescent="0.2"/>
    <row r="25464" s="197" customFormat="1" ht="12.75" x14ac:dyDescent="0.2"/>
    <row r="25465" s="197" customFormat="1" ht="12.75" x14ac:dyDescent="0.2"/>
    <row r="25466" s="197" customFormat="1" ht="12.75" x14ac:dyDescent="0.2"/>
    <row r="25467" s="197" customFormat="1" ht="12.75" x14ac:dyDescent="0.2"/>
    <row r="25468" s="197" customFormat="1" ht="12.75" x14ac:dyDescent="0.2"/>
    <row r="25469" s="197" customFormat="1" ht="12.75" x14ac:dyDescent="0.2"/>
    <row r="25470" s="197" customFormat="1" ht="12.75" x14ac:dyDescent="0.2"/>
    <row r="25471" s="197" customFormat="1" ht="12.75" x14ac:dyDescent="0.2"/>
    <row r="25472" s="197" customFormat="1" ht="12.75" x14ac:dyDescent="0.2"/>
    <row r="25473" s="197" customFormat="1" ht="12.75" x14ac:dyDescent="0.2"/>
    <row r="25474" s="197" customFormat="1" ht="12.75" x14ac:dyDescent="0.2"/>
    <row r="25475" s="197" customFormat="1" ht="12.75" x14ac:dyDescent="0.2"/>
    <row r="25476" s="197" customFormat="1" ht="12.75" x14ac:dyDescent="0.2"/>
    <row r="25477" s="197" customFormat="1" ht="12.75" x14ac:dyDescent="0.2"/>
    <row r="25478" s="197" customFormat="1" ht="12.75" x14ac:dyDescent="0.2"/>
    <row r="25479" s="197" customFormat="1" ht="12.75" x14ac:dyDescent="0.2"/>
    <row r="25480" s="197" customFormat="1" ht="12.75" x14ac:dyDescent="0.2"/>
    <row r="25481" s="197" customFormat="1" ht="12.75" x14ac:dyDescent="0.2"/>
    <row r="25482" s="197" customFormat="1" ht="12.75" x14ac:dyDescent="0.2"/>
    <row r="25483" s="197" customFormat="1" ht="12.75" x14ac:dyDescent="0.2"/>
    <row r="25484" s="197" customFormat="1" ht="12.75" x14ac:dyDescent="0.2"/>
    <row r="25485" s="197" customFormat="1" ht="12.75" x14ac:dyDescent="0.2"/>
    <row r="25486" s="197" customFormat="1" ht="12.75" x14ac:dyDescent="0.2"/>
    <row r="25487" s="197" customFormat="1" ht="12.75" x14ac:dyDescent="0.2"/>
    <row r="25488" s="197" customFormat="1" ht="12.75" x14ac:dyDescent="0.2"/>
    <row r="25489" s="197" customFormat="1" ht="12.75" x14ac:dyDescent="0.2"/>
    <row r="25490" s="197" customFormat="1" ht="12.75" x14ac:dyDescent="0.2"/>
    <row r="25491" s="197" customFormat="1" ht="12.75" x14ac:dyDescent="0.2"/>
    <row r="25492" s="197" customFormat="1" ht="12.75" x14ac:dyDescent="0.2"/>
    <row r="25493" s="197" customFormat="1" ht="12.75" x14ac:dyDescent="0.2"/>
    <row r="25494" s="197" customFormat="1" ht="12.75" x14ac:dyDescent="0.2"/>
    <row r="25495" s="197" customFormat="1" ht="12.75" x14ac:dyDescent="0.2"/>
    <row r="25496" s="197" customFormat="1" ht="12.75" x14ac:dyDescent="0.2"/>
    <row r="25497" s="197" customFormat="1" ht="12.75" x14ac:dyDescent="0.2"/>
    <row r="25498" s="197" customFormat="1" ht="12.75" x14ac:dyDescent="0.2"/>
    <row r="25499" s="197" customFormat="1" ht="12.75" x14ac:dyDescent="0.2"/>
    <row r="25500" s="197" customFormat="1" ht="12.75" x14ac:dyDescent="0.2"/>
    <row r="25501" s="197" customFormat="1" ht="12.75" x14ac:dyDescent="0.2"/>
    <row r="25502" s="197" customFormat="1" ht="12.75" x14ac:dyDescent="0.2"/>
    <row r="25503" s="197" customFormat="1" ht="12.75" x14ac:dyDescent="0.2"/>
    <row r="25504" s="197" customFormat="1" ht="12.75" x14ac:dyDescent="0.2"/>
    <row r="25505" s="197" customFormat="1" ht="12.75" x14ac:dyDescent="0.2"/>
    <row r="25506" s="197" customFormat="1" ht="12.75" x14ac:dyDescent="0.2"/>
    <row r="25507" s="197" customFormat="1" ht="12.75" x14ac:dyDescent="0.2"/>
    <row r="25508" s="197" customFormat="1" ht="12.75" x14ac:dyDescent="0.2"/>
    <row r="25509" s="197" customFormat="1" ht="12.75" x14ac:dyDescent="0.2"/>
    <row r="25510" s="197" customFormat="1" ht="12.75" x14ac:dyDescent="0.2"/>
    <row r="25511" s="197" customFormat="1" ht="12.75" x14ac:dyDescent="0.2"/>
    <row r="25512" s="197" customFormat="1" ht="12.75" x14ac:dyDescent="0.2"/>
    <row r="25513" s="197" customFormat="1" ht="12.75" x14ac:dyDescent="0.2"/>
    <row r="25514" s="197" customFormat="1" ht="12.75" x14ac:dyDescent="0.2"/>
    <row r="25515" s="197" customFormat="1" ht="12.75" x14ac:dyDescent="0.2"/>
    <row r="25516" s="197" customFormat="1" ht="12.75" x14ac:dyDescent="0.2"/>
    <row r="25517" s="197" customFormat="1" ht="12.75" x14ac:dyDescent="0.2"/>
    <row r="25518" s="197" customFormat="1" ht="12.75" x14ac:dyDescent="0.2"/>
    <row r="25519" s="197" customFormat="1" ht="12.75" x14ac:dyDescent="0.2"/>
    <row r="25520" s="197" customFormat="1" ht="12.75" x14ac:dyDescent="0.2"/>
    <row r="25521" s="197" customFormat="1" ht="12.75" x14ac:dyDescent="0.2"/>
    <row r="25522" s="197" customFormat="1" ht="12.75" x14ac:dyDescent="0.2"/>
    <row r="25523" s="197" customFormat="1" ht="12.75" x14ac:dyDescent="0.2"/>
    <row r="25524" s="197" customFormat="1" ht="12.75" x14ac:dyDescent="0.2"/>
    <row r="25525" s="197" customFormat="1" ht="12.75" x14ac:dyDescent="0.2"/>
    <row r="25526" s="197" customFormat="1" ht="12.75" x14ac:dyDescent="0.2"/>
    <row r="25527" s="197" customFormat="1" ht="12.75" x14ac:dyDescent="0.2"/>
    <row r="25528" s="197" customFormat="1" ht="12.75" x14ac:dyDescent="0.2"/>
    <row r="25529" s="197" customFormat="1" ht="12.75" x14ac:dyDescent="0.2"/>
    <row r="25530" s="197" customFormat="1" ht="12.75" x14ac:dyDescent="0.2"/>
    <row r="25531" s="197" customFormat="1" ht="12.75" x14ac:dyDescent="0.2"/>
    <row r="25532" s="197" customFormat="1" ht="12.75" x14ac:dyDescent="0.2"/>
    <row r="25533" s="197" customFormat="1" ht="12.75" x14ac:dyDescent="0.2"/>
    <row r="25534" s="197" customFormat="1" ht="12.75" x14ac:dyDescent="0.2"/>
    <row r="25535" s="197" customFormat="1" ht="12.75" x14ac:dyDescent="0.2"/>
    <row r="25536" s="197" customFormat="1" ht="12.75" x14ac:dyDescent="0.2"/>
    <row r="25537" s="197" customFormat="1" ht="12.75" x14ac:dyDescent="0.2"/>
    <row r="25538" s="197" customFormat="1" ht="12.75" x14ac:dyDescent="0.2"/>
    <row r="25539" s="197" customFormat="1" ht="12.75" x14ac:dyDescent="0.2"/>
    <row r="25540" s="197" customFormat="1" ht="12.75" x14ac:dyDescent="0.2"/>
    <row r="25541" s="197" customFormat="1" ht="12.75" x14ac:dyDescent="0.2"/>
    <row r="25542" s="197" customFormat="1" ht="12.75" x14ac:dyDescent="0.2"/>
    <row r="25543" s="197" customFormat="1" ht="12.75" x14ac:dyDescent="0.2"/>
    <row r="25544" s="197" customFormat="1" ht="12.75" x14ac:dyDescent="0.2"/>
    <row r="25545" s="197" customFormat="1" ht="12.75" x14ac:dyDescent="0.2"/>
    <row r="25546" s="197" customFormat="1" ht="12.75" x14ac:dyDescent="0.2"/>
    <row r="25547" s="197" customFormat="1" ht="12.75" x14ac:dyDescent="0.2"/>
    <row r="25548" s="197" customFormat="1" ht="12.75" x14ac:dyDescent="0.2"/>
    <row r="25549" s="197" customFormat="1" ht="12.75" x14ac:dyDescent="0.2"/>
    <row r="25550" s="197" customFormat="1" ht="12.75" x14ac:dyDescent="0.2"/>
    <row r="25551" s="197" customFormat="1" ht="12.75" x14ac:dyDescent="0.2"/>
    <row r="25552" s="197" customFormat="1" ht="12.75" x14ac:dyDescent="0.2"/>
    <row r="25553" s="197" customFormat="1" ht="12.75" x14ac:dyDescent="0.2"/>
    <row r="25554" s="197" customFormat="1" ht="12.75" x14ac:dyDescent="0.2"/>
    <row r="25555" s="197" customFormat="1" ht="12.75" x14ac:dyDescent="0.2"/>
    <row r="25556" s="197" customFormat="1" ht="12.75" x14ac:dyDescent="0.2"/>
    <row r="25557" s="197" customFormat="1" ht="12.75" x14ac:dyDescent="0.2"/>
    <row r="25558" s="197" customFormat="1" ht="12.75" x14ac:dyDescent="0.2"/>
    <row r="25559" s="197" customFormat="1" ht="12.75" x14ac:dyDescent="0.2"/>
    <row r="25560" s="197" customFormat="1" ht="12.75" x14ac:dyDescent="0.2"/>
    <row r="25561" s="197" customFormat="1" ht="12.75" x14ac:dyDescent="0.2"/>
    <row r="25562" s="197" customFormat="1" ht="12.75" x14ac:dyDescent="0.2"/>
    <row r="25563" s="197" customFormat="1" ht="12.75" x14ac:dyDescent="0.2"/>
    <row r="25564" s="197" customFormat="1" ht="12.75" x14ac:dyDescent="0.2"/>
    <row r="25565" s="197" customFormat="1" ht="12.75" x14ac:dyDescent="0.2"/>
    <row r="25566" s="197" customFormat="1" ht="12.75" x14ac:dyDescent="0.2"/>
    <row r="25567" s="197" customFormat="1" ht="12.75" x14ac:dyDescent="0.2"/>
    <row r="25568" s="197" customFormat="1" ht="12.75" x14ac:dyDescent="0.2"/>
    <row r="25569" s="197" customFormat="1" ht="12.75" x14ac:dyDescent="0.2"/>
    <row r="25570" s="197" customFormat="1" ht="12.75" x14ac:dyDescent="0.2"/>
    <row r="25571" s="197" customFormat="1" ht="12.75" x14ac:dyDescent="0.2"/>
    <row r="25572" s="197" customFormat="1" ht="12.75" x14ac:dyDescent="0.2"/>
    <row r="25573" s="197" customFormat="1" ht="12.75" x14ac:dyDescent="0.2"/>
    <row r="25574" s="197" customFormat="1" ht="12.75" x14ac:dyDescent="0.2"/>
    <row r="25575" s="197" customFormat="1" ht="12.75" x14ac:dyDescent="0.2"/>
    <row r="25576" s="197" customFormat="1" ht="12.75" x14ac:dyDescent="0.2"/>
    <row r="25577" s="197" customFormat="1" ht="12.75" x14ac:dyDescent="0.2"/>
    <row r="25578" s="197" customFormat="1" ht="12.75" x14ac:dyDescent="0.2"/>
    <row r="25579" s="197" customFormat="1" ht="12.75" x14ac:dyDescent="0.2"/>
    <row r="25580" s="197" customFormat="1" ht="12.75" x14ac:dyDescent="0.2"/>
    <row r="25581" s="197" customFormat="1" ht="12.75" x14ac:dyDescent="0.2"/>
    <row r="25582" s="197" customFormat="1" ht="12.75" x14ac:dyDescent="0.2"/>
    <row r="25583" s="197" customFormat="1" ht="12.75" x14ac:dyDescent="0.2"/>
    <row r="25584" s="197" customFormat="1" ht="12.75" x14ac:dyDescent="0.2"/>
    <row r="25585" s="197" customFormat="1" ht="12.75" x14ac:dyDescent="0.2"/>
    <row r="25586" s="197" customFormat="1" ht="12.75" x14ac:dyDescent="0.2"/>
    <row r="25587" s="197" customFormat="1" ht="12.75" x14ac:dyDescent="0.2"/>
    <row r="25588" s="197" customFormat="1" ht="12.75" x14ac:dyDescent="0.2"/>
    <row r="25589" s="197" customFormat="1" ht="12.75" x14ac:dyDescent="0.2"/>
    <row r="25590" s="197" customFormat="1" ht="12.75" x14ac:dyDescent="0.2"/>
    <row r="25591" s="197" customFormat="1" ht="12.75" x14ac:dyDescent="0.2"/>
    <row r="25592" s="197" customFormat="1" ht="12.75" x14ac:dyDescent="0.2"/>
    <row r="25593" s="197" customFormat="1" ht="12.75" x14ac:dyDescent="0.2"/>
    <row r="25594" s="197" customFormat="1" ht="12.75" x14ac:dyDescent="0.2"/>
    <row r="25595" s="197" customFormat="1" ht="12.75" x14ac:dyDescent="0.2"/>
    <row r="25596" s="197" customFormat="1" ht="12.75" x14ac:dyDescent="0.2"/>
    <row r="25597" s="197" customFormat="1" ht="12.75" x14ac:dyDescent="0.2"/>
    <row r="25598" s="197" customFormat="1" ht="12.75" x14ac:dyDescent="0.2"/>
    <row r="25599" s="197" customFormat="1" ht="12.75" x14ac:dyDescent="0.2"/>
    <row r="25600" s="197" customFormat="1" ht="12.75" x14ac:dyDescent="0.2"/>
    <row r="25601" s="197" customFormat="1" ht="12.75" x14ac:dyDescent="0.2"/>
    <row r="25602" s="197" customFormat="1" ht="12.75" x14ac:dyDescent="0.2"/>
    <row r="25603" s="197" customFormat="1" ht="12.75" x14ac:dyDescent="0.2"/>
    <row r="25604" s="197" customFormat="1" ht="12.75" x14ac:dyDescent="0.2"/>
    <row r="25605" s="197" customFormat="1" ht="12.75" x14ac:dyDescent="0.2"/>
    <row r="25606" s="197" customFormat="1" ht="12.75" x14ac:dyDescent="0.2"/>
    <row r="25607" s="197" customFormat="1" ht="12.75" x14ac:dyDescent="0.2"/>
    <row r="25608" s="197" customFormat="1" ht="12.75" x14ac:dyDescent="0.2"/>
    <row r="25609" s="197" customFormat="1" ht="12.75" x14ac:dyDescent="0.2"/>
    <row r="25610" s="197" customFormat="1" ht="12.75" x14ac:dyDescent="0.2"/>
    <row r="25611" s="197" customFormat="1" ht="12.75" x14ac:dyDescent="0.2"/>
    <row r="25612" s="197" customFormat="1" ht="12.75" x14ac:dyDescent="0.2"/>
    <row r="25613" s="197" customFormat="1" ht="12.75" x14ac:dyDescent="0.2"/>
    <row r="25614" s="197" customFormat="1" ht="12.75" x14ac:dyDescent="0.2"/>
    <row r="25615" s="197" customFormat="1" ht="12.75" x14ac:dyDescent="0.2"/>
    <row r="25616" s="197" customFormat="1" ht="12.75" x14ac:dyDescent="0.2"/>
    <row r="25617" s="197" customFormat="1" ht="12.75" x14ac:dyDescent="0.2"/>
    <row r="25618" s="197" customFormat="1" ht="12.75" x14ac:dyDescent="0.2"/>
    <row r="25619" s="197" customFormat="1" ht="12.75" x14ac:dyDescent="0.2"/>
    <row r="25620" s="197" customFormat="1" ht="12.75" x14ac:dyDescent="0.2"/>
    <row r="25621" s="197" customFormat="1" ht="12.75" x14ac:dyDescent="0.2"/>
    <row r="25622" s="197" customFormat="1" ht="12.75" x14ac:dyDescent="0.2"/>
    <row r="25623" s="197" customFormat="1" ht="12.75" x14ac:dyDescent="0.2"/>
    <row r="25624" s="197" customFormat="1" ht="12.75" x14ac:dyDescent="0.2"/>
    <row r="25625" s="197" customFormat="1" ht="12.75" x14ac:dyDescent="0.2"/>
    <row r="25626" s="197" customFormat="1" ht="12.75" x14ac:dyDescent="0.2"/>
    <row r="25627" s="197" customFormat="1" ht="12.75" x14ac:dyDescent="0.2"/>
    <row r="25628" s="197" customFormat="1" ht="12.75" x14ac:dyDescent="0.2"/>
    <row r="25629" s="197" customFormat="1" ht="12.75" x14ac:dyDescent="0.2"/>
    <row r="25630" s="197" customFormat="1" ht="12.75" x14ac:dyDescent="0.2"/>
    <row r="25631" s="197" customFormat="1" ht="12.75" x14ac:dyDescent="0.2"/>
    <row r="25632" s="197" customFormat="1" ht="12.75" x14ac:dyDescent="0.2"/>
    <row r="25633" s="197" customFormat="1" ht="12.75" x14ac:dyDescent="0.2"/>
    <row r="25634" s="197" customFormat="1" ht="12.75" x14ac:dyDescent="0.2"/>
    <row r="25635" s="197" customFormat="1" ht="12.75" x14ac:dyDescent="0.2"/>
    <row r="25636" s="197" customFormat="1" ht="12.75" x14ac:dyDescent="0.2"/>
    <row r="25637" s="197" customFormat="1" ht="12.75" x14ac:dyDescent="0.2"/>
    <row r="25638" s="197" customFormat="1" ht="12.75" x14ac:dyDescent="0.2"/>
    <row r="25639" s="197" customFormat="1" ht="12.75" x14ac:dyDescent="0.2"/>
    <row r="25640" s="197" customFormat="1" ht="12.75" x14ac:dyDescent="0.2"/>
    <row r="25641" s="197" customFormat="1" ht="12.75" x14ac:dyDescent="0.2"/>
    <row r="25642" s="197" customFormat="1" ht="12.75" x14ac:dyDescent="0.2"/>
    <row r="25643" s="197" customFormat="1" ht="12.75" x14ac:dyDescent="0.2"/>
    <row r="25644" s="197" customFormat="1" ht="12.75" x14ac:dyDescent="0.2"/>
    <row r="25645" s="197" customFormat="1" ht="12.75" x14ac:dyDescent="0.2"/>
    <row r="25646" s="197" customFormat="1" ht="12.75" x14ac:dyDescent="0.2"/>
    <row r="25647" s="197" customFormat="1" ht="12.75" x14ac:dyDescent="0.2"/>
    <row r="25648" s="197" customFormat="1" ht="12.75" x14ac:dyDescent="0.2"/>
    <row r="25649" s="197" customFormat="1" ht="12.75" x14ac:dyDescent="0.2"/>
    <row r="25650" s="197" customFormat="1" ht="12.75" x14ac:dyDescent="0.2"/>
    <row r="25651" s="197" customFormat="1" ht="12.75" x14ac:dyDescent="0.2"/>
    <row r="25652" s="197" customFormat="1" ht="12.75" x14ac:dyDescent="0.2"/>
    <row r="25653" s="197" customFormat="1" ht="12.75" x14ac:dyDescent="0.2"/>
    <row r="25654" s="197" customFormat="1" ht="12.75" x14ac:dyDescent="0.2"/>
    <row r="25655" s="197" customFormat="1" ht="12.75" x14ac:dyDescent="0.2"/>
    <row r="25656" s="197" customFormat="1" ht="12.75" x14ac:dyDescent="0.2"/>
    <row r="25657" s="197" customFormat="1" ht="12.75" x14ac:dyDescent="0.2"/>
    <row r="25658" s="197" customFormat="1" ht="12.75" x14ac:dyDescent="0.2"/>
    <row r="25659" s="197" customFormat="1" ht="12.75" x14ac:dyDescent="0.2"/>
    <row r="25660" s="197" customFormat="1" ht="12.75" x14ac:dyDescent="0.2"/>
    <row r="25661" s="197" customFormat="1" ht="12.75" x14ac:dyDescent="0.2"/>
    <row r="25662" s="197" customFormat="1" ht="12.75" x14ac:dyDescent="0.2"/>
    <row r="25663" s="197" customFormat="1" ht="12.75" x14ac:dyDescent="0.2"/>
    <row r="25664" s="197" customFormat="1" ht="12.75" x14ac:dyDescent="0.2"/>
    <row r="25665" s="197" customFormat="1" ht="12.75" x14ac:dyDescent="0.2"/>
    <row r="25666" s="197" customFormat="1" ht="12.75" x14ac:dyDescent="0.2"/>
    <row r="25667" s="197" customFormat="1" ht="12.75" x14ac:dyDescent="0.2"/>
    <row r="25668" s="197" customFormat="1" ht="12.75" x14ac:dyDescent="0.2"/>
    <row r="25669" s="197" customFormat="1" ht="12.75" x14ac:dyDescent="0.2"/>
    <row r="25670" s="197" customFormat="1" ht="12.75" x14ac:dyDescent="0.2"/>
    <row r="25671" s="197" customFormat="1" ht="12.75" x14ac:dyDescent="0.2"/>
    <row r="25672" s="197" customFormat="1" ht="12.75" x14ac:dyDescent="0.2"/>
    <row r="25673" s="197" customFormat="1" ht="12.75" x14ac:dyDescent="0.2"/>
    <row r="25674" s="197" customFormat="1" ht="12.75" x14ac:dyDescent="0.2"/>
    <row r="25675" s="197" customFormat="1" ht="12.75" x14ac:dyDescent="0.2"/>
    <row r="25676" s="197" customFormat="1" ht="12.75" x14ac:dyDescent="0.2"/>
    <row r="25677" s="197" customFormat="1" ht="12.75" x14ac:dyDescent="0.2"/>
    <row r="25678" s="197" customFormat="1" ht="12.75" x14ac:dyDescent="0.2"/>
    <row r="25679" s="197" customFormat="1" ht="12.75" x14ac:dyDescent="0.2"/>
    <row r="25680" s="197" customFormat="1" ht="12.75" x14ac:dyDescent="0.2"/>
    <row r="25681" s="197" customFormat="1" ht="12.75" x14ac:dyDescent="0.2"/>
    <row r="25682" s="197" customFormat="1" ht="12.75" x14ac:dyDescent="0.2"/>
    <row r="25683" s="197" customFormat="1" ht="12.75" x14ac:dyDescent="0.2"/>
    <row r="25684" s="197" customFormat="1" ht="12.75" x14ac:dyDescent="0.2"/>
    <row r="25685" s="197" customFormat="1" ht="12.75" x14ac:dyDescent="0.2"/>
    <row r="25686" s="197" customFormat="1" ht="12.75" x14ac:dyDescent="0.2"/>
    <row r="25687" s="197" customFormat="1" ht="12.75" x14ac:dyDescent="0.2"/>
    <row r="25688" s="197" customFormat="1" ht="12.75" x14ac:dyDescent="0.2"/>
    <row r="25689" s="197" customFormat="1" ht="12.75" x14ac:dyDescent="0.2"/>
    <row r="25690" s="197" customFormat="1" ht="12.75" x14ac:dyDescent="0.2"/>
    <row r="25691" s="197" customFormat="1" ht="12.75" x14ac:dyDescent="0.2"/>
    <row r="25692" s="197" customFormat="1" ht="12.75" x14ac:dyDescent="0.2"/>
    <row r="25693" s="197" customFormat="1" ht="12.75" x14ac:dyDescent="0.2"/>
    <row r="25694" s="197" customFormat="1" ht="12.75" x14ac:dyDescent="0.2"/>
    <row r="25695" s="197" customFormat="1" ht="12.75" x14ac:dyDescent="0.2"/>
    <row r="25696" s="197" customFormat="1" ht="12.75" x14ac:dyDescent="0.2"/>
    <row r="25697" s="197" customFormat="1" ht="12.75" x14ac:dyDescent="0.2"/>
    <row r="25698" s="197" customFormat="1" ht="12.75" x14ac:dyDescent="0.2"/>
    <row r="25699" s="197" customFormat="1" ht="12.75" x14ac:dyDescent="0.2"/>
    <row r="25700" s="197" customFormat="1" ht="12.75" x14ac:dyDescent="0.2"/>
    <row r="25701" s="197" customFormat="1" ht="12.75" x14ac:dyDescent="0.2"/>
    <row r="25702" s="197" customFormat="1" ht="12.75" x14ac:dyDescent="0.2"/>
    <row r="25703" s="197" customFormat="1" ht="12.75" x14ac:dyDescent="0.2"/>
    <row r="25704" s="197" customFormat="1" ht="12.75" x14ac:dyDescent="0.2"/>
    <row r="25705" s="197" customFormat="1" ht="12.75" x14ac:dyDescent="0.2"/>
    <row r="25706" s="197" customFormat="1" ht="12.75" x14ac:dyDescent="0.2"/>
    <row r="25707" s="197" customFormat="1" ht="12.75" x14ac:dyDescent="0.2"/>
    <row r="25708" s="197" customFormat="1" ht="12.75" x14ac:dyDescent="0.2"/>
    <row r="25709" s="197" customFormat="1" ht="12.75" x14ac:dyDescent="0.2"/>
    <row r="25710" s="197" customFormat="1" ht="12.75" x14ac:dyDescent="0.2"/>
    <row r="25711" s="197" customFormat="1" ht="12.75" x14ac:dyDescent="0.2"/>
    <row r="25712" s="197" customFormat="1" ht="12.75" x14ac:dyDescent="0.2"/>
    <row r="25713" s="197" customFormat="1" ht="12.75" x14ac:dyDescent="0.2"/>
    <row r="25714" s="197" customFormat="1" ht="12.75" x14ac:dyDescent="0.2"/>
    <row r="25715" s="197" customFormat="1" ht="12.75" x14ac:dyDescent="0.2"/>
    <row r="25716" s="197" customFormat="1" ht="12.75" x14ac:dyDescent="0.2"/>
    <row r="25717" s="197" customFormat="1" ht="12.75" x14ac:dyDescent="0.2"/>
    <row r="25718" s="197" customFormat="1" ht="12.75" x14ac:dyDescent="0.2"/>
    <row r="25719" s="197" customFormat="1" ht="12.75" x14ac:dyDescent="0.2"/>
    <row r="25720" s="197" customFormat="1" ht="12.75" x14ac:dyDescent="0.2"/>
    <row r="25721" s="197" customFormat="1" ht="12.75" x14ac:dyDescent="0.2"/>
    <row r="25722" s="197" customFormat="1" ht="12.75" x14ac:dyDescent="0.2"/>
    <row r="25723" s="197" customFormat="1" ht="12.75" x14ac:dyDescent="0.2"/>
    <row r="25724" s="197" customFormat="1" ht="12.75" x14ac:dyDescent="0.2"/>
    <row r="25725" s="197" customFormat="1" ht="12.75" x14ac:dyDescent="0.2"/>
    <row r="25726" s="197" customFormat="1" ht="12.75" x14ac:dyDescent="0.2"/>
    <row r="25727" s="197" customFormat="1" ht="12.75" x14ac:dyDescent="0.2"/>
    <row r="25728" s="197" customFormat="1" ht="12.75" x14ac:dyDescent="0.2"/>
    <row r="25729" s="197" customFormat="1" ht="12.75" x14ac:dyDescent="0.2"/>
    <row r="25730" s="197" customFormat="1" ht="12.75" x14ac:dyDescent="0.2"/>
    <row r="25731" s="197" customFormat="1" ht="12.75" x14ac:dyDescent="0.2"/>
    <row r="25732" s="197" customFormat="1" ht="12.75" x14ac:dyDescent="0.2"/>
    <row r="25733" s="197" customFormat="1" ht="12.75" x14ac:dyDescent="0.2"/>
    <row r="25734" s="197" customFormat="1" ht="12.75" x14ac:dyDescent="0.2"/>
    <row r="25735" s="197" customFormat="1" ht="12.75" x14ac:dyDescent="0.2"/>
    <row r="25736" s="197" customFormat="1" ht="12.75" x14ac:dyDescent="0.2"/>
    <row r="25737" s="197" customFormat="1" ht="12.75" x14ac:dyDescent="0.2"/>
    <row r="25738" s="197" customFormat="1" ht="12.75" x14ac:dyDescent="0.2"/>
    <row r="25739" s="197" customFormat="1" ht="12.75" x14ac:dyDescent="0.2"/>
    <row r="25740" s="197" customFormat="1" ht="12.75" x14ac:dyDescent="0.2"/>
    <row r="25741" s="197" customFormat="1" ht="12.75" x14ac:dyDescent="0.2"/>
    <row r="25742" s="197" customFormat="1" ht="12.75" x14ac:dyDescent="0.2"/>
    <row r="25743" s="197" customFormat="1" ht="12.75" x14ac:dyDescent="0.2"/>
    <row r="25744" s="197" customFormat="1" ht="12.75" x14ac:dyDescent="0.2"/>
    <row r="25745" s="197" customFormat="1" ht="12.75" x14ac:dyDescent="0.2"/>
    <row r="25746" s="197" customFormat="1" ht="12.75" x14ac:dyDescent="0.2"/>
    <row r="25747" s="197" customFormat="1" ht="12.75" x14ac:dyDescent="0.2"/>
    <row r="25748" s="197" customFormat="1" ht="12.75" x14ac:dyDescent="0.2"/>
    <row r="25749" s="197" customFormat="1" ht="12.75" x14ac:dyDescent="0.2"/>
    <row r="25750" s="197" customFormat="1" ht="12.75" x14ac:dyDescent="0.2"/>
    <row r="25751" s="197" customFormat="1" ht="12.75" x14ac:dyDescent="0.2"/>
    <row r="25752" s="197" customFormat="1" ht="12.75" x14ac:dyDescent="0.2"/>
    <row r="25753" s="197" customFormat="1" ht="12.75" x14ac:dyDescent="0.2"/>
    <row r="25754" s="197" customFormat="1" ht="12.75" x14ac:dyDescent="0.2"/>
    <row r="25755" s="197" customFormat="1" ht="12.75" x14ac:dyDescent="0.2"/>
    <row r="25756" s="197" customFormat="1" ht="12.75" x14ac:dyDescent="0.2"/>
    <row r="25757" s="197" customFormat="1" ht="12.75" x14ac:dyDescent="0.2"/>
    <row r="25758" s="197" customFormat="1" ht="12.75" x14ac:dyDescent="0.2"/>
    <row r="25759" s="197" customFormat="1" ht="12.75" x14ac:dyDescent="0.2"/>
    <row r="25760" s="197" customFormat="1" ht="12.75" x14ac:dyDescent="0.2"/>
    <row r="25761" s="197" customFormat="1" ht="12.75" x14ac:dyDescent="0.2"/>
    <row r="25762" s="197" customFormat="1" ht="12.75" x14ac:dyDescent="0.2"/>
    <row r="25763" s="197" customFormat="1" ht="12.75" x14ac:dyDescent="0.2"/>
    <row r="25764" s="197" customFormat="1" ht="12.75" x14ac:dyDescent="0.2"/>
    <row r="25765" s="197" customFormat="1" ht="12.75" x14ac:dyDescent="0.2"/>
    <row r="25766" s="197" customFormat="1" ht="12.75" x14ac:dyDescent="0.2"/>
    <row r="25767" s="197" customFormat="1" ht="12.75" x14ac:dyDescent="0.2"/>
    <row r="25768" s="197" customFormat="1" ht="12.75" x14ac:dyDescent="0.2"/>
    <row r="25769" s="197" customFormat="1" ht="12.75" x14ac:dyDescent="0.2"/>
    <row r="25770" s="197" customFormat="1" ht="12.75" x14ac:dyDescent="0.2"/>
    <row r="25771" s="197" customFormat="1" ht="12.75" x14ac:dyDescent="0.2"/>
    <row r="25772" s="197" customFormat="1" ht="12.75" x14ac:dyDescent="0.2"/>
    <row r="25773" s="197" customFormat="1" ht="12.75" x14ac:dyDescent="0.2"/>
    <row r="25774" s="197" customFormat="1" ht="12.75" x14ac:dyDescent="0.2"/>
    <row r="25775" s="197" customFormat="1" ht="12.75" x14ac:dyDescent="0.2"/>
    <row r="25776" s="197" customFormat="1" ht="12.75" x14ac:dyDescent="0.2"/>
    <row r="25777" s="197" customFormat="1" ht="12.75" x14ac:dyDescent="0.2"/>
    <row r="25778" s="197" customFormat="1" ht="12.75" x14ac:dyDescent="0.2"/>
    <row r="25779" s="197" customFormat="1" ht="12.75" x14ac:dyDescent="0.2"/>
    <row r="25780" s="197" customFormat="1" ht="12.75" x14ac:dyDescent="0.2"/>
    <row r="25781" s="197" customFormat="1" ht="12.75" x14ac:dyDescent="0.2"/>
    <row r="25782" s="197" customFormat="1" ht="12.75" x14ac:dyDescent="0.2"/>
    <row r="25783" s="197" customFormat="1" ht="12.75" x14ac:dyDescent="0.2"/>
    <row r="25784" s="197" customFormat="1" ht="12.75" x14ac:dyDescent="0.2"/>
    <row r="25785" s="197" customFormat="1" ht="12.75" x14ac:dyDescent="0.2"/>
    <row r="25786" s="197" customFormat="1" ht="12.75" x14ac:dyDescent="0.2"/>
    <row r="25787" s="197" customFormat="1" ht="12.75" x14ac:dyDescent="0.2"/>
    <row r="25788" s="197" customFormat="1" ht="12.75" x14ac:dyDescent="0.2"/>
    <row r="25789" s="197" customFormat="1" ht="12.75" x14ac:dyDescent="0.2"/>
    <row r="25790" s="197" customFormat="1" ht="12.75" x14ac:dyDescent="0.2"/>
    <row r="25791" s="197" customFormat="1" ht="12.75" x14ac:dyDescent="0.2"/>
    <row r="25792" s="197" customFormat="1" ht="12.75" x14ac:dyDescent="0.2"/>
    <row r="25793" s="197" customFormat="1" ht="12.75" x14ac:dyDescent="0.2"/>
    <row r="25794" s="197" customFormat="1" ht="12.75" x14ac:dyDescent="0.2"/>
    <row r="25795" s="197" customFormat="1" ht="12.75" x14ac:dyDescent="0.2"/>
    <row r="25796" s="197" customFormat="1" ht="12.75" x14ac:dyDescent="0.2"/>
    <row r="25797" s="197" customFormat="1" ht="12.75" x14ac:dyDescent="0.2"/>
    <row r="25798" s="197" customFormat="1" ht="12.75" x14ac:dyDescent="0.2"/>
    <row r="25799" s="197" customFormat="1" ht="12.75" x14ac:dyDescent="0.2"/>
    <row r="25800" s="197" customFormat="1" ht="12.75" x14ac:dyDescent="0.2"/>
    <row r="25801" s="197" customFormat="1" ht="12.75" x14ac:dyDescent="0.2"/>
    <row r="25802" s="197" customFormat="1" ht="12.75" x14ac:dyDescent="0.2"/>
    <row r="25803" s="197" customFormat="1" ht="12.75" x14ac:dyDescent="0.2"/>
    <row r="25804" s="197" customFormat="1" ht="12.75" x14ac:dyDescent="0.2"/>
    <row r="25805" s="197" customFormat="1" ht="12.75" x14ac:dyDescent="0.2"/>
    <row r="25806" s="197" customFormat="1" ht="12.75" x14ac:dyDescent="0.2"/>
    <row r="25807" s="197" customFormat="1" ht="12.75" x14ac:dyDescent="0.2"/>
    <row r="25808" s="197" customFormat="1" ht="12.75" x14ac:dyDescent="0.2"/>
    <row r="25809" s="197" customFormat="1" ht="12.75" x14ac:dyDescent="0.2"/>
    <row r="25810" s="197" customFormat="1" ht="12.75" x14ac:dyDescent="0.2"/>
    <row r="25811" s="197" customFormat="1" ht="12.75" x14ac:dyDescent="0.2"/>
    <row r="25812" s="197" customFormat="1" ht="12.75" x14ac:dyDescent="0.2"/>
    <row r="25813" s="197" customFormat="1" ht="12.75" x14ac:dyDescent="0.2"/>
    <row r="25814" s="197" customFormat="1" ht="12.75" x14ac:dyDescent="0.2"/>
    <row r="25815" s="197" customFormat="1" ht="12.75" x14ac:dyDescent="0.2"/>
    <row r="25816" s="197" customFormat="1" ht="12.75" x14ac:dyDescent="0.2"/>
    <row r="25817" s="197" customFormat="1" ht="12.75" x14ac:dyDescent="0.2"/>
    <row r="25818" s="197" customFormat="1" ht="12.75" x14ac:dyDescent="0.2"/>
    <row r="25819" s="197" customFormat="1" ht="12.75" x14ac:dyDescent="0.2"/>
    <row r="25820" s="197" customFormat="1" ht="12.75" x14ac:dyDescent="0.2"/>
    <row r="25821" s="197" customFormat="1" ht="12.75" x14ac:dyDescent="0.2"/>
    <row r="25822" s="197" customFormat="1" ht="12.75" x14ac:dyDescent="0.2"/>
    <row r="25823" s="197" customFormat="1" ht="12.75" x14ac:dyDescent="0.2"/>
    <row r="25824" s="197" customFormat="1" ht="12.75" x14ac:dyDescent="0.2"/>
    <row r="25825" s="197" customFormat="1" ht="12.75" x14ac:dyDescent="0.2"/>
    <row r="25826" s="197" customFormat="1" ht="12.75" x14ac:dyDescent="0.2"/>
    <row r="25827" s="197" customFormat="1" ht="12.75" x14ac:dyDescent="0.2"/>
    <row r="25828" s="197" customFormat="1" ht="12.75" x14ac:dyDescent="0.2"/>
    <row r="25829" s="197" customFormat="1" ht="12.75" x14ac:dyDescent="0.2"/>
    <row r="25830" s="197" customFormat="1" ht="12.75" x14ac:dyDescent="0.2"/>
    <row r="25831" s="197" customFormat="1" ht="12.75" x14ac:dyDescent="0.2"/>
    <row r="25832" s="197" customFormat="1" ht="12.75" x14ac:dyDescent="0.2"/>
    <row r="25833" s="197" customFormat="1" ht="12.75" x14ac:dyDescent="0.2"/>
    <row r="25834" s="197" customFormat="1" ht="12.75" x14ac:dyDescent="0.2"/>
    <row r="25835" s="197" customFormat="1" ht="12.75" x14ac:dyDescent="0.2"/>
    <row r="25836" s="197" customFormat="1" ht="12.75" x14ac:dyDescent="0.2"/>
    <row r="25837" s="197" customFormat="1" ht="12.75" x14ac:dyDescent="0.2"/>
    <row r="25838" s="197" customFormat="1" ht="12.75" x14ac:dyDescent="0.2"/>
    <row r="25839" s="197" customFormat="1" ht="12.75" x14ac:dyDescent="0.2"/>
    <row r="25840" s="197" customFormat="1" ht="12.75" x14ac:dyDescent="0.2"/>
    <row r="25841" s="197" customFormat="1" ht="12.75" x14ac:dyDescent="0.2"/>
    <row r="25842" s="197" customFormat="1" ht="12.75" x14ac:dyDescent="0.2"/>
    <row r="25843" s="197" customFormat="1" ht="12.75" x14ac:dyDescent="0.2"/>
    <row r="25844" s="197" customFormat="1" ht="12.75" x14ac:dyDescent="0.2"/>
    <row r="25845" s="197" customFormat="1" ht="12.75" x14ac:dyDescent="0.2"/>
    <row r="25846" s="197" customFormat="1" ht="12.75" x14ac:dyDescent="0.2"/>
    <row r="25847" s="197" customFormat="1" ht="12.75" x14ac:dyDescent="0.2"/>
    <row r="25848" s="197" customFormat="1" ht="12.75" x14ac:dyDescent="0.2"/>
    <row r="25849" s="197" customFormat="1" ht="12.75" x14ac:dyDescent="0.2"/>
    <row r="25850" s="197" customFormat="1" ht="12.75" x14ac:dyDescent="0.2"/>
    <row r="25851" s="197" customFormat="1" ht="12.75" x14ac:dyDescent="0.2"/>
    <row r="25852" s="197" customFormat="1" ht="12.75" x14ac:dyDescent="0.2"/>
    <row r="25853" s="197" customFormat="1" ht="12.75" x14ac:dyDescent="0.2"/>
    <row r="25854" s="197" customFormat="1" ht="12.75" x14ac:dyDescent="0.2"/>
    <row r="25855" s="197" customFormat="1" ht="12.75" x14ac:dyDescent="0.2"/>
    <row r="25856" s="197" customFormat="1" ht="12.75" x14ac:dyDescent="0.2"/>
    <row r="25857" s="197" customFormat="1" ht="12.75" x14ac:dyDescent="0.2"/>
    <row r="25858" s="197" customFormat="1" ht="12.75" x14ac:dyDescent="0.2"/>
    <row r="25859" s="197" customFormat="1" ht="12.75" x14ac:dyDescent="0.2"/>
    <row r="25860" s="197" customFormat="1" ht="12.75" x14ac:dyDescent="0.2"/>
    <row r="25861" s="197" customFormat="1" ht="12.75" x14ac:dyDescent="0.2"/>
    <row r="25862" s="197" customFormat="1" ht="12.75" x14ac:dyDescent="0.2"/>
    <row r="25863" s="197" customFormat="1" ht="12.75" x14ac:dyDescent="0.2"/>
    <row r="25864" s="197" customFormat="1" ht="12.75" x14ac:dyDescent="0.2"/>
    <row r="25865" s="197" customFormat="1" ht="12.75" x14ac:dyDescent="0.2"/>
    <row r="25866" s="197" customFormat="1" ht="12.75" x14ac:dyDescent="0.2"/>
    <row r="25867" s="197" customFormat="1" ht="12.75" x14ac:dyDescent="0.2"/>
    <row r="25868" s="197" customFormat="1" ht="12.75" x14ac:dyDescent="0.2"/>
    <row r="25869" s="197" customFormat="1" ht="12.75" x14ac:dyDescent="0.2"/>
    <row r="25870" s="197" customFormat="1" ht="12.75" x14ac:dyDescent="0.2"/>
    <row r="25871" s="197" customFormat="1" ht="12.75" x14ac:dyDescent="0.2"/>
    <row r="25872" s="197" customFormat="1" ht="12.75" x14ac:dyDescent="0.2"/>
    <row r="25873" s="197" customFormat="1" ht="12.75" x14ac:dyDescent="0.2"/>
    <row r="25874" s="197" customFormat="1" ht="12.75" x14ac:dyDescent="0.2"/>
    <row r="25875" s="197" customFormat="1" ht="12.75" x14ac:dyDescent="0.2"/>
    <row r="25876" s="197" customFormat="1" ht="12.75" x14ac:dyDescent="0.2"/>
    <row r="25877" s="197" customFormat="1" ht="12.75" x14ac:dyDescent="0.2"/>
    <row r="25878" s="197" customFormat="1" ht="12.75" x14ac:dyDescent="0.2"/>
    <row r="25879" s="197" customFormat="1" ht="12.75" x14ac:dyDescent="0.2"/>
    <row r="25880" s="197" customFormat="1" ht="12.75" x14ac:dyDescent="0.2"/>
    <row r="25881" s="197" customFormat="1" ht="12.75" x14ac:dyDescent="0.2"/>
    <row r="25882" s="197" customFormat="1" ht="12.75" x14ac:dyDescent="0.2"/>
    <row r="25883" s="197" customFormat="1" ht="12.75" x14ac:dyDescent="0.2"/>
    <row r="25884" s="197" customFormat="1" ht="12.75" x14ac:dyDescent="0.2"/>
    <row r="25885" s="197" customFormat="1" ht="12.75" x14ac:dyDescent="0.2"/>
    <row r="25886" s="197" customFormat="1" ht="12.75" x14ac:dyDescent="0.2"/>
    <row r="25887" s="197" customFormat="1" ht="12.75" x14ac:dyDescent="0.2"/>
    <row r="25888" s="197" customFormat="1" ht="12.75" x14ac:dyDescent="0.2"/>
    <row r="25889" s="197" customFormat="1" ht="12.75" x14ac:dyDescent="0.2"/>
    <row r="25890" s="197" customFormat="1" ht="12.75" x14ac:dyDescent="0.2"/>
    <row r="25891" s="197" customFormat="1" ht="12.75" x14ac:dyDescent="0.2"/>
    <row r="25892" s="197" customFormat="1" ht="12.75" x14ac:dyDescent="0.2"/>
    <row r="25893" s="197" customFormat="1" ht="12.75" x14ac:dyDescent="0.2"/>
    <row r="25894" s="197" customFormat="1" ht="12.75" x14ac:dyDescent="0.2"/>
    <row r="25895" s="197" customFormat="1" ht="12.75" x14ac:dyDescent="0.2"/>
    <row r="25896" s="197" customFormat="1" ht="12.75" x14ac:dyDescent="0.2"/>
    <row r="25897" s="197" customFormat="1" ht="12.75" x14ac:dyDescent="0.2"/>
    <row r="25898" s="197" customFormat="1" ht="12.75" x14ac:dyDescent="0.2"/>
    <row r="25899" s="197" customFormat="1" ht="12.75" x14ac:dyDescent="0.2"/>
    <row r="25900" s="197" customFormat="1" ht="12.75" x14ac:dyDescent="0.2"/>
    <row r="25901" s="197" customFormat="1" ht="12.75" x14ac:dyDescent="0.2"/>
    <row r="25902" s="197" customFormat="1" ht="12.75" x14ac:dyDescent="0.2"/>
    <row r="25903" s="197" customFormat="1" ht="12.75" x14ac:dyDescent="0.2"/>
    <row r="25904" s="197" customFormat="1" ht="12.75" x14ac:dyDescent="0.2"/>
    <row r="25905" s="197" customFormat="1" ht="12.75" x14ac:dyDescent="0.2"/>
    <row r="25906" s="197" customFormat="1" ht="12.75" x14ac:dyDescent="0.2"/>
    <row r="25907" s="197" customFormat="1" ht="12.75" x14ac:dyDescent="0.2"/>
    <row r="25908" s="197" customFormat="1" ht="12.75" x14ac:dyDescent="0.2"/>
    <row r="25909" s="197" customFormat="1" ht="12.75" x14ac:dyDescent="0.2"/>
    <row r="25910" s="197" customFormat="1" ht="12.75" x14ac:dyDescent="0.2"/>
    <row r="25911" s="197" customFormat="1" ht="12.75" x14ac:dyDescent="0.2"/>
    <row r="25912" s="197" customFormat="1" ht="12.75" x14ac:dyDescent="0.2"/>
    <row r="25913" s="197" customFormat="1" ht="12.75" x14ac:dyDescent="0.2"/>
    <row r="25914" s="197" customFormat="1" ht="12.75" x14ac:dyDescent="0.2"/>
    <row r="25915" s="197" customFormat="1" ht="12.75" x14ac:dyDescent="0.2"/>
    <row r="25916" s="197" customFormat="1" ht="12.75" x14ac:dyDescent="0.2"/>
    <row r="25917" s="197" customFormat="1" ht="12.75" x14ac:dyDescent="0.2"/>
    <row r="25918" s="197" customFormat="1" ht="12.75" x14ac:dyDescent="0.2"/>
    <row r="25919" s="197" customFormat="1" ht="12.75" x14ac:dyDescent="0.2"/>
    <row r="25920" s="197" customFormat="1" ht="12.75" x14ac:dyDescent="0.2"/>
    <row r="25921" s="197" customFormat="1" ht="12.75" x14ac:dyDescent="0.2"/>
    <row r="25922" s="197" customFormat="1" ht="12.75" x14ac:dyDescent="0.2"/>
    <row r="25923" s="197" customFormat="1" ht="12.75" x14ac:dyDescent="0.2"/>
    <row r="25924" s="197" customFormat="1" ht="12.75" x14ac:dyDescent="0.2"/>
    <row r="25925" s="197" customFormat="1" ht="12.75" x14ac:dyDescent="0.2"/>
    <row r="25926" s="197" customFormat="1" ht="12.75" x14ac:dyDescent="0.2"/>
    <row r="25927" s="197" customFormat="1" ht="12.75" x14ac:dyDescent="0.2"/>
    <row r="25928" s="197" customFormat="1" ht="12.75" x14ac:dyDescent="0.2"/>
    <row r="25929" s="197" customFormat="1" ht="12.75" x14ac:dyDescent="0.2"/>
    <row r="25930" s="197" customFormat="1" ht="12.75" x14ac:dyDescent="0.2"/>
    <row r="25931" s="197" customFormat="1" ht="12.75" x14ac:dyDescent="0.2"/>
    <row r="25932" s="197" customFormat="1" ht="12.75" x14ac:dyDescent="0.2"/>
    <row r="25933" s="197" customFormat="1" ht="12.75" x14ac:dyDescent="0.2"/>
    <row r="25934" s="197" customFormat="1" ht="12.75" x14ac:dyDescent="0.2"/>
    <row r="25935" s="197" customFormat="1" ht="12.75" x14ac:dyDescent="0.2"/>
    <row r="25936" s="197" customFormat="1" ht="12.75" x14ac:dyDescent="0.2"/>
    <row r="25937" s="197" customFormat="1" ht="12.75" x14ac:dyDescent="0.2"/>
    <row r="25938" s="197" customFormat="1" ht="12.75" x14ac:dyDescent="0.2"/>
    <row r="25939" s="197" customFormat="1" ht="12.75" x14ac:dyDescent="0.2"/>
    <row r="25940" s="197" customFormat="1" ht="12.75" x14ac:dyDescent="0.2"/>
    <row r="25941" s="197" customFormat="1" ht="12.75" x14ac:dyDescent="0.2"/>
    <row r="25942" s="197" customFormat="1" ht="12.75" x14ac:dyDescent="0.2"/>
    <row r="25943" s="197" customFormat="1" ht="12.75" x14ac:dyDescent="0.2"/>
    <row r="25944" s="197" customFormat="1" ht="12.75" x14ac:dyDescent="0.2"/>
    <row r="25945" s="197" customFormat="1" ht="12.75" x14ac:dyDescent="0.2"/>
    <row r="25946" s="197" customFormat="1" ht="12.75" x14ac:dyDescent="0.2"/>
    <row r="25947" s="197" customFormat="1" ht="12.75" x14ac:dyDescent="0.2"/>
    <row r="25948" s="197" customFormat="1" ht="12.75" x14ac:dyDescent="0.2"/>
    <row r="25949" s="197" customFormat="1" ht="12.75" x14ac:dyDescent="0.2"/>
    <row r="25950" s="197" customFormat="1" ht="12.75" x14ac:dyDescent="0.2"/>
    <row r="25951" s="197" customFormat="1" ht="12.75" x14ac:dyDescent="0.2"/>
    <row r="25952" s="197" customFormat="1" ht="12.75" x14ac:dyDescent="0.2"/>
    <row r="25953" s="197" customFormat="1" ht="12.75" x14ac:dyDescent="0.2"/>
    <row r="25954" s="197" customFormat="1" ht="12.75" x14ac:dyDescent="0.2"/>
    <row r="25955" s="197" customFormat="1" ht="12.75" x14ac:dyDescent="0.2"/>
    <row r="25956" s="197" customFormat="1" ht="12.75" x14ac:dyDescent="0.2"/>
    <row r="25957" s="197" customFormat="1" ht="12.75" x14ac:dyDescent="0.2"/>
    <row r="25958" s="197" customFormat="1" ht="12.75" x14ac:dyDescent="0.2"/>
    <row r="25959" s="197" customFormat="1" ht="12.75" x14ac:dyDescent="0.2"/>
    <row r="25960" s="197" customFormat="1" ht="12.75" x14ac:dyDescent="0.2"/>
    <row r="25961" s="197" customFormat="1" ht="12.75" x14ac:dyDescent="0.2"/>
    <row r="25962" s="197" customFormat="1" ht="12.75" x14ac:dyDescent="0.2"/>
    <row r="25963" s="197" customFormat="1" ht="12.75" x14ac:dyDescent="0.2"/>
    <row r="25964" s="197" customFormat="1" ht="12.75" x14ac:dyDescent="0.2"/>
    <row r="25965" s="197" customFormat="1" ht="12.75" x14ac:dyDescent="0.2"/>
    <row r="25966" s="197" customFormat="1" ht="12.75" x14ac:dyDescent="0.2"/>
    <row r="25967" s="197" customFormat="1" ht="12.75" x14ac:dyDescent="0.2"/>
    <row r="25968" s="197" customFormat="1" ht="12.75" x14ac:dyDescent="0.2"/>
    <row r="25969" s="197" customFormat="1" ht="12.75" x14ac:dyDescent="0.2"/>
    <row r="25970" s="197" customFormat="1" ht="12.75" x14ac:dyDescent="0.2"/>
    <row r="25971" s="197" customFormat="1" ht="12.75" x14ac:dyDescent="0.2"/>
    <row r="25972" s="197" customFormat="1" ht="12.75" x14ac:dyDescent="0.2"/>
    <row r="25973" s="197" customFormat="1" ht="12.75" x14ac:dyDescent="0.2"/>
    <row r="25974" s="197" customFormat="1" ht="12.75" x14ac:dyDescent="0.2"/>
    <row r="25975" s="197" customFormat="1" ht="12.75" x14ac:dyDescent="0.2"/>
    <row r="25976" s="197" customFormat="1" ht="12.75" x14ac:dyDescent="0.2"/>
    <row r="25977" s="197" customFormat="1" ht="12.75" x14ac:dyDescent="0.2"/>
    <row r="25978" s="197" customFormat="1" ht="12.75" x14ac:dyDescent="0.2"/>
    <row r="25979" s="197" customFormat="1" ht="12.75" x14ac:dyDescent="0.2"/>
    <row r="25980" s="197" customFormat="1" ht="12.75" x14ac:dyDescent="0.2"/>
    <row r="25981" s="197" customFormat="1" ht="12.75" x14ac:dyDescent="0.2"/>
    <row r="25982" s="197" customFormat="1" ht="12.75" x14ac:dyDescent="0.2"/>
    <row r="25983" s="197" customFormat="1" ht="12.75" x14ac:dyDescent="0.2"/>
    <row r="25984" s="197" customFormat="1" ht="12.75" x14ac:dyDescent="0.2"/>
    <row r="25985" s="197" customFormat="1" ht="12.75" x14ac:dyDescent="0.2"/>
    <row r="25986" s="197" customFormat="1" ht="12.75" x14ac:dyDescent="0.2"/>
    <row r="25987" s="197" customFormat="1" ht="12.75" x14ac:dyDescent="0.2"/>
    <row r="25988" s="197" customFormat="1" ht="12.75" x14ac:dyDescent="0.2"/>
    <row r="25989" s="197" customFormat="1" ht="12.75" x14ac:dyDescent="0.2"/>
    <row r="25990" s="197" customFormat="1" ht="12.75" x14ac:dyDescent="0.2"/>
    <row r="25991" s="197" customFormat="1" ht="12.75" x14ac:dyDescent="0.2"/>
    <row r="25992" s="197" customFormat="1" ht="12.75" x14ac:dyDescent="0.2"/>
    <row r="25993" s="197" customFormat="1" ht="12.75" x14ac:dyDescent="0.2"/>
    <row r="25994" s="197" customFormat="1" ht="12.75" x14ac:dyDescent="0.2"/>
    <row r="25995" s="197" customFormat="1" ht="12.75" x14ac:dyDescent="0.2"/>
    <row r="25996" s="197" customFormat="1" ht="12.75" x14ac:dyDescent="0.2"/>
    <row r="25997" s="197" customFormat="1" ht="12.75" x14ac:dyDescent="0.2"/>
    <row r="25998" s="197" customFormat="1" ht="12.75" x14ac:dyDescent="0.2"/>
    <row r="25999" s="197" customFormat="1" ht="12.75" x14ac:dyDescent="0.2"/>
    <row r="26000" s="197" customFormat="1" ht="12.75" x14ac:dyDescent="0.2"/>
    <row r="26001" s="197" customFormat="1" ht="12.75" x14ac:dyDescent="0.2"/>
    <row r="26002" s="197" customFormat="1" ht="12.75" x14ac:dyDescent="0.2"/>
    <row r="26003" s="197" customFormat="1" ht="12.75" x14ac:dyDescent="0.2"/>
    <row r="26004" s="197" customFormat="1" ht="12.75" x14ac:dyDescent="0.2"/>
    <row r="26005" s="197" customFormat="1" ht="12.75" x14ac:dyDescent="0.2"/>
    <row r="26006" s="197" customFormat="1" ht="12.75" x14ac:dyDescent="0.2"/>
    <row r="26007" s="197" customFormat="1" ht="12.75" x14ac:dyDescent="0.2"/>
    <row r="26008" s="197" customFormat="1" ht="12.75" x14ac:dyDescent="0.2"/>
    <row r="26009" s="197" customFormat="1" ht="12.75" x14ac:dyDescent="0.2"/>
    <row r="26010" s="197" customFormat="1" ht="12.75" x14ac:dyDescent="0.2"/>
    <row r="26011" s="197" customFormat="1" ht="12.75" x14ac:dyDescent="0.2"/>
    <row r="26012" s="197" customFormat="1" ht="12.75" x14ac:dyDescent="0.2"/>
    <row r="26013" s="197" customFormat="1" ht="12.75" x14ac:dyDescent="0.2"/>
    <row r="26014" s="197" customFormat="1" ht="12.75" x14ac:dyDescent="0.2"/>
    <row r="26015" s="197" customFormat="1" ht="12.75" x14ac:dyDescent="0.2"/>
    <row r="26016" s="197" customFormat="1" ht="12.75" x14ac:dyDescent="0.2"/>
    <row r="26017" s="197" customFormat="1" ht="12.75" x14ac:dyDescent="0.2"/>
    <row r="26018" s="197" customFormat="1" ht="12.75" x14ac:dyDescent="0.2"/>
    <row r="26019" s="197" customFormat="1" ht="12.75" x14ac:dyDescent="0.2"/>
    <row r="26020" s="197" customFormat="1" ht="12.75" x14ac:dyDescent="0.2"/>
    <row r="26021" s="197" customFormat="1" ht="12.75" x14ac:dyDescent="0.2"/>
    <row r="26022" s="197" customFormat="1" ht="12.75" x14ac:dyDescent="0.2"/>
    <row r="26023" s="197" customFormat="1" ht="12.75" x14ac:dyDescent="0.2"/>
    <row r="26024" s="197" customFormat="1" ht="12.75" x14ac:dyDescent="0.2"/>
    <row r="26025" s="197" customFormat="1" ht="12.75" x14ac:dyDescent="0.2"/>
    <row r="26026" s="197" customFormat="1" ht="12.75" x14ac:dyDescent="0.2"/>
    <row r="26027" s="197" customFormat="1" ht="12.75" x14ac:dyDescent="0.2"/>
    <row r="26028" s="197" customFormat="1" ht="12.75" x14ac:dyDescent="0.2"/>
    <row r="26029" s="197" customFormat="1" ht="12.75" x14ac:dyDescent="0.2"/>
    <row r="26030" s="197" customFormat="1" ht="12.75" x14ac:dyDescent="0.2"/>
    <row r="26031" s="197" customFormat="1" ht="12.75" x14ac:dyDescent="0.2"/>
    <row r="26032" s="197" customFormat="1" ht="12.75" x14ac:dyDescent="0.2"/>
    <row r="26033" s="197" customFormat="1" ht="12.75" x14ac:dyDescent="0.2"/>
    <row r="26034" s="197" customFormat="1" ht="12.75" x14ac:dyDescent="0.2"/>
    <row r="26035" s="197" customFormat="1" ht="12.75" x14ac:dyDescent="0.2"/>
    <row r="26036" s="197" customFormat="1" ht="12.75" x14ac:dyDescent="0.2"/>
    <row r="26037" s="197" customFormat="1" ht="12.75" x14ac:dyDescent="0.2"/>
    <row r="26038" s="197" customFormat="1" ht="12.75" x14ac:dyDescent="0.2"/>
    <row r="26039" s="197" customFormat="1" ht="12.75" x14ac:dyDescent="0.2"/>
    <row r="26040" s="197" customFormat="1" ht="12.75" x14ac:dyDescent="0.2"/>
    <row r="26041" s="197" customFormat="1" ht="12.75" x14ac:dyDescent="0.2"/>
    <row r="26042" s="197" customFormat="1" ht="12.75" x14ac:dyDescent="0.2"/>
    <row r="26043" s="197" customFormat="1" ht="12.75" x14ac:dyDescent="0.2"/>
    <row r="26044" s="197" customFormat="1" ht="12.75" x14ac:dyDescent="0.2"/>
    <row r="26045" s="197" customFormat="1" ht="12.75" x14ac:dyDescent="0.2"/>
    <row r="26046" s="197" customFormat="1" ht="12.75" x14ac:dyDescent="0.2"/>
    <row r="26047" s="197" customFormat="1" ht="12.75" x14ac:dyDescent="0.2"/>
    <row r="26048" s="197" customFormat="1" ht="12.75" x14ac:dyDescent="0.2"/>
    <row r="26049" s="197" customFormat="1" ht="12.75" x14ac:dyDescent="0.2"/>
    <row r="26050" s="197" customFormat="1" ht="12.75" x14ac:dyDescent="0.2"/>
    <row r="26051" s="197" customFormat="1" ht="12.75" x14ac:dyDescent="0.2"/>
    <row r="26052" s="197" customFormat="1" ht="12.75" x14ac:dyDescent="0.2"/>
    <row r="26053" s="197" customFormat="1" ht="12.75" x14ac:dyDescent="0.2"/>
    <row r="26054" s="197" customFormat="1" ht="12.75" x14ac:dyDescent="0.2"/>
    <row r="26055" s="197" customFormat="1" ht="12.75" x14ac:dyDescent="0.2"/>
    <row r="26056" s="197" customFormat="1" ht="12.75" x14ac:dyDescent="0.2"/>
    <row r="26057" s="197" customFormat="1" ht="12.75" x14ac:dyDescent="0.2"/>
    <row r="26058" s="197" customFormat="1" ht="12.75" x14ac:dyDescent="0.2"/>
    <row r="26059" s="197" customFormat="1" ht="12.75" x14ac:dyDescent="0.2"/>
    <row r="26060" s="197" customFormat="1" ht="12.75" x14ac:dyDescent="0.2"/>
    <row r="26061" s="197" customFormat="1" ht="12.75" x14ac:dyDescent="0.2"/>
    <row r="26062" s="197" customFormat="1" ht="12.75" x14ac:dyDescent="0.2"/>
    <row r="26063" s="197" customFormat="1" ht="12.75" x14ac:dyDescent="0.2"/>
    <row r="26064" s="197" customFormat="1" ht="12.75" x14ac:dyDescent="0.2"/>
    <row r="26065" s="197" customFormat="1" ht="12.75" x14ac:dyDescent="0.2"/>
    <row r="26066" s="197" customFormat="1" ht="12.75" x14ac:dyDescent="0.2"/>
    <row r="26067" s="197" customFormat="1" ht="12.75" x14ac:dyDescent="0.2"/>
    <row r="26068" s="197" customFormat="1" ht="12.75" x14ac:dyDescent="0.2"/>
    <row r="26069" s="197" customFormat="1" ht="12.75" x14ac:dyDescent="0.2"/>
    <row r="26070" s="197" customFormat="1" ht="12.75" x14ac:dyDescent="0.2"/>
    <row r="26071" s="197" customFormat="1" ht="12.75" x14ac:dyDescent="0.2"/>
    <row r="26072" s="197" customFormat="1" ht="12.75" x14ac:dyDescent="0.2"/>
    <row r="26073" s="197" customFormat="1" ht="12.75" x14ac:dyDescent="0.2"/>
    <row r="26074" s="197" customFormat="1" ht="12.75" x14ac:dyDescent="0.2"/>
    <row r="26075" s="197" customFormat="1" ht="12.75" x14ac:dyDescent="0.2"/>
    <row r="26076" s="197" customFormat="1" ht="12.75" x14ac:dyDescent="0.2"/>
    <row r="26077" s="197" customFormat="1" ht="12.75" x14ac:dyDescent="0.2"/>
    <row r="26078" s="197" customFormat="1" ht="12.75" x14ac:dyDescent="0.2"/>
    <row r="26079" s="197" customFormat="1" ht="12.75" x14ac:dyDescent="0.2"/>
    <row r="26080" s="197" customFormat="1" ht="12.75" x14ac:dyDescent="0.2"/>
    <row r="26081" s="197" customFormat="1" ht="12.75" x14ac:dyDescent="0.2"/>
    <row r="26082" s="197" customFormat="1" ht="12.75" x14ac:dyDescent="0.2"/>
    <row r="26083" s="197" customFormat="1" ht="12.75" x14ac:dyDescent="0.2"/>
    <row r="26084" s="197" customFormat="1" ht="12.75" x14ac:dyDescent="0.2"/>
    <row r="26085" s="197" customFormat="1" ht="12.75" x14ac:dyDescent="0.2"/>
    <row r="26086" s="197" customFormat="1" ht="12.75" x14ac:dyDescent="0.2"/>
    <row r="26087" s="197" customFormat="1" ht="12.75" x14ac:dyDescent="0.2"/>
    <row r="26088" s="197" customFormat="1" ht="12.75" x14ac:dyDescent="0.2"/>
    <row r="26089" s="197" customFormat="1" ht="12.75" x14ac:dyDescent="0.2"/>
    <row r="26090" s="197" customFormat="1" ht="12.75" x14ac:dyDescent="0.2"/>
    <row r="26091" s="197" customFormat="1" ht="12.75" x14ac:dyDescent="0.2"/>
    <row r="26092" s="197" customFormat="1" ht="12.75" x14ac:dyDescent="0.2"/>
    <row r="26093" s="197" customFormat="1" ht="12.75" x14ac:dyDescent="0.2"/>
    <row r="26094" s="197" customFormat="1" ht="12.75" x14ac:dyDescent="0.2"/>
    <row r="26095" s="197" customFormat="1" ht="12.75" x14ac:dyDescent="0.2"/>
    <row r="26096" s="197" customFormat="1" ht="12.75" x14ac:dyDescent="0.2"/>
    <row r="26097" s="197" customFormat="1" ht="12.75" x14ac:dyDescent="0.2"/>
    <row r="26098" s="197" customFormat="1" ht="12.75" x14ac:dyDescent="0.2"/>
    <row r="26099" s="197" customFormat="1" ht="12.75" x14ac:dyDescent="0.2"/>
    <row r="26100" s="197" customFormat="1" ht="12.75" x14ac:dyDescent="0.2"/>
    <row r="26101" s="197" customFormat="1" ht="12.75" x14ac:dyDescent="0.2"/>
    <row r="26102" s="197" customFormat="1" ht="12.75" x14ac:dyDescent="0.2"/>
    <row r="26103" s="197" customFormat="1" ht="12.75" x14ac:dyDescent="0.2"/>
    <row r="26104" s="197" customFormat="1" ht="12.75" x14ac:dyDescent="0.2"/>
    <row r="26105" s="197" customFormat="1" ht="12.75" x14ac:dyDescent="0.2"/>
    <row r="26106" s="197" customFormat="1" ht="12.75" x14ac:dyDescent="0.2"/>
    <row r="26107" s="197" customFormat="1" ht="12.75" x14ac:dyDescent="0.2"/>
    <row r="26108" s="197" customFormat="1" ht="12.75" x14ac:dyDescent="0.2"/>
    <row r="26109" s="197" customFormat="1" ht="12.75" x14ac:dyDescent="0.2"/>
    <row r="26110" s="197" customFormat="1" ht="12.75" x14ac:dyDescent="0.2"/>
    <row r="26111" s="197" customFormat="1" ht="12.75" x14ac:dyDescent="0.2"/>
    <row r="26112" s="197" customFormat="1" ht="12.75" x14ac:dyDescent="0.2"/>
    <row r="26113" s="197" customFormat="1" ht="12.75" x14ac:dyDescent="0.2"/>
    <row r="26114" s="197" customFormat="1" ht="12.75" x14ac:dyDescent="0.2"/>
    <row r="26115" s="197" customFormat="1" ht="12.75" x14ac:dyDescent="0.2"/>
    <row r="26116" s="197" customFormat="1" ht="12.75" x14ac:dyDescent="0.2"/>
    <row r="26117" s="197" customFormat="1" ht="12.75" x14ac:dyDescent="0.2"/>
    <row r="26118" s="197" customFormat="1" ht="12.75" x14ac:dyDescent="0.2"/>
    <row r="26119" s="197" customFormat="1" ht="12.75" x14ac:dyDescent="0.2"/>
    <row r="26120" s="197" customFormat="1" ht="12.75" x14ac:dyDescent="0.2"/>
    <row r="26121" s="197" customFormat="1" ht="12.75" x14ac:dyDescent="0.2"/>
    <row r="26122" s="197" customFormat="1" ht="12.75" x14ac:dyDescent="0.2"/>
    <row r="26123" s="197" customFormat="1" ht="12.75" x14ac:dyDescent="0.2"/>
    <row r="26124" s="197" customFormat="1" ht="12.75" x14ac:dyDescent="0.2"/>
    <row r="26125" s="197" customFormat="1" ht="12.75" x14ac:dyDescent="0.2"/>
    <row r="26126" s="197" customFormat="1" ht="12.75" x14ac:dyDescent="0.2"/>
    <row r="26127" s="197" customFormat="1" ht="12.75" x14ac:dyDescent="0.2"/>
    <row r="26128" s="197" customFormat="1" ht="12.75" x14ac:dyDescent="0.2"/>
    <row r="26129" s="197" customFormat="1" ht="12.75" x14ac:dyDescent="0.2"/>
    <row r="26130" s="197" customFormat="1" ht="12.75" x14ac:dyDescent="0.2"/>
    <row r="26131" s="197" customFormat="1" ht="12.75" x14ac:dyDescent="0.2"/>
    <row r="26132" s="197" customFormat="1" ht="12.75" x14ac:dyDescent="0.2"/>
    <row r="26133" s="197" customFormat="1" ht="12.75" x14ac:dyDescent="0.2"/>
    <row r="26134" s="197" customFormat="1" ht="12.75" x14ac:dyDescent="0.2"/>
    <row r="26135" s="197" customFormat="1" ht="12.75" x14ac:dyDescent="0.2"/>
    <row r="26136" s="197" customFormat="1" ht="12.75" x14ac:dyDescent="0.2"/>
    <row r="26137" s="197" customFormat="1" ht="12.75" x14ac:dyDescent="0.2"/>
    <row r="26138" s="197" customFormat="1" ht="12.75" x14ac:dyDescent="0.2"/>
    <row r="26139" s="197" customFormat="1" ht="12.75" x14ac:dyDescent="0.2"/>
    <row r="26140" s="197" customFormat="1" ht="12.75" x14ac:dyDescent="0.2"/>
    <row r="26141" s="197" customFormat="1" ht="12.75" x14ac:dyDescent="0.2"/>
    <row r="26142" s="197" customFormat="1" ht="12.75" x14ac:dyDescent="0.2"/>
    <row r="26143" s="197" customFormat="1" ht="12.75" x14ac:dyDescent="0.2"/>
    <row r="26144" s="197" customFormat="1" ht="12.75" x14ac:dyDescent="0.2"/>
    <row r="26145" s="197" customFormat="1" ht="12.75" x14ac:dyDescent="0.2"/>
    <row r="26146" s="197" customFormat="1" ht="12.75" x14ac:dyDescent="0.2"/>
    <row r="26147" s="197" customFormat="1" ht="12.75" x14ac:dyDescent="0.2"/>
    <row r="26148" s="197" customFormat="1" ht="12.75" x14ac:dyDescent="0.2"/>
    <row r="26149" s="197" customFormat="1" ht="12.75" x14ac:dyDescent="0.2"/>
    <row r="26150" s="197" customFormat="1" ht="12.75" x14ac:dyDescent="0.2"/>
    <row r="26151" s="197" customFormat="1" ht="12.75" x14ac:dyDescent="0.2"/>
    <row r="26152" s="197" customFormat="1" ht="12.75" x14ac:dyDescent="0.2"/>
    <row r="26153" s="197" customFormat="1" ht="12.75" x14ac:dyDescent="0.2"/>
    <row r="26154" s="197" customFormat="1" ht="12.75" x14ac:dyDescent="0.2"/>
    <row r="26155" s="197" customFormat="1" ht="12.75" x14ac:dyDescent="0.2"/>
    <row r="26156" s="197" customFormat="1" ht="12.75" x14ac:dyDescent="0.2"/>
    <row r="26157" s="197" customFormat="1" ht="12.75" x14ac:dyDescent="0.2"/>
    <row r="26158" s="197" customFormat="1" ht="12.75" x14ac:dyDescent="0.2"/>
    <row r="26159" s="197" customFormat="1" ht="12.75" x14ac:dyDescent="0.2"/>
    <row r="26160" s="197" customFormat="1" ht="12.75" x14ac:dyDescent="0.2"/>
    <row r="26161" s="197" customFormat="1" ht="12.75" x14ac:dyDescent="0.2"/>
    <row r="26162" s="197" customFormat="1" ht="12.75" x14ac:dyDescent="0.2"/>
    <row r="26163" s="197" customFormat="1" ht="12.75" x14ac:dyDescent="0.2"/>
    <row r="26164" s="197" customFormat="1" ht="12.75" x14ac:dyDescent="0.2"/>
    <row r="26165" s="197" customFormat="1" ht="12.75" x14ac:dyDescent="0.2"/>
    <row r="26166" s="197" customFormat="1" ht="12.75" x14ac:dyDescent="0.2"/>
    <row r="26167" s="197" customFormat="1" ht="12.75" x14ac:dyDescent="0.2"/>
    <row r="26168" s="197" customFormat="1" ht="12.75" x14ac:dyDescent="0.2"/>
    <row r="26169" s="197" customFormat="1" ht="12.75" x14ac:dyDescent="0.2"/>
    <row r="26170" s="197" customFormat="1" ht="12.75" x14ac:dyDescent="0.2"/>
    <row r="26171" s="197" customFormat="1" ht="12.75" x14ac:dyDescent="0.2"/>
    <row r="26172" s="197" customFormat="1" ht="12.75" x14ac:dyDescent="0.2"/>
    <row r="26173" s="197" customFormat="1" ht="12.75" x14ac:dyDescent="0.2"/>
    <row r="26174" s="197" customFormat="1" ht="12.75" x14ac:dyDescent="0.2"/>
    <row r="26175" s="197" customFormat="1" ht="12.75" x14ac:dyDescent="0.2"/>
    <row r="26176" s="197" customFormat="1" ht="12.75" x14ac:dyDescent="0.2"/>
    <row r="26177" s="197" customFormat="1" ht="12.75" x14ac:dyDescent="0.2"/>
    <row r="26178" s="197" customFormat="1" ht="12.75" x14ac:dyDescent="0.2"/>
    <row r="26179" s="197" customFormat="1" ht="12.75" x14ac:dyDescent="0.2"/>
    <row r="26180" s="197" customFormat="1" ht="12.75" x14ac:dyDescent="0.2"/>
    <row r="26181" s="197" customFormat="1" ht="12.75" x14ac:dyDescent="0.2"/>
    <row r="26182" s="197" customFormat="1" ht="12.75" x14ac:dyDescent="0.2"/>
    <row r="26183" s="197" customFormat="1" ht="12.75" x14ac:dyDescent="0.2"/>
    <row r="26184" s="197" customFormat="1" ht="12.75" x14ac:dyDescent="0.2"/>
    <row r="26185" s="197" customFormat="1" ht="12.75" x14ac:dyDescent="0.2"/>
    <row r="26186" s="197" customFormat="1" ht="12.75" x14ac:dyDescent="0.2"/>
    <row r="26187" s="197" customFormat="1" ht="12.75" x14ac:dyDescent="0.2"/>
    <row r="26188" s="197" customFormat="1" ht="12.75" x14ac:dyDescent="0.2"/>
    <row r="26189" s="197" customFormat="1" ht="12.75" x14ac:dyDescent="0.2"/>
    <row r="26190" s="197" customFormat="1" ht="12.75" x14ac:dyDescent="0.2"/>
    <row r="26191" s="197" customFormat="1" ht="12.75" x14ac:dyDescent="0.2"/>
    <row r="26192" s="197" customFormat="1" ht="12.75" x14ac:dyDescent="0.2"/>
    <row r="26193" s="197" customFormat="1" ht="12.75" x14ac:dyDescent="0.2"/>
    <row r="26194" s="197" customFormat="1" ht="12.75" x14ac:dyDescent="0.2"/>
    <row r="26195" s="197" customFormat="1" ht="12.75" x14ac:dyDescent="0.2"/>
    <row r="26196" s="197" customFormat="1" ht="12.75" x14ac:dyDescent="0.2"/>
    <row r="26197" s="197" customFormat="1" ht="12.75" x14ac:dyDescent="0.2"/>
    <row r="26198" s="197" customFormat="1" ht="12.75" x14ac:dyDescent="0.2"/>
    <row r="26199" s="197" customFormat="1" ht="12.75" x14ac:dyDescent="0.2"/>
    <row r="26200" s="197" customFormat="1" ht="12.75" x14ac:dyDescent="0.2"/>
    <row r="26201" s="197" customFormat="1" ht="12.75" x14ac:dyDescent="0.2"/>
    <row r="26202" s="197" customFormat="1" ht="12.75" x14ac:dyDescent="0.2"/>
    <row r="26203" s="197" customFormat="1" ht="12.75" x14ac:dyDescent="0.2"/>
    <row r="26204" s="197" customFormat="1" ht="12.75" x14ac:dyDescent="0.2"/>
    <row r="26205" s="197" customFormat="1" ht="12.75" x14ac:dyDescent="0.2"/>
    <row r="26206" s="197" customFormat="1" ht="12.75" x14ac:dyDescent="0.2"/>
    <row r="26207" s="197" customFormat="1" ht="12.75" x14ac:dyDescent="0.2"/>
    <row r="26208" s="197" customFormat="1" ht="12.75" x14ac:dyDescent="0.2"/>
    <row r="26209" s="197" customFormat="1" ht="12.75" x14ac:dyDescent="0.2"/>
    <row r="26210" s="197" customFormat="1" ht="12.75" x14ac:dyDescent="0.2"/>
    <row r="26211" s="197" customFormat="1" ht="12.75" x14ac:dyDescent="0.2"/>
    <row r="26212" s="197" customFormat="1" ht="12.75" x14ac:dyDescent="0.2"/>
    <row r="26213" s="197" customFormat="1" ht="12.75" x14ac:dyDescent="0.2"/>
    <row r="26214" s="197" customFormat="1" ht="12.75" x14ac:dyDescent="0.2"/>
    <row r="26215" s="197" customFormat="1" ht="12.75" x14ac:dyDescent="0.2"/>
    <row r="26216" s="197" customFormat="1" ht="12.75" x14ac:dyDescent="0.2"/>
    <row r="26217" s="197" customFormat="1" ht="12.75" x14ac:dyDescent="0.2"/>
    <row r="26218" s="197" customFormat="1" ht="12.75" x14ac:dyDescent="0.2"/>
    <row r="26219" s="197" customFormat="1" ht="12.75" x14ac:dyDescent="0.2"/>
    <row r="26220" s="197" customFormat="1" ht="12.75" x14ac:dyDescent="0.2"/>
    <row r="26221" s="197" customFormat="1" ht="12.75" x14ac:dyDescent="0.2"/>
    <row r="26222" s="197" customFormat="1" ht="12.75" x14ac:dyDescent="0.2"/>
    <row r="26223" s="197" customFormat="1" ht="12.75" x14ac:dyDescent="0.2"/>
    <row r="26224" s="197" customFormat="1" ht="12.75" x14ac:dyDescent="0.2"/>
    <row r="26225" s="197" customFormat="1" ht="12.75" x14ac:dyDescent="0.2"/>
    <row r="26226" s="197" customFormat="1" ht="12.75" x14ac:dyDescent="0.2"/>
    <row r="26227" s="197" customFormat="1" ht="12.75" x14ac:dyDescent="0.2"/>
    <row r="26228" s="197" customFormat="1" ht="12.75" x14ac:dyDescent="0.2"/>
    <row r="26229" s="197" customFormat="1" ht="12.75" x14ac:dyDescent="0.2"/>
    <row r="26230" s="197" customFormat="1" ht="12.75" x14ac:dyDescent="0.2"/>
    <row r="26231" s="197" customFormat="1" ht="12.75" x14ac:dyDescent="0.2"/>
    <row r="26232" s="197" customFormat="1" ht="12.75" x14ac:dyDescent="0.2"/>
    <row r="26233" s="197" customFormat="1" ht="12.75" x14ac:dyDescent="0.2"/>
    <row r="26234" s="197" customFormat="1" ht="12.75" x14ac:dyDescent="0.2"/>
    <row r="26235" s="197" customFormat="1" ht="12.75" x14ac:dyDescent="0.2"/>
    <row r="26236" s="197" customFormat="1" ht="12.75" x14ac:dyDescent="0.2"/>
    <row r="26237" s="197" customFormat="1" ht="12.75" x14ac:dyDescent="0.2"/>
    <row r="26238" s="197" customFormat="1" ht="12.75" x14ac:dyDescent="0.2"/>
    <row r="26239" s="197" customFormat="1" ht="12.75" x14ac:dyDescent="0.2"/>
    <row r="26240" s="197" customFormat="1" ht="12.75" x14ac:dyDescent="0.2"/>
    <row r="26241" s="197" customFormat="1" ht="12.75" x14ac:dyDescent="0.2"/>
    <row r="26242" s="197" customFormat="1" ht="12.75" x14ac:dyDescent="0.2"/>
    <row r="26243" s="197" customFormat="1" ht="12.75" x14ac:dyDescent="0.2"/>
    <row r="26244" s="197" customFormat="1" ht="12.75" x14ac:dyDescent="0.2"/>
    <row r="26245" s="197" customFormat="1" ht="12.75" x14ac:dyDescent="0.2"/>
    <row r="26246" s="197" customFormat="1" ht="12.75" x14ac:dyDescent="0.2"/>
    <row r="26247" s="197" customFormat="1" ht="12.75" x14ac:dyDescent="0.2"/>
    <row r="26248" s="197" customFormat="1" ht="12.75" x14ac:dyDescent="0.2"/>
    <row r="26249" s="197" customFormat="1" ht="12.75" x14ac:dyDescent="0.2"/>
    <row r="26250" s="197" customFormat="1" ht="12.75" x14ac:dyDescent="0.2"/>
    <row r="26251" s="197" customFormat="1" ht="12.75" x14ac:dyDescent="0.2"/>
    <row r="26252" s="197" customFormat="1" ht="12.75" x14ac:dyDescent="0.2"/>
    <row r="26253" s="197" customFormat="1" ht="12.75" x14ac:dyDescent="0.2"/>
    <row r="26254" s="197" customFormat="1" ht="12.75" x14ac:dyDescent="0.2"/>
    <row r="26255" s="197" customFormat="1" ht="12.75" x14ac:dyDescent="0.2"/>
    <row r="26256" s="197" customFormat="1" ht="12.75" x14ac:dyDescent="0.2"/>
    <row r="26257" s="197" customFormat="1" ht="12.75" x14ac:dyDescent="0.2"/>
    <row r="26258" s="197" customFormat="1" ht="12.75" x14ac:dyDescent="0.2"/>
    <row r="26259" s="197" customFormat="1" ht="12.75" x14ac:dyDescent="0.2"/>
    <row r="26260" s="197" customFormat="1" ht="12.75" x14ac:dyDescent="0.2"/>
    <row r="26261" s="197" customFormat="1" ht="12.75" x14ac:dyDescent="0.2"/>
    <row r="26262" s="197" customFormat="1" ht="12.75" x14ac:dyDescent="0.2"/>
    <row r="26263" s="197" customFormat="1" ht="12.75" x14ac:dyDescent="0.2"/>
    <row r="26264" s="197" customFormat="1" ht="12.75" x14ac:dyDescent="0.2"/>
    <row r="26265" s="197" customFormat="1" ht="12.75" x14ac:dyDescent="0.2"/>
    <row r="26266" s="197" customFormat="1" ht="12.75" x14ac:dyDescent="0.2"/>
    <row r="26267" s="197" customFormat="1" ht="12.75" x14ac:dyDescent="0.2"/>
    <row r="26268" s="197" customFormat="1" ht="12.75" x14ac:dyDescent="0.2"/>
    <row r="26269" s="197" customFormat="1" ht="12.75" x14ac:dyDescent="0.2"/>
    <row r="26270" s="197" customFormat="1" ht="12.75" x14ac:dyDescent="0.2"/>
    <row r="26271" s="197" customFormat="1" ht="12.75" x14ac:dyDescent="0.2"/>
    <row r="26272" s="197" customFormat="1" ht="12.75" x14ac:dyDescent="0.2"/>
    <row r="26273" s="197" customFormat="1" ht="12.75" x14ac:dyDescent="0.2"/>
    <row r="26274" s="197" customFormat="1" ht="12.75" x14ac:dyDescent="0.2"/>
    <row r="26275" s="197" customFormat="1" ht="12.75" x14ac:dyDescent="0.2"/>
    <row r="26276" s="197" customFormat="1" ht="12.75" x14ac:dyDescent="0.2"/>
    <row r="26277" s="197" customFormat="1" ht="12.75" x14ac:dyDescent="0.2"/>
    <row r="26278" s="197" customFormat="1" ht="12.75" x14ac:dyDescent="0.2"/>
    <row r="26279" s="197" customFormat="1" ht="12.75" x14ac:dyDescent="0.2"/>
    <row r="26280" s="197" customFormat="1" ht="12.75" x14ac:dyDescent="0.2"/>
    <row r="26281" s="197" customFormat="1" ht="12.75" x14ac:dyDescent="0.2"/>
    <row r="26282" s="197" customFormat="1" ht="12.75" x14ac:dyDescent="0.2"/>
    <row r="26283" s="197" customFormat="1" ht="12.75" x14ac:dyDescent="0.2"/>
    <row r="26284" s="197" customFormat="1" ht="12.75" x14ac:dyDescent="0.2"/>
    <row r="26285" s="197" customFormat="1" ht="12.75" x14ac:dyDescent="0.2"/>
    <row r="26286" s="197" customFormat="1" ht="12.75" x14ac:dyDescent="0.2"/>
    <row r="26287" s="197" customFormat="1" ht="12.75" x14ac:dyDescent="0.2"/>
    <row r="26288" s="197" customFormat="1" ht="12.75" x14ac:dyDescent="0.2"/>
    <row r="26289" s="197" customFormat="1" ht="12.75" x14ac:dyDescent="0.2"/>
    <row r="26290" s="197" customFormat="1" ht="12.75" x14ac:dyDescent="0.2"/>
    <row r="26291" s="197" customFormat="1" ht="12.75" x14ac:dyDescent="0.2"/>
    <row r="26292" s="197" customFormat="1" ht="12.75" x14ac:dyDescent="0.2"/>
    <row r="26293" s="197" customFormat="1" ht="12.75" x14ac:dyDescent="0.2"/>
    <row r="26294" s="197" customFormat="1" ht="12.75" x14ac:dyDescent="0.2"/>
    <row r="26295" s="197" customFormat="1" ht="12.75" x14ac:dyDescent="0.2"/>
    <row r="26296" s="197" customFormat="1" ht="12.75" x14ac:dyDescent="0.2"/>
    <row r="26297" s="197" customFormat="1" ht="12.75" x14ac:dyDescent="0.2"/>
    <row r="26298" s="197" customFormat="1" ht="12.75" x14ac:dyDescent="0.2"/>
    <row r="26299" s="197" customFormat="1" ht="12.75" x14ac:dyDescent="0.2"/>
    <row r="26300" s="197" customFormat="1" ht="12.75" x14ac:dyDescent="0.2"/>
    <row r="26301" s="197" customFormat="1" ht="12.75" x14ac:dyDescent="0.2"/>
    <row r="26302" s="197" customFormat="1" ht="12.75" x14ac:dyDescent="0.2"/>
    <row r="26303" s="197" customFormat="1" ht="12.75" x14ac:dyDescent="0.2"/>
    <row r="26304" s="197" customFormat="1" ht="12.75" x14ac:dyDescent="0.2"/>
    <row r="26305" s="197" customFormat="1" ht="12.75" x14ac:dyDescent="0.2"/>
    <row r="26306" s="197" customFormat="1" ht="12.75" x14ac:dyDescent="0.2"/>
    <row r="26307" s="197" customFormat="1" ht="12.75" x14ac:dyDescent="0.2"/>
    <row r="26308" s="197" customFormat="1" ht="12.75" x14ac:dyDescent="0.2"/>
    <row r="26309" s="197" customFormat="1" ht="12.75" x14ac:dyDescent="0.2"/>
    <row r="26310" s="197" customFormat="1" ht="12.75" x14ac:dyDescent="0.2"/>
    <row r="26311" s="197" customFormat="1" ht="12.75" x14ac:dyDescent="0.2"/>
    <row r="26312" s="197" customFormat="1" ht="12.75" x14ac:dyDescent="0.2"/>
    <row r="26313" s="197" customFormat="1" ht="12.75" x14ac:dyDescent="0.2"/>
    <row r="26314" s="197" customFormat="1" ht="12.75" x14ac:dyDescent="0.2"/>
    <row r="26315" s="197" customFormat="1" ht="12.75" x14ac:dyDescent="0.2"/>
    <row r="26316" s="197" customFormat="1" ht="12.75" x14ac:dyDescent="0.2"/>
    <row r="26317" s="197" customFormat="1" ht="12.75" x14ac:dyDescent="0.2"/>
    <row r="26318" s="197" customFormat="1" ht="12.75" x14ac:dyDescent="0.2"/>
    <row r="26319" s="197" customFormat="1" ht="12.75" x14ac:dyDescent="0.2"/>
    <row r="26320" s="197" customFormat="1" ht="12.75" x14ac:dyDescent="0.2"/>
    <row r="26321" s="197" customFormat="1" ht="12.75" x14ac:dyDescent="0.2"/>
    <row r="26322" s="197" customFormat="1" ht="12.75" x14ac:dyDescent="0.2"/>
    <row r="26323" s="197" customFormat="1" ht="12.75" x14ac:dyDescent="0.2"/>
    <row r="26324" s="197" customFormat="1" ht="12.75" x14ac:dyDescent="0.2"/>
    <row r="26325" s="197" customFormat="1" ht="12.75" x14ac:dyDescent="0.2"/>
    <row r="26326" s="197" customFormat="1" ht="12.75" x14ac:dyDescent="0.2"/>
    <row r="26327" s="197" customFormat="1" ht="12.75" x14ac:dyDescent="0.2"/>
    <row r="26328" s="197" customFormat="1" ht="12.75" x14ac:dyDescent="0.2"/>
    <row r="26329" s="197" customFormat="1" ht="12.75" x14ac:dyDescent="0.2"/>
    <row r="26330" s="197" customFormat="1" ht="12.75" x14ac:dyDescent="0.2"/>
    <row r="26331" s="197" customFormat="1" ht="12.75" x14ac:dyDescent="0.2"/>
    <row r="26332" s="197" customFormat="1" ht="12.75" x14ac:dyDescent="0.2"/>
    <row r="26333" s="197" customFormat="1" ht="12.75" x14ac:dyDescent="0.2"/>
    <row r="26334" s="197" customFormat="1" ht="12.75" x14ac:dyDescent="0.2"/>
    <row r="26335" s="197" customFormat="1" ht="12.75" x14ac:dyDescent="0.2"/>
    <row r="26336" s="197" customFormat="1" ht="12.75" x14ac:dyDescent="0.2"/>
    <row r="26337" s="197" customFormat="1" ht="12.75" x14ac:dyDescent="0.2"/>
    <row r="26338" s="197" customFormat="1" ht="12.75" x14ac:dyDescent="0.2"/>
    <row r="26339" s="197" customFormat="1" ht="12.75" x14ac:dyDescent="0.2"/>
    <row r="26340" s="197" customFormat="1" ht="12.75" x14ac:dyDescent="0.2"/>
    <row r="26341" s="197" customFormat="1" ht="12.75" x14ac:dyDescent="0.2"/>
    <row r="26342" s="197" customFormat="1" ht="12.75" x14ac:dyDescent="0.2"/>
    <row r="26343" s="197" customFormat="1" ht="12.75" x14ac:dyDescent="0.2"/>
    <row r="26344" s="197" customFormat="1" ht="12.75" x14ac:dyDescent="0.2"/>
    <row r="26345" s="197" customFormat="1" ht="12.75" x14ac:dyDescent="0.2"/>
    <row r="26346" s="197" customFormat="1" ht="12.75" x14ac:dyDescent="0.2"/>
    <row r="26347" s="197" customFormat="1" ht="12.75" x14ac:dyDescent="0.2"/>
    <row r="26348" s="197" customFormat="1" ht="12.75" x14ac:dyDescent="0.2"/>
    <row r="26349" s="197" customFormat="1" ht="12.75" x14ac:dyDescent="0.2"/>
    <row r="26350" s="197" customFormat="1" ht="12.75" x14ac:dyDescent="0.2"/>
    <row r="26351" s="197" customFormat="1" ht="12.75" x14ac:dyDescent="0.2"/>
    <row r="26352" s="197" customFormat="1" ht="12.75" x14ac:dyDescent="0.2"/>
    <row r="26353" s="197" customFormat="1" ht="12.75" x14ac:dyDescent="0.2"/>
    <row r="26354" s="197" customFormat="1" ht="12.75" x14ac:dyDescent="0.2"/>
    <row r="26355" s="197" customFormat="1" ht="12.75" x14ac:dyDescent="0.2"/>
    <row r="26356" s="197" customFormat="1" ht="12.75" x14ac:dyDescent="0.2"/>
    <row r="26357" s="197" customFormat="1" ht="12.75" x14ac:dyDescent="0.2"/>
    <row r="26358" s="197" customFormat="1" ht="12.75" x14ac:dyDescent="0.2"/>
    <row r="26359" s="197" customFormat="1" ht="12.75" x14ac:dyDescent="0.2"/>
    <row r="26360" s="197" customFormat="1" ht="12.75" x14ac:dyDescent="0.2"/>
    <row r="26361" s="197" customFormat="1" ht="12.75" x14ac:dyDescent="0.2"/>
    <row r="26362" s="197" customFormat="1" ht="12.75" x14ac:dyDescent="0.2"/>
    <row r="26363" s="197" customFormat="1" ht="12.75" x14ac:dyDescent="0.2"/>
    <row r="26364" s="197" customFormat="1" ht="12.75" x14ac:dyDescent="0.2"/>
    <row r="26365" s="197" customFormat="1" ht="12.75" x14ac:dyDescent="0.2"/>
    <row r="26366" s="197" customFormat="1" ht="12.75" x14ac:dyDescent="0.2"/>
    <row r="26367" s="197" customFormat="1" ht="12.75" x14ac:dyDescent="0.2"/>
    <row r="26368" s="197" customFormat="1" ht="12.75" x14ac:dyDescent="0.2"/>
    <row r="26369" s="197" customFormat="1" ht="12.75" x14ac:dyDescent="0.2"/>
    <row r="26370" s="197" customFormat="1" ht="12.75" x14ac:dyDescent="0.2"/>
    <row r="26371" s="197" customFormat="1" ht="12.75" x14ac:dyDescent="0.2"/>
    <row r="26372" s="197" customFormat="1" ht="12.75" x14ac:dyDescent="0.2"/>
    <row r="26373" s="197" customFormat="1" ht="12.75" x14ac:dyDescent="0.2"/>
    <row r="26374" s="197" customFormat="1" ht="12.75" x14ac:dyDescent="0.2"/>
    <row r="26375" s="197" customFormat="1" ht="12.75" x14ac:dyDescent="0.2"/>
    <row r="26376" s="197" customFormat="1" ht="12.75" x14ac:dyDescent="0.2"/>
    <row r="26377" s="197" customFormat="1" ht="12.75" x14ac:dyDescent="0.2"/>
    <row r="26378" s="197" customFormat="1" ht="12.75" x14ac:dyDescent="0.2"/>
    <row r="26379" s="197" customFormat="1" ht="12.75" x14ac:dyDescent="0.2"/>
    <row r="26380" s="197" customFormat="1" ht="12.75" x14ac:dyDescent="0.2"/>
    <row r="26381" s="197" customFormat="1" ht="12.75" x14ac:dyDescent="0.2"/>
    <row r="26382" s="197" customFormat="1" ht="12.75" x14ac:dyDescent="0.2"/>
    <row r="26383" s="197" customFormat="1" ht="12.75" x14ac:dyDescent="0.2"/>
    <row r="26384" s="197" customFormat="1" ht="12.75" x14ac:dyDescent="0.2"/>
    <row r="26385" s="197" customFormat="1" ht="12.75" x14ac:dyDescent="0.2"/>
    <row r="26386" s="197" customFormat="1" ht="12.75" x14ac:dyDescent="0.2"/>
    <row r="26387" s="197" customFormat="1" ht="12.75" x14ac:dyDescent="0.2"/>
    <row r="26388" s="197" customFormat="1" ht="12.75" x14ac:dyDescent="0.2"/>
    <row r="26389" s="197" customFormat="1" ht="12.75" x14ac:dyDescent="0.2"/>
    <row r="26390" s="197" customFormat="1" ht="12.75" x14ac:dyDescent="0.2"/>
    <row r="26391" s="197" customFormat="1" ht="12.75" x14ac:dyDescent="0.2"/>
    <row r="26392" s="197" customFormat="1" ht="12.75" x14ac:dyDescent="0.2"/>
    <row r="26393" s="197" customFormat="1" ht="12.75" x14ac:dyDescent="0.2"/>
    <row r="26394" s="197" customFormat="1" ht="12.75" x14ac:dyDescent="0.2"/>
    <row r="26395" s="197" customFormat="1" ht="12.75" x14ac:dyDescent="0.2"/>
    <row r="26396" s="197" customFormat="1" ht="12.75" x14ac:dyDescent="0.2"/>
    <row r="26397" s="197" customFormat="1" ht="12.75" x14ac:dyDescent="0.2"/>
    <row r="26398" s="197" customFormat="1" ht="12.75" x14ac:dyDescent="0.2"/>
    <row r="26399" s="197" customFormat="1" ht="12.75" x14ac:dyDescent="0.2"/>
    <row r="26400" s="197" customFormat="1" ht="12.75" x14ac:dyDescent="0.2"/>
    <row r="26401" s="197" customFormat="1" ht="12.75" x14ac:dyDescent="0.2"/>
    <row r="26402" s="197" customFormat="1" ht="12.75" x14ac:dyDescent="0.2"/>
    <row r="26403" s="197" customFormat="1" ht="12.75" x14ac:dyDescent="0.2"/>
    <row r="26404" s="197" customFormat="1" ht="12.75" x14ac:dyDescent="0.2"/>
    <row r="26405" s="197" customFormat="1" ht="12.75" x14ac:dyDescent="0.2"/>
    <row r="26406" s="197" customFormat="1" ht="12.75" x14ac:dyDescent="0.2"/>
    <row r="26407" s="197" customFormat="1" ht="12.75" x14ac:dyDescent="0.2"/>
    <row r="26408" s="197" customFormat="1" ht="12.75" x14ac:dyDescent="0.2"/>
    <row r="26409" s="197" customFormat="1" ht="12.75" x14ac:dyDescent="0.2"/>
    <row r="26410" s="197" customFormat="1" ht="12.75" x14ac:dyDescent="0.2"/>
    <row r="26411" s="197" customFormat="1" ht="12.75" x14ac:dyDescent="0.2"/>
    <row r="26412" s="197" customFormat="1" ht="12.75" x14ac:dyDescent="0.2"/>
    <row r="26413" s="197" customFormat="1" ht="12.75" x14ac:dyDescent="0.2"/>
    <row r="26414" s="197" customFormat="1" ht="12.75" x14ac:dyDescent="0.2"/>
    <row r="26415" s="197" customFormat="1" ht="12.75" x14ac:dyDescent="0.2"/>
    <row r="26416" s="197" customFormat="1" ht="12.75" x14ac:dyDescent="0.2"/>
    <row r="26417" s="197" customFormat="1" ht="12.75" x14ac:dyDescent="0.2"/>
    <row r="26418" s="197" customFormat="1" ht="12.75" x14ac:dyDescent="0.2"/>
    <row r="26419" s="197" customFormat="1" ht="12.75" x14ac:dyDescent="0.2"/>
    <row r="26420" s="197" customFormat="1" ht="12.75" x14ac:dyDescent="0.2"/>
    <row r="26421" s="197" customFormat="1" ht="12.75" x14ac:dyDescent="0.2"/>
    <row r="26422" s="197" customFormat="1" ht="12.75" x14ac:dyDescent="0.2"/>
    <row r="26423" s="197" customFormat="1" ht="12.75" x14ac:dyDescent="0.2"/>
    <row r="26424" s="197" customFormat="1" ht="12.75" x14ac:dyDescent="0.2"/>
    <row r="26425" s="197" customFormat="1" ht="12.75" x14ac:dyDescent="0.2"/>
    <row r="26426" s="197" customFormat="1" ht="12.75" x14ac:dyDescent="0.2"/>
    <row r="26427" s="197" customFormat="1" ht="12.75" x14ac:dyDescent="0.2"/>
    <row r="26428" s="197" customFormat="1" ht="12.75" x14ac:dyDescent="0.2"/>
    <row r="26429" s="197" customFormat="1" ht="12.75" x14ac:dyDescent="0.2"/>
    <row r="26430" s="197" customFormat="1" ht="12.75" x14ac:dyDescent="0.2"/>
    <row r="26431" s="197" customFormat="1" ht="12.75" x14ac:dyDescent="0.2"/>
    <row r="26432" s="197" customFormat="1" ht="12.75" x14ac:dyDescent="0.2"/>
    <row r="26433" s="197" customFormat="1" ht="12.75" x14ac:dyDescent="0.2"/>
    <row r="26434" s="197" customFormat="1" ht="12.75" x14ac:dyDescent="0.2"/>
    <row r="26435" s="197" customFormat="1" ht="12.75" x14ac:dyDescent="0.2"/>
    <row r="26436" s="197" customFormat="1" ht="12.75" x14ac:dyDescent="0.2"/>
    <row r="26437" s="197" customFormat="1" ht="12.75" x14ac:dyDescent="0.2"/>
    <row r="26438" s="197" customFormat="1" ht="12.75" x14ac:dyDescent="0.2"/>
    <row r="26439" s="197" customFormat="1" ht="12.75" x14ac:dyDescent="0.2"/>
    <row r="26440" s="197" customFormat="1" ht="12.75" x14ac:dyDescent="0.2"/>
    <row r="26441" s="197" customFormat="1" ht="12.75" x14ac:dyDescent="0.2"/>
    <row r="26442" s="197" customFormat="1" ht="12.75" x14ac:dyDescent="0.2"/>
    <row r="26443" s="197" customFormat="1" ht="12.75" x14ac:dyDescent="0.2"/>
    <row r="26444" s="197" customFormat="1" ht="12.75" x14ac:dyDescent="0.2"/>
    <row r="26445" s="197" customFormat="1" ht="12.75" x14ac:dyDescent="0.2"/>
    <row r="26446" s="197" customFormat="1" ht="12.75" x14ac:dyDescent="0.2"/>
    <row r="26447" s="197" customFormat="1" ht="12.75" x14ac:dyDescent="0.2"/>
    <row r="26448" s="197" customFormat="1" ht="12.75" x14ac:dyDescent="0.2"/>
    <row r="26449" s="197" customFormat="1" ht="12.75" x14ac:dyDescent="0.2"/>
    <row r="26450" s="197" customFormat="1" ht="12.75" x14ac:dyDescent="0.2"/>
    <row r="26451" s="197" customFormat="1" ht="12.75" x14ac:dyDescent="0.2"/>
    <row r="26452" s="197" customFormat="1" ht="12.75" x14ac:dyDescent="0.2"/>
    <row r="26453" s="197" customFormat="1" ht="12.75" x14ac:dyDescent="0.2"/>
    <row r="26454" s="197" customFormat="1" ht="12.75" x14ac:dyDescent="0.2"/>
    <row r="26455" s="197" customFormat="1" ht="12.75" x14ac:dyDescent="0.2"/>
    <row r="26456" s="197" customFormat="1" ht="12.75" x14ac:dyDescent="0.2"/>
    <row r="26457" s="197" customFormat="1" ht="12.75" x14ac:dyDescent="0.2"/>
    <row r="26458" s="197" customFormat="1" ht="12.75" x14ac:dyDescent="0.2"/>
    <row r="26459" s="197" customFormat="1" ht="12.75" x14ac:dyDescent="0.2"/>
    <row r="26460" s="197" customFormat="1" ht="12.75" x14ac:dyDescent="0.2"/>
    <row r="26461" s="197" customFormat="1" ht="12.75" x14ac:dyDescent="0.2"/>
    <row r="26462" s="197" customFormat="1" ht="12.75" x14ac:dyDescent="0.2"/>
    <row r="26463" s="197" customFormat="1" ht="12.75" x14ac:dyDescent="0.2"/>
    <row r="26464" s="197" customFormat="1" ht="12.75" x14ac:dyDescent="0.2"/>
    <row r="26465" s="197" customFormat="1" ht="12.75" x14ac:dyDescent="0.2"/>
    <row r="26466" s="197" customFormat="1" ht="12.75" x14ac:dyDescent="0.2"/>
    <row r="26467" s="197" customFormat="1" ht="12.75" x14ac:dyDescent="0.2"/>
    <row r="26468" s="197" customFormat="1" ht="12.75" x14ac:dyDescent="0.2"/>
    <row r="26469" s="197" customFormat="1" ht="12.75" x14ac:dyDescent="0.2"/>
    <row r="26470" s="197" customFormat="1" ht="12.75" x14ac:dyDescent="0.2"/>
    <row r="26471" s="197" customFormat="1" ht="12.75" x14ac:dyDescent="0.2"/>
    <row r="26472" s="197" customFormat="1" ht="12.75" x14ac:dyDescent="0.2"/>
    <row r="26473" s="197" customFormat="1" ht="12.75" x14ac:dyDescent="0.2"/>
    <row r="26474" s="197" customFormat="1" ht="12.75" x14ac:dyDescent="0.2"/>
    <row r="26475" s="197" customFormat="1" ht="12.75" x14ac:dyDescent="0.2"/>
    <row r="26476" s="197" customFormat="1" ht="12.75" x14ac:dyDescent="0.2"/>
    <row r="26477" s="197" customFormat="1" ht="12.75" x14ac:dyDescent="0.2"/>
    <row r="26478" s="197" customFormat="1" ht="12.75" x14ac:dyDescent="0.2"/>
    <row r="26479" s="197" customFormat="1" ht="12.75" x14ac:dyDescent="0.2"/>
    <row r="26480" s="197" customFormat="1" ht="12.75" x14ac:dyDescent="0.2"/>
    <row r="26481" s="197" customFormat="1" ht="12.75" x14ac:dyDescent="0.2"/>
    <row r="26482" s="197" customFormat="1" ht="12.75" x14ac:dyDescent="0.2"/>
    <row r="26483" s="197" customFormat="1" ht="12.75" x14ac:dyDescent="0.2"/>
    <row r="26484" s="197" customFormat="1" ht="12.75" x14ac:dyDescent="0.2"/>
    <row r="26485" s="197" customFormat="1" ht="12.75" x14ac:dyDescent="0.2"/>
    <row r="26486" s="197" customFormat="1" ht="12.75" x14ac:dyDescent="0.2"/>
    <row r="26487" s="197" customFormat="1" ht="12.75" x14ac:dyDescent="0.2"/>
    <row r="26488" s="197" customFormat="1" ht="12.75" x14ac:dyDescent="0.2"/>
    <row r="26489" s="197" customFormat="1" ht="12.75" x14ac:dyDescent="0.2"/>
    <row r="26490" s="197" customFormat="1" ht="12.75" x14ac:dyDescent="0.2"/>
    <row r="26491" s="197" customFormat="1" ht="12.75" x14ac:dyDescent="0.2"/>
    <row r="26492" s="197" customFormat="1" ht="12.75" x14ac:dyDescent="0.2"/>
    <row r="26493" s="197" customFormat="1" ht="12.75" x14ac:dyDescent="0.2"/>
    <row r="26494" s="197" customFormat="1" ht="12.75" x14ac:dyDescent="0.2"/>
    <row r="26495" s="197" customFormat="1" ht="12.75" x14ac:dyDescent="0.2"/>
    <row r="26496" s="197" customFormat="1" ht="12.75" x14ac:dyDescent="0.2"/>
    <row r="26497" s="197" customFormat="1" ht="12.75" x14ac:dyDescent="0.2"/>
    <row r="26498" s="197" customFormat="1" ht="12.75" x14ac:dyDescent="0.2"/>
    <row r="26499" s="197" customFormat="1" ht="12.75" x14ac:dyDescent="0.2"/>
    <row r="26500" s="197" customFormat="1" ht="12.75" x14ac:dyDescent="0.2"/>
    <row r="26501" s="197" customFormat="1" ht="12.75" x14ac:dyDescent="0.2"/>
    <row r="26502" s="197" customFormat="1" ht="12.75" x14ac:dyDescent="0.2"/>
    <row r="26503" s="197" customFormat="1" ht="12.75" x14ac:dyDescent="0.2"/>
    <row r="26504" s="197" customFormat="1" ht="12.75" x14ac:dyDescent="0.2"/>
    <row r="26505" s="197" customFormat="1" ht="12.75" x14ac:dyDescent="0.2"/>
    <row r="26506" s="197" customFormat="1" ht="12.75" x14ac:dyDescent="0.2"/>
    <row r="26507" s="197" customFormat="1" ht="12.75" x14ac:dyDescent="0.2"/>
    <row r="26508" s="197" customFormat="1" ht="12.75" x14ac:dyDescent="0.2"/>
    <row r="26509" s="197" customFormat="1" ht="12.75" x14ac:dyDescent="0.2"/>
    <row r="26510" s="197" customFormat="1" ht="12.75" x14ac:dyDescent="0.2"/>
    <row r="26511" s="197" customFormat="1" ht="12.75" x14ac:dyDescent="0.2"/>
    <row r="26512" s="197" customFormat="1" ht="12.75" x14ac:dyDescent="0.2"/>
    <row r="26513" s="197" customFormat="1" ht="12.75" x14ac:dyDescent="0.2"/>
    <row r="26514" s="197" customFormat="1" ht="12.75" x14ac:dyDescent="0.2"/>
    <row r="26515" s="197" customFormat="1" ht="12.75" x14ac:dyDescent="0.2"/>
    <row r="26516" s="197" customFormat="1" ht="12.75" x14ac:dyDescent="0.2"/>
    <row r="26517" s="197" customFormat="1" ht="12.75" x14ac:dyDescent="0.2"/>
    <row r="26518" s="197" customFormat="1" ht="12.75" x14ac:dyDescent="0.2"/>
    <row r="26519" s="197" customFormat="1" ht="12.75" x14ac:dyDescent="0.2"/>
    <row r="26520" s="197" customFormat="1" ht="12.75" x14ac:dyDescent="0.2"/>
    <row r="26521" s="197" customFormat="1" ht="12.75" x14ac:dyDescent="0.2"/>
    <row r="26522" s="197" customFormat="1" ht="12.75" x14ac:dyDescent="0.2"/>
    <row r="26523" s="197" customFormat="1" ht="12.75" x14ac:dyDescent="0.2"/>
    <row r="26524" s="197" customFormat="1" ht="12.75" x14ac:dyDescent="0.2"/>
    <row r="26525" s="197" customFormat="1" ht="12.75" x14ac:dyDescent="0.2"/>
    <row r="26526" s="197" customFormat="1" ht="12.75" x14ac:dyDescent="0.2"/>
    <row r="26527" s="197" customFormat="1" ht="12.75" x14ac:dyDescent="0.2"/>
    <row r="26528" s="197" customFormat="1" ht="12.75" x14ac:dyDescent="0.2"/>
    <row r="26529" s="197" customFormat="1" ht="12.75" x14ac:dyDescent="0.2"/>
    <row r="26530" s="197" customFormat="1" ht="12.75" x14ac:dyDescent="0.2"/>
    <row r="26531" s="197" customFormat="1" ht="12.75" x14ac:dyDescent="0.2"/>
    <row r="26532" s="197" customFormat="1" ht="12.75" x14ac:dyDescent="0.2"/>
    <row r="26533" s="197" customFormat="1" ht="12.75" x14ac:dyDescent="0.2"/>
    <row r="26534" s="197" customFormat="1" ht="12.75" x14ac:dyDescent="0.2"/>
    <row r="26535" s="197" customFormat="1" ht="12.75" x14ac:dyDescent="0.2"/>
    <row r="26536" s="197" customFormat="1" ht="12.75" x14ac:dyDescent="0.2"/>
    <row r="26537" s="197" customFormat="1" ht="12.75" x14ac:dyDescent="0.2"/>
    <row r="26538" s="197" customFormat="1" ht="12.75" x14ac:dyDescent="0.2"/>
    <row r="26539" s="197" customFormat="1" ht="12.75" x14ac:dyDescent="0.2"/>
    <row r="26540" s="197" customFormat="1" ht="12.75" x14ac:dyDescent="0.2"/>
    <row r="26541" s="197" customFormat="1" ht="12.75" x14ac:dyDescent="0.2"/>
    <row r="26542" s="197" customFormat="1" ht="12.75" x14ac:dyDescent="0.2"/>
    <row r="26543" s="197" customFormat="1" ht="12.75" x14ac:dyDescent="0.2"/>
    <row r="26544" s="197" customFormat="1" ht="12.75" x14ac:dyDescent="0.2"/>
    <row r="26545" s="197" customFormat="1" ht="12.75" x14ac:dyDescent="0.2"/>
    <row r="26546" s="197" customFormat="1" ht="12.75" x14ac:dyDescent="0.2"/>
    <row r="26547" s="197" customFormat="1" ht="12.75" x14ac:dyDescent="0.2"/>
    <row r="26548" s="197" customFormat="1" ht="12.75" x14ac:dyDescent="0.2"/>
    <row r="26549" s="197" customFormat="1" ht="12.75" x14ac:dyDescent="0.2"/>
    <row r="26550" s="197" customFormat="1" ht="12.75" x14ac:dyDescent="0.2"/>
    <row r="26551" s="197" customFormat="1" ht="12.75" x14ac:dyDescent="0.2"/>
    <row r="26552" s="197" customFormat="1" ht="12.75" x14ac:dyDescent="0.2"/>
    <row r="26553" s="197" customFormat="1" ht="12.75" x14ac:dyDescent="0.2"/>
    <row r="26554" s="197" customFormat="1" ht="12.75" x14ac:dyDescent="0.2"/>
    <row r="26555" s="197" customFormat="1" ht="12.75" x14ac:dyDescent="0.2"/>
    <row r="26556" s="197" customFormat="1" ht="12.75" x14ac:dyDescent="0.2"/>
    <row r="26557" s="197" customFormat="1" ht="12.75" x14ac:dyDescent="0.2"/>
    <row r="26558" s="197" customFormat="1" ht="12.75" x14ac:dyDescent="0.2"/>
    <row r="26559" s="197" customFormat="1" ht="12.75" x14ac:dyDescent="0.2"/>
    <row r="26560" s="197" customFormat="1" ht="12.75" x14ac:dyDescent="0.2"/>
    <row r="26561" s="197" customFormat="1" ht="12.75" x14ac:dyDescent="0.2"/>
    <row r="26562" s="197" customFormat="1" ht="12.75" x14ac:dyDescent="0.2"/>
    <row r="26563" s="197" customFormat="1" ht="12.75" x14ac:dyDescent="0.2"/>
    <row r="26564" s="197" customFormat="1" ht="12.75" x14ac:dyDescent="0.2"/>
    <row r="26565" s="197" customFormat="1" ht="12.75" x14ac:dyDescent="0.2"/>
    <row r="26566" s="197" customFormat="1" ht="12.75" x14ac:dyDescent="0.2"/>
    <row r="26567" s="197" customFormat="1" ht="12.75" x14ac:dyDescent="0.2"/>
    <row r="26568" s="197" customFormat="1" ht="12.75" x14ac:dyDescent="0.2"/>
    <row r="26569" s="197" customFormat="1" ht="12.75" x14ac:dyDescent="0.2"/>
    <row r="26570" s="197" customFormat="1" ht="12.75" x14ac:dyDescent="0.2"/>
    <row r="26571" s="197" customFormat="1" ht="12.75" x14ac:dyDescent="0.2"/>
    <row r="26572" s="197" customFormat="1" ht="12.75" x14ac:dyDescent="0.2"/>
    <row r="26573" s="197" customFormat="1" ht="12.75" x14ac:dyDescent="0.2"/>
    <row r="26574" s="197" customFormat="1" ht="12.75" x14ac:dyDescent="0.2"/>
    <row r="26575" s="197" customFormat="1" ht="12.75" x14ac:dyDescent="0.2"/>
    <row r="26576" s="197" customFormat="1" ht="12.75" x14ac:dyDescent="0.2"/>
    <row r="26577" s="197" customFormat="1" ht="12.75" x14ac:dyDescent="0.2"/>
    <row r="26578" s="197" customFormat="1" ht="12.75" x14ac:dyDescent="0.2"/>
    <row r="26579" s="197" customFormat="1" ht="12.75" x14ac:dyDescent="0.2"/>
    <row r="26580" s="197" customFormat="1" ht="12.75" x14ac:dyDescent="0.2"/>
    <row r="26581" s="197" customFormat="1" ht="12.75" x14ac:dyDescent="0.2"/>
    <row r="26582" s="197" customFormat="1" ht="12.75" x14ac:dyDescent="0.2"/>
    <row r="26583" s="197" customFormat="1" ht="12.75" x14ac:dyDescent="0.2"/>
    <row r="26584" s="197" customFormat="1" ht="12.75" x14ac:dyDescent="0.2"/>
    <row r="26585" s="197" customFormat="1" ht="12.75" x14ac:dyDescent="0.2"/>
    <row r="26586" s="197" customFormat="1" ht="12.75" x14ac:dyDescent="0.2"/>
    <row r="26587" s="197" customFormat="1" ht="12.75" x14ac:dyDescent="0.2"/>
    <row r="26588" s="197" customFormat="1" ht="12.75" x14ac:dyDescent="0.2"/>
    <row r="26589" s="197" customFormat="1" ht="12.75" x14ac:dyDescent="0.2"/>
    <row r="26590" s="197" customFormat="1" ht="12.75" x14ac:dyDescent="0.2"/>
    <row r="26591" s="197" customFormat="1" ht="12.75" x14ac:dyDescent="0.2"/>
    <row r="26592" s="197" customFormat="1" ht="12.75" x14ac:dyDescent="0.2"/>
    <row r="26593" s="197" customFormat="1" ht="12.75" x14ac:dyDescent="0.2"/>
    <row r="26594" s="197" customFormat="1" ht="12.75" x14ac:dyDescent="0.2"/>
    <row r="26595" s="197" customFormat="1" ht="12.75" x14ac:dyDescent="0.2"/>
    <row r="26596" s="197" customFormat="1" ht="12.75" x14ac:dyDescent="0.2"/>
    <row r="26597" s="197" customFormat="1" ht="12.75" x14ac:dyDescent="0.2"/>
    <row r="26598" s="197" customFormat="1" ht="12.75" x14ac:dyDescent="0.2"/>
    <row r="26599" s="197" customFormat="1" ht="12.75" x14ac:dyDescent="0.2"/>
    <row r="26600" s="197" customFormat="1" ht="12.75" x14ac:dyDescent="0.2"/>
    <row r="26601" s="197" customFormat="1" ht="12.75" x14ac:dyDescent="0.2"/>
    <row r="26602" s="197" customFormat="1" ht="12.75" x14ac:dyDescent="0.2"/>
    <row r="26603" s="197" customFormat="1" ht="12.75" x14ac:dyDescent="0.2"/>
    <row r="26604" s="197" customFormat="1" ht="12.75" x14ac:dyDescent="0.2"/>
    <row r="26605" s="197" customFormat="1" ht="12.75" x14ac:dyDescent="0.2"/>
    <row r="26606" s="197" customFormat="1" ht="12.75" x14ac:dyDescent="0.2"/>
    <row r="26607" s="197" customFormat="1" ht="12.75" x14ac:dyDescent="0.2"/>
    <row r="26608" s="197" customFormat="1" ht="12.75" x14ac:dyDescent="0.2"/>
    <row r="26609" s="197" customFormat="1" ht="12.75" x14ac:dyDescent="0.2"/>
    <row r="26610" s="197" customFormat="1" ht="12.75" x14ac:dyDescent="0.2"/>
    <row r="26611" s="197" customFormat="1" ht="12.75" x14ac:dyDescent="0.2"/>
    <row r="26612" s="197" customFormat="1" ht="12.75" x14ac:dyDescent="0.2"/>
    <row r="26613" s="197" customFormat="1" ht="12.75" x14ac:dyDescent="0.2"/>
    <row r="26614" s="197" customFormat="1" ht="12.75" x14ac:dyDescent="0.2"/>
    <row r="26615" s="197" customFormat="1" ht="12.75" x14ac:dyDescent="0.2"/>
    <row r="26616" s="197" customFormat="1" ht="12.75" x14ac:dyDescent="0.2"/>
    <row r="26617" s="197" customFormat="1" ht="12.75" x14ac:dyDescent="0.2"/>
    <row r="26618" s="197" customFormat="1" ht="12.75" x14ac:dyDescent="0.2"/>
    <row r="26619" s="197" customFormat="1" ht="12.75" x14ac:dyDescent="0.2"/>
    <row r="26620" s="197" customFormat="1" ht="12.75" x14ac:dyDescent="0.2"/>
    <row r="26621" s="197" customFormat="1" ht="12.75" x14ac:dyDescent="0.2"/>
    <row r="26622" s="197" customFormat="1" ht="12.75" x14ac:dyDescent="0.2"/>
    <row r="26623" s="197" customFormat="1" ht="12.75" x14ac:dyDescent="0.2"/>
    <row r="26624" s="197" customFormat="1" ht="12.75" x14ac:dyDescent="0.2"/>
    <row r="26625" s="197" customFormat="1" ht="12.75" x14ac:dyDescent="0.2"/>
    <row r="26626" s="197" customFormat="1" ht="12.75" x14ac:dyDescent="0.2"/>
    <row r="26627" s="197" customFormat="1" ht="12.75" x14ac:dyDescent="0.2"/>
    <row r="26628" s="197" customFormat="1" ht="12.75" x14ac:dyDescent="0.2"/>
    <row r="26629" s="197" customFormat="1" ht="12.75" x14ac:dyDescent="0.2"/>
    <row r="26630" s="197" customFormat="1" ht="12.75" x14ac:dyDescent="0.2"/>
    <row r="26631" s="197" customFormat="1" ht="12.75" x14ac:dyDescent="0.2"/>
    <row r="26632" s="197" customFormat="1" ht="12.75" x14ac:dyDescent="0.2"/>
    <row r="26633" s="197" customFormat="1" ht="12.75" x14ac:dyDescent="0.2"/>
    <row r="26634" s="197" customFormat="1" ht="12.75" x14ac:dyDescent="0.2"/>
    <row r="26635" s="197" customFormat="1" ht="12.75" x14ac:dyDescent="0.2"/>
    <row r="26636" s="197" customFormat="1" ht="12.75" x14ac:dyDescent="0.2"/>
    <row r="26637" s="197" customFormat="1" ht="12.75" x14ac:dyDescent="0.2"/>
    <row r="26638" s="197" customFormat="1" ht="12.75" x14ac:dyDescent="0.2"/>
    <row r="26639" s="197" customFormat="1" ht="12.75" x14ac:dyDescent="0.2"/>
    <row r="26640" s="197" customFormat="1" ht="12.75" x14ac:dyDescent="0.2"/>
    <row r="26641" s="197" customFormat="1" ht="12.75" x14ac:dyDescent="0.2"/>
    <row r="26642" s="197" customFormat="1" ht="12.75" x14ac:dyDescent="0.2"/>
    <row r="26643" s="197" customFormat="1" ht="12.75" x14ac:dyDescent="0.2"/>
    <row r="26644" s="197" customFormat="1" ht="12.75" x14ac:dyDescent="0.2"/>
    <row r="26645" s="197" customFormat="1" ht="12.75" x14ac:dyDescent="0.2"/>
    <row r="26646" s="197" customFormat="1" ht="12.75" x14ac:dyDescent="0.2"/>
    <row r="26647" s="197" customFormat="1" ht="12.75" x14ac:dyDescent="0.2"/>
    <row r="26648" s="197" customFormat="1" ht="12.75" x14ac:dyDescent="0.2"/>
    <row r="26649" s="197" customFormat="1" ht="12.75" x14ac:dyDescent="0.2"/>
    <row r="26650" s="197" customFormat="1" ht="12.75" x14ac:dyDescent="0.2"/>
    <row r="26651" s="197" customFormat="1" ht="12.75" x14ac:dyDescent="0.2"/>
    <row r="26652" s="197" customFormat="1" ht="12.75" x14ac:dyDescent="0.2"/>
    <row r="26653" s="197" customFormat="1" ht="12.75" x14ac:dyDescent="0.2"/>
    <row r="26654" s="197" customFormat="1" ht="12.75" x14ac:dyDescent="0.2"/>
    <row r="26655" s="197" customFormat="1" ht="12.75" x14ac:dyDescent="0.2"/>
    <row r="26656" s="197" customFormat="1" ht="12.75" x14ac:dyDescent="0.2"/>
    <row r="26657" s="197" customFormat="1" ht="12.75" x14ac:dyDescent="0.2"/>
    <row r="26658" s="197" customFormat="1" ht="12.75" x14ac:dyDescent="0.2"/>
    <row r="26659" s="197" customFormat="1" ht="12.75" x14ac:dyDescent="0.2"/>
    <row r="26660" s="197" customFormat="1" ht="12.75" x14ac:dyDescent="0.2"/>
    <row r="26661" s="197" customFormat="1" ht="12.75" x14ac:dyDescent="0.2"/>
    <row r="26662" s="197" customFormat="1" ht="12.75" x14ac:dyDescent="0.2"/>
    <row r="26663" s="197" customFormat="1" ht="12.75" x14ac:dyDescent="0.2"/>
    <row r="26664" s="197" customFormat="1" ht="12.75" x14ac:dyDescent="0.2"/>
    <row r="26665" s="197" customFormat="1" ht="12.75" x14ac:dyDescent="0.2"/>
    <row r="26666" s="197" customFormat="1" ht="12.75" x14ac:dyDescent="0.2"/>
    <row r="26667" s="197" customFormat="1" ht="12.75" x14ac:dyDescent="0.2"/>
    <row r="26668" s="197" customFormat="1" ht="12.75" x14ac:dyDescent="0.2"/>
    <row r="26669" s="197" customFormat="1" ht="12.75" x14ac:dyDescent="0.2"/>
    <row r="26670" s="197" customFormat="1" ht="12.75" x14ac:dyDescent="0.2"/>
    <row r="26671" s="197" customFormat="1" ht="12.75" x14ac:dyDescent="0.2"/>
    <row r="26672" s="197" customFormat="1" ht="12.75" x14ac:dyDescent="0.2"/>
    <row r="26673" s="197" customFormat="1" ht="12.75" x14ac:dyDescent="0.2"/>
    <row r="26674" s="197" customFormat="1" ht="12.75" x14ac:dyDescent="0.2"/>
    <row r="26675" s="197" customFormat="1" ht="12.75" x14ac:dyDescent="0.2"/>
    <row r="26676" s="197" customFormat="1" ht="12.75" x14ac:dyDescent="0.2"/>
    <row r="26677" s="197" customFormat="1" ht="12.75" x14ac:dyDescent="0.2"/>
    <row r="26678" s="197" customFormat="1" ht="12.75" x14ac:dyDescent="0.2"/>
    <row r="26679" s="197" customFormat="1" ht="12.75" x14ac:dyDescent="0.2"/>
    <row r="26680" s="197" customFormat="1" ht="12.75" x14ac:dyDescent="0.2"/>
    <row r="26681" s="197" customFormat="1" ht="12.75" x14ac:dyDescent="0.2"/>
    <row r="26682" s="197" customFormat="1" ht="12.75" x14ac:dyDescent="0.2"/>
    <row r="26683" s="197" customFormat="1" ht="12.75" x14ac:dyDescent="0.2"/>
    <row r="26684" s="197" customFormat="1" ht="12.75" x14ac:dyDescent="0.2"/>
    <row r="26685" s="197" customFormat="1" ht="12.75" x14ac:dyDescent="0.2"/>
    <row r="26686" s="197" customFormat="1" ht="12.75" x14ac:dyDescent="0.2"/>
    <row r="26687" s="197" customFormat="1" ht="12.75" x14ac:dyDescent="0.2"/>
    <row r="26688" s="197" customFormat="1" ht="12.75" x14ac:dyDescent="0.2"/>
    <row r="26689" s="197" customFormat="1" ht="12.75" x14ac:dyDescent="0.2"/>
    <row r="26690" s="197" customFormat="1" ht="12.75" x14ac:dyDescent="0.2"/>
    <row r="26691" s="197" customFormat="1" ht="12.75" x14ac:dyDescent="0.2"/>
    <row r="26692" s="197" customFormat="1" ht="12.75" x14ac:dyDescent="0.2"/>
    <row r="26693" s="197" customFormat="1" ht="12.75" x14ac:dyDescent="0.2"/>
    <row r="26694" s="197" customFormat="1" ht="12.75" x14ac:dyDescent="0.2"/>
    <row r="26695" s="197" customFormat="1" ht="12.75" x14ac:dyDescent="0.2"/>
    <row r="26696" s="197" customFormat="1" ht="12.75" x14ac:dyDescent="0.2"/>
    <row r="26697" s="197" customFormat="1" ht="12.75" x14ac:dyDescent="0.2"/>
    <row r="26698" s="197" customFormat="1" ht="12.75" x14ac:dyDescent="0.2"/>
    <row r="26699" s="197" customFormat="1" ht="12.75" x14ac:dyDescent="0.2"/>
    <row r="26700" s="197" customFormat="1" ht="12.75" x14ac:dyDescent="0.2"/>
    <row r="26701" s="197" customFormat="1" ht="12.75" x14ac:dyDescent="0.2"/>
    <row r="26702" s="197" customFormat="1" ht="12.75" x14ac:dyDescent="0.2"/>
    <row r="26703" s="197" customFormat="1" ht="12.75" x14ac:dyDescent="0.2"/>
    <row r="26704" s="197" customFormat="1" ht="12.75" x14ac:dyDescent="0.2"/>
    <row r="26705" s="197" customFormat="1" ht="12.75" x14ac:dyDescent="0.2"/>
    <row r="26706" s="197" customFormat="1" ht="12.75" x14ac:dyDescent="0.2"/>
    <row r="26707" s="197" customFormat="1" ht="12.75" x14ac:dyDescent="0.2"/>
    <row r="26708" s="197" customFormat="1" ht="12.75" x14ac:dyDescent="0.2"/>
    <row r="26709" s="197" customFormat="1" ht="12.75" x14ac:dyDescent="0.2"/>
    <row r="26710" s="197" customFormat="1" ht="12.75" x14ac:dyDescent="0.2"/>
    <row r="26711" s="197" customFormat="1" ht="12.75" x14ac:dyDescent="0.2"/>
    <row r="26712" s="197" customFormat="1" ht="12.75" x14ac:dyDescent="0.2"/>
    <row r="26713" s="197" customFormat="1" ht="12.75" x14ac:dyDescent="0.2"/>
    <row r="26714" s="197" customFormat="1" ht="12.75" x14ac:dyDescent="0.2"/>
    <row r="26715" s="197" customFormat="1" ht="12.75" x14ac:dyDescent="0.2"/>
    <row r="26716" s="197" customFormat="1" ht="12.75" x14ac:dyDescent="0.2"/>
    <row r="26717" s="197" customFormat="1" ht="12.75" x14ac:dyDescent="0.2"/>
    <row r="26718" s="197" customFormat="1" ht="12.75" x14ac:dyDescent="0.2"/>
    <row r="26719" s="197" customFormat="1" ht="12.75" x14ac:dyDescent="0.2"/>
    <row r="26720" s="197" customFormat="1" ht="12.75" x14ac:dyDescent="0.2"/>
    <row r="26721" s="197" customFormat="1" ht="12.75" x14ac:dyDescent="0.2"/>
    <row r="26722" s="197" customFormat="1" ht="12.75" x14ac:dyDescent="0.2"/>
    <row r="26723" s="197" customFormat="1" ht="12.75" x14ac:dyDescent="0.2"/>
    <row r="26724" s="197" customFormat="1" ht="12.75" x14ac:dyDescent="0.2"/>
    <row r="26725" s="197" customFormat="1" ht="12.75" x14ac:dyDescent="0.2"/>
    <row r="26726" s="197" customFormat="1" ht="12.75" x14ac:dyDescent="0.2"/>
    <row r="26727" s="197" customFormat="1" ht="12.75" x14ac:dyDescent="0.2"/>
    <row r="26728" s="197" customFormat="1" ht="12.75" x14ac:dyDescent="0.2"/>
    <row r="26729" s="197" customFormat="1" ht="12.75" x14ac:dyDescent="0.2"/>
    <row r="26730" s="197" customFormat="1" ht="12.75" x14ac:dyDescent="0.2"/>
    <row r="26731" s="197" customFormat="1" ht="12.75" x14ac:dyDescent="0.2"/>
    <row r="26732" s="197" customFormat="1" ht="12.75" x14ac:dyDescent="0.2"/>
    <row r="26733" s="197" customFormat="1" ht="12.75" x14ac:dyDescent="0.2"/>
    <row r="26734" s="197" customFormat="1" ht="12.75" x14ac:dyDescent="0.2"/>
    <row r="26735" s="197" customFormat="1" ht="12.75" x14ac:dyDescent="0.2"/>
    <row r="26736" s="197" customFormat="1" ht="12.75" x14ac:dyDescent="0.2"/>
    <row r="26737" s="197" customFormat="1" ht="12.75" x14ac:dyDescent="0.2"/>
    <row r="26738" s="197" customFormat="1" ht="12.75" x14ac:dyDescent="0.2"/>
    <row r="26739" s="197" customFormat="1" ht="12.75" x14ac:dyDescent="0.2"/>
    <row r="26740" s="197" customFormat="1" ht="12.75" x14ac:dyDescent="0.2"/>
    <row r="26741" s="197" customFormat="1" ht="12.75" x14ac:dyDescent="0.2"/>
    <row r="26742" s="197" customFormat="1" ht="12.75" x14ac:dyDescent="0.2"/>
    <row r="26743" s="197" customFormat="1" ht="12.75" x14ac:dyDescent="0.2"/>
    <row r="26744" s="197" customFormat="1" ht="12.75" x14ac:dyDescent="0.2"/>
    <row r="26745" s="197" customFormat="1" ht="12.75" x14ac:dyDescent="0.2"/>
    <row r="26746" s="197" customFormat="1" ht="12.75" x14ac:dyDescent="0.2"/>
    <row r="26747" s="197" customFormat="1" ht="12.75" x14ac:dyDescent="0.2"/>
    <row r="26748" s="197" customFormat="1" ht="12.75" x14ac:dyDescent="0.2"/>
    <row r="26749" s="197" customFormat="1" ht="12.75" x14ac:dyDescent="0.2"/>
    <row r="26750" s="197" customFormat="1" ht="12.75" x14ac:dyDescent="0.2"/>
    <row r="26751" s="197" customFormat="1" ht="12.75" x14ac:dyDescent="0.2"/>
    <row r="26752" s="197" customFormat="1" ht="12.75" x14ac:dyDescent="0.2"/>
    <row r="26753" s="197" customFormat="1" ht="12.75" x14ac:dyDescent="0.2"/>
    <row r="26754" s="197" customFormat="1" ht="12.75" x14ac:dyDescent="0.2"/>
    <row r="26755" s="197" customFormat="1" ht="12.75" x14ac:dyDescent="0.2"/>
    <row r="26756" s="197" customFormat="1" ht="12.75" x14ac:dyDescent="0.2"/>
    <row r="26757" s="197" customFormat="1" ht="12.75" x14ac:dyDescent="0.2"/>
    <row r="26758" s="197" customFormat="1" ht="12.75" x14ac:dyDescent="0.2"/>
    <row r="26759" s="197" customFormat="1" ht="12.75" x14ac:dyDescent="0.2"/>
    <row r="26760" s="197" customFormat="1" ht="12.75" x14ac:dyDescent="0.2"/>
    <row r="26761" s="197" customFormat="1" ht="12.75" x14ac:dyDescent="0.2"/>
    <row r="26762" s="197" customFormat="1" ht="12.75" x14ac:dyDescent="0.2"/>
    <row r="26763" s="197" customFormat="1" ht="12.75" x14ac:dyDescent="0.2"/>
    <row r="26764" s="197" customFormat="1" ht="12.75" x14ac:dyDescent="0.2"/>
    <row r="26765" s="197" customFormat="1" ht="12.75" x14ac:dyDescent="0.2"/>
    <row r="26766" s="197" customFormat="1" ht="12.75" x14ac:dyDescent="0.2"/>
    <row r="26767" s="197" customFormat="1" ht="12.75" x14ac:dyDescent="0.2"/>
    <row r="26768" s="197" customFormat="1" ht="12.75" x14ac:dyDescent="0.2"/>
    <row r="26769" s="197" customFormat="1" ht="12.75" x14ac:dyDescent="0.2"/>
    <row r="26770" s="197" customFormat="1" ht="12.75" x14ac:dyDescent="0.2"/>
    <row r="26771" s="197" customFormat="1" ht="12.75" x14ac:dyDescent="0.2"/>
    <row r="26772" s="197" customFormat="1" ht="12.75" x14ac:dyDescent="0.2"/>
    <row r="26773" s="197" customFormat="1" ht="12.75" x14ac:dyDescent="0.2"/>
    <row r="26774" s="197" customFormat="1" ht="12.75" x14ac:dyDescent="0.2"/>
    <row r="26775" s="197" customFormat="1" ht="12.75" x14ac:dyDescent="0.2"/>
    <row r="26776" s="197" customFormat="1" ht="12.75" x14ac:dyDescent="0.2"/>
    <row r="26777" s="197" customFormat="1" ht="12.75" x14ac:dyDescent="0.2"/>
    <row r="26778" s="197" customFormat="1" ht="12.75" x14ac:dyDescent="0.2"/>
    <row r="26779" s="197" customFormat="1" ht="12.75" x14ac:dyDescent="0.2"/>
    <row r="26780" s="197" customFormat="1" ht="12.75" x14ac:dyDescent="0.2"/>
    <row r="26781" s="197" customFormat="1" ht="12.75" x14ac:dyDescent="0.2"/>
    <row r="26782" s="197" customFormat="1" ht="12.75" x14ac:dyDescent="0.2"/>
    <row r="26783" s="197" customFormat="1" ht="12.75" x14ac:dyDescent="0.2"/>
    <row r="26784" s="197" customFormat="1" ht="12.75" x14ac:dyDescent="0.2"/>
    <row r="26785" s="197" customFormat="1" ht="12.75" x14ac:dyDescent="0.2"/>
    <row r="26786" s="197" customFormat="1" ht="12.75" x14ac:dyDescent="0.2"/>
    <row r="26787" s="197" customFormat="1" ht="12.75" x14ac:dyDescent="0.2"/>
    <row r="26788" s="197" customFormat="1" ht="12.75" x14ac:dyDescent="0.2"/>
    <row r="26789" s="197" customFormat="1" ht="12.75" x14ac:dyDescent="0.2"/>
    <row r="26790" s="197" customFormat="1" ht="12.75" x14ac:dyDescent="0.2"/>
    <row r="26791" s="197" customFormat="1" ht="12.75" x14ac:dyDescent="0.2"/>
    <row r="26792" s="197" customFormat="1" ht="12.75" x14ac:dyDescent="0.2"/>
    <row r="26793" s="197" customFormat="1" ht="12.75" x14ac:dyDescent="0.2"/>
    <row r="26794" s="197" customFormat="1" ht="12.75" x14ac:dyDescent="0.2"/>
    <row r="26795" s="197" customFormat="1" ht="12.75" x14ac:dyDescent="0.2"/>
    <row r="26796" s="197" customFormat="1" ht="12.75" x14ac:dyDescent="0.2"/>
    <row r="26797" s="197" customFormat="1" ht="12.75" x14ac:dyDescent="0.2"/>
    <row r="26798" s="197" customFormat="1" ht="12.75" x14ac:dyDescent="0.2"/>
    <row r="26799" s="197" customFormat="1" ht="12.75" x14ac:dyDescent="0.2"/>
    <row r="26800" s="197" customFormat="1" ht="12.75" x14ac:dyDescent="0.2"/>
    <row r="26801" s="197" customFormat="1" ht="12.75" x14ac:dyDescent="0.2"/>
    <row r="26802" s="197" customFormat="1" ht="12.75" x14ac:dyDescent="0.2"/>
    <row r="26803" s="197" customFormat="1" ht="12.75" x14ac:dyDescent="0.2"/>
    <row r="26804" s="197" customFormat="1" ht="12.75" x14ac:dyDescent="0.2"/>
    <row r="26805" s="197" customFormat="1" ht="12.75" x14ac:dyDescent="0.2"/>
    <row r="26806" s="197" customFormat="1" ht="12.75" x14ac:dyDescent="0.2"/>
    <row r="26807" s="197" customFormat="1" ht="12.75" x14ac:dyDescent="0.2"/>
    <row r="26808" s="197" customFormat="1" ht="12.75" x14ac:dyDescent="0.2"/>
    <row r="26809" s="197" customFormat="1" ht="12.75" x14ac:dyDescent="0.2"/>
    <row r="26810" s="197" customFormat="1" ht="12.75" x14ac:dyDescent="0.2"/>
    <row r="26811" s="197" customFormat="1" ht="12.75" x14ac:dyDescent="0.2"/>
    <row r="26812" s="197" customFormat="1" ht="12.75" x14ac:dyDescent="0.2"/>
    <row r="26813" s="197" customFormat="1" ht="12.75" x14ac:dyDescent="0.2"/>
    <row r="26814" s="197" customFormat="1" ht="12.75" x14ac:dyDescent="0.2"/>
    <row r="26815" s="197" customFormat="1" ht="12.75" x14ac:dyDescent="0.2"/>
    <row r="26816" s="197" customFormat="1" ht="12.75" x14ac:dyDescent="0.2"/>
    <row r="26817" s="197" customFormat="1" ht="12.75" x14ac:dyDescent="0.2"/>
    <row r="26818" s="197" customFormat="1" ht="12.75" x14ac:dyDescent="0.2"/>
    <row r="26819" s="197" customFormat="1" ht="12.75" x14ac:dyDescent="0.2"/>
    <row r="26820" s="197" customFormat="1" ht="12.75" x14ac:dyDescent="0.2"/>
    <row r="26821" s="197" customFormat="1" ht="12.75" x14ac:dyDescent="0.2"/>
    <row r="26822" s="197" customFormat="1" ht="12.75" x14ac:dyDescent="0.2"/>
    <row r="26823" s="197" customFormat="1" ht="12.75" x14ac:dyDescent="0.2"/>
    <row r="26824" s="197" customFormat="1" ht="12.75" x14ac:dyDescent="0.2"/>
    <row r="26825" s="197" customFormat="1" ht="12.75" x14ac:dyDescent="0.2"/>
    <row r="26826" s="197" customFormat="1" ht="12.75" x14ac:dyDescent="0.2"/>
    <row r="26827" s="197" customFormat="1" ht="12.75" x14ac:dyDescent="0.2"/>
    <row r="26828" s="197" customFormat="1" ht="12.75" x14ac:dyDescent="0.2"/>
    <row r="26829" s="197" customFormat="1" ht="12.75" x14ac:dyDescent="0.2"/>
    <row r="26830" s="197" customFormat="1" ht="12.75" x14ac:dyDescent="0.2"/>
    <row r="26831" s="197" customFormat="1" ht="12.75" x14ac:dyDescent="0.2"/>
    <row r="26832" s="197" customFormat="1" ht="12.75" x14ac:dyDescent="0.2"/>
    <row r="26833" s="197" customFormat="1" ht="12.75" x14ac:dyDescent="0.2"/>
    <row r="26834" s="197" customFormat="1" ht="12.75" x14ac:dyDescent="0.2"/>
    <row r="26835" s="197" customFormat="1" ht="12.75" x14ac:dyDescent="0.2"/>
    <row r="26836" s="197" customFormat="1" ht="12.75" x14ac:dyDescent="0.2"/>
    <row r="26837" s="197" customFormat="1" ht="12.75" x14ac:dyDescent="0.2"/>
    <row r="26838" s="197" customFormat="1" ht="12.75" x14ac:dyDescent="0.2"/>
    <row r="26839" s="197" customFormat="1" ht="12.75" x14ac:dyDescent="0.2"/>
    <row r="26840" s="197" customFormat="1" ht="12.75" x14ac:dyDescent="0.2"/>
    <row r="26841" s="197" customFormat="1" ht="12.75" x14ac:dyDescent="0.2"/>
    <row r="26842" s="197" customFormat="1" ht="12.75" x14ac:dyDescent="0.2"/>
    <row r="26843" s="197" customFormat="1" ht="12.75" x14ac:dyDescent="0.2"/>
    <row r="26844" s="197" customFormat="1" ht="12.75" x14ac:dyDescent="0.2"/>
    <row r="26845" s="197" customFormat="1" ht="12.75" x14ac:dyDescent="0.2"/>
    <row r="26846" s="197" customFormat="1" ht="12.75" x14ac:dyDescent="0.2"/>
    <row r="26847" s="197" customFormat="1" ht="12.75" x14ac:dyDescent="0.2"/>
    <row r="26848" s="197" customFormat="1" ht="12.75" x14ac:dyDescent="0.2"/>
    <row r="26849" s="197" customFormat="1" ht="12.75" x14ac:dyDescent="0.2"/>
    <row r="26850" s="197" customFormat="1" ht="12.75" x14ac:dyDescent="0.2"/>
    <row r="26851" s="197" customFormat="1" ht="12.75" x14ac:dyDescent="0.2"/>
    <row r="26852" s="197" customFormat="1" ht="12.75" x14ac:dyDescent="0.2"/>
    <row r="26853" s="197" customFormat="1" ht="12.75" x14ac:dyDescent="0.2"/>
    <row r="26854" s="197" customFormat="1" ht="12.75" x14ac:dyDescent="0.2"/>
    <row r="26855" s="197" customFormat="1" ht="12.75" x14ac:dyDescent="0.2"/>
    <row r="26856" s="197" customFormat="1" ht="12.75" x14ac:dyDescent="0.2"/>
    <row r="26857" s="197" customFormat="1" ht="12.75" x14ac:dyDescent="0.2"/>
    <row r="26858" s="197" customFormat="1" ht="12.75" x14ac:dyDescent="0.2"/>
    <row r="26859" s="197" customFormat="1" ht="12.75" x14ac:dyDescent="0.2"/>
    <row r="26860" s="197" customFormat="1" ht="12.75" x14ac:dyDescent="0.2"/>
    <row r="26861" s="197" customFormat="1" ht="12.75" x14ac:dyDescent="0.2"/>
    <row r="26862" s="197" customFormat="1" ht="12.75" x14ac:dyDescent="0.2"/>
    <row r="26863" s="197" customFormat="1" ht="12.75" x14ac:dyDescent="0.2"/>
    <row r="26864" s="197" customFormat="1" ht="12.75" x14ac:dyDescent="0.2"/>
    <row r="26865" s="197" customFormat="1" ht="12.75" x14ac:dyDescent="0.2"/>
    <row r="26866" s="197" customFormat="1" ht="12.75" x14ac:dyDescent="0.2"/>
    <row r="26867" s="197" customFormat="1" ht="12.75" x14ac:dyDescent="0.2"/>
    <row r="26868" s="197" customFormat="1" ht="12.75" x14ac:dyDescent="0.2"/>
    <row r="26869" s="197" customFormat="1" ht="12.75" x14ac:dyDescent="0.2"/>
    <row r="26870" s="197" customFormat="1" ht="12.75" x14ac:dyDescent="0.2"/>
    <row r="26871" s="197" customFormat="1" ht="12.75" x14ac:dyDescent="0.2"/>
    <row r="26872" s="197" customFormat="1" ht="12.75" x14ac:dyDescent="0.2"/>
    <row r="26873" s="197" customFormat="1" ht="12.75" x14ac:dyDescent="0.2"/>
    <row r="26874" s="197" customFormat="1" ht="12.75" x14ac:dyDescent="0.2"/>
    <row r="26875" s="197" customFormat="1" ht="12.75" x14ac:dyDescent="0.2"/>
    <row r="26876" s="197" customFormat="1" ht="12.75" x14ac:dyDescent="0.2"/>
    <row r="26877" s="197" customFormat="1" ht="12.75" x14ac:dyDescent="0.2"/>
    <row r="26878" s="197" customFormat="1" ht="12.75" x14ac:dyDescent="0.2"/>
    <row r="26879" s="197" customFormat="1" ht="12.75" x14ac:dyDescent="0.2"/>
    <row r="26880" s="197" customFormat="1" ht="12.75" x14ac:dyDescent="0.2"/>
    <row r="26881" s="197" customFormat="1" ht="12.75" x14ac:dyDescent="0.2"/>
    <row r="26882" s="197" customFormat="1" ht="12.75" x14ac:dyDescent="0.2"/>
    <row r="26883" s="197" customFormat="1" ht="12.75" x14ac:dyDescent="0.2"/>
    <row r="26884" s="197" customFormat="1" ht="12.75" x14ac:dyDescent="0.2"/>
    <row r="26885" s="197" customFormat="1" ht="12.75" x14ac:dyDescent="0.2"/>
    <row r="26886" s="197" customFormat="1" ht="12.75" x14ac:dyDescent="0.2"/>
    <row r="26887" s="197" customFormat="1" ht="12.75" x14ac:dyDescent="0.2"/>
    <row r="26888" s="197" customFormat="1" ht="12.75" x14ac:dyDescent="0.2"/>
    <row r="26889" s="197" customFormat="1" ht="12.75" x14ac:dyDescent="0.2"/>
    <row r="26890" s="197" customFormat="1" ht="12.75" x14ac:dyDescent="0.2"/>
    <row r="26891" s="197" customFormat="1" ht="12.75" x14ac:dyDescent="0.2"/>
    <row r="26892" s="197" customFormat="1" ht="12.75" x14ac:dyDescent="0.2"/>
    <row r="26893" s="197" customFormat="1" ht="12.75" x14ac:dyDescent="0.2"/>
    <row r="26894" s="197" customFormat="1" ht="12.75" x14ac:dyDescent="0.2"/>
    <row r="26895" s="197" customFormat="1" ht="12.75" x14ac:dyDescent="0.2"/>
    <row r="26896" s="197" customFormat="1" ht="12.75" x14ac:dyDescent="0.2"/>
    <row r="26897" s="197" customFormat="1" ht="12.75" x14ac:dyDescent="0.2"/>
    <row r="26898" s="197" customFormat="1" ht="12.75" x14ac:dyDescent="0.2"/>
    <row r="26899" s="197" customFormat="1" ht="12.75" x14ac:dyDescent="0.2"/>
    <row r="26900" s="197" customFormat="1" ht="12.75" x14ac:dyDescent="0.2"/>
    <row r="26901" s="197" customFormat="1" ht="12.75" x14ac:dyDescent="0.2"/>
    <row r="26902" s="197" customFormat="1" ht="12.75" x14ac:dyDescent="0.2"/>
    <row r="26903" s="197" customFormat="1" ht="12.75" x14ac:dyDescent="0.2"/>
    <row r="26904" s="197" customFormat="1" ht="12.75" x14ac:dyDescent="0.2"/>
    <row r="26905" s="197" customFormat="1" ht="12.75" x14ac:dyDescent="0.2"/>
    <row r="26906" s="197" customFormat="1" ht="12.75" x14ac:dyDescent="0.2"/>
    <row r="26907" s="197" customFormat="1" ht="12.75" x14ac:dyDescent="0.2"/>
    <row r="26908" s="197" customFormat="1" ht="12.75" x14ac:dyDescent="0.2"/>
    <row r="26909" s="197" customFormat="1" ht="12.75" x14ac:dyDescent="0.2"/>
    <row r="26910" s="197" customFormat="1" ht="12.75" x14ac:dyDescent="0.2"/>
    <row r="26911" s="197" customFormat="1" ht="12.75" x14ac:dyDescent="0.2"/>
    <row r="26912" s="197" customFormat="1" ht="12.75" x14ac:dyDescent="0.2"/>
    <row r="26913" s="197" customFormat="1" ht="12.75" x14ac:dyDescent="0.2"/>
    <row r="26914" s="197" customFormat="1" ht="12.75" x14ac:dyDescent="0.2"/>
    <row r="26915" s="197" customFormat="1" ht="12.75" x14ac:dyDescent="0.2"/>
    <row r="26916" s="197" customFormat="1" ht="12.75" x14ac:dyDescent="0.2"/>
    <row r="26917" s="197" customFormat="1" ht="12.75" x14ac:dyDescent="0.2"/>
    <row r="26918" s="197" customFormat="1" ht="12.75" x14ac:dyDescent="0.2"/>
    <row r="26919" s="197" customFormat="1" ht="12.75" x14ac:dyDescent="0.2"/>
    <row r="26920" s="197" customFormat="1" ht="12.75" x14ac:dyDescent="0.2"/>
    <row r="26921" s="197" customFormat="1" ht="12.75" x14ac:dyDescent="0.2"/>
    <row r="26922" s="197" customFormat="1" ht="12.75" x14ac:dyDescent="0.2"/>
    <row r="26923" s="197" customFormat="1" ht="12.75" x14ac:dyDescent="0.2"/>
    <row r="26924" s="197" customFormat="1" ht="12.75" x14ac:dyDescent="0.2"/>
    <row r="26925" s="197" customFormat="1" ht="12.75" x14ac:dyDescent="0.2"/>
    <row r="26926" s="197" customFormat="1" ht="12.75" x14ac:dyDescent="0.2"/>
    <row r="26927" s="197" customFormat="1" ht="12.75" x14ac:dyDescent="0.2"/>
    <row r="26928" s="197" customFormat="1" ht="12.75" x14ac:dyDescent="0.2"/>
    <row r="26929" s="197" customFormat="1" ht="12.75" x14ac:dyDescent="0.2"/>
    <row r="26930" s="197" customFormat="1" ht="12.75" x14ac:dyDescent="0.2"/>
    <row r="26931" s="197" customFormat="1" ht="12.75" x14ac:dyDescent="0.2"/>
    <row r="26932" s="197" customFormat="1" ht="12.75" x14ac:dyDescent="0.2"/>
    <row r="26933" s="197" customFormat="1" ht="12.75" x14ac:dyDescent="0.2"/>
    <row r="26934" s="197" customFormat="1" ht="12.75" x14ac:dyDescent="0.2"/>
    <row r="26935" s="197" customFormat="1" ht="12.75" x14ac:dyDescent="0.2"/>
    <row r="26936" s="197" customFormat="1" ht="12.75" x14ac:dyDescent="0.2"/>
    <row r="26937" s="197" customFormat="1" ht="12.75" x14ac:dyDescent="0.2"/>
    <row r="26938" s="197" customFormat="1" ht="12.75" x14ac:dyDescent="0.2"/>
    <row r="26939" s="197" customFormat="1" ht="12.75" x14ac:dyDescent="0.2"/>
    <row r="26940" s="197" customFormat="1" ht="12.75" x14ac:dyDescent="0.2"/>
    <row r="26941" s="197" customFormat="1" ht="12.75" x14ac:dyDescent="0.2"/>
    <row r="26942" s="197" customFormat="1" ht="12.75" x14ac:dyDescent="0.2"/>
    <row r="26943" s="197" customFormat="1" ht="12.75" x14ac:dyDescent="0.2"/>
    <row r="26944" s="197" customFormat="1" ht="12.75" x14ac:dyDescent="0.2"/>
    <row r="26945" s="197" customFormat="1" ht="12.75" x14ac:dyDescent="0.2"/>
    <row r="26946" s="197" customFormat="1" ht="12.75" x14ac:dyDescent="0.2"/>
    <row r="26947" s="197" customFormat="1" ht="12.75" x14ac:dyDescent="0.2"/>
    <row r="26948" s="197" customFormat="1" ht="12.75" x14ac:dyDescent="0.2"/>
    <row r="26949" s="197" customFormat="1" ht="12.75" x14ac:dyDescent="0.2"/>
    <row r="26950" s="197" customFormat="1" ht="12.75" x14ac:dyDescent="0.2"/>
    <row r="26951" s="197" customFormat="1" ht="12.75" x14ac:dyDescent="0.2"/>
    <row r="26952" s="197" customFormat="1" ht="12.75" x14ac:dyDescent="0.2"/>
    <row r="26953" s="197" customFormat="1" ht="12.75" x14ac:dyDescent="0.2"/>
    <row r="26954" s="197" customFormat="1" ht="12.75" x14ac:dyDescent="0.2"/>
    <row r="26955" s="197" customFormat="1" ht="12.75" x14ac:dyDescent="0.2"/>
    <row r="26956" s="197" customFormat="1" ht="12.75" x14ac:dyDescent="0.2"/>
    <row r="26957" s="197" customFormat="1" ht="12.75" x14ac:dyDescent="0.2"/>
    <row r="26958" s="197" customFormat="1" ht="12.75" x14ac:dyDescent="0.2"/>
    <row r="26959" s="197" customFormat="1" ht="12.75" x14ac:dyDescent="0.2"/>
    <row r="26960" s="197" customFormat="1" ht="12.75" x14ac:dyDescent="0.2"/>
    <row r="26961" s="197" customFormat="1" ht="12.75" x14ac:dyDescent="0.2"/>
    <row r="26962" s="197" customFormat="1" ht="12.75" x14ac:dyDescent="0.2"/>
    <row r="26963" s="197" customFormat="1" ht="12.75" x14ac:dyDescent="0.2"/>
    <row r="26964" s="197" customFormat="1" ht="12.75" x14ac:dyDescent="0.2"/>
    <row r="26965" s="197" customFormat="1" ht="12.75" x14ac:dyDescent="0.2"/>
    <row r="26966" s="197" customFormat="1" ht="12.75" x14ac:dyDescent="0.2"/>
    <row r="26967" s="197" customFormat="1" ht="12.75" x14ac:dyDescent="0.2"/>
    <row r="26968" s="197" customFormat="1" ht="12.75" x14ac:dyDescent="0.2"/>
    <row r="26969" s="197" customFormat="1" ht="12.75" x14ac:dyDescent="0.2"/>
    <row r="26970" s="197" customFormat="1" ht="12.75" x14ac:dyDescent="0.2"/>
    <row r="26971" s="197" customFormat="1" ht="12.75" x14ac:dyDescent="0.2"/>
    <row r="26972" s="197" customFormat="1" ht="12.75" x14ac:dyDescent="0.2"/>
    <row r="26973" s="197" customFormat="1" ht="12.75" x14ac:dyDescent="0.2"/>
    <row r="26974" s="197" customFormat="1" ht="12.75" x14ac:dyDescent="0.2"/>
    <row r="26975" s="197" customFormat="1" ht="12.75" x14ac:dyDescent="0.2"/>
    <row r="26976" s="197" customFormat="1" ht="12.75" x14ac:dyDescent="0.2"/>
    <row r="26977" s="197" customFormat="1" ht="12.75" x14ac:dyDescent="0.2"/>
    <row r="26978" s="197" customFormat="1" ht="12.75" x14ac:dyDescent="0.2"/>
    <row r="26979" s="197" customFormat="1" ht="12.75" x14ac:dyDescent="0.2"/>
    <row r="26980" s="197" customFormat="1" ht="12.75" x14ac:dyDescent="0.2"/>
    <row r="26981" s="197" customFormat="1" ht="12.75" x14ac:dyDescent="0.2"/>
    <row r="26982" s="197" customFormat="1" ht="12.75" x14ac:dyDescent="0.2"/>
    <row r="26983" s="197" customFormat="1" ht="12.75" x14ac:dyDescent="0.2"/>
    <row r="26984" s="197" customFormat="1" ht="12.75" x14ac:dyDescent="0.2"/>
    <row r="26985" s="197" customFormat="1" ht="12.75" x14ac:dyDescent="0.2"/>
    <row r="26986" s="197" customFormat="1" ht="12.75" x14ac:dyDescent="0.2"/>
    <row r="26987" s="197" customFormat="1" ht="12.75" x14ac:dyDescent="0.2"/>
    <row r="26988" s="197" customFormat="1" ht="12.75" x14ac:dyDescent="0.2"/>
    <row r="26989" s="197" customFormat="1" ht="12.75" x14ac:dyDescent="0.2"/>
    <row r="26990" s="197" customFormat="1" ht="12.75" x14ac:dyDescent="0.2"/>
    <row r="26991" s="197" customFormat="1" ht="12.75" x14ac:dyDescent="0.2"/>
    <row r="26992" s="197" customFormat="1" ht="12.75" x14ac:dyDescent="0.2"/>
    <row r="26993" s="197" customFormat="1" ht="12.75" x14ac:dyDescent="0.2"/>
    <row r="26994" s="197" customFormat="1" ht="12.75" x14ac:dyDescent="0.2"/>
    <row r="26995" s="197" customFormat="1" ht="12.75" x14ac:dyDescent="0.2"/>
    <row r="26996" s="197" customFormat="1" ht="12.75" x14ac:dyDescent="0.2"/>
    <row r="26997" s="197" customFormat="1" ht="12.75" x14ac:dyDescent="0.2"/>
    <row r="26998" s="197" customFormat="1" ht="12.75" x14ac:dyDescent="0.2"/>
    <row r="26999" s="197" customFormat="1" ht="12.75" x14ac:dyDescent="0.2"/>
    <row r="27000" s="197" customFormat="1" ht="12.75" x14ac:dyDescent="0.2"/>
    <row r="27001" s="197" customFormat="1" ht="12.75" x14ac:dyDescent="0.2"/>
    <row r="27002" s="197" customFormat="1" ht="12.75" x14ac:dyDescent="0.2"/>
    <row r="27003" s="197" customFormat="1" ht="12.75" x14ac:dyDescent="0.2"/>
    <row r="27004" s="197" customFormat="1" ht="12.75" x14ac:dyDescent="0.2"/>
    <row r="27005" s="197" customFormat="1" ht="12.75" x14ac:dyDescent="0.2"/>
    <row r="27006" s="197" customFormat="1" ht="12.75" x14ac:dyDescent="0.2"/>
    <row r="27007" s="197" customFormat="1" ht="12.75" x14ac:dyDescent="0.2"/>
    <row r="27008" s="197" customFormat="1" ht="12.75" x14ac:dyDescent="0.2"/>
    <row r="27009" s="197" customFormat="1" ht="12.75" x14ac:dyDescent="0.2"/>
    <row r="27010" s="197" customFormat="1" ht="12.75" x14ac:dyDescent="0.2"/>
    <row r="27011" s="197" customFormat="1" ht="12.75" x14ac:dyDescent="0.2"/>
    <row r="27012" s="197" customFormat="1" ht="12.75" x14ac:dyDescent="0.2"/>
    <row r="27013" s="197" customFormat="1" ht="12.75" x14ac:dyDescent="0.2"/>
    <row r="27014" s="197" customFormat="1" ht="12.75" x14ac:dyDescent="0.2"/>
    <row r="27015" s="197" customFormat="1" ht="12.75" x14ac:dyDescent="0.2"/>
    <row r="27016" s="197" customFormat="1" ht="12.75" x14ac:dyDescent="0.2"/>
    <row r="27017" s="197" customFormat="1" ht="12.75" x14ac:dyDescent="0.2"/>
    <row r="27018" s="197" customFormat="1" ht="12.75" x14ac:dyDescent="0.2"/>
    <row r="27019" s="197" customFormat="1" ht="12.75" x14ac:dyDescent="0.2"/>
    <row r="27020" s="197" customFormat="1" ht="12.75" x14ac:dyDescent="0.2"/>
    <row r="27021" s="197" customFormat="1" ht="12.75" x14ac:dyDescent="0.2"/>
    <row r="27022" s="197" customFormat="1" ht="12.75" x14ac:dyDescent="0.2"/>
    <row r="27023" s="197" customFormat="1" ht="12.75" x14ac:dyDescent="0.2"/>
    <row r="27024" s="197" customFormat="1" ht="12.75" x14ac:dyDescent="0.2"/>
    <row r="27025" s="197" customFormat="1" ht="12.75" x14ac:dyDescent="0.2"/>
    <row r="27026" s="197" customFormat="1" ht="12.75" x14ac:dyDescent="0.2"/>
    <row r="27027" s="197" customFormat="1" ht="12.75" x14ac:dyDescent="0.2"/>
    <row r="27028" s="197" customFormat="1" ht="12.75" x14ac:dyDescent="0.2"/>
    <row r="27029" s="197" customFormat="1" ht="12.75" x14ac:dyDescent="0.2"/>
    <row r="27030" s="197" customFormat="1" ht="12.75" x14ac:dyDescent="0.2"/>
    <row r="27031" s="197" customFormat="1" ht="12.75" x14ac:dyDescent="0.2"/>
    <row r="27032" s="197" customFormat="1" ht="12.75" x14ac:dyDescent="0.2"/>
    <row r="27033" s="197" customFormat="1" ht="12.75" x14ac:dyDescent="0.2"/>
    <row r="27034" s="197" customFormat="1" ht="12.75" x14ac:dyDescent="0.2"/>
    <row r="27035" s="197" customFormat="1" ht="12.75" x14ac:dyDescent="0.2"/>
    <row r="27036" s="197" customFormat="1" ht="12.75" x14ac:dyDescent="0.2"/>
    <row r="27037" s="197" customFormat="1" ht="12.75" x14ac:dyDescent="0.2"/>
    <row r="27038" s="197" customFormat="1" ht="12.75" x14ac:dyDescent="0.2"/>
    <row r="27039" s="197" customFormat="1" ht="12.75" x14ac:dyDescent="0.2"/>
    <row r="27040" s="197" customFormat="1" ht="12.75" x14ac:dyDescent="0.2"/>
    <row r="27041" s="197" customFormat="1" ht="12.75" x14ac:dyDescent="0.2"/>
    <row r="27042" s="197" customFormat="1" ht="12.75" x14ac:dyDescent="0.2"/>
    <row r="27043" s="197" customFormat="1" ht="12.75" x14ac:dyDescent="0.2"/>
    <row r="27044" s="197" customFormat="1" ht="12.75" x14ac:dyDescent="0.2"/>
    <row r="27045" s="197" customFormat="1" ht="12.75" x14ac:dyDescent="0.2"/>
    <row r="27046" s="197" customFormat="1" ht="12.75" x14ac:dyDescent="0.2"/>
    <row r="27047" s="197" customFormat="1" ht="12.75" x14ac:dyDescent="0.2"/>
    <row r="27048" s="197" customFormat="1" ht="12.75" x14ac:dyDescent="0.2"/>
    <row r="27049" s="197" customFormat="1" ht="12.75" x14ac:dyDescent="0.2"/>
    <row r="27050" s="197" customFormat="1" ht="12.75" x14ac:dyDescent="0.2"/>
    <row r="27051" s="197" customFormat="1" ht="12.75" x14ac:dyDescent="0.2"/>
    <row r="27052" s="197" customFormat="1" ht="12.75" x14ac:dyDescent="0.2"/>
    <row r="27053" s="197" customFormat="1" ht="12.75" x14ac:dyDescent="0.2"/>
    <row r="27054" s="197" customFormat="1" ht="12.75" x14ac:dyDescent="0.2"/>
    <row r="27055" s="197" customFormat="1" ht="12.75" x14ac:dyDescent="0.2"/>
    <row r="27056" s="197" customFormat="1" ht="12.75" x14ac:dyDescent="0.2"/>
    <row r="27057" s="197" customFormat="1" ht="12.75" x14ac:dyDescent="0.2"/>
    <row r="27058" s="197" customFormat="1" ht="12.75" x14ac:dyDescent="0.2"/>
    <row r="27059" s="197" customFormat="1" ht="12.75" x14ac:dyDescent="0.2"/>
    <row r="27060" s="197" customFormat="1" ht="12.75" x14ac:dyDescent="0.2"/>
    <row r="27061" s="197" customFormat="1" ht="12.75" x14ac:dyDescent="0.2"/>
    <row r="27062" s="197" customFormat="1" ht="12.75" x14ac:dyDescent="0.2"/>
    <row r="27063" s="197" customFormat="1" ht="12.75" x14ac:dyDescent="0.2"/>
    <row r="27064" s="197" customFormat="1" ht="12.75" x14ac:dyDescent="0.2"/>
    <row r="27065" s="197" customFormat="1" ht="12.75" x14ac:dyDescent="0.2"/>
    <row r="27066" s="197" customFormat="1" ht="12.75" x14ac:dyDescent="0.2"/>
    <row r="27067" s="197" customFormat="1" ht="12.75" x14ac:dyDescent="0.2"/>
    <row r="27068" s="197" customFormat="1" ht="12.75" x14ac:dyDescent="0.2"/>
    <row r="27069" s="197" customFormat="1" ht="12.75" x14ac:dyDescent="0.2"/>
    <row r="27070" s="197" customFormat="1" ht="12.75" x14ac:dyDescent="0.2"/>
    <row r="27071" s="197" customFormat="1" ht="12.75" x14ac:dyDescent="0.2"/>
    <row r="27072" s="197" customFormat="1" ht="12.75" x14ac:dyDescent="0.2"/>
    <row r="27073" s="197" customFormat="1" ht="12.75" x14ac:dyDescent="0.2"/>
    <row r="27074" s="197" customFormat="1" ht="12.75" x14ac:dyDescent="0.2"/>
    <row r="27075" s="197" customFormat="1" ht="12.75" x14ac:dyDescent="0.2"/>
    <row r="27076" s="197" customFormat="1" ht="12.75" x14ac:dyDescent="0.2"/>
    <row r="27077" s="197" customFormat="1" ht="12.75" x14ac:dyDescent="0.2"/>
    <row r="27078" s="197" customFormat="1" ht="12.75" x14ac:dyDescent="0.2"/>
    <row r="27079" s="197" customFormat="1" ht="12.75" x14ac:dyDescent="0.2"/>
    <row r="27080" s="197" customFormat="1" ht="12.75" x14ac:dyDescent="0.2"/>
    <row r="27081" s="197" customFormat="1" ht="12.75" x14ac:dyDescent="0.2"/>
    <row r="27082" s="197" customFormat="1" ht="12.75" x14ac:dyDescent="0.2"/>
    <row r="27083" s="197" customFormat="1" ht="12.75" x14ac:dyDescent="0.2"/>
    <row r="27084" s="197" customFormat="1" ht="12.75" x14ac:dyDescent="0.2"/>
    <row r="27085" s="197" customFormat="1" ht="12.75" x14ac:dyDescent="0.2"/>
    <row r="27086" s="197" customFormat="1" ht="12.75" x14ac:dyDescent="0.2"/>
    <row r="27087" s="197" customFormat="1" ht="12.75" x14ac:dyDescent="0.2"/>
    <row r="27088" s="197" customFormat="1" ht="12.75" x14ac:dyDescent="0.2"/>
    <row r="27089" s="197" customFormat="1" ht="12.75" x14ac:dyDescent="0.2"/>
    <row r="27090" s="197" customFormat="1" ht="12.75" x14ac:dyDescent="0.2"/>
    <row r="27091" s="197" customFormat="1" ht="12.75" x14ac:dyDescent="0.2"/>
    <row r="27092" s="197" customFormat="1" ht="12.75" x14ac:dyDescent="0.2"/>
    <row r="27093" s="197" customFormat="1" ht="12.75" x14ac:dyDescent="0.2"/>
    <row r="27094" s="197" customFormat="1" ht="12.75" x14ac:dyDescent="0.2"/>
    <row r="27095" s="197" customFormat="1" ht="12.75" x14ac:dyDescent="0.2"/>
    <row r="27096" s="197" customFormat="1" ht="12.75" x14ac:dyDescent="0.2"/>
    <row r="27097" s="197" customFormat="1" ht="12.75" x14ac:dyDescent="0.2"/>
    <row r="27098" s="197" customFormat="1" ht="12.75" x14ac:dyDescent="0.2"/>
    <row r="27099" s="197" customFormat="1" ht="12.75" x14ac:dyDescent="0.2"/>
    <row r="27100" s="197" customFormat="1" ht="12.75" x14ac:dyDescent="0.2"/>
    <row r="27101" s="197" customFormat="1" ht="12.75" x14ac:dyDescent="0.2"/>
    <row r="27102" s="197" customFormat="1" ht="12.75" x14ac:dyDescent="0.2"/>
    <row r="27103" s="197" customFormat="1" ht="12.75" x14ac:dyDescent="0.2"/>
    <row r="27104" s="197" customFormat="1" ht="12.75" x14ac:dyDescent="0.2"/>
    <row r="27105" s="197" customFormat="1" ht="12.75" x14ac:dyDescent="0.2"/>
    <row r="27106" s="197" customFormat="1" ht="12.75" x14ac:dyDescent="0.2"/>
    <row r="27107" s="197" customFormat="1" ht="12.75" x14ac:dyDescent="0.2"/>
    <row r="27108" s="197" customFormat="1" ht="12.75" x14ac:dyDescent="0.2"/>
    <row r="27109" s="197" customFormat="1" ht="12.75" x14ac:dyDescent="0.2"/>
    <row r="27110" s="197" customFormat="1" ht="12.75" x14ac:dyDescent="0.2"/>
    <row r="27111" s="197" customFormat="1" ht="12.75" x14ac:dyDescent="0.2"/>
    <row r="27112" s="197" customFormat="1" ht="12.75" x14ac:dyDescent="0.2"/>
    <row r="27113" s="197" customFormat="1" ht="12.75" x14ac:dyDescent="0.2"/>
    <row r="27114" s="197" customFormat="1" ht="12.75" x14ac:dyDescent="0.2"/>
    <row r="27115" s="197" customFormat="1" ht="12.75" x14ac:dyDescent="0.2"/>
    <row r="27116" s="197" customFormat="1" ht="12.75" x14ac:dyDescent="0.2"/>
    <row r="27117" s="197" customFormat="1" ht="12.75" x14ac:dyDescent="0.2"/>
    <row r="27118" s="197" customFormat="1" ht="12.75" x14ac:dyDescent="0.2"/>
    <row r="27119" s="197" customFormat="1" ht="12.75" x14ac:dyDescent="0.2"/>
    <row r="27120" s="197" customFormat="1" ht="12.75" x14ac:dyDescent="0.2"/>
    <row r="27121" s="197" customFormat="1" ht="12.75" x14ac:dyDescent="0.2"/>
    <row r="27122" s="197" customFormat="1" ht="12.75" x14ac:dyDescent="0.2"/>
    <row r="27123" s="197" customFormat="1" ht="12.75" x14ac:dyDescent="0.2"/>
    <row r="27124" s="197" customFormat="1" ht="12.75" x14ac:dyDescent="0.2"/>
    <row r="27125" s="197" customFormat="1" ht="12.75" x14ac:dyDescent="0.2"/>
    <row r="27126" s="197" customFormat="1" ht="12.75" x14ac:dyDescent="0.2"/>
    <row r="27127" s="197" customFormat="1" ht="12.75" x14ac:dyDescent="0.2"/>
    <row r="27128" s="197" customFormat="1" ht="12.75" x14ac:dyDescent="0.2"/>
    <row r="27129" s="197" customFormat="1" ht="12.75" x14ac:dyDescent="0.2"/>
    <row r="27130" s="197" customFormat="1" ht="12.75" x14ac:dyDescent="0.2"/>
    <row r="27131" s="197" customFormat="1" ht="12.75" x14ac:dyDescent="0.2"/>
    <row r="27132" s="197" customFormat="1" ht="12.75" x14ac:dyDescent="0.2"/>
    <row r="27133" s="197" customFormat="1" ht="12.75" x14ac:dyDescent="0.2"/>
    <row r="27134" s="197" customFormat="1" ht="12.75" x14ac:dyDescent="0.2"/>
    <row r="27135" s="197" customFormat="1" ht="12.75" x14ac:dyDescent="0.2"/>
    <row r="27136" s="197" customFormat="1" ht="12.75" x14ac:dyDescent="0.2"/>
    <row r="27137" s="197" customFormat="1" ht="12.75" x14ac:dyDescent="0.2"/>
    <row r="27138" s="197" customFormat="1" ht="12.75" x14ac:dyDescent="0.2"/>
    <row r="27139" s="197" customFormat="1" ht="12.75" x14ac:dyDescent="0.2"/>
    <row r="27140" s="197" customFormat="1" ht="12.75" x14ac:dyDescent="0.2"/>
    <row r="27141" s="197" customFormat="1" ht="12.75" x14ac:dyDescent="0.2"/>
    <row r="27142" s="197" customFormat="1" ht="12.75" x14ac:dyDescent="0.2"/>
    <row r="27143" s="197" customFormat="1" ht="12.75" x14ac:dyDescent="0.2"/>
    <row r="27144" s="197" customFormat="1" ht="12.75" x14ac:dyDescent="0.2"/>
    <row r="27145" s="197" customFormat="1" ht="12.75" x14ac:dyDescent="0.2"/>
    <row r="27146" s="197" customFormat="1" ht="12.75" x14ac:dyDescent="0.2"/>
    <row r="27147" s="197" customFormat="1" ht="12.75" x14ac:dyDescent="0.2"/>
    <row r="27148" s="197" customFormat="1" ht="12.75" x14ac:dyDescent="0.2"/>
    <row r="27149" s="197" customFormat="1" ht="12.75" x14ac:dyDescent="0.2"/>
    <row r="27150" s="197" customFormat="1" ht="12.75" x14ac:dyDescent="0.2"/>
    <row r="27151" s="197" customFormat="1" ht="12.75" x14ac:dyDescent="0.2"/>
    <row r="27152" s="197" customFormat="1" ht="12.75" x14ac:dyDescent="0.2"/>
    <row r="27153" s="197" customFormat="1" ht="12.75" x14ac:dyDescent="0.2"/>
    <row r="27154" s="197" customFormat="1" ht="12.75" x14ac:dyDescent="0.2"/>
    <row r="27155" s="197" customFormat="1" ht="12.75" x14ac:dyDescent="0.2"/>
    <row r="27156" s="197" customFormat="1" ht="12.75" x14ac:dyDescent="0.2"/>
    <row r="27157" s="197" customFormat="1" ht="12.75" x14ac:dyDescent="0.2"/>
    <row r="27158" s="197" customFormat="1" ht="12.75" x14ac:dyDescent="0.2"/>
    <row r="27159" s="197" customFormat="1" ht="12.75" x14ac:dyDescent="0.2"/>
    <row r="27160" s="197" customFormat="1" ht="12.75" x14ac:dyDescent="0.2"/>
    <row r="27161" s="197" customFormat="1" ht="12.75" x14ac:dyDescent="0.2"/>
    <row r="27162" s="197" customFormat="1" ht="12.75" x14ac:dyDescent="0.2"/>
    <row r="27163" s="197" customFormat="1" ht="12.75" x14ac:dyDescent="0.2"/>
    <row r="27164" s="197" customFormat="1" ht="12.75" x14ac:dyDescent="0.2"/>
    <row r="27165" s="197" customFormat="1" ht="12.75" x14ac:dyDescent="0.2"/>
    <row r="27166" s="197" customFormat="1" ht="12.75" x14ac:dyDescent="0.2"/>
    <row r="27167" s="197" customFormat="1" ht="12.75" x14ac:dyDescent="0.2"/>
    <row r="27168" s="197" customFormat="1" ht="12.75" x14ac:dyDescent="0.2"/>
    <row r="27169" s="197" customFormat="1" ht="12.75" x14ac:dyDescent="0.2"/>
    <row r="27170" s="197" customFormat="1" ht="12.75" x14ac:dyDescent="0.2"/>
    <row r="27171" s="197" customFormat="1" ht="12.75" x14ac:dyDescent="0.2"/>
    <row r="27172" s="197" customFormat="1" ht="12.75" x14ac:dyDescent="0.2"/>
    <row r="27173" s="197" customFormat="1" ht="12.75" x14ac:dyDescent="0.2"/>
    <row r="27174" s="197" customFormat="1" ht="12.75" x14ac:dyDescent="0.2"/>
    <row r="27175" s="197" customFormat="1" ht="12.75" x14ac:dyDescent="0.2"/>
    <row r="27176" s="197" customFormat="1" ht="12.75" x14ac:dyDescent="0.2"/>
    <row r="27177" s="197" customFormat="1" ht="12.75" x14ac:dyDescent="0.2"/>
    <row r="27178" s="197" customFormat="1" ht="12.75" x14ac:dyDescent="0.2"/>
    <row r="27179" s="197" customFormat="1" ht="12.75" x14ac:dyDescent="0.2"/>
    <row r="27180" s="197" customFormat="1" ht="12.75" x14ac:dyDescent="0.2"/>
    <row r="27181" s="197" customFormat="1" ht="12.75" x14ac:dyDescent="0.2"/>
    <row r="27182" s="197" customFormat="1" ht="12.75" x14ac:dyDescent="0.2"/>
    <row r="27183" s="197" customFormat="1" ht="12.75" x14ac:dyDescent="0.2"/>
    <row r="27184" s="197" customFormat="1" ht="12.75" x14ac:dyDescent="0.2"/>
    <row r="27185" s="197" customFormat="1" ht="12.75" x14ac:dyDescent="0.2"/>
    <row r="27186" s="197" customFormat="1" ht="12.75" x14ac:dyDescent="0.2"/>
    <row r="27187" s="197" customFormat="1" ht="12.75" x14ac:dyDescent="0.2"/>
    <row r="27188" s="197" customFormat="1" ht="12.75" x14ac:dyDescent="0.2"/>
    <row r="27189" s="197" customFormat="1" ht="12.75" x14ac:dyDescent="0.2"/>
    <row r="27190" s="197" customFormat="1" ht="12.75" x14ac:dyDescent="0.2"/>
    <row r="27191" s="197" customFormat="1" ht="12.75" x14ac:dyDescent="0.2"/>
    <row r="27192" s="197" customFormat="1" ht="12.75" x14ac:dyDescent="0.2"/>
    <row r="27193" s="197" customFormat="1" ht="12.75" x14ac:dyDescent="0.2"/>
    <row r="27194" s="197" customFormat="1" ht="12.75" x14ac:dyDescent="0.2"/>
    <row r="27195" s="197" customFormat="1" ht="12.75" x14ac:dyDescent="0.2"/>
    <row r="27196" s="197" customFormat="1" ht="12.75" x14ac:dyDescent="0.2"/>
    <row r="27197" s="197" customFormat="1" ht="12.75" x14ac:dyDescent="0.2"/>
    <row r="27198" s="197" customFormat="1" ht="12.75" x14ac:dyDescent="0.2"/>
    <row r="27199" s="197" customFormat="1" ht="12.75" x14ac:dyDescent="0.2"/>
    <row r="27200" s="197" customFormat="1" ht="12.75" x14ac:dyDescent="0.2"/>
    <row r="27201" s="197" customFormat="1" ht="12.75" x14ac:dyDescent="0.2"/>
    <row r="27202" s="197" customFormat="1" ht="12.75" x14ac:dyDescent="0.2"/>
    <row r="27203" s="197" customFormat="1" ht="12.75" x14ac:dyDescent="0.2"/>
    <row r="27204" s="197" customFormat="1" ht="12.75" x14ac:dyDescent="0.2"/>
    <row r="27205" s="197" customFormat="1" ht="12.75" x14ac:dyDescent="0.2"/>
    <row r="27206" s="197" customFormat="1" ht="12.75" x14ac:dyDescent="0.2"/>
    <row r="27207" s="197" customFormat="1" ht="12.75" x14ac:dyDescent="0.2"/>
    <row r="27208" s="197" customFormat="1" ht="12.75" x14ac:dyDescent="0.2"/>
    <row r="27209" s="197" customFormat="1" ht="12.75" x14ac:dyDescent="0.2"/>
    <row r="27210" s="197" customFormat="1" ht="12.75" x14ac:dyDescent="0.2"/>
    <row r="27211" s="197" customFormat="1" ht="12.75" x14ac:dyDescent="0.2"/>
    <row r="27212" s="197" customFormat="1" ht="12.75" x14ac:dyDescent="0.2"/>
    <row r="27213" s="197" customFormat="1" ht="12.75" x14ac:dyDescent="0.2"/>
    <row r="27214" s="197" customFormat="1" ht="12.75" x14ac:dyDescent="0.2"/>
    <row r="27215" s="197" customFormat="1" ht="12.75" x14ac:dyDescent="0.2"/>
    <row r="27216" s="197" customFormat="1" ht="12.75" x14ac:dyDescent="0.2"/>
    <row r="27217" s="197" customFormat="1" ht="12.75" x14ac:dyDescent="0.2"/>
    <row r="27218" s="197" customFormat="1" ht="12.75" x14ac:dyDescent="0.2"/>
    <row r="27219" s="197" customFormat="1" ht="12.75" x14ac:dyDescent="0.2"/>
    <row r="27220" s="197" customFormat="1" ht="12.75" x14ac:dyDescent="0.2"/>
    <row r="27221" s="197" customFormat="1" ht="12.75" x14ac:dyDescent="0.2"/>
    <row r="27222" s="197" customFormat="1" ht="12.75" x14ac:dyDescent="0.2"/>
    <row r="27223" s="197" customFormat="1" ht="12.75" x14ac:dyDescent="0.2"/>
    <row r="27224" s="197" customFormat="1" ht="12.75" x14ac:dyDescent="0.2"/>
    <row r="27225" s="197" customFormat="1" ht="12.75" x14ac:dyDescent="0.2"/>
    <row r="27226" s="197" customFormat="1" ht="12.75" x14ac:dyDescent="0.2"/>
    <row r="27227" s="197" customFormat="1" ht="12.75" x14ac:dyDescent="0.2"/>
    <row r="27228" s="197" customFormat="1" ht="12.75" x14ac:dyDescent="0.2"/>
    <row r="27229" s="197" customFormat="1" ht="12.75" x14ac:dyDescent="0.2"/>
    <row r="27230" s="197" customFormat="1" ht="12.75" x14ac:dyDescent="0.2"/>
    <row r="27231" s="197" customFormat="1" ht="12.75" x14ac:dyDescent="0.2"/>
    <row r="27232" s="197" customFormat="1" ht="12.75" x14ac:dyDescent="0.2"/>
    <row r="27233" s="197" customFormat="1" ht="12.75" x14ac:dyDescent="0.2"/>
    <row r="27234" s="197" customFormat="1" ht="12.75" x14ac:dyDescent="0.2"/>
    <row r="27235" s="197" customFormat="1" ht="12.75" x14ac:dyDescent="0.2"/>
    <row r="27236" s="197" customFormat="1" ht="12.75" x14ac:dyDescent="0.2"/>
    <row r="27237" s="197" customFormat="1" ht="12.75" x14ac:dyDescent="0.2"/>
    <row r="27238" s="197" customFormat="1" ht="12.75" x14ac:dyDescent="0.2"/>
    <row r="27239" s="197" customFormat="1" ht="12.75" x14ac:dyDescent="0.2"/>
    <row r="27240" s="197" customFormat="1" ht="12.75" x14ac:dyDescent="0.2"/>
    <row r="27241" s="197" customFormat="1" ht="12.75" x14ac:dyDescent="0.2"/>
    <row r="27242" s="197" customFormat="1" ht="12.75" x14ac:dyDescent="0.2"/>
    <row r="27243" s="197" customFormat="1" ht="12.75" x14ac:dyDescent="0.2"/>
    <row r="27244" s="197" customFormat="1" ht="12.75" x14ac:dyDescent="0.2"/>
    <row r="27245" s="197" customFormat="1" ht="12.75" x14ac:dyDescent="0.2"/>
    <row r="27246" s="197" customFormat="1" ht="12.75" x14ac:dyDescent="0.2"/>
    <row r="27247" s="197" customFormat="1" ht="12.75" x14ac:dyDescent="0.2"/>
    <row r="27248" s="197" customFormat="1" ht="12.75" x14ac:dyDescent="0.2"/>
    <row r="27249" s="197" customFormat="1" ht="12.75" x14ac:dyDescent="0.2"/>
    <row r="27250" s="197" customFormat="1" ht="12.75" x14ac:dyDescent="0.2"/>
    <row r="27251" s="197" customFormat="1" ht="12.75" x14ac:dyDescent="0.2"/>
    <row r="27252" s="197" customFormat="1" ht="12.75" x14ac:dyDescent="0.2"/>
    <row r="27253" s="197" customFormat="1" ht="12.75" x14ac:dyDescent="0.2"/>
    <row r="27254" s="197" customFormat="1" ht="12.75" x14ac:dyDescent="0.2"/>
    <row r="27255" s="197" customFormat="1" ht="12.75" x14ac:dyDescent="0.2"/>
    <row r="27256" s="197" customFormat="1" ht="12.75" x14ac:dyDescent="0.2"/>
    <row r="27257" s="197" customFormat="1" ht="12.75" x14ac:dyDescent="0.2"/>
    <row r="27258" s="197" customFormat="1" ht="12.75" x14ac:dyDescent="0.2"/>
    <row r="27259" s="197" customFormat="1" ht="12.75" x14ac:dyDescent="0.2"/>
    <row r="27260" s="197" customFormat="1" ht="12.75" x14ac:dyDescent="0.2"/>
    <row r="27261" s="197" customFormat="1" ht="12.75" x14ac:dyDescent="0.2"/>
    <row r="27262" s="197" customFormat="1" ht="12.75" x14ac:dyDescent="0.2"/>
    <row r="27263" s="197" customFormat="1" ht="12.75" x14ac:dyDescent="0.2"/>
    <row r="27264" s="197" customFormat="1" ht="12.75" x14ac:dyDescent="0.2"/>
    <row r="27265" s="197" customFormat="1" ht="12.75" x14ac:dyDescent="0.2"/>
    <row r="27266" s="197" customFormat="1" ht="12.75" x14ac:dyDescent="0.2"/>
    <row r="27267" s="197" customFormat="1" ht="12.75" x14ac:dyDescent="0.2"/>
    <row r="27268" s="197" customFormat="1" ht="12.75" x14ac:dyDescent="0.2"/>
    <row r="27269" s="197" customFormat="1" ht="12.75" x14ac:dyDescent="0.2"/>
    <row r="27270" s="197" customFormat="1" ht="12.75" x14ac:dyDescent="0.2"/>
    <row r="27271" s="197" customFormat="1" ht="12.75" x14ac:dyDescent="0.2"/>
    <row r="27272" s="197" customFormat="1" ht="12.75" x14ac:dyDescent="0.2"/>
    <row r="27273" s="197" customFormat="1" ht="12.75" x14ac:dyDescent="0.2"/>
    <row r="27274" s="197" customFormat="1" ht="12.75" x14ac:dyDescent="0.2"/>
    <row r="27275" s="197" customFormat="1" ht="12.75" x14ac:dyDescent="0.2"/>
    <row r="27276" s="197" customFormat="1" ht="12.75" x14ac:dyDescent="0.2"/>
    <row r="27277" s="197" customFormat="1" ht="12.75" x14ac:dyDescent="0.2"/>
    <row r="27278" s="197" customFormat="1" ht="12.75" x14ac:dyDescent="0.2"/>
    <row r="27279" s="197" customFormat="1" ht="12.75" x14ac:dyDescent="0.2"/>
    <row r="27280" s="197" customFormat="1" ht="12.75" x14ac:dyDescent="0.2"/>
    <row r="27281" s="197" customFormat="1" ht="12.75" x14ac:dyDescent="0.2"/>
    <row r="27282" s="197" customFormat="1" ht="12.75" x14ac:dyDescent="0.2"/>
    <row r="27283" s="197" customFormat="1" ht="12.75" x14ac:dyDescent="0.2"/>
    <row r="27284" s="197" customFormat="1" ht="12.75" x14ac:dyDescent="0.2"/>
    <row r="27285" s="197" customFormat="1" ht="12.75" x14ac:dyDescent="0.2"/>
    <row r="27286" s="197" customFormat="1" ht="12.75" x14ac:dyDescent="0.2"/>
    <row r="27287" s="197" customFormat="1" ht="12.75" x14ac:dyDescent="0.2"/>
    <row r="27288" s="197" customFormat="1" ht="12.75" x14ac:dyDescent="0.2"/>
    <row r="27289" s="197" customFormat="1" ht="12.75" x14ac:dyDescent="0.2"/>
    <row r="27290" s="197" customFormat="1" ht="12.75" x14ac:dyDescent="0.2"/>
    <row r="27291" s="197" customFormat="1" ht="12.75" x14ac:dyDescent="0.2"/>
    <row r="27292" s="197" customFormat="1" ht="12.75" x14ac:dyDescent="0.2"/>
    <row r="27293" s="197" customFormat="1" ht="12.75" x14ac:dyDescent="0.2"/>
    <row r="27294" s="197" customFormat="1" ht="12.75" x14ac:dyDescent="0.2"/>
    <row r="27295" s="197" customFormat="1" ht="12.75" x14ac:dyDescent="0.2"/>
    <row r="27296" s="197" customFormat="1" ht="12.75" x14ac:dyDescent="0.2"/>
    <row r="27297" s="197" customFormat="1" ht="12.75" x14ac:dyDescent="0.2"/>
    <row r="27298" s="197" customFormat="1" ht="12.75" x14ac:dyDescent="0.2"/>
    <row r="27299" s="197" customFormat="1" ht="12.75" x14ac:dyDescent="0.2"/>
    <row r="27300" s="197" customFormat="1" ht="12.75" x14ac:dyDescent="0.2"/>
    <row r="27301" s="197" customFormat="1" ht="12.75" x14ac:dyDescent="0.2"/>
    <row r="27302" s="197" customFormat="1" ht="12.75" x14ac:dyDescent="0.2"/>
    <row r="27303" s="197" customFormat="1" ht="12.75" x14ac:dyDescent="0.2"/>
    <row r="27304" s="197" customFormat="1" ht="12.75" x14ac:dyDescent="0.2"/>
    <row r="27305" s="197" customFormat="1" ht="12.75" x14ac:dyDescent="0.2"/>
    <row r="27306" s="197" customFormat="1" ht="12.75" x14ac:dyDescent="0.2"/>
    <row r="27307" s="197" customFormat="1" ht="12.75" x14ac:dyDescent="0.2"/>
    <row r="27308" s="197" customFormat="1" ht="12.75" x14ac:dyDescent="0.2"/>
    <row r="27309" s="197" customFormat="1" ht="12.75" x14ac:dyDescent="0.2"/>
    <row r="27310" s="197" customFormat="1" ht="12.75" x14ac:dyDescent="0.2"/>
    <row r="27311" s="197" customFormat="1" ht="12.75" x14ac:dyDescent="0.2"/>
    <row r="27312" s="197" customFormat="1" ht="12.75" x14ac:dyDescent="0.2"/>
    <row r="27313" s="197" customFormat="1" ht="12.75" x14ac:dyDescent="0.2"/>
    <row r="27314" s="197" customFormat="1" ht="12.75" x14ac:dyDescent="0.2"/>
    <row r="27315" s="197" customFormat="1" ht="12.75" x14ac:dyDescent="0.2"/>
    <row r="27316" s="197" customFormat="1" ht="12.75" x14ac:dyDescent="0.2"/>
    <row r="27317" s="197" customFormat="1" ht="12.75" x14ac:dyDescent="0.2"/>
    <row r="27318" s="197" customFormat="1" ht="12.75" x14ac:dyDescent="0.2"/>
    <row r="27319" s="197" customFormat="1" ht="12.75" x14ac:dyDescent="0.2"/>
    <row r="27320" s="197" customFormat="1" ht="12.75" x14ac:dyDescent="0.2"/>
    <row r="27321" s="197" customFormat="1" ht="12.75" x14ac:dyDescent="0.2"/>
    <row r="27322" s="197" customFormat="1" ht="12.75" x14ac:dyDescent="0.2"/>
    <row r="27323" s="197" customFormat="1" ht="12.75" x14ac:dyDescent="0.2"/>
    <row r="27324" s="197" customFormat="1" ht="12.75" x14ac:dyDescent="0.2"/>
    <row r="27325" s="197" customFormat="1" ht="12.75" x14ac:dyDescent="0.2"/>
    <row r="27326" s="197" customFormat="1" ht="12.75" x14ac:dyDescent="0.2"/>
    <row r="27327" s="197" customFormat="1" ht="12.75" x14ac:dyDescent="0.2"/>
    <row r="27328" s="197" customFormat="1" ht="12.75" x14ac:dyDescent="0.2"/>
    <row r="27329" s="197" customFormat="1" ht="12.75" x14ac:dyDescent="0.2"/>
    <row r="27330" s="197" customFormat="1" ht="12.75" x14ac:dyDescent="0.2"/>
    <row r="27331" s="197" customFormat="1" ht="12.75" x14ac:dyDescent="0.2"/>
    <row r="27332" s="197" customFormat="1" ht="12.75" x14ac:dyDescent="0.2"/>
    <row r="27333" s="197" customFormat="1" ht="12.75" x14ac:dyDescent="0.2"/>
    <row r="27334" s="197" customFormat="1" ht="12.75" x14ac:dyDescent="0.2"/>
    <row r="27335" s="197" customFormat="1" ht="12.75" x14ac:dyDescent="0.2"/>
    <row r="27336" s="197" customFormat="1" ht="12.75" x14ac:dyDescent="0.2"/>
    <row r="27337" s="197" customFormat="1" ht="12.75" x14ac:dyDescent="0.2"/>
    <row r="27338" s="197" customFormat="1" ht="12.75" x14ac:dyDescent="0.2"/>
    <row r="27339" s="197" customFormat="1" ht="12.75" x14ac:dyDescent="0.2"/>
    <row r="27340" s="197" customFormat="1" ht="12.75" x14ac:dyDescent="0.2"/>
    <row r="27341" s="197" customFormat="1" ht="12.75" x14ac:dyDescent="0.2"/>
    <row r="27342" s="197" customFormat="1" ht="12.75" x14ac:dyDescent="0.2"/>
    <row r="27343" s="197" customFormat="1" ht="12.75" x14ac:dyDescent="0.2"/>
    <row r="27344" s="197" customFormat="1" ht="12.75" x14ac:dyDescent="0.2"/>
    <row r="27345" s="197" customFormat="1" ht="12.75" x14ac:dyDescent="0.2"/>
    <row r="27346" s="197" customFormat="1" ht="12.75" x14ac:dyDescent="0.2"/>
    <row r="27347" s="197" customFormat="1" ht="12.75" x14ac:dyDescent="0.2"/>
    <row r="27348" s="197" customFormat="1" ht="12.75" x14ac:dyDescent="0.2"/>
    <row r="27349" s="197" customFormat="1" ht="12.75" x14ac:dyDescent="0.2"/>
    <row r="27350" s="197" customFormat="1" ht="12.75" x14ac:dyDescent="0.2"/>
    <row r="27351" s="197" customFormat="1" ht="12.75" x14ac:dyDescent="0.2"/>
    <row r="27352" s="197" customFormat="1" ht="12.75" x14ac:dyDescent="0.2"/>
    <row r="27353" s="197" customFormat="1" ht="12.75" x14ac:dyDescent="0.2"/>
    <row r="27354" s="197" customFormat="1" ht="12.75" x14ac:dyDescent="0.2"/>
    <row r="27355" s="197" customFormat="1" ht="12.75" x14ac:dyDescent="0.2"/>
    <row r="27356" s="197" customFormat="1" ht="12.75" x14ac:dyDescent="0.2"/>
    <row r="27357" s="197" customFormat="1" ht="12.75" x14ac:dyDescent="0.2"/>
    <row r="27358" s="197" customFormat="1" ht="12.75" x14ac:dyDescent="0.2"/>
    <row r="27359" s="197" customFormat="1" ht="12.75" x14ac:dyDescent="0.2"/>
    <row r="27360" s="197" customFormat="1" ht="12.75" x14ac:dyDescent="0.2"/>
    <row r="27361" s="197" customFormat="1" ht="12.75" x14ac:dyDescent="0.2"/>
    <row r="27362" s="197" customFormat="1" ht="12.75" x14ac:dyDescent="0.2"/>
    <row r="27363" s="197" customFormat="1" ht="12.75" x14ac:dyDescent="0.2"/>
    <row r="27364" s="197" customFormat="1" ht="12.75" x14ac:dyDescent="0.2"/>
    <row r="27365" s="197" customFormat="1" ht="12.75" x14ac:dyDescent="0.2"/>
    <row r="27366" s="197" customFormat="1" ht="12.75" x14ac:dyDescent="0.2"/>
    <row r="27367" s="197" customFormat="1" ht="12.75" x14ac:dyDescent="0.2"/>
    <row r="27368" s="197" customFormat="1" ht="12.75" x14ac:dyDescent="0.2"/>
    <row r="27369" s="197" customFormat="1" ht="12.75" x14ac:dyDescent="0.2"/>
    <row r="27370" s="197" customFormat="1" ht="12.75" x14ac:dyDescent="0.2"/>
    <row r="27371" s="197" customFormat="1" ht="12.75" x14ac:dyDescent="0.2"/>
    <row r="27372" s="197" customFormat="1" ht="12.75" x14ac:dyDescent="0.2"/>
    <row r="27373" s="197" customFormat="1" ht="12.75" x14ac:dyDescent="0.2"/>
    <row r="27374" s="197" customFormat="1" ht="12.75" x14ac:dyDescent="0.2"/>
    <row r="27375" s="197" customFormat="1" ht="12.75" x14ac:dyDescent="0.2"/>
    <row r="27376" s="197" customFormat="1" ht="12.75" x14ac:dyDescent="0.2"/>
    <row r="27377" s="197" customFormat="1" ht="12.75" x14ac:dyDescent="0.2"/>
    <row r="27378" s="197" customFormat="1" ht="12.75" x14ac:dyDescent="0.2"/>
    <row r="27379" s="197" customFormat="1" ht="12.75" x14ac:dyDescent="0.2"/>
    <row r="27380" s="197" customFormat="1" ht="12.75" x14ac:dyDescent="0.2"/>
    <row r="27381" s="197" customFormat="1" ht="12.75" x14ac:dyDescent="0.2"/>
    <row r="27382" s="197" customFormat="1" ht="12.75" x14ac:dyDescent="0.2"/>
    <row r="27383" s="197" customFormat="1" ht="12.75" x14ac:dyDescent="0.2"/>
    <row r="27384" s="197" customFormat="1" ht="12.75" x14ac:dyDescent="0.2"/>
    <row r="27385" s="197" customFormat="1" ht="12.75" x14ac:dyDescent="0.2"/>
    <row r="27386" s="197" customFormat="1" ht="12.75" x14ac:dyDescent="0.2"/>
    <row r="27387" s="197" customFormat="1" ht="12.75" x14ac:dyDescent="0.2"/>
    <row r="27388" s="197" customFormat="1" ht="12.75" x14ac:dyDescent="0.2"/>
    <row r="27389" s="197" customFormat="1" ht="12.75" x14ac:dyDescent="0.2"/>
    <row r="27390" s="197" customFormat="1" ht="12.75" x14ac:dyDescent="0.2"/>
    <row r="27391" s="197" customFormat="1" ht="12.75" x14ac:dyDescent="0.2"/>
    <row r="27392" s="197" customFormat="1" ht="12.75" x14ac:dyDescent="0.2"/>
    <row r="27393" s="197" customFormat="1" ht="12.75" x14ac:dyDescent="0.2"/>
    <row r="27394" s="197" customFormat="1" ht="12.75" x14ac:dyDescent="0.2"/>
    <row r="27395" s="197" customFormat="1" ht="12.75" x14ac:dyDescent="0.2"/>
    <row r="27396" s="197" customFormat="1" ht="12.75" x14ac:dyDescent="0.2"/>
    <row r="27397" s="197" customFormat="1" ht="12.75" x14ac:dyDescent="0.2"/>
    <row r="27398" s="197" customFormat="1" ht="12.75" x14ac:dyDescent="0.2"/>
    <row r="27399" s="197" customFormat="1" ht="12.75" x14ac:dyDescent="0.2"/>
    <row r="27400" s="197" customFormat="1" ht="12.75" x14ac:dyDescent="0.2"/>
    <row r="27401" s="197" customFormat="1" ht="12.75" x14ac:dyDescent="0.2"/>
    <row r="27402" s="197" customFormat="1" ht="12.75" x14ac:dyDescent="0.2"/>
    <row r="27403" s="197" customFormat="1" ht="12.75" x14ac:dyDescent="0.2"/>
    <row r="27404" s="197" customFormat="1" ht="12.75" x14ac:dyDescent="0.2"/>
    <row r="27405" s="197" customFormat="1" ht="12.75" x14ac:dyDescent="0.2"/>
    <row r="27406" s="197" customFormat="1" ht="12.75" x14ac:dyDescent="0.2"/>
    <row r="27407" s="197" customFormat="1" ht="12.75" x14ac:dyDescent="0.2"/>
    <row r="27408" s="197" customFormat="1" ht="12.75" x14ac:dyDescent="0.2"/>
    <row r="27409" s="197" customFormat="1" ht="12.75" x14ac:dyDescent="0.2"/>
    <row r="27410" s="197" customFormat="1" ht="12.75" x14ac:dyDescent="0.2"/>
    <row r="27411" s="197" customFormat="1" ht="12.75" x14ac:dyDescent="0.2"/>
    <row r="27412" s="197" customFormat="1" ht="12.75" x14ac:dyDescent="0.2"/>
    <row r="27413" s="197" customFormat="1" ht="12.75" x14ac:dyDescent="0.2"/>
    <row r="27414" s="197" customFormat="1" ht="12.75" x14ac:dyDescent="0.2"/>
    <row r="27415" s="197" customFormat="1" ht="12.75" x14ac:dyDescent="0.2"/>
    <row r="27416" s="197" customFormat="1" ht="12.75" x14ac:dyDescent="0.2"/>
    <row r="27417" s="197" customFormat="1" ht="12.75" x14ac:dyDescent="0.2"/>
    <row r="27418" s="197" customFormat="1" ht="12.75" x14ac:dyDescent="0.2"/>
    <row r="27419" s="197" customFormat="1" ht="12.75" x14ac:dyDescent="0.2"/>
    <row r="27420" s="197" customFormat="1" ht="12.75" x14ac:dyDescent="0.2"/>
    <row r="27421" s="197" customFormat="1" ht="12.75" x14ac:dyDescent="0.2"/>
    <row r="27422" s="197" customFormat="1" ht="12.75" x14ac:dyDescent="0.2"/>
    <row r="27423" s="197" customFormat="1" ht="12.75" x14ac:dyDescent="0.2"/>
    <row r="27424" s="197" customFormat="1" ht="12.75" x14ac:dyDescent="0.2"/>
    <row r="27425" s="197" customFormat="1" ht="12.75" x14ac:dyDescent="0.2"/>
    <row r="27426" s="197" customFormat="1" ht="12.75" x14ac:dyDescent="0.2"/>
    <row r="27427" s="197" customFormat="1" ht="12.75" x14ac:dyDescent="0.2"/>
    <row r="27428" s="197" customFormat="1" ht="12.75" x14ac:dyDescent="0.2"/>
    <row r="27429" s="197" customFormat="1" ht="12.75" x14ac:dyDescent="0.2"/>
    <row r="27430" s="197" customFormat="1" ht="12.75" x14ac:dyDescent="0.2"/>
    <row r="27431" s="197" customFormat="1" ht="12.75" x14ac:dyDescent="0.2"/>
    <row r="27432" s="197" customFormat="1" ht="12.75" x14ac:dyDescent="0.2"/>
    <row r="27433" s="197" customFormat="1" ht="12.75" x14ac:dyDescent="0.2"/>
    <row r="27434" s="197" customFormat="1" ht="12.75" x14ac:dyDescent="0.2"/>
    <row r="27435" s="197" customFormat="1" ht="12.75" x14ac:dyDescent="0.2"/>
    <row r="27436" s="197" customFormat="1" ht="12.75" x14ac:dyDescent="0.2"/>
    <row r="27437" s="197" customFormat="1" ht="12.75" x14ac:dyDescent="0.2"/>
    <row r="27438" s="197" customFormat="1" ht="12.75" x14ac:dyDescent="0.2"/>
    <row r="27439" s="197" customFormat="1" ht="12.75" x14ac:dyDescent="0.2"/>
    <row r="27440" s="197" customFormat="1" ht="12.75" x14ac:dyDescent="0.2"/>
    <row r="27441" s="197" customFormat="1" ht="12.75" x14ac:dyDescent="0.2"/>
    <row r="27442" s="197" customFormat="1" ht="12.75" x14ac:dyDescent="0.2"/>
    <row r="27443" s="197" customFormat="1" ht="12.75" x14ac:dyDescent="0.2"/>
    <row r="27444" s="197" customFormat="1" ht="12.75" x14ac:dyDescent="0.2"/>
    <row r="27445" s="197" customFormat="1" ht="12.75" x14ac:dyDescent="0.2"/>
    <row r="27446" s="197" customFormat="1" ht="12.75" x14ac:dyDescent="0.2"/>
    <row r="27447" s="197" customFormat="1" ht="12.75" x14ac:dyDescent="0.2"/>
    <row r="27448" s="197" customFormat="1" ht="12.75" x14ac:dyDescent="0.2"/>
    <row r="27449" s="197" customFormat="1" ht="12.75" x14ac:dyDescent="0.2"/>
    <row r="27450" s="197" customFormat="1" ht="12.75" x14ac:dyDescent="0.2"/>
    <row r="27451" s="197" customFormat="1" ht="12.75" x14ac:dyDescent="0.2"/>
    <row r="27452" s="197" customFormat="1" ht="12.75" x14ac:dyDescent="0.2"/>
    <row r="27453" s="197" customFormat="1" ht="12.75" x14ac:dyDescent="0.2"/>
    <row r="27454" s="197" customFormat="1" ht="12.75" x14ac:dyDescent="0.2"/>
    <row r="27455" s="197" customFormat="1" ht="12.75" x14ac:dyDescent="0.2"/>
    <row r="27456" s="197" customFormat="1" ht="12.75" x14ac:dyDescent="0.2"/>
    <row r="27457" s="197" customFormat="1" ht="12.75" x14ac:dyDescent="0.2"/>
    <row r="27458" s="197" customFormat="1" ht="12.75" x14ac:dyDescent="0.2"/>
    <row r="27459" s="197" customFormat="1" ht="12.75" x14ac:dyDescent="0.2"/>
    <row r="27460" s="197" customFormat="1" ht="12.75" x14ac:dyDescent="0.2"/>
    <row r="27461" s="197" customFormat="1" ht="12.75" x14ac:dyDescent="0.2"/>
    <row r="27462" s="197" customFormat="1" ht="12.75" x14ac:dyDescent="0.2"/>
    <row r="27463" s="197" customFormat="1" ht="12.75" x14ac:dyDescent="0.2"/>
    <row r="27464" s="197" customFormat="1" ht="12.75" x14ac:dyDescent="0.2"/>
    <row r="27465" s="197" customFormat="1" ht="12.75" x14ac:dyDescent="0.2"/>
    <row r="27466" s="197" customFormat="1" ht="12.75" x14ac:dyDescent="0.2"/>
    <row r="27467" s="197" customFormat="1" ht="12.75" x14ac:dyDescent="0.2"/>
    <row r="27468" s="197" customFormat="1" ht="12.75" x14ac:dyDescent="0.2"/>
    <row r="27469" s="197" customFormat="1" ht="12.75" x14ac:dyDescent="0.2"/>
    <row r="27470" s="197" customFormat="1" ht="12.75" x14ac:dyDescent="0.2"/>
    <row r="27471" s="197" customFormat="1" ht="12.75" x14ac:dyDescent="0.2"/>
    <row r="27472" s="197" customFormat="1" ht="12.75" x14ac:dyDescent="0.2"/>
    <row r="27473" s="197" customFormat="1" ht="12.75" x14ac:dyDescent="0.2"/>
    <row r="27474" s="197" customFormat="1" ht="12.75" x14ac:dyDescent="0.2"/>
    <row r="27475" s="197" customFormat="1" ht="12.75" x14ac:dyDescent="0.2"/>
    <row r="27476" s="197" customFormat="1" ht="12.75" x14ac:dyDescent="0.2"/>
    <row r="27477" s="197" customFormat="1" ht="12.75" x14ac:dyDescent="0.2"/>
    <row r="27478" s="197" customFormat="1" ht="12.75" x14ac:dyDescent="0.2"/>
    <row r="27479" s="197" customFormat="1" ht="12.75" x14ac:dyDescent="0.2"/>
    <row r="27480" s="197" customFormat="1" ht="12.75" x14ac:dyDescent="0.2"/>
    <row r="27481" s="197" customFormat="1" ht="12.75" x14ac:dyDescent="0.2"/>
    <row r="27482" s="197" customFormat="1" ht="12.75" x14ac:dyDescent="0.2"/>
    <row r="27483" s="197" customFormat="1" ht="12.75" x14ac:dyDescent="0.2"/>
    <row r="27484" s="197" customFormat="1" ht="12.75" x14ac:dyDescent="0.2"/>
    <row r="27485" s="197" customFormat="1" ht="12.75" x14ac:dyDescent="0.2"/>
    <row r="27486" s="197" customFormat="1" ht="12.75" x14ac:dyDescent="0.2"/>
    <row r="27487" s="197" customFormat="1" ht="12.75" x14ac:dyDescent="0.2"/>
    <row r="27488" s="197" customFormat="1" ht="12.75" x14ac:dyDescent="0.2"/>
    <row r="27489" s="197" customFormat="1" ht="12.75" x14ac:dyDescent="0.2"/>
    <row r="27490" s="197" customFormat="1" ht="12.75" x14ac:dyDescent="0.2"/>
    <row r="27491" s="197" customFormat="1" ht="12.75" x14ac:dyDescent="0.2"/>
    <row r="27492" s="197" customFormat="1" ht="12.75" x14ac:dyDescent="0.2"/>
    <row r="27493" s="197" customFormat="1" ht="12.75" x14ac:dyDescent="0.2"/>
    <row r="27494" s="197" customFormat="1" ht="12.75" x14ac:dyDescent="0.2"/>
    <row r="27495" s="197" customFormat="1" ht="12.75" x14ac:dyDescent="0.2"/>
    <row r="27496" s="197" customFormat="1" ht="12.75" x14ac:dyDescent="0.2"/>
    <row r="27497" s="197" customFormat="1" ht="12.75" x14ac:dyDescent="0.2"/>
    <row r="27498" s="197" customFormat="1" ht="12.75" x14ac:dyDescent="0.2"/>
    <row r="27499" s="197" customFormat="1" ht="12.75" x14ac:dyDescent="0.2"/>
    <row r="27500" s="197" customFormat="1" ht="12.75" x14ac:dyDescent="0.2"/>
    <row r="27501" s="197" customFormat="1" ht="12.75" x14ac:dyDescent="0.2"/>
    <row r="27502" s="197" customFormat="1" ht="12.75" x14ac:dyDescent="0.2"/>
    <row r="27503" s="197" customFormat="1" ht="12.75" x14ac:dyDescent="0.2"/>
    <row r="27504" s="197" customFormat="1" ht="12.75" x14ac:dyDescent="0.2"/>
    <row r="27505" s="197" customFormat="1" ht="12.75" x14ac:dyDescent="0.2"/>
    <row r="27506" s="197" customFormat="1" ht="12.75" x14ac:dyDescent="0.2"/>
    <row r="27507" s="197" customFormat="1" ht="12.75" x14ac:dyDescent="0.2"/>
    <row r="27508" s="197" customFormat="1" ht="12.75" x14ac:dyDescent="0.2"/>
    <row r="27509" s="197" customFormat="1" ht="12.75" x14ac:dyDescent="0.2"/>
    <row r="27510" s="197" customFormat="1" ht="12.75" x14ac:dyDescent="0.2"/>
    <row r="27511" s="197" customFormat="1" ht="12.75" x14ac:dyDescent="0.2"/>
    <row r="27512" s="197" customFormat="1" ht="12.75" x14ac:dyDescent="0.2"/>
    <row r="27513" s="197" customFormat="1" ht="12.75" x14ac:dyDescent="0.2"/>
    <row r="27514" s="197" customFormat="1" ht="12.75" x14ac:dyDescent="0.2"/>
    <row r="27515" s="197" customFormat="1" ht="12.75" x14ac:dyDescent="0.2"/>
    <row r="27516" s="197" customFormat="1" ht="12.75" x14ac:dyDescent="0.2"/>
    <row r="27517" s="197" customFormat="1" ht="12.75" x14ac:dyDescent="0.2"/>
    <row r="27518" s="197" customFormat="1" ht="12.75" x14ac:dyDescent="0.2"/>
    <row r="27519" s="197" customFormat="1" ht="12.75" x14ac:dyDescent="0.2"/>
    <row r="27520" s="197" customFormat="1" ht="12.75" x14ac:dyDescent="0.2"/>
    <row r="27521" s="197" customFormat="1" ht="12.75" x14ac:dyDescent="0.2"/>
    <row r="27522" s="197" customFormat="1" ht="12.75" x14ac:dyDescent="0.2"/>
    <row r="27523" s="197" customFormat="1" ht="12.75" x14ac:dyDescent="0.2"/>
    <row r="27524" s="197" customFormat="1" ht="12.75" x14ac:dyDescent="0.2"/>
    <row r="27525" s="197" customFormat="1" ht="12.75" x14ac:dyDescent="0.2"/>
    <row r="27526" s="197" customFormat="1" ht="12.75" x14ac:dyDescent="0.2"/>
    <row r="27527" s="197" customFormat="1" ht="12.75" x14ac:dyDescent="0.2"/>
    <row r="27528" s="197" customFormat="1" ht="12.75" x14ac:dyDescent="0.2"/>
    <row r="27529" s="197" customFormat="1" ht="12.75" x14ac:dyDescent="0.2"/>
    <row r="27530" s="197" customFormat="1" ht="12.75" x14ac:dyDescent="0.2"/>
    <row r="27531" s="197" customFormat="1" ht="12.75" x14ac:dyDescent="0.2"/>
    <row r="27532" s="197" customFormat="1" ht="12.75" x14ac:dyDescent="0.2"/>
    <row r="27533" s="197" customFormat="1" ht="12.75" x14ac:dyDescent="0.2"/>
    <row r="27534" s="197" customFormat="1" ht="12.75" x14ac:dyDescent="0.2"/>
    <row r="27535" s="197" customFormat="1" ht="12.75" x14ac:dyDescent="0.2"/>
    <row r="27536" s="197" customFormat="1" ht="12.75" x14ac:dyDescent="0.2"/>
    <row r="27537" s="197" customFormat="1" ht="12.75" x14ac:dyDescent="0.2"/>
    <row r="27538" s="197" customFormat="1" ht="12.75" x14ac:dyDescent="0.2"/>
    <row r="27539" s="197" customFormat="1" ht="12.75" x14ac:dyDescent="0.2"/>
    <row r="27540" s="197" customFormat="1" ht="12.75" x14ac:dyDescent="0.2"/>
    <row r="27541" s="197" customFormat="1" ht="12.75" x14ac:dyDescent="0.2"/>
    <row r="27542" s="197" customFormat="1" ht="12.75" x14ac:dyDescent="0.2"/>
    <row r="27543" s="197" customFormat="1" ht="12.75" x14ac:dyDescent="0.2"/>
    <row r="27544" s="197" customFormat="1" ht="12.75" x14ac:dyDescent="0.2"/>
    <row r="27545" s="197" customFormat="1" ht="12.75" x14ac:dyDescent="0.2"/>
    <row r="27546" s="197" customFormat="1" ht="12.75" x14ac:dyDescent="0.2"/>
    <row r="27547" s="197" customFormat="1" ht="12.75" x14ac:dyDescent="0.2"/>
    <row r="27548" s="197" customFormat="1" ht="12.75" x14ac:dyDescent="0.2"/>
    <row r="27549" s="197" customFormat="1" ht="12.75" x14ac:dyDescent="0.2"/>
    <row r="27550" s="197" customFormat="1" ht="12.75" x14ac:dyDescent="0.2"/>
    <row r="27551" s="197" customFormat="1" ht="12.75" x14ac:dyDescent="0.2"/>
    <row r="27552" s="197" customFormat="1" ht="12.75" x14ac:dyDescent="0.2"/>
    <row r="27553" s="197" customFormat="1" ht="12.75" x14ac:dyDescent="0.2"/>
    <row r="27554" s="197" customFormat="1" ht="12.75" x14ac:dyDescent="0.2"/>
    <row r="27555" s="197" customFormat="1" ht="12.75" x14ac:dyDescent="0.2"/>
    <row r="27556" s="197" customFormat="1" ht="12.75" x14ac:dyDescent="0.2"/>
    <row r="27557" s="197" customFormat="1" ht="12.75" x14ac:dyDescent="0.2"/>
    <row r="27558" s="197" customFormat="1" ht="12.75" x14ac:dyDescent="0.2"/>
    <row r="27559" s="197" customFormat="1" ht="12.75" x14ac:dyDescent="0.2"/>
    <row r="27560" s="197" customFormat="1" ht="12.75" x14ac:dyDescent="0.2"/>
    <row r="27561" s="197" customFormat="1" ht="12.75" x14ac:dyDescent="0.2"/>
    <row r="27562" s="197" customFormat="1" ht="12.75" x14ac:dyDescent="0.2"/>
    <row r="27563" s="197" customFormat="1" ht="12.75" x14ac:dyDescent="0.2"/>
    <row r="27564" s="197" customFormat="1" ht="12.75" x14ac:dyDescent="0.2"/>
    <row r="27565" s="197" customFormat="1" ht="12.75" x14ac:dyDescent="0.2"/>
    <row r="27566" s="197" customFormat="1" ht="12.75" x14ac:dyDescent="0.2"/>
    <row r="27567" s="197" customFormat="1" ht="12.75" x14ac:dyDescent="0.2"/>
    <row r="27568" s="197" customFormat="1" ht="12.75" x14ac:dyDescent="0.2"/>
    <row r="27569" s="197" customFormat="1" ht="12.75" x14ac:dyDescent="0.2"/>
    <row r="27570" s="197" customFormat="1" ht="12.75" x14ac:dyDescent="0.2"/>
    <row r="27571" s="197" customFormat="1" ht="12.75" x14ac:dyDescent="0.2"/>
    <row r="27572" s="197" customFormat="1" ht="12.75" x14ac:dyDescent="0.2"/>
    <row r="27573" s="197" customFormat="1" ht="12.75" x14ac:dyDescent="0.2"/>
    <row r="27574" s="197" customFormat="1" ht="12.75" x14ac:dyDescent="0.2"/>
    <row r="27575" s="197" customFormat="1" ht="12.75" x14ac:dyDescent="0.2"/>
    <row r="27576" s="197" customFormat="1" ht="12.75" x14ac:dyDescent="0.2"/>
    <row r="27577" s="197" customFormat="1" ht="12.75" x14ac:dyDescent="0.2"/>
    <row r="27578" s="197" customFormat="1" ht="12.75" x14ac:dyDescent="0.2"/>
    <row r="27579" s="197" customFormat="1" ht="12.75" x14ac:dyDescent="0.2"/>
    <row r="27580" s="197" customFormat="1" ht="12.75" x14ac:dyDescent="0.2"/>
    <row r="27581" s="197" customFormat="1" ht="12.75" x14ac:dyDescent="0.2"/>
    <row r="27582" s="197" customFormat="1" ht="12.75" x14ac:dyDescent="0.2"/>
    <row r="27583" s="197" customFormat="1" ht="12.75" x14ac:dyDescent="0.2"/>
    <row r="27584" s="197" customFormat="1" ht="12.75" x14ac:dyDescent="0.2"/>
    <row r="27585" s="197" customFormat="1" ht="12.75" x14ac:dyDescent="0.2"/>
    <row r="27586" s="197" customFormat="1" ht="12.75" x14ac:dyDescent="0.2"/>
    <row r="27587" s="197" customFormat="1" ht="12.75" x14ac:dyDescent="0.2"/>
    <row r="27588" s="197" customFormat="1" ht="12.75" x14ac:dyDescent="0.2"/>
    <row r="27589" s="197" customFormat="1" ht="12.75" x14ac:dyDescent="0.2"/>
    <row r="27590" s="197" customFormat="1" ht="12.75" x14ac:dyDescent="0.2"/>
    <row r="27591" s="197" customFormat="1" ht="12.75" x14ac:dyDescent="0.2"/>
    <row r="27592" s="197" customFormat="1" ht="12.75" x14ac:dyDescent="0.2"/>
    <row r="27593" s="197" customFormat="1" ht="12.75" x14ac:dyDescent="0.2"/>
    <row r="27594" s="197" customFormat="1" ht="12.75" x14ac:dyDescent="0.2"/>
    <row r="27595" s="197" customFormat="1" ht="12.75" x14ac:dyDescent="0.2"/>
    <row r="27596" s="197" customFormat="1" ht="12.75" x14ac:dyDescent="0.2"/>
    <row r="27597" s="197" customFormat="1" ht="12.75" x14ac:dyDescent="0.2"/>
    <row r="27598" s="197" customFormat="1" ht="12.75" x14ac:dyDescent="0.2"/>
    <row r="27599" s="197" customFormat="1" ht="12.75" x14ac:dyDescent="0.2"/>
    <row r="27600" s="197" customFormat="1" ht="12.75" x14ac:dyDescent="0.2"/>
    <row r="27601" s="197" customFormat="1" ht="12.75" x14ac:dyDescent="0.2"/>
    <row r="27602" s="197" customFormat="1" ht="12.75" x14ac:dyDescent="0.2"/>
    <row r="27603" s="197" customFormat="1" ht="12.75" x14ac:dyDescent="0.2"/>
    <row r="27604" s="197" customFormat="1" ht="12.75" x14ac:dyDescent="0.2"/>
    <row r="27605" s="197" customFormat="1" ht="12.75" x14ac:dyDescent="0.2"/>
    <row r="27606" s="197" customFormat="1" ht="12.75" x14ac:dyDescent="0.2"/>
    <row r="27607" s="197" customFormat="1" ht="12.75" x14ac:dyDescent="0.2"/>
    <row r="27608" s="197" customFormat="1" ht="12.75" x14ac:dyDescent="0.2"/>
    <row r="27609" s="197" customFormat="1" ht="12.75" x14ac:dyDescent="0.2"/>
    <row r="27610" s="197" customFormat="1" ht="12.75" x14ac:dyDescent="0.2"/>
    <row r="27611" s="197" customFormat="1" ht="12.75" x14ac:dyDescent="0.2"/>
    <row r="27612" s="197" customFormat="1" ht="12.75" x14ac:dyDescent="0.2"/>
    <row r="27613" s="197" customFormat="1" ht="12.75" x14ac:dyDescent="0.2"/>
    <row r="27614" s="197" customFormat="1" ht="12.75" x14ac:dyDescent="0.2"/>
    <row r="27615" s="197" customFormat="1" ht="12.75" x14ac:dyDescent="0.2"/>
    <row r="27616" s="197" customFormat="1" ht="12.75" x14ac:dyDescent="0.2"/>
    <row r="27617" s="197" customFormat="1" ht="12.75" x14ac:dyDescent="0.2"/>
    <row r="27618" s="197" customFormat="1" ht="12.75" x14ac:dyDescent="0.2"/>
    <row r="27619" s="197" customFormat="1" ht="12.75" x14ac:dyDescent="0.2"/>
    <row r="27620" s="197" customFormat="1" ht="12.75" x14ac:dyDescent="0.2"/>
    <row r="27621" s="197" customFormat="1" ht="12.75" x14ac:dyDescent="0.2"/>
    <row r="27622" s="197" customFormat="1" ht="12.75" x14ac:dyDescent="0.2"/>
    <row r="27623" s="197" customFormat="1" ht="12.75" x14ac:dyDescent="0.2"/>
    <row r="27624" s="197" customFormat="1" ht="12.75" x14ac:dyDescent="0.2"/>
    <row r="27625" s="197" customFormat="1" ht="12.75" x14ac:dyDescent="0.2"/>
    <row r="27626" s="197" customFormat="1" ht="12.75" x14ac:dyDescent="0.2"/>
    <row r="27627" s="197" customFormat="1" ht="12.75" x14ac:dyDescent="0.2"/>
    <row r="27628" s="197" customFormat="1" ht="12.75" x14ac:dyDescent="0.2"/>
    <row r="27629" s="197" customFormat="1" ht="12.75" x14ac:dyDescent="0.2"/>
    <row r="27630" s="197" customFormat="1" ht="12.75" x14ac:dyDescent="0.2"/>
    <row r="27631" s="197" customFormat="1" ht="12.75" x14ac:dyDescent="0.2"/>
    <row r="27632" s="197" customFormat="1" ht="12.75" x14ac:dyDescent="0.2"/>
    <row r="27633" s="197" customFormat="1" ht="12.75" x14ac:dyDescent="0.2"/>
    <row r="27634" s="197" customFormat="1" ht="12.75" x14ac:dyDescent="0.2"/>
    <row r="27635" s="197" customFormat="1" ht="12.75" x14ac:dyDescent="0.2"/>
    <row r="27636" s="197" customFormat="1" ht="12.75" x14ac:dyDescent="0.2"/>
    <row r="27637" s="197" customFormat="1" ht="12.75" x14ac:dyDescent="0.2"/>
    <row r="27638" s="197" customFormat="1" ht="12.75" x14ac:dyDescent="0.2"/>
    <row r="27639" s="197" customFormat="1" ht="12.75" x14ac:dyDescent="0.2"/>
    <row r="27640" s="197" customFormat="1" ht="12.75" x14ac:dyDescent="0.2"/>
    <row r="27641" s="197" customFormat="1" ht="12.75" x14ac:dyDescent="0.2"/>
    <row r="27642" s="197" customFormat="1" ht="12.75" x14ac:dyDescent="0.2"/>
    <row r="27643" s="197" customFormat="1" ht="12.75" x14ac:dyDescent="0.2"/>
    <row r="27644" s="197" customFormat="1" ht="12.75" x14ac:dyDescent="0.2"/>
    <row r="27645" s="197" customFormat="1" ht="12.75" x14ac:dyDescent="0.2"/>
    <row r="27646" s="197" customFormat="1" ht="12.75" x14ac:dyDescent="0.2"/>
    <row r="27647" s="197" customFormat="1" ht="12.75" x14ac:dyDescent="0.2"/>
    <row r="27648" s="197" customFormat="1" ht="12.75" x14ac:dyDescent="0.2"/>
    <row r="27649" s="197" customFormat="1" ht="12.75" x14ac:dyDescent="0.2"/>
    <row r="27650" s="197" customFormat="1" ht="12.75" x14ac:dyDescent="0.2"/>
    <row r="27651" s="197" customFormat="1" ht="12.75" x14ac:dyDescent="0.2"/>
    <row r="27652" s="197" customFormat="1" ht="12.75" x14ac:dyDescent="0.2"/>
    <row r="27653" s="197" customFormat="1" ht="12.75" x14ac:dyDescent="0.2"/>
    <row r="27654" s="197" customFormat="1" ht="12.75" x14ac:dyDescent="0.2"/>
    <row r="27655" s="197" customFormat="1" ht="12.75" x14ac:dyDescent="0.2"/>
    <row r="27656" s="197" customFormat="1" ht="12.75" x14ac:dyDescent="0.2"/>
    <row r="27657" s="197" customFormat="1" ht="12.75" x14ac:dyDescent="0.2"/>
    <row r="27658" s="197" customFormat="1" ht="12.75" x14ac:dyDescent="0.2"/>
    <row r="27659" s="197" customFormat="1" ht="12.75" x14ac:dyDescent="0.2"/>
    <row r="27660" s="197" customFormat="1" ht="12.75" x14ac:dyDescent="0.2"/>
    <row r="27661" s="197" customFormat="1" ht="12.75" x14ac:dyDescent="0.2"/>
    <row r="27662" s="197" customFormat="1" ht="12.75" x14ac:dyDescent="0.2"/>
    <row r="27663" s="197" customFormat="1" ht="12.75" x14ac:dyDescent="0.2"/>
    <row r="27664" s="197" customFormat="1" ht="12.75" x14ac:dyDescent="0.2"/>
    <row r="27665" s="197" customFormat="1" ht="12.75" x14ac:dyDescent="0.2"/>
    <row r="27666" s="197" customFormat="1" ht="12.75" x14ac:dyDescent="0.2"/>
    <row r="27667" s="197" customFormat="1" ht="12.75" x14ac:dyDescent="0.2"/>
    <row r="27668" s="197" customFormat="1" ht="12.75" x14ac:dyDescent="0.2"/>
    <row r="27669" s="197" customFormat="1" ht="12.75" x14ac:dyDescent="0.2"/>
    <row r="27670" s="197" customFormat="1" ht="12.75" x14ac:dyDescent="0.2"/>
    <row r="27671" s="197" customFormat="1" ht="12.75" x14ac:dyDescent="0.2"/>
    <row r="27672" s="197" customFormat="1" ht="12.75" x14ac:dyDescent="0.2"/>
    <row r="27673" s="197" customFormat="1" ht="12.75" x14ac:dyDescent="0.2"/>
    <row r="27674" s="197" customFormat="1" ht="12.75" x14ac:dyDescent="0.2"/>
    <row r="27675" s="197" customFormat="1" ht="12.75" x14ac:dyDescent="0.2"/>
    <row r="27676" s="197" customFormat="1" ht="12.75" x14ac:dyDescent="0.2"/>
    <row r="27677" s="197" customFormat="1" ht="12.75" x14ac:dyDescent="0.2"/>
    <row r="27678" s="197" customFormat="1" ht="12.75" x14ac:dyDescent="0.2"/>
    <row r="27679" s="197" customFormat="1" ht="12.75" x14ac:dyDescent="0.2"/>
    <row r="27680" s="197" customFormat="1" ht="12.75" x14ac:dyDescent="0.2"/>
    <row r="27681" s="197" customFormat="1" ht="12.75" x14ac:dyDescent="0.2"/>
    <row r="27682" s="197" customFormat="1" ht="12.75" x14ac:dyDescent="0.2"/>
    <row r="27683" s="197" customFormat="1" ht="12.75" x14ac:dyDescent="0.2"/>
    <row r="27684" s="197" customFormat="1" ht="12.75" x14ac:dyDescent="0.2"/>
    <row r="27685" s="197" customFormat="1" ht="12.75" x14ac:dyDescent="0.2"/>
    <row r="27686" s="197" customFormat="1" ht="12.75" x14ac:dyDescent="0.2"/>
    <row r="27687" s="197" customFormat="1" ht="12.75" x14ac:dyDescent="0.2"/>
    <row r="27688" s="197" customFormat="1" ht="12.75" x14ac:dyDescent="0.2"/>
    <row r="27689" s="197" customFormat="1" ht="12.75" x14ac:dyDescent="0.2"/>
    <row r="27690" s="197" customFormat="1" ht="12.75" x14ac:dyDescent="0.2"/>
    <row r="27691" s="197" customFormat="1" ht="12.75" x14ac:dyDescent="0.2"/>
    <row r="27692" s="197" customFormat="1" ht="12.75" x14ac:dyDescent="0.2"/>
    <row r="27693" s="197" customFormat="1" ht="12.75" x14ac:dyDescent="0.2"/>
    <row r="27694" s="197" customFormat="1" ht="12.75" x14ac:dyDescent="0.2"/>
    <row r="27695" s="197" customFormat="1" ht="12.75" x14ac:dyDescent="0.2"/>
    <row r="27696" s="197" customFormat="1" ht="12.75" x14ac:dyDescent="0.2"/>
    <row r="27697" s="197" customFormat="1" ht="12.75" x14ac:dyDescent="0.2"/>
    <row r="27698" s="197" customFormat="1" ht="12.75" x14ac:dyDescent="0.2"/>
    <row r="27699" s="197" customFormat="1" ht="12.75" x14ac:dyDescent="0.2"/>
    <row r="27700" s="197" customFormat="1" ht="12.75" x14ac:dyDescent="0.2"/>
    <row r="27701" s="197" customFormat="1" ht="12.75" x14ac:dyDescent="0.2"/>
    <row r="27702" s="197" customFormat="1" ht="12.75" x14ac:dyDescent="0.2"/>
    <row r="27703" s="197" customFormat="1" ht="12.75" x14ac:dyDescent="0.2"/>
    <row r="27704" s="197" customFormat="1" ht="12.75" x14ac:dyDescent="0.2"/>
    <row r="27705" s="197" customFormat="1" ht="12.75" x14ac:dyDescent="0.2"/>
    <row r="27706" s="197" customFormat="1" ht="12.75" x14ac:dyDescent="0.2"/>
    <row r="27707" s="197" customFormat="1" ht="12.75" x14ac:dyDescent="0.2"/>
    <row r="27708" s="197" customFormat="1" ht="12.75" x14ac:dyDescent="0.2"/>
    <row r="27709" s="197" customFormat="1" ht="12.75" x14ac:dyDescent="0.2"/>
    <row r="27710" s="197" customFormat="1" ht="12.75" x14ac:dyDescent="0.2"/>
    <row r="27711" s="197" customFormat="1" ht="12.75" x14ac:dyDescent="0.2"/>
    <row r="27712" s="197" customFormat="1" ht="12.75" x14ac:dyDescent="0.2"/>
    <row r="27713" s="197" customFormat="1" ht="12.75" x14ac:dyDescent="0.2"/>
    <row r="27714" s="197" customFormat="1" ht="12.75" x14ac:dyDescent="0.2"/>
    <row r="27715" s="197" customFormat="1" ht="12.75" x14ac:dyDescent="0.2"/>
    <row r="27716" s="197" customFormat="1" ht="12.75" x14ac:dyDescent="0.2"/>
    <row r="27717" s="197" customFormat="1" ht="12.75" x14ac:dyDescent="0.2"/>
    <row r="27718" s="197" customFormat="1" ht="12.75" x14ac:dyDescent="0.2"/>
    <row r="27719" s="197" customFormat="1" ht="12.75" x14ac:dyDescent="0.2"/>
    <row r="27720" s="197" customFormat="1" ht="12.75" x14ac:dyDescent="0.2"/>
    <row r="27721" s="197" customFormat="1" ht="12.75" x14ac:dyDescent="0.2"/>
    <row r="27722" s="197" customFormat="1" ht="12.75" x14ac:dyDescent="0.2"/>
    <row r="27723" s="197" customFormat="1" ht="12.75" x14ac:dyDescent="0.2"/>
    <row r="27724" s="197" customFormat="1" ht="12.75" x14ac:dyDescent="0.2"/>
    <row r="27725" s="197" customFormat="1" ht="12.75" x14ac:dyDescent="0.2"/>
    <row r="27726" s="197" customFormat="1" ht="12.75" x14ac:dyDescent="0.2"/>
    <row r="27727" s="197" customFormat="1" ht="12.75" x14ac:dyDescent="0.2"/>
    <row r="27728" s="197" customFormat="1" ht="12.75" x14ac:dyDescent="0.2"/>
    <row r="27729" s="197" customFormat="1" ht="12.75" x14ac:dyDescent="0.2"/>
    <row r="27730" s="197" customFormat="1" ht="12.75" x14ac:dyDescent="0.2"/>
    <row r="27731" s="197" customFormat="1" ht="12.75" x14ac:dyDescent="0.2"/>
    <row r="27732" s="197" customFormat="1" ht="12.75" x14ac:dyDescent="0.2"/>
    <row r="27733" s="197" customFormat="1" ht="12.75" x14ac:dyDescent="0.2"/>
    <row r="27734" s="197" customFormat="1" ht="12.75" x14ac:dyDescent="0.2"/>
    <row r="27735" s="197" customFormat="1" ht="12.75" x14ac:dyDescent="0.2"/>
    <row r="27736" s="197" customFormat="1" ht="12.75" x14ac:dyDescent="0.2"/>
    <row r="27737" s="197" customFormat="1" ht="12.75" x14ac:dyDescent="0.2"/>
    <row r="27738" s="197" customFormat="1" ht="12.75" x14ac:dyDescent="0.2"/>
    <row r="27739" s="197" customFormat="1" ht="12.75" x14ac:dyDescent="0.2"/>
    <row r="27740" s="197" customFormat="1" ht="12.75" x14ac:dyDescent="0.2"/>
    <row r="27741" s="197" customFormat="1" ht="12.75" x14ac:dyDescent="0.2"/>
    <row r="27742" s="197" customFormat="1" ht="12.75" x14ac:dyDescent="0.2"/>
    <row r="27743" s="197" customFormat="1" ht="12.75" x14ac:dyDescent="0.2"/>
    <row r="27744" s="197" customFormat="1" ht="12.75" x14ac:dyDescent="0.2"/>
    <row r="27745" s="197" customFormat="1" ht="12.75" x14ac:dyDescent="0.2"/>
    <row r="27746" s="197" customFormat="1" ht="12.75" x14ac:dyDescent="0.2"/>
    <row r="27747" s="197" customFormat="1" ht="12.75" x14ac:dyDescent="0.2"/>
    <row r="27748" s="197" customFormat="1" ht="12.75" x14ac:dyDescent="0.2"/>
    <row r="27749" s="197" customFormat="1" ht="12.75" x14ac:dyDescent="0.2"/>
    <row r="27750" s="197" customFormat="1" ht="12.75" x14ac:dyDescent="0.2"/>
    <row r="27751" s="197" customFormat="1" ht="12.75" x14ac:dyDescent="0.2"/>
    <row r="27752" s="197" customFormat="1" ht="12.75" x14ac:dyDescent="0.2"/>
    <row r="27753" s="197" customFormat="1" ht="12.75" x14ac:dyDescent="0.2"/>
    <row r="27754" s="197" customFormat="1" ht="12.75" x14ac:dyDescent="0.2"/>
    <row r="27755" s="197" customFormat="1" ht="12.75" x14ac:dyDescent="0.2"/>
    <row r="27756" s="197" customFormat="1" ht="12.75" x14ac:dyDescent="0.2"/>
    <row r="27757" s="197" customFormat="1" ht="12.75" x14ac:dyDescent="0.2"/>
    <row r="27758" s="197" customFormat="1" ht="12.75" x14ac:dyDescent="0.2"/>
    <row r="27759" s="197" customFormat="1" ht="12.75" x14ac:dyDescent="0.2"/>
    <row r="27760" s="197" customFormat="1" ht="12.75" x14ac:dyDescent="0.2"/>
    <row r="27761" s="197" customFormat="1" ht="12.75" x14ac:dyDescent="0.2"/>
    <row r="27762" s="197" customFormat="1" ht="12.75" x14ac:dyDescent="0.2"/>
    <row r="27763" s="197" customFormat="1" ht="12.75" x14ac:dyDescent="0.2"/>
    <row r="27764" s="197" customFormat="1" ht="12.75" x14ac:dyDescent="0.2"/>
    <row r="27765" s="197" customFormat="1" ht="12.75" x14ac:dyDescent="0.2"/>
    <row r="27766" s="197" customFormat="1" ht="12.75" x14ac:dyDescent="0.2"/>
    <row r="27767" s="197" customFormat="1" ht="12.75" x14ac:dyDescent="0.2"/>
    <row r="27768" s="197" customFormat="1" ht="12.75" x14ac:dyDescent="0.2"/>
    <row r="27769" s="197" customFormat="1" ht="12.75" x14ac:dyDescent="0.2"/>
    <row r="27770" s="197" customFormat="1" ht="12.75" x14ac:dyDescent="0.2"/>
    <row r="27771" s="197" customFormat="1" ht="12.75" x14ac:dyDescent="0.2"/>
    <row r="27772" s="197" customFormat="1" ht="12.75" x14ac:dyDescent="0.2"/>
    <row r="27773" s="197" customFormat="1" ht="12.75" x14ac:dyDescent="0.2"/>
    <row r="27774" s="197" customFormat="1" ht="12.75" x14ac:dyDescent="0.2"/>
    <row r="27775" s="197" customFormat="1" ht="12.75" x14ac:dyDescent="0.2"/>
    <row r="27776" s="197" customFormat="1" ht="12.75" x14ac:dyDescent="0.2"/>
    <row r="27777" s="197" customFormat="1" ht="12.75" x14ac:dyDescent="0.2"/>
    <row r="27778" s="197" customFormat="1" ht="12.75" x14ac:dyDescent="0.2"/>
    <row r="27779" s="197" customFormat="1" ht="12.75" x14ac:dyDescent="0.2"/>
    <row r="27780" s="197" customFormat="1" ht="12.75" x14ac:dyDescent="0.2"/>
    <row r="27781" s="197" customFormat="1" ht="12.75" x14ac:dyDescent="0.2"/>
    <row r="27782" s="197" customFormat="1" ht="12.75" x14ac:dyDescent="0.2"/>
    <row r="27783" s="197" customFormat="1" ht="12.75" x14ac:dyDescent="0.2"/>
    <row r="27784" s="197" customFormat="1" ht="12.75" x14ac:dyDescent="0.2"/>
    <row r="27785" s="197" customFormat="1" ht="12.75" x14ac:dyDescent="0.2"/>
    <row r="27786" s="197" customFormat="1" ht="12.75" x14ac:dyDescent="0.2"/>
    <row r="27787" s="197" customFormat="1" ht="12.75" x14ac:dyDescent="0.2"/>
    <row r="27788" s="197" customFormat="1" ht="12.75" x14ac:dyDescent="0.2"/>
    <row r="27789" s="197" customFormat="1" ht="12.75" x14ac:dyDescent="0.2"/>
    <row r="27790" s="197" customFormat="1" ht="12.75" x14ac:dyDescent="0.2"/>
    <row r="27791" s="197" customFormat="1" ht="12.75" x14ac:dyDescent="0.2"/>
    <row r="27792" s="197" customFormat="1" ht="12.75" x14ac:dyDescent="0.2"/>
    <row r="27793" s="197" customFormat="1" ht="12.75" x14ac:dyDescent="0.2"/>
    <row r="27794" s="197" customFormat="1" ht="12.75" x14ac:dyDescent="0.2"/>
    <row r="27795" s="197" customFormat="1" ht="12.75" x14ac:dyDescent="0.2"/>
    <row r="27796" s="197" customFormat="1" ht="12.75" x14ac:dyDescent="0.2"/>
    <row r="27797" s="197" customFormat="1" ht="12.75" x14ac:dyDescent="0.2"/>
    <row r="27798" s="197" customFormat="1" ht="12.75" x14ac:dyDescent="0.2"/>
    <row r="27799" s="197" customFormat="1" ht="12.75" x14ac:dyDescent="0.2"/>
    <row r="27800" s="197" customFormat="1" ht="12.75" x14ac:dyDescent="0.2"/>
    <row r="27801" s="197" customFormat="1" ht="12.75" x14ac:dyDescent="0.2"/>
    <row r="27802" s="197" customFormat="1" ht="12.75" x14ac:dyDescent="0.2"/>
    <row r="27803" s="197" customFormat="1" ht="12.75" x14ac:dyDescent="0.2"/>
    <row r="27804" s="197" customFormat="1" ht="12.75" x14ac:dyDescent="0.2"/>
    <row r="27805" s="197" customFormat="1" ht="12.75" x14ac:dyDescent="0.2"/>
    <row r="27806" s="197" customFormat="1" ht="12.75" x14ac:dyDescent="0.2"/>
    <row r="27807" s="197" customFormat="1" ht="12.75" x14ac:dyDescent="0.2"/>
    <row r="27808" s="197" customFormat="1" ht="12.75" x14ac:dyDescent="0.2"/>
    <row r="27809" s="197" customFormat="1" ht="12.75" x14ac:dyDescent="0.2"/>
    <row r="27810" s="197" customFormat="1" ht="12.75" x14ac:dyDescent="0.2"/>
    <row r="27811" s="197" customFormat="1" ht="12.75" x14ac:dyDescent="0.2"/>
    <row r="27812" s="197" customFormat="1" ht="12.75" x14ac:dyDescent="0.2"/>
    <row r="27813" s="197" customFormat="1" ht="12.75" x14ac:dyDescent="0.2"/>
    <row r="27814" s="197" customFormat="1" ht="12.75" x14ac:dyDescent="0.2"/>
    <row r="27815" s="197" customFormat="1" ht="12.75" x14ac:dyDescent="0.2"/>
    <row r="27816" s="197" customFormat="1" ht="12.75" x14ac:dyDescent="0.2"/>
    <row r="27817" s="197" customFormat="1" ht="12.75" x14ac:dyDescent="0.2"/>
    <row r="27818" s="197" customFormat="1" ht="12.75" x14ac:dyDescent="0.2"/>
    <row r="27819" s="197" customFormat="1" ht="12.75" x14ac:dyDescent="0.2"/>
    <row r="27820" s="197" customFormat="1" ht="12.75" x14ac:dyDescent="0.2"/>
    <row r="27821" s="197" customFormat="1" ht="12.75" x14ac:dyDescent="0.2"/>
    <row r="27822" s="197" customFormat="1" ht="12.75" x14ac:dyDescent="0.2"/>
    <row r="27823" s="197" customFormat="1" ht="12.75" x14ac:dyDescent="0.2"/>
    <row r="27824" s="197" customFormat="1" ht="12.75" x14ac:dyDescent="0.2"/>
    <row r="27825" s="197" customFormat="1" ht="12.75" x14ac:dyDescent="0.2"/>
    <row r="27826" s="197" customFormat="1" ht="12.75" x14ac:dyDescent="0.2"/>
    <row r="27827" s="197" customFormat="1" ht="12.75" x14ac:dyDescent="0.2"/>
    <row r="27828" s="197" customFormat="1" ht="12.75" x14ac:dyDescent="0.2"/>
    <row r="27829" s="197" customFormat="1" ht="12.75" x14ac:dyDescent="0.2"/>
    <row r="27830" s="197" customFormat="1" ht="12.75" x14ac:dyDescent="0.2"/>
    <row r="27831" s="197" customFormat="1" ht="12.75" x14ac:dyDescent="0.2"/>
    <row r="27832" s="197" customFormat="1" ht="12.75" x14ac:dyDescent="0.2"/>
    <row r="27833" s="197" customFormat="1" ht="12.75" x14ac:dyDescent="0.2"/>
    <row r="27834" s="197" customFormat="1" ht="12.75" x14ac:dyDescent="0.2"/>
    <row r="27835" s="197" customFormat="1" ht="12.75" x14ac:dyDescent="0.2"/>
    <row r="27836" s="197" customFormat="1" ht="12.75" x14ac:dyDescent="0.2"/>
    <row r="27837" s="197" customFormat="1" ht="12.75" x14ac:dyDescent="0.2"/>
    <row r="27838" s="197" customFormat="1" ht="12.75" x14ac:dyDescent="0.2"/>
    <row r="27839" s="197" customFormat="1" ht="12.75" x14ac:dyDescent="0.2"/>
    <row r="27840" s="197" customFormat="1" ht="12.75" x14ac:dyDescent="0.2"/>
    <row r="27841" s="197" customFormat="1" ht="12.75" x14ac:dyDescent="0.2"/>
    <row r="27842" s="197" customFormat="1" ht="12.75" x14ac:dyDescent="0.2"/>
    <row r="27843" s="197" customFormat="1" ht="12.75" x14ac:dyDescent="0.2"/>
    <row r="27844" s="197" customFormat="1" ht="12.75" x14ac:dyDescent="0.2"/>
    <row r="27845" s="197" customFormat="1" ht="12.75" x14ac:dyDescent="0.2"/>
    <row r="27846" s="197" customFormat="1" ht="12.75" x14ac:dyDescent="0.2"/>
    <row r="27847" s="197" customFormat="1" ht="12.75" x14ac:dyDescent="0.2"/>
    <row r="27848" s="197" customFormat="1" ht="12.75" x14ac:dyDescent="0.2"/>
    <row r="27849" s="197" customFormat="1" ht="12.75" x14ac:dyDescent="0.2"/>
    <row r="27850" s="197" customFormat="1" ht="12.75" x14ac:dyDescent="0.2"/>
    <row r="27851" s="197" customFormat="1" ht="12.75" x14ac:dyDescent="0.2"/>
    <row r="27852" s="197" customFormat="1" ht="12.75" x14ac:dyDescent="0.2"/>
    <row r="27853" s="197" customFormat="1" ht="12.75" x14ac:dyDescent="0.2"/>
    <row r="27854" s="197" customFormat="1" ht="12.75" x14ac:dyDescent="0.2"/>
    <row r="27855" s="197" customFormat="1" ht="12.75" x14ac:dyDescent="0.2"/>
    <row r="27856" s="197" customFormat="1" ht="12.75" x14ac:dyDescent="0.2"/>
    <row r="27857" s="197" customFormat="1" ht="12.75" x14ac:dyDescent="0.2"/>
    <row r="27858" s="197" customFormat="1" ht="12.75" x14ac:dyDescent="0.2"/>
    <row r="27859" s="197" customFormat="1" ht="12.75" x14ac:dyDescent="0.2"/>
    <row r="27860" s="197" customFormat="1" ht="12.75" x14ac:dyDescent="0.2"/>
    <row r="27861" s="197" customFormat="1" ht="12.75" x14ac:dyDescent="0.2"/>
    <row r="27862" s="197" customFormat="1" ht="12.75" x14ac:dyDescent="0.2"/>
    <row r="27863" s="197" customFormat="1" ht="12.75" x14ac:dyDescent="0.2"/>
    <row r="27864" s="197" customFormat="1" ht="12.75" x14ac:dyDescent="0.2"/>
    <row r="27865" s="197" customFormat="1" ht="12.75" x14ac:dyDescent="0.2"/>
    <row r="27866" s="197" customFormat="1" ht="12.75" x14ac:dyDescent="0.2"/>
    <row r="27867" s="197" customFormat="1" ht="12.75" x14ac:dyDescent="0.2"/>
    <row r="27868" s="197" customFormat="1" ht="12.75" x14ac:dyDescent="0.2"/>
    <row r="27869" s="197" customFormat="1" ht="12.75" x14ac:dyDescent="0.2"/>
    <row r="27870" s="197" customFormat="1" ht="12.75" x14ac:dyDescent="0.2"/>
    <row r="27871" s="197" customFormat="1" ht="12.75" x14ac:dyDescent="0.2"/>
    <row r="27872" s="197" customFormat="1" ht="12.75" x14ac:dyDescent="0.2"/>
    <row r="27873" s="197" customFormat="1" ht="12.75" x14ac:dyDescent="0.2"/>
    <row r="27874" s="197" customFormat="1" ht="12.75" x14ac:dyDescent="0.2"/>
    <row r="27875" s="197" customFormat="1" ht="12.75" x14ac:dyDescent="0.2"/>
    <row r="27876" s="197" customFormat="1" ht="12.75" x14ac:dyDescent="0.2"/>
    <row r="27877" s="197" customFormat="1" ht="12.75" x14ac:dyDescent="0.2"/>
    <row r="27878" s="197" customFormat="1" ht="12.75" x14ac:dyDescent="0.2"/>
    <row r="27879" s="197" customFormat="1" ht="12.75" x14ac:dyDescent="0.2"/>
    <row r="27880" s="197" customFormat="1" ht="12.75" x14ac:dyDescent="0.2"/>
    <row r="27881" s="197" customFormat="1" ht="12.75" x14ac:dyDescent="0.2"/>
    <row r="27882" s="197" customFormat="1" ht="12.75" x14ac:dyDescent="0.2"/>
    <row r="27883" s="197" customFormat="1" ht="12.75" x14ac:dyDescent="0.2"/>
    <row r="27884" s="197" customFormat="1" ht="12.75" x14ac:dyDescent="0.2"/>
    <row r="27885" s="197" customFormat="1" ht="12.75" x14ac:dyDescent="0.2"/>
    <row r="27886" s="197" customFormat="1" ht="12.75" x14ac:dyDescent="0.2"/>
    <row r="27887" s="197" customFormat="1" ht="12.75" x14ac:dyDescent="0.2"/>
    <row r="27888" s="197" customFormat="1" ht="12.75" x14ac:dyDescent="0.2"/>
    <row r="27889" s="197" customFormat="1" ht="12.75" x14ac:dyDescent="0.2"/>
    <row r="27890" s="197" customFormat="1" ht="12.75" x14ac:dyDescent="0.2"/>
    <row r="27891" s="197" customFormat="1" ht="12.75" x14ac:dyDescent="0.2"/>
    <row r="27892" s="197" customFormat="1" ht="12.75" x14ac:dyDescent="0.2"/>
    <row r="27893" s="197" customFormat="1" ht="12.75" x14ac:dyDescent="0.2"/>
    <row r="27894" s="197" customFormat="1" ht="12.75" x14ac:dyDescent="0.2"/>
    <row r="27895" s="197" customFormat="1" ht="12.75" x14ac:dyDescent="0.2"/>
    <row r="27896" s="197" customFormat="1" ht="12.75" x14ac:dyDescent="0.2"/>
    <row r="27897" s="197" customFormat="1" ht="12.75" x14ac:dyDescent="0.2"/>
    <row r="27898" s="197" customFormat="1" ht="12.75" x14ac:dyDescent="0.2"/>
    <row r="27899" s="197" customFormat="1" ht="12.75" x14ac:dyDescent="0.2"/>
    <row r="27900" s="197" customFormat="1" ht="12.75" x14ac:dyDescent="0.2"/>
    <row r="27901" s="197" customFormat="1" ht="12.75" x14ac:dyDescent="0.2"/>
    <row r="27902" s="197" customFormat="1" ht="12.75" x14ac:dyDescent="0.2"/>
    <row r="27903" s="197" customFormat="1" ht="12.75" x14ac:dyDescent="0.2"/>
    <row r="27904" s="197" customFormat="1" ht="12.75" x14ac:dyDescent="0.2"/>
    <row r="27905" s="197" customFormat="1" ht="12.75" x14ac:dyDescent="0.2"/>
    <row r="27906" s="197" customFormat="1" ht="12.75" x14ac:dyDescent="0.2"/>
    <row r="27907" s="197" customFormat="1" ht="12.75" x14ac:dyDescent="0.2"/>
    <row r="27908" s="197" customFormat="1" ht="12.75" x14ac:dyDescent="0.2"/>
    <row r="27909" s="197" customFormat="1" ht="12.75" x14ac:dyDescent="0.2"/>
    <row r="27910" s="197" customFormat="1" ht="12.75" x14ac:dyDescent="0.2"/>
    <row r="27911" s="197" customFormat="1" ht="12.75" x14ac:dyDescent="0.2"/>
    <row r="27912" s="197" customFormat="1" ht="12.75" x14ac:dyDescent="0.2"/>
    <row r="27913" s="197" customFormat="1" ht="12.75" x14ac:dyDescent="0.2"/>
    <row r="27914" s="197" customFormat="1" ht="12.75" x14ac:dyDescent="0.2"/>
    <row r="27915" s="197" customFormat="1" ht="12.75" x14ac:dyDescent="0.2"/>
    <row r="27916" s="197" customFormat="1" ht="12.75" x14ac:dyDescent="0.2"/>
    <row r="27917" s="197" customFormat="1" ht="12.75" x14ac:dyDescent="0.2"/>
    <row r="27918" s="197" customFormat="1" ht="12.75" x14ac:dyDescent="0.2"/>
    <row r="27919" s="197" customFormat="1" ht="12.75" x14ac:dyDescent="0.2"/>
    <row r="27920" s="197" customFormat="1" ht="12.75" x14ac:dyDescent="0.2"/>
    <row r="27921" s="197" customFormat="1" ht="12.75" x14ac:dyDescent="0.2"/>
    <row r="27922" s="197" customFormat="1" ht="12.75" x14ac:dyDescent="0.2"/>
    <row r="27923" s="197" customFormat="1" ht="12.75" x14ac:dyDescent="0.2"/>
    <row r="27924" s="197" customFormat="1" ht="12.75" x14ac:dyDescent="0.2"/>
    <row r="27925" s="197" customFormat="1" ht="12.75" x14ac:dyDescent="0.2"/>
    <row r="27926" s="197" customFormat="1" ht="12.75" x14ac:dyDescent="0.2"/>
    <row r="27927" s="197" customFormat="1" ht="12.75" x14ac:dyDescent="0.2"/>
    <row r="27928" s="197" customFormat="1" ht="12.75" x14ac:dyDescent="0.2"/>
    <row r="27929" s="197" customFormat="1" ht="12.75" x14ac:dyDescent="0.2"/>
    <row r="27930" s="197" customFormat="1" ht="12.75" x14ac:dyDescent="0.2"/>
    <row r="27931" s="197" customFormat="1" ht="12.75" x14ac:dyDescent="0.2"/>
    <row r="27932" s="197" customFormat="1" ht="12.75" x14ac:dyDescent="0.2"/>
    <row r="27933" s="197" customFormat="1" ht="12.75" x14ac:dyDescent="0.2"/>
    <row r="27934" s="197" customFormat="1" ht="12.75" x14ac:dyDescent="0.2"/>
    <row r="27935" s="197" customFormat="1" ht="12.75" x14ac:dyDescent="0.2"/>
    <row r="27936" s="197" customFormat="1" ht="12.75" x14ac:dyDescent="0.2"/>
    <row r="27937" s="197" customFormat="1" ht="12.75" x14ac:dyDescent="0.2"/>
    <row r="27938" s="197" customFormat="1" ht="12.75" x14ac:dyDescent="0.2"/>
    <row r="27939" s="197" customFormat="1" ht="12.75" x14ac:dyDescent="0.2"/>
    <row r="27940" s="197" customFormat="1" ht="12.75" x14ac:dyDescent="0.2"/>
    <row r="27941" s="197" customFormat="1" ht="12.75" x14ac:dyDescent="0.2"/>
    <row r="27942" s="197" customFormat="1" ht="12.75" x14ac:dyDescent="0.2"/>
    <row r="27943" s="197" customFormat="1" ht="12.75" x14ac:dyDescent="0.2"/>
    <row r="27944" s="197" customFormat="1" ht="12.75" x14ac:dyDescent="0.2"/>
    <row r="27945" s="197" customFormat="1" ht="12.75" x14ac:dyDescent="0.2"/>
    <row r="27946" s="197" customFormat="1" ht="12.75" x14ac:dyDescent="0.2"/>
    <row r="27947" s="197" customFormat="1" ht="12.75" x14ac:dyDescent="0.2"/>
    <row r="27948" s="197" customFormat="1" ht="12.75" x14ac:dyDescent="0.2"/>
    <row r="27949" s="197" customFormat="1" ht="12.75" x14ac:dyDescent="0.2"/>
    <row r="27950" s="197" customFormat="1" ht="12.75" x14ac:dyDescent="0.2"/>
    <row r="27951" s="197" customFormat="1" ht="12.75" x14ac:dyDescent="0.2"/>
    <row r="27952" s="197" customFormat="1" ht="12.75" x14ac:dyDescent="0.2"/>
    <row r="27953" s="197" customFormat="1" ht="12.75" x14ac:dyDescent="0.2"/>
    <row r="27954" s="197" customFormat="1" ht="12.75" x14ac:dyDescent="0.2"/>
    <row r="27955" s="197" customFormat="1" ht="12.75" x14ac:dyDescent="0.2"/>
    <row r="27956" s="197" customFormat="1" ht="12.75" x14ac:dyDescent="0.2"/>
    <row r="27957" s="197" customFormat="1" ht="12.75" x14ac:dyDescent="0.2"/>
    <row r="27958" s="197" customFormat="1" ht="12.75" x14ac:dyDescent="0.2"/>
    <row r="27959" s="197" customFormat="1" ht="12.75" x14ac:dyDescent="0.2"/>
    <row r="27960" s="197" customFormat="1" ht="12.75" x14ac:dyDescent="0.2"/>
    <row r="27961" s="197" customFormat="1" ht="12.75" x14ac:dyDescent="0.2"/>
    <row r="27962" s="197" customFormat="1" ht="12.75" x14ac:dyDescent="0.2"/>
    <row r="27963" s="197" customFormat="1" ht="12.75" x14ac:dyDescent="0.2"/>
    <row r="27964" s="197" customFormat="1" ht="12.75" x14ac:dyDescent="0.2"/>
    <row r="27965" s="197" customFormat="1" ht="12.75" x14ac:dyDescent="0.2"/>
    <row r="27966" s="197" customFormat="1" ht="12.75" x14ac:dyDescent="0.2"/>
    <row r="27967" s="197" customFormat="1" ht="12.75" x14ac:dyDescent="0.2"/>
    <row r="27968" s="197" customFormat="1" ht="12.75" x14ac:dyDescent="0.2"/>
    <row r="27969" s="197" customFormat="1" ht="12.75" x14ac:dyDescent="0.2"/>
    <row r="27970" s="197" customFormat="1" ht="12.75" x14ac:dyDescent="0.2"/>
    <row r="27971" s="197" customFormat="1" ht="12.75" x14ac:dyDescent="0.2"/>
    <row r="27972" s="197" customFormat="1" ht="12.75" x14ac:dyDescent="0.2"/>
    <row r="27973" s="197" customFormat="1" ht="12.75" x14ac:dyDescent="0.2"/>
    <row r="27974" s="197" customFormat="1" ht="12.75" x14ac:dyDescent="0.2"/>
    <row r="27975" s="197" customFormat="1" ht="12.75" x14ac:dyDescent="0.2"/>
    <row r="27976" s="197" customFormat="1" ht="12.75" x14ac:dyDescent="0.2"/>
    <row r="27977" s="197" customFormat="1" ht="12.75" x14ac:dyDescent="0.2"/>
    <row r="27978" s="197" customFormat="1" ht="12.75" x14ac:dyDescent="0.2"/>
    <row r="27979" s="197" customFormat="1" ht="12.75" x14ac:dyDescent="0.2"/>
    <row r="27980" s="197" customFormat="1" ht="12.75" x14ac:dyDescent="0.2"/>
    <row r="27981" s="197" customFormat="1" ht="12.75" x14ac:dyDescent="0.2"/>
    <row r="27982" s="197" customFormat="1" ht="12.75" x14ac:dyDescent="0.2"/>
    <row r="27983" s="197" customFormat="1" ht="12.75" x14ac:dyDescent="0.2"/>
    <row r="27984" s="197" customFormat="1" ht="12.75" x14ac:dyDescent="0.2"/>
    <row r="27985" s="197" customFormat="1" ht="12.75" x14ac:dyDescent="0.2"/>
    <row r="27986" s="197" customFormat="1" ht="12.75" x14ac:dyDescent="0.2"/>
    <row r="27987" s="197" customFormat="1" ht="12.75" x14ac:dyDescent="0.2"/>
    <row r="27988" s="197" customFormat="1" ht="12.75" x14ac:dyDescent="0.2"/>
    <row r="27989" s="197" customFormat="1" ht="12.75" x14ac:dyDescent="0.2"/>
    <row r="27990" s="197" customFormat="1" ht="12.75" x14ac:dyDescent="0.2"/>
    <row r="27991" s="197" customFormat="1" ht="12.75" x14ac:dyDescent="0.2"/>
    <row r="27992" s="197" customFormat="1" ht="12.75" x14ac:dyDescent="0.2"/>
    <row r="27993" s="197" customFormat="1" ht="12.75" x14ac:dyDescent="0.2"/>
    <row r="27994" s="197" customFormat="1" ht="12.75" x14ac:dyDescent="0.2"/>
    <row r="27995" s="197" customFormat="1" ht="12.75" x14ac:dyDescent="0.2"/>
    <row r="27996" s="197" customFormat="1" ht="12.75" x14ac:dyDescent="0.2"/>
    <row r="27997" s="197" customFormat="1" ht="12.75" x14ac:dyDescent="0.2"/>
    <row r="27998" s="197" customFormat="1" ht="12.75" x14ac:dyDescent="0.2"/>
    <row r="27999" s="197" customFormat="1" ht="12.75" x14ac:dyDescent="0.2"/>
    <row r="28000" s="197" customFormat="1" ht="12.75" x14ac:dyDescent="0.2"/>
    <row r="28001" s="197" customFormat="1" ht="12.75" x14ac:dyDescent="0.2"/>
    <row r="28002" s="197" customFormat="1" ht="12.75" x14ac:dyDescent="0.2"/>
    <row r="28003" s="197" customFormat="1" ht="12.75" x14ac:dyDescent="0.2"/>
    <row r="28004" s="197" customFormat="1" ht="12.75" x14ac:dyDescent="0.2"/>
    <row r="28005" s="197" customFormat="1" ht="12.75" x14ac:dyDescent="0.2"/>
    <row r="28006" s="197" customFormat="1" ht="12.75" x14ac:dyDescent="0.2"/>
    <row r="28007" s="197" customFormat="1" ht="12.75" x14ac:dyDescent="0.2"/>
    <row r="28008" s="197" customFormat="1" ht="12.75" x14ac:dyDescent="0.2"/>
    <row r="28009" s="197" customFormat="1" ht="12.75" x14ac:dyDescent="0.2"/>
    <row r="28010" s="197" customFormat="1" ht="12.75" x14ac:dyDescent="0.2"/>
    <row r="28011" s="197" customFormat="1" ht="12.75" x14ac:dyDescent="0.2"/>
    <row r="28012" s="197" customFormat="1" ht="12.75" x14ac:dyDescent="0.2"/>
    <row r="28013" s="197" customFormat="1" ht="12.75" x14ac:dyDescent="0.2"/>
    <row r="28014" s="197" customFormat="1" ht="12.75" x14ac:dyDescent="0.2"/>
    <row r="28015" s="197" customFormat="1" ht="12.75" x14ac:dyDescent="0.2"/>
    <row r="28016" s="197" customFormat="1" ht="12.75" x14ac:dyDescent="0.2"/>
    <row r="28017" s="197" customFormat="1" ht="12.75" x14ac:dyDescent="0.2"/>
    <row r="28018" s="197" customFormat="1" ht="12.75" x14ac:dyDescent="0.2"/>
    <row r="28019" s="197" customFormat="1" ht="12.75" x14ac:dyDescent="0.2"/>
    <row r="28020" s="197" customFormat="1" ht="12.75" x14ac:dyDescent="0.2"/>
    <row r="28021" s="197" customFormat="1" ht="12.75" x14ac:dyDescent="0.2"/>
    <row r="28022" s="197" customFormat="1" ht="12.75" x14ac:dyDescent="0.2"/>
    <row r="28023" s="197" customFormat="1" ht="12.75" x14ac:dyDescent="0.2"/>
    <row r="28024" s="197" customFormat="1" ht="12.75" x14ac:dyDescent="0.2"/>
    <row r="28025" s="197" customFormat="1" ht="12.75" x14ac:dyDescent="0.2"/>
    <row r="28026" s="197" customFormat="1" ht="12.75" x14ac:dyDescent="0.2"/>
    <row r="28027" s="197" customFormat="1" ht="12.75" x14ac:dyDescent="0.2"/>
    <row r="28028" s="197" customFormat="1" ht="12.75" x14ac:dyDescent="0.2"/>
    <row r="28029" s="197" customFormat="1" ht="12.75" x14ac:dyDescent="0.2"/>
    <row r="28030" s="197" customFormat="1" ht="12.75" x14ac:dyDescent="0.2"/>
    <row r="28031" s="197" customFormat="1" ht="12.75" x14ac:dyDescent="0.2"/>
    <row r="28032" s="197" customFormat="1" ht="12.75" x14ac:dyDescent="0.2"/>
    <row r="28033" s="197" customFormat="1" ht="12.75" x14ac:dyDescent="0.2"/>
    <row r="28034" s="197" customFormat="1" ht="12.75" x14ac:dyDescent="0.2"/>
    <row r="28035" s="197" customFormat="1" ht="12.75" x14ac:dyDescent="0.2"/>
    <row r="28036" s="197" customFormat="1" ht="12.75" x14ac:dyDescent="0.2"/>
    <row r="28037" s="197" customFormat="1" ht="12.75" x14ac:dyDescent="0.2"/>
    <row r="28038" s="197" customFormat="1" ht="12.75" x14ac:dyDescent="0.2"/>
    <row r="28039" s="197" customFormat="1" ht="12.75" x14ac:dyDescent="0.2"/>
    <row r="28040" s="197" customFormat="1" ht="12.75" x14ac:dyDescent="0.2"/>
    <row r="28041" s="197" customFormat="1" ht="12.75" x14ac:dyDescent="0.2"/>
    <row r="28042" s="197" customFormat="1" ht="12.75" x14ac:dyDescent="0.2"/>
    <row r="28043" s="197" customFormat="1" ht="12.75" x14ac:dyDescent="0.2"/>
    <row r="28044" s="197" customFormat="1" ht="12.75" x14ac:dyDescent="0.2"/>
    <row r="28045" s="197" customFormat="1" ht="12.75" x14ac:dyDescent="0.2"/>
    <row r="28046" s="197" customFormat="1" ht="12.75" x14ac:dyDescent="0.2"/>
    <row r="28047" s="197" customFormat="1" ht="12.75" x14ac:dyDescent="0.2"/>
    <row r="28048" s="197" customFormat="1" ht="12.75" x14ac:dyDescent="0.2"/>
    <row r="28049" s="197" customFormat="1" ht="12.75" x14ac:dyDescent="0.2"/>
    <row r="28050" s="197" customFormat="1" ht="12.75" x14ac:dyDescent="0.2"/>
    <row r="28051" s="197" customFormat="1" ht="12.75" x14ac:dyDescent="0.2"/>
    <row r="28052" s="197" customFormat="1" ht="12.75" x14ac:dyDescent="0.2"/>
    <row r="28053" s="197" customFormat="1" ht="12.75" x14ac:dyDescent="0.2"/>
    <row r="28054" s="197" customFormat="1" ht="12.75" x14ac:dyDescent="0.2"/>
    <row r="28055" s="197" customFormat="1" ht="12.75" x14ac:dyDescent="0.2"/>
    <row r="28056" s="197" customFormat="1" ht="12.75" x14ac:dyDescent="0.2"/>
    <row r="28057" s="197" customFormat="1" ht="12.75" x14ac:dyDescent="0.2"/>
    <row r="28058" s="197" customFormat="1" ht="12.75" x14ac:dyDescent="0.2"/>
    <row r="28059" s="197" customFormat="1" ht="12.75" x14ac:dyDescent="0.2"/>
    <row r="28060" s="197" customFormat="1" ht="12.75" x14ac:dyDescent="0.2"/>
    <row r="28061" s="197" customFormat="1" ht="12.75" x14ac:dyDescent="0.2"/>
    <row r="28062" s="197" customFormat="1" ht="12.75" x14ac:dyDescent="0.2"/>
    <row r="28063" s="197" customFormat="1" ht="12.75" x14ac:dyDescent="0.2"/>
    <row r="28064" s="197" customFormat="1" ht="12.75" x14ac:dyDescent="0.2"/>
    <row r="28065" s="197" customFormat="1" ht="12.75" x14ac:dyDescent="0.2"/>
    <row r="28066" s="197" customFormat="1" ht="12.75" x14ac:dyDescent="0.2"/>
    <row r="28067" s="197" customFormat="1" ht="12.75" x14ac:dyDescent="0.2"/>
    <row r="28068" s="197" customFormat="1" ht="12.75" x14ac:dyDescent="0.2"/>
    <row r="28069" s="197" customFormat="1" ht="12.75" x14ac:dyDescent="0.2"/>
    <row r="28070" s="197" customFormat="1" ht="12.75" x14ac:dyDescent="0.2"/>
    <row r="28071" s="197" customFormat="1" ht="12.75" x14ac:dyDescent="0.2"/>
    <row r="28072" s="197" customFormat="1" ht="12.75" x14ac:dyDescent="0.2"/>
    <row r="28073" s="197" customFormat="1" ht="12.75" x14ac:dyDescent="0.2"/>
    <row r="28074" s="197" customFormat="1" ht="12.75" x14ac:dyDescent="0.2"/>
    <row r="28075" s="197" customFormat="1" ht="12.75" x14ac:dyDescent="0.2"/>
    <row r="28076" s="197" customFormat="1" ht="12.75" x14ac:dyDescent="0.2"/>
    <row r="28077" s="197" customFormat="1" ht="12.75" x14ac:dyDescent="0.2"/>
    <row r="28078" s="197" customFormat="1" ht="12.75" x14ac:dyDescent="0.2"/>
    <row r="28079" s="197" customFormat="1" ht="12.75" x14ac:dyDescent="0.2"/>
    <row r="28080" s="197" customFormat="1" ht="12.75" x14ac:dyDescent="0.2"/>
    <row r="28081" s="197" customFormat="1" ht="12.75" x14ac:dyDescent="0.2"/>
    <row r="28082" s="197" customFormat="1" ht="12.75" x14ac:dyDescent="0.2"/>
    <row r="28083" s="197" customFormat="1" ht="12.75" x14ac:dyDescent="0.2"/>
    <row r="28084" s="197" customFormat="1" ht="12.75" x14ac:dyDescent="0.2"/>
    <row r="28085" s="197" customFormat="1" ht="12.75" x14ac:dyDescent="0.2"/>
    <row r="28086" s="197" customFormat="1" ht="12.75" x14ac:dyDescent="0.2"/>
    <row r="28087" s="197" customFormat="1" ht="12.75" x14ac:dyDescent="0.2"/>
    <row r="28088" s="197" customFormat="1" ht="12.75" x14ac:dyDescent="0.2"/>
    <row r="28089" s="197" customFormat="1" ht="12.75" x14ac:dyDescent="0.2"/>
    <row r="28090" s="197" customFormat="1" ht="12.75" x14ac:dyDescent="0.2"/>
    <row r="28091" s="197" customFormat="1" ht="12.75" x14ac:dyDescent="0.2"/>
    <row r="28092" s="197" customFormat="1" ht="12.75" x14ac:dyDescent="0.2"/>
    <row r="28093" s="197" customFormat="1" ht="12.75" x14ac:dyDescent="0.2"/>
    <row r="28094" s="197" customFormat="1" ht="12.75" x14ac:dyDescent="0.2"/>
    <row r="28095" s="197" customFormat="1" ht="12.75" x14ac:dyDescent="0.2"/>
    <row r="28096" s="197" customFormat="1" ht="12.75" x14ac:dyDescent="0.2"/>
    <row r="28097" s="197" customFormat="1" ht="12.75" x14ac:dyDescent="0.2"/>
    <row r="28098" s="197" customFormat="1" ht="12.75" x14ac:dyDescent="0.2"/>
    <row r="28099" s="197" customFormat="1" ht="12.75" x14ac:dyDescent="0.2"/>
    <row r="28100" s="197" customFormat="1" ht="12.75" x14ac:dyDescent="0.2"/>
    <row r="28101" s="197" customFormat="1" ht="12.75" x14ac:dyDescent="0.2"/>
    <row r="28102" s="197" customFormat="1" ht="12.75" x14ac:dyDescent="0.2"/>
    <row r="28103" s="197" customFormat="1" ht="12.75" x14ac:dyDescent="0.2"/>
    <row r="28104" s="197" customFormat="1" ht="12.75" x14ac:dyDescent="0.2"/>
    <row r="28105" s="197" customFormat="1" ht="12.75" x14ac:dyDescent="0.2"/>
    <row r="28106" s="197" customFormat="1" ht="12.75" x14ac:dyDescent="0.2"/>
    <row r="28107" s="197" customFormat="1" ht="12.75" x14ac:dyDescent="0.2"/>
    <row r="28108" s="197" customFormat="1" ht="12.75" x14ac:dyDescent="0.2"/>
    <row r="28109" s="197" customFormat="1" ht="12.75" x14ac:dyDescent="0.2"/>
    <row r="28110" s="197" customFormat="1" ht="12.75" x14ac:dyDescent="0.2"/>
    <row r="28111" s="197" customFormat="1" ht="12.75" x14ac:dyDescent="0.2"/>
    <row r="28112" s="197" customFormat="1" ht="12.75" x14ac:dyDescent="0.2"/>
    <row r="28113" s="197" customFormat="1" ht="12.75" x14ac:dyDescent="0.2"/>
    <row r="28114" s="197" customFormat="1" ht="12.75" x14ac:dyDescent="0.2"/>
    <row r="28115" s="197" customFormat="1" ht="12.75" x14ac:dyDescent="0.2"/>
    <row r="28116" s="197" customFormat="1" ht="12.75" x14ac:dyDescent="0.2"/>
    <row r="28117" s="197" customFormat="1" ht="12.75" x14ac:dyDescent="0.2"/>
    <row r="28118" s="197" customFormat="1" ht="12.75" x14ac:dyDescent="0.2"/>
    <row r="28119" s="197" customFormat="1" ht="12.75" x14ac:dyDescent="0.2"/>
    <row r="28120" s="197" customFormat="1" ht="12.75" x14ac:dyDescent="0.2"/>
    <row r="28121" s="197" customFormat="1" ht="12.75" x14ac:dyDescent="0.2"/>
    <row r="28122" s="197" customFormat="1" ht="12.75" x14ac:dyDescent="0.2"/>
    <row r="28123" s="197" customFormat="1" ht="12.75" x14ac:dyDescent="0.2"/>
    <row r="28124" s="197" customFormat="1" ht="12.75" x14ac:dyDescent="0.2"/>
    <row r="28125" s="197" customFormat="1" ht="12.75" x14ac:dyDescent="0.2"/>
    <row r="28126" s="197" customFormat="1" ht="12.75" x14ac:dyDescent="0.2"/>
    <row r="28127" s="197" customFormat="1" ht="12.75" x14ac:dyDescent="0.2"/>
    <row r="28128" s="197" customFormat="1" ht="12.75" x14ac:dyDescent="0.2"/>
    <row r="28129" s="197" customFormat="1" ht="12.75" x14ac:dyDescent="0.2"/>
    <row r="28130" s="197" customFormat="1" ht="12.75" x14ac:dyDescent="0.2"/>
    <row r="28131" s="197" customFormat="1" ht="12.75" x14ac:dyDescent="0.2"/>
    <row r="28132" s="197" customFormat="1" ht="12.75" x14ac:dyDescent="0.2"/>
    <row r="28133" s="197" customFormat="1" ht="12.75" x14ac:dyDescent="0.2"/>
    <row r="28134" s="197" customFormat="1" ht="12.75" x14ac:dyDescent="0.2"/>
    <row r="28135" s="197" customFormat="1" ht="12.75" x14ac:dyDescent="0.2"/>
    <row r="28136" s="197" customFormat="1" ht="12.75" x14ac:dyDescent="0.2"/>
    <row r="28137" s="197" customFormat="1" ht="12.75" x14ac:dyDescent="0.2"/>
    <row r="28138" s="197" customFormat="1" ht="12.75" x14ac:dyDescent="0.2"/>
    <row r="28139" s="197" customFormat="1" ht="12.75" x14ac:dyDescent="0.2"/>
    <row r="28140" s="197" customFormat="1" ht="12.75" x14ac:dyDescent="0.2"/>
    <row r="28141" s="197" customFormat="1" ht="12.75" x14ac:dyDescent="0.2"/>
    <row r="28142" s="197" customFormat="1" ht="12.75" x14ac:dyDescent="0.2"/>
    <row r="28143" s="197" customFormat="1" ht="12.75" x14ac:dyDescent="0.2"/>
    <row r="28144" s="197" customFormat="1" ht="12.75" x14ac:dyDescent="0.2"/>
    <row r="28145" s="197" customFormat="1" ht="12.75" x14ac:dyDescent="0.2"/>
    <row r="28146" s="197" customFormat="1" ht="12.75" x14ac:dyDescent="0.2"/>
    <row r="28147" s="197" customFormat="1" ht="12.75" x14ac:dyDescent="0.2"/>
    <row r="28148" s="197" customFormat="1" ht="12.75" x14ac:dyDescent="0.2"/>
    <row r="28149" s="197" customFormat="1" ht="12.75" x14ac:dyDescent="0.2"/>
    <row r="28150" s="197" customFormat="1" ht="12.75" x14ac:dyDescent="0.2"/>
    <row r="28151" s="197" customFormat="1" ht="12.75" x14ac:dyDescent="0.2"/>
    <row r="28152" s="197" customFormat="1" ht="12.75" x14ac:dyDescent="0.2"/>
    <row r="28153" s="197" customFormat="1" ht="12.75" x14ac:dyDescent="0.2"/>
    <row r="28154" s="197" customFormat="1" ht="12.75" x14ac:dyDescent="0.2"/>
    <row r="28155" s="197" customFormat="1" ht="12.75" x14ac:dyDescent="0.2"/>
    <row r="28156" s="197" customFormat="1" ht="12.75" x14ac:dyDescent="0.2"/>
    <row r="28157" s="197" customFormat="1" ht="12.75" x14ac:dyDescent="0.2"/>
    <row r="28158" s="197" customFormat="1" ht="12.75" x14ac:dyDescent="0.2"/>
    <row r="28159" s="197" customFormat="1" ht="12.75" x14ac:dyDescent="0.2"/>
    <row r="28160" s="197" customFormat="1" ht="12.75" x14ac:dyDescent="0.2"/>
    <row r="28161" s="197" customFormat="1" ht="12.75" x14ac:dyDescent="0.2"/>
    <row r="28162" s="197" customFormat="1" ht="12.75" x14ac:dyDescent="0.2"/>
    <row r="28163" s="197" customFormat="1" ht="12.75" x14ac:dyDescent="0.2"/>
    <row r="28164" s="197" customFormat="1" ht="12.75" x14ac:dyDescent="0.2"/>
    <row r="28165" s="197" customFormat="1" ht="12.75" x14ac:dyDescent="0.2"/>
    <row r="28166" s="197" customFormat="1" ht="12.75" x14ac:dyDescent="0.2"/>
    <row r="28167" s="197" customFormat="1" ht="12.75" x14ac:dyDescent="0.2"/>
    <row r="28168" s="197" customFormat="1" ht="12.75" x14ac:dyDescent="0.2"/>
    <row r="28169" s="197" customFormat="1" ht="12.75" x14ac:dyDescent="0.2"/>
    <row r="28170" s="197" customFormat="1" ht="12.75" x14ac:dyDescent="0.2"/>
    <row r="28171" s="197" customFormat="1" ht="12.75" x14ac:dyDescent="0.2"/>
    <row r="28172" s="197" customFormat="1" ht="12.75" x14ac:dyDescent="0.2"/>
    <row r="28173" s="197" customFormat="1" ht="12.75" x14ac:dyDescent="0.2"/>
    <row r="28174" s="197" customFormat="1" ht="12.75" x14ac:dyDescent="0.2"/>
    <row r="28175" s="197" customFormat="1" ht="12.75" x14ac:dyDescent="0.2"/>
    <row r="28176" s="197" customFormat="1" ht="12.75" x14ac:dyDescent="0.2"/>
    <row r="28177" s="197" customFormat="1" ht="12.75" x14ac:dyDescent="0.2"/>
    <row r="28178" s="197" customFormat="1" ht="12.75" x14ac:dyDescent="0.2"/>
    <row r="28179" s="197" customFormat="1" ht="12.75" x14ac:dyDescent="0.2"/>
    <row r="28180" s="197" customFormat="1" ht="12.75" x14ac:dyDescent="0.2"/>
    <row r="28181" s="197" customFormat="1" ht="12.75" x14ac:dyDescent="0.2"/>
    <row r="28182" s="197" customFormat="1" ht="12.75" x14ac:dyDescent="0.2"/>
    <row r="28183" s="197" customFormat="1" ht="12.75" x14ac:dyDescent="0.2"/>
    <row r="28184" s="197" customFormat="1" ht="12.75" x14ac:dyDescent="0.2"/>
    <row r="28185" s="197" customFormat="1" ht="12.75" x14ac:dyDescent="0.2"/>
    <row r="28186" s="197" customFormat="1" ht="12.75" x14ac:dyDescent="0.2"/>
    <row r="28187" s="197" customFormat="1" ht="12.75" x14ac:dyDescent="0.2"/>
    <row r="28188" s="197" customFormat="1" ht="12.75" x14ac:dyDescent="0.2"/>
    <row r="28189" s="197" customFormat="1" ht="12.75" x14ac:dyDescent="0.2"/>
    <row r="28190" s="197" customFormat="1" ht="12.75" x14ac:dyDescent="0.2"/>
    <row r="28191" s="197" customFormat="1" ht="12.75" x14ac:dyDescent="0.2"/>
    <row r="28192" s="197" customFormat="1" ht="12.75" x14ac:dyDescent="0.2"/>
    <row r="28193" s="197" customFormat="1" ht="12.75" x14ac:dyDescent="0.2"/>
    <row r="28194" s="197" customFormat="1" ht="12.75" x14ac:dyDescent="0.2"/>
    <row r="28195" s="197" customFormat="1" ht="12.75" x14ac:dyDescent="0.2"/>
    <row r="28196" s="197" customFormat="1" ht="12.75" x14ac:dyDescent="0.2"/>
    <row r="28197" s="197" customFormat="1" ht="12.75" x14ac:dyDescent="0.2"/>
    <row r="28198" s="197" customFormat="1" ht="12.75" x14ac:dyDescent="0.2"/>
    <row r="28199" s="197" customFormat="1" ht="12.75" x14ac:dyDescent="0.2"/>
    <row r="28200" s="197" customFormat="1" ht="12.75" x14ac:dyDescent="0.2"/>
    <row r="28201" s="197" customFormat="1" ht="12.75" x14ac:dyDescent="0.2"/>
    <row r="28202" s="197" customFormat="1" ht="12.75" x14ac:dyDescent="0.2"/>
    <row r="28203" s="197" customFormat="1" ht="12.75" x14ac:dyDescent="0.2"/>
    <row r="28204" s="197" customFormat="1" ht="12.75" x14ac:dyDescent="0.2"/>
    <row r="28205" s="197" customFormat="1" ht="12.75" x14ac:dyDescent="0.2"/>
    <row r="28206" s="197" customFormat="1" ht="12.75" x14ac:dyDescent="0.2"/>
    <row r="28207" s="197" customFormat="1" ht="12.75" x14ac:dyDescent="0.2"/>
    <row r="28208" s="197" customFormat="1" ht="12.75" x14ac:dyDescent="0.2"/>
    <row r="28209" s="197" customFormat="1" ht="12.75" x14ac:dyDescent="0.2"/>
    <row r="28210" s="197" customFormat="1" ht="12.75" x14ac:dyDescent="0.2"/>
    <row r="28211" s="197" customFormat="1" ht="12.75" x14ac:dyDescent="0.2"/>
    <row r="28212" s="197" customFormat="1" ht="12.75" x14ac:dyDescent="0.2"/>
    <row r="28213" s="197" customFormat="1" ht="12.75" x14ac:dyDescent="0.2"/>
    <row r="28214" s="197" customFormat="1" ht="12.75" x14ac:dyDescent="0.2"/>
    <row r="28215" s="197" customFormat="1" ht="12.75" x14ac:dyDescent="0.2"/>
    <row r="28216" s="197" customFormat="1" ht="12.75" x14ac:dyDescent="0.2"/>
    <row r="28217" s="197" customFormat="1" ht="12.75" x14ac:dyDescent="0.2"/>
    <row r="28218" s="197" customFormat="1" ht="12.75" x14ac:dyDescent="0.2"/>
    <row r="28219" s="197" customFormat="1" ht="12.75" x14ac:dyDescent="0.2"/>
    <row r="28220" s="197" customFormat="1" ht="12.75" x14ac:dyDescent="0.2"/>
    <row r="28221" s="197" customFormat="1" ht="12.75" x14ac:dyDescent="0.2"/>
    <row r="28222" s="197" customFormat="1" ht="12.75" x14ac:dyDescent="0.2"/>
    <row r="28223" s="197" customFormat="1" ht="12.75" x14ac:dyDescent="0.2"/>
    <row r="28224" s="197" customFormat="1" ht="12.75" x14ac:dyDescent="0.2"/>
    <row r="28225" s="197" customFormat="1" ht="12.75" x14ac:dyDescent="0.2"/>
    <row r="28226" s="197" customFormat="1" ht="12.75" x14ac:dyDescent="0.2"/>
    <row r="28227" s="197" customFormat="1" ht="12.75" x14ac:dyDescent="0.2"/>
    <row r="28228" s="197" customFormat="1" ht="12.75" x14ac:dyDescent="0.2"/>
    <row r="28229" s="197" customFormat="1" ht="12.75" x14ac:dyDescent="0.2"/>
    <row r="28230" s="197" customFormat="1" ht="12.75" x14ac:dyDescent="0.2"/>
    <row r="28231" s="197" customFormat="1" ht="12.75" x14ac:dyDescent="0.2"/>
    <row r="28232" s="197" customFormat="1" ht="12.75" x14ac:dyDescent="0.2"/>
    <row r="28233" s="197" customFormat="1" ht="12.75" x14ac:dyDescent="0.2"/>
    <row r="28234" s="197" customFormat="1" ht="12.75" x14ac:dyDescent="0.2"/>
    <row r="28235" s="197" customFormat="1" ht="12.75" x14ac:dyDescent="0.2"/>
    <row r="28236" s="197" customFormat="1" ht="12.75" x14ac:dyDescent="0.2"/>
    <row r="28237" s="197" customFormat="1" ht="12.75" x14ac:dyDescent="0.2"/>
    <row r="28238" s="197" customFormat="1" ht="12.75" x14ac:dyDescent="0.2"/>
    <row r="28239" s="197" customFormat="1" ht="12.75" x14ac:dyDescent="0.2"/>
    <row r="28240" s="197" customFormat="1" ht="12.75" x14ac:dyDescent="0.2"/>
    <row r="28241" s="197" customFormat="1" ht="12.75" x14ac:dyDescent="0.2"/>
    <row r="28242" s="197" customFormat="1" ht="12.75" x14ac:dyDescent="0.2"/>
    <row r="28243" s="197" customFormat="1" ht="12.75" x14ac:dyDescent="0.2"/>
    <row r="28244" s="197" customFormat="1" ht="12.75" x14ac:dyDescent="0.2"/>
    <row r="28245" s="197" customFormat="1" ht="12.75" x14ac:dyDescent="0.2"/>
    <row r="28246" s="197" customFormat="1" ht="12.75" x14ac:dyDescent="0.2"/>
    <row r="28247" s="197" customFormat="1" ht="12.75" x14ac:dyDescent="0.2"/>
    <row r="28248" s="197" customFormat="1" ht="12.75" x14ac:dyDescent="0.2"/>
    <row r="28249" s="197" customFormat="1" ht="12.75" x14ac:dyDescent="0.2"/>
    <row r="28250" s="197" customFormat="1" ht="12.75" x14ac:dyDescent="0.2"/>
    <row r="28251" s="197" customFormat="1" ht="12.75" x14ac:dyDescent="0.2"/>
    <row r="28252" s="197" customFormat="1" ht="12.75" x14ac:dyDescent="0.2"/>
    <row r="28253" s="197" customFormat="1" ht="12.75" x14ac:dyDescent="0.2"/>
    <row r="28254" s="197" customFormat="1" ht="12.75" x14ac:dyDescent="0.2"/>
    <row r="28255" s="197" customFormat="1" ht="12.75" x14ac:dyDescent="0.2"/>
    <row r="28256" s="197" customFormat="1" ht="12.75" x14ac:dyDescent="0.2"/>
    <row r="28257" s="197" customFormat="1" ht="12.75" x14ac:dyDescent="0.2"/>
    <row r="28258" s="197" customFormat="1" ht="12.75" x14ac:dyDescent="0.2"/>
    <row r="28259" s="197" customFormat="1" ht="12.75" x14ac:dyDescent="0.2"/>
    <row r="28260" s="197" customFormat="1" ht="12.75" x14ac:dyDescent="0.2"/>
    <row r="28261" s="197" customFormat="1" ht="12.75" x14ac:dyDescent="0.2"/>
    <row r="28262" s="197" customFormat="1" ht="12.75" x14ac:dyDescent="0.2"/>
    <row r="28263" s="197" customFormat="1" ht="12.75" x14ac:dyDescent="0.2"/>
    <row r="28264" s="197" customFormat="1" ht="12.75" x14ac:dyDescent="0.2"/>
    <row r="28265" s="197" customFormat="1" ht="12.75" x14ac:dyDescent="0.2"/>
    <row r="28266" s="197" customFormat="1" ht="12.75" x14ac:dyDescent="0.2"/>
    <row r="28267" s="197" customFormat="1" ht="12.75" x14ac:dyDescent="0.2"/>
    <row r="28268" s="197" customFormat="1" ht="12.75" x14ac:dyDescent="0.2"/>
    <row r="28269" s="197" customFormat="1" ht="12.75" x14ac:dyDescent="0.2"/>
    <row r="28270" s="197" customFormat="1" ht="12.75" x14ac:dyDescent="0.2"/>
    <row r="28271" s="197" customFormat="1" ht="12.75" x14ac:dyDescent="0.2"/>
    <row r="28272" s="197" customFormat="1" ht="12.75" x14ac:dyDescent="0.2"/>
    <row r="28273" s="197" customFormat="1" ht="12.75" x14ac:dyDescent="0.2"/>
    <row r="28274" s="197" customFormat="1" ht="12.75" x14ac:dyDescent="0.2"/>
    <row r="28275" s="197" customFormat="1" ht="12.75" x14ac:dyDescent="0.2"/>
    <row r="28276" s="197" customFormat="1" ht="12.75" x14ac:dyDescent="0.2"/>
    <row r="28277" s="197" customFormat="1" ht="12.75" x14ac:dyDescent="0.2"/>
    <row r="28278" s="197" customFormat="1" ht="12.75" x14ac:dyDescent="0.2"/>
    <row r="28279" s="197" customFormat="1" ht="12.75" x14ac:dyDescent="0.2"/>
    <row r="28280" s="197" customFormat="1" ht="12.75" x14ac:dyDescent="0.2"/>
    <row r="28281" s="197" customFormat="1" ht="12.75" x14ac:dyDescent="0.2"/>
    <row r="28282" s="197" customFormat="1" ht="12.75" x14ac:dyDescent="0.2"/>
    <row r="28283" s="197" customFormat="1" ht="12.75" x14ac:dyDescent="0.2"/>
    <row r="28284" s="197" customFormat="1" ht="12.75" x14ac:dyDescent="0.2"/>
    <row r="28285" s="197" customFormat="1" ht="12.75" x14ac:dyDescent="0.2"/>
    <row r="28286" s="197" customFormat="1" ht="12.75" x14ac:dyDescent="0.2"/>
    <row r="28287" s="197" customFormat="1" ht="12.75" x14ac:dyDescent="0.2"/>
    <row r="28288" s="197" customFormat="1" ht="12.75" x14ac:dyDescent="0.2"/>
    <row r="28289" s="197" customFormat="1" ht="12.75" x14ac:dyDescent="0.2"/>
    <row r="28290" s="197" customFormat="1" ht="12.75" x14ac:dyDescent="0.2"/>
    <row r="28291" s="197" customFormat="1" ht="12.75" x14ac:dyDescent="0.2"/>
    <row r="28292" s="197" customFormat="1" ht="12.75" x14ac:dyDescent="0.2"/>
    <row r="28293" s="197" customFormat="1" ht="12.75" x14ac:dyDescent="0.2"/>
    <row r="28294" s="197" customFormat="1" ht="12.75" x14ac:dyDescent="0.2"/>
    <row r="28295" s="197" customFormat="1" ht="12.75" x14ac:dyDescent="0.2"/>
    <row r="28296" s="197" customFormat="1" ht="12.75" x14ac:dyDescent="0.2"/>
    <row r="28297" s="197" customFormat="1" ht="12.75" x14ac:dyDescent="0.2"/>
    <row r="28298" s="197" customFormat="1" ht="12.75" x14ac:dyDescent="0.2"/>
    <row r="28299" s="197" customFormat="1" ht="12.75" x14ac:dyDescent="0.2"/>
    <row r="28300" s="197" customFormat="1" ht="12.75" x14ac:dyDescent="0.2"/>
    <row r="28301" s="197" customFormat="1" ht="12.75" x14ac:dyDescent="0.2"/>
    <row r="28302" s="197" customFormat="1" ht="12.75" x14ac:dyDescent="0.2"/>
    <row r="28303" s="197" customFormat="1" ht="12.75" x14ac:dyDescent="0.2"/>
    <row r="28304" s="197" customFormat="1" ht="12.75" x14ac:dyDescent="0.2"/>
    <row r="28305" s="197" customFormat="1" ht="12.75" x14ac:dyDescent="0.2"/>
    <row r="28306" s="197" customFormat="1" ht="12.75" x14ac:dyDescent="0.2"/>
    <row r="28307" s="197" customFormat="1" ht="12.75" x14ac:dyDescent="0.2"/>
    <row r="28308" s="197" customFormat="1" ht="12.75" x14ac:dyDescent="0.2"/>
    <row r="28309" s="197" customFormat="1" ht="12.75" x14ac:dyDescent="0.2"/>
    <row r="28310" s="197" customFormat="1" ht="12.75" x14ac:dyDescent="0.2"/>
    <row r="28311" s="197" customFormat="1" ht="12.75" x14ac:dyDescent="0.2"/>
    <row r="28312" s="197" customFormat="1" ht="12.75" x14ac:dyDescent="0.2"/>
    <row r="28313" s="197" customFormat="1" ht="12.75" x14ac:dyDescent="0.2"/>
    <row r="28314" s="197" customFormat="1" ht="12.75" x14ac:dyDescent="0.2"/>
    <row r="28315" s="197" customFormat="1" ht="12.75" x14ac:dyDescent="0.2"/>
    <row r="28316" s="197" customFormat="1" ht="12.75" x14ac:dyDescent="0.2"/>
    <row r="28317" s="197" customFormat="1" ht="12.75" x14ac:dyDescent="0.2"/>
    <row r="28318" s="197" customFormat="1" ht="12.75" x14ac:dyDescent="0.2"/>
    <row r="28319" s="197" customFormat="1" ht="12.75" x14ac:dyDescent="0.2"/>
    <row r="28320" s="197" customFormat="1" ht="12.75" x14ac:dyDescent="0.2"/>
    <row r="28321" s="197" customFormat="1" ht="12.75" x14ac:dyDescent="0.2"/>
    <row r="28322" s="197" customFormat="1" ht="12.75" x14ac:dyDescent="0.2"/>
    <row r="28323" s="197" customFormat="1" ht="12.75" x14ac:dyDescent="0.2"/>
    <row r="28324" s="197" customFormat="1" ht="12.75" x14ac:dyDescent="0.2"/>
    <row r="28325" s="197" customFormat="1" ht="12.75" x14ac:dyDescent="0.2"/>
    <row r="28326" s="197" customFormat="1" ht="12.75" x14ac:dyDescent="0.2"/>
    <row r="28327" s="197" customFormat="1" ht="12.75" x14ac:dyDescent="0.2"/>
    <row r="28328" s="197" customFormat="1" ht="12.75" x14ac:dyDescent="0.2"/>
    <row r="28329" s="197" customFormat="1" ht="12.75" x14ac:dyDescent="0.2"/>
    <row r="28330" s="197" customFormat="1" ht="12.75" x14ac:dyDescent="0.2"/>
    <row r="28331" s="197" customFormat="1" ht="12.75" x14ac:dyDescent="0.2"/>
    <row r="28332" s="197" customFormat="1" ht="12.75" x14ac:dyDescent="0.2"/>
    <row r="28333" s="197" customFormat="1" ht="12.75" x14ac:dyDescent="0.2"/>
    <row r="28334" s="197" customFormat="1" ht="12.75" x14ac:dyDescent="0.2"/>
    <row r="28335" s="197" customFormat="1" ht="12.75" x14ac:dyDescent="0.2"/>
    <row r="28336" s="197" customFormat="1" ht="12.75" x14ac:dyDescent="0.2"/>
    <row r="28337" s="197" customFormat="1" ht="12.75" x14ac:dyDescent="0.2"/>
    <row r="28338" s="197" customFormat="1" ht="12.75" x14ac:dyDescent="0.2"/>
    <row r="28339" s="197" customFormat="1" ht="12.75" x14ac:dyDescent="0.2"/>
    <row r="28340" s="197" customFormat="1" ht="12.75" x14ac:dyDescent="0.2"/>
    <row r="28341" s="197" customFormat="1" ht="12.75" x14ac:dyDescent="0.2"/>
    <row r="28342" s="197" customFormat="1" ht="12.75" x14ac:dyDescent="0.2"/>
    <row r="28343" s="197" customFormat="1" ht="12.75" x14ac:dyDescent="0.2"/>
    <row r="28344" s="197" customFormat="1" ht="12.75" x14ac:dyDescent="0.2"/>
    <row r="28345" s="197" customFormat="1" ht="12.75" x14ac:dyDescent="0.2"/>
    <row r="28346" s="197" customFormat="1" ht="12.75" x14ac:dyDescent="0.2"/>
    <row r="28347" s="197" customFormat="1" ht="12.75" x14ac:dyDescent="0.2"/>
    <row r="28348" s="197" customFormat="1" ht="12.75" x14ac:dyDescent="0.2"/>
    <row r="28349" s="197" customFormat="1" ht="12.75" x14ac:dyDescent="0.2"/>
    <row r="28350" s="197" customFormat="1" ht="12.75" x14ac:dyDescent="0.2"/>
    <row r="28351" s="197" customFormat="1" ht="12.75" x14ac:dyDescent="0.2"/>
    <row r="28352" s="197" customFormat="1" ht="12.75" x14ac:dyDescent="0.2"/>
    <row r="28353" s="197" customFormat="1" ht="12.75" x14ac:dyDescent="0.2"/>
    <row r="28354" s="197" customFormat="1" ht="12.75" x14ac:dyDescent="0.2"/>
    <row r="28355" s="197" customFormat="1" ht="12.75" x14ac:dyDescent="0.2"/>
    <row r="28356" s="197" customFormat="1" ht="12.75" x14ac:dyDescent="0.2"/>
    <row r="28357" s="197" customFormat="1" ht="12.75" x14ac:dyDescent="0.2"/>
    <row r="28358" s="197" customFormat="1" ht="12.75" x14ac:dyDescent="0.2"/>
    <row r="28359" s="197" customFormat="1" ht="12.75" x14ac:dyDescent="0.2"/>
    <row r="28360" s="197" customFormat="1" ht="12.75" x14ac:dyDescent="0.2"/>
    <row r="28361" s="197" customFormat="1" ht="12.75" x14ac:dyDescent="0.2"/>
    <row r="28362" s="197" customFormat="1" ht="12.75" x14ac:dyDescent="0.2"/>
    <row r="28363" s="197" customFormat="1" ht="12.75" x14ac:dyDescent="0.2"/>
    <row r="28364" s="197" customFormat="1" ht="12.75" x14ac:dyDescent="0.2"/>
    <row r="28365" s="197" customFormat="1" ht="12.75" x14ac:dyDescent="0.2"/>
    <row r="28366" s="197" customFormat="1" ht="12.75" x14ac:dyDescent="0.2"/>
    <row r="28367" s="197" customFormat="1" ht="12.75" x14ac:dyDescent="0.2"/>
    <row r="28368" s="197" customFormat="1" ht="12.75" x14ac:dyDescent="0.2"/>
    <row r="28369" s="197" customFormat="1" ht="12.75" x14ac:dyDescent="0.2"/>
    <row r="28370" s="197" customFormat="1" ht="12.75" x14ac:dyDescent="0.2"/>
    <row r="28371" s="197" customFormat="1" ht="12.75" x14ac:dyDescent="0.2"/>
    <row r="28372" s="197" customFormat="1" ht="12.75" x14ac:dyDescent="0.2"/>
    <row r="28373" s="197" customFormat="1" ht="12.75" x14ac:dyDescent="0.2"/>
    <row r="28374" s="197" customFormat="1" ht="12.75" x14ac:dyDescent="0.2"/>
    <row r="28375" s="197" customFormat="1" ht="12.75" x14ac:dyDescent="0.2"/>
    <row r="28376" s="197" customFormat="1" ht="12.75" x14ac:dyDescent="0.2"/>
    <row r="28377" s="197" customFormat="1" ht="12.75" x14ac:dyDescent="0.2"/>
    <row r="28378" s="197" customFormat="1" ht="12.75" x14ac:dyDescent="0.2"/>
    <row r="28379" s="197" customFormat="1" ht="12.75" x14ac:dyDescent="0.2"/>
    <row r="28380" s="197" customFormat="1" ht="12.75" x14ac:dyDescent="0.2"/>
    <row r="28381" s="197" customFormat="1" ht="12.75" x14ac:dyDescent="0.2"/>
    <row r="28382" s="197" customFormat="1" ht="12.75" x14ac:dyDescent="0.2"/>
    <row r="28383" s="197" customFormat="1" ht="12.75" x14ac:dyDescent="0.2"/>
    <row r="28384" s="197" customFormat="1" ht="12.75" x14ac:dyDescent="0.2"/>
    <row r="28385" s="197" customFormat="1" ht="12.75" x14ac:dyDescent="0.2"/>
    <row r="28386" s="197" customFormat="1" ht="12.75" x14ac:dyDescent="0.2"/>
    <row r="28387" s="197" customFormat="1" ht="12.75" x14ac:dyDescent="0.2"/>
    <row r="28388" s="197" customFormat="1" ht="12.75" x14ac:dyDescent="0.2"/>
    <row r="28389" s="197" customFormat="1" ht="12.75" x14ac:dyDescent="0.2"/>
    <row r="28390" s="197" customFormat="1" ht="12.75" x14ac:dyDescent="0.2"/>
    <row r="28391" s="197" customFormat="1" ht="12.75" x14ac:dyDescent="0.2"/>
    <row r="28392" s="197" customFormat="1" ht="12.75" x14ac:dyDescent="0.2"/>
    <row r="28393" s="197" customFormat="1" ht="12.75" x14ac:dyDescent="0.2"/>
    <row r="28394" s="197" customFormat="1" ht="12.75" x14ac:dyDescent="0.2"/>
    <row r="28395" s="197" customFormat="1" ht="12.75" x14ac:dyDescent="0.2"/>
    <row r="28396" s="197" customFormat="1" ht="12.75" x14ac:dyDescent="0.2"/>
    <row r="28397" s="197" customFormat="1" ht="12.75" x14ac:dyDescent="0.2"/>
    <row r="28398" s="197" customFormat="1" ht="12.75" x14ac:dyDescent="0.2"/>
    <row r="28399" s="197" customFormat="1" ht="12.75" x14ac:dyDescent="0.2"/>
    <row r="28400" s="197" customFormat="1" ht="12.75" x14ac:dyDescent="0.2"/>
    <row r="28401" s="197" customFormat="1" ht="12.75" x14ac:dyDescent="0.2"/>
    <row r="28402" s="197" customFormat="1" ht="12.75" x14ac:dyDescent="0.2"/>
    <row r="28403" s="197" customFormat="1" ht="12.75" x14ac:dyDescent="0.2"/>
    <row r="28404" s="197" customFormat="1" ht="12.75" x14ac:dyDescent="0.2"/>
    <row r="28405" s="197" customFormat="1" ht="12.75" x14ac:dyDescent="0.2"/>
    <row r="28406" s="197" customFormat="1" ht="12.75" x14ac:dyDescent="0.2"/>
    <row r="28407" s="197" customFormat="1" ht="12.75" x14ac:dyDescent="0.2"/>
    <row r="28408" s="197" customFormat="1" ht="12.75" x14ac:dyDescent="0.2"/>
    <row r="28409" s="197" customFormat="1" ht="12.75" x14ac:dyDescent="0.2"/>
    <row r="28410" s="197" customFormat="1" ht="12.75" x14ac:dyDescent="0.2"/>
    <row r="28411" s="197" customFormat="1" ht="12.75" x14ac:dyDescent="0.2"/>
    <row r="28412" s="197" customFormat="1" ht="12.75" x14ac:dyDescent="0.2"/>
    <row r="28413" s="197" customFormat="1" ht="12.75" x14ac:dyDescent="0.2"/>
    <row r="28414" s="197" customFormat="1" ht="12.75" x14ac:dyDescent="0.2"/>
    <row r="28415" s="197" customFormat="1" ht="12.75" x14ac:dyDescent="0.2"/>
    <row r="28416" s="197" customFormat="1" ht="12.75" x14ac:dyDescent="0.2"/>
    <row r="28417" s="197" customFormat="1" ht="12.75" x14ac:dyDescent="0.2"/>
    <row r="28418" s="197" customFormat="1" ht="12.75" x14ac:dyDescent="0.2"/>
    <row r="28419" s="197" customFormat="1" ht="12.75" x14ac:dyDescent="0.2"/>
    <row r="28420" s="197" customFormat="1" ht="12.75" x14ac:dyDescent="0.2"/>
    <row r="28421" s="197" customFormat="1" ht="12.75" x14ac:dyDescent="0.2"/>
    <row r="28422" s="197" customFormat="1" ht="12.75" x14ac:dyDescent="0.2"/>
    <row r="28423" s="197" customFormat="1" ht="12.75" x14ac:dyDescent="0.2"/>
    <row r="28424" s="197" customFormat="1" ht="12.75" x14ac:dyDescent="0.2"/>
    <row r="28425" s="197" customFormat="1" ht="12.75" x14ac:dyDescent="0.2"/>
    <row r="28426" s="197" customFormat="1" ht="12.75" x14ac:dyDescent="0.2"/>
    <row r="28427" s="197" customFormat="1" ht="12.75" x14ac:dyDescent="0.2"/>
    <row r="28428" s="197" customFormat="1" ht="12.75" x14ac:dyDescent="0.2"/>
    <row r="28429" s="197" customFormat="1" ht="12.75" x14ac:dyDescent="0.2"/>
    <row r="28430" s="197" customFormat="1" ht="12.75" x14ac:dyDescent="0.2"/>
    <row r="28431" s="197" customFormat="1" ht="12.75" x14ac:dyDescent="0.2"/>
    <row r="28432" s="197" customFormat="1" ht="12.75" x14ac:dyDescent="0.2"/>
    <row r="28433" s="197" customFormat="1" ht="12.75" x14ac:dyDescent="0.2"/>
    <row r="28434" s="197" customFormat="1" ht="12.75" x14ac:dyDescent="0.2"/>
    <row r="28435" s="197" customFormat="1" ht="12.75" x14ac:dyDescent="0.2"/>
    <row r="28436" s="197" customFormat="1" ht="12.75" x14ac:dyDescent="0.2"/>
    <row r="28437" s="197" customFormat="1" ht="12.75" x14ac:dyDescent="0.2"/>
    <row r="28438" s="197" customFormat="1" ht="12.75" x14ac:dyDescent="0.2"/>
    <row r="28439" s="197" customFormat="1" ht="12.75" x14ac:dyDescent="0.2"/>
    <row r="28440" s="197" customFormat="1" ht="12.75" x14ac:dyDescent="0.2"/>
    <row r="28441" s="197" customFormat="1" ht="12.75" x14ac:dyDescent="0.2"/>
    <row r="28442" s="197" customFormat="1" ht="12.75" x14ac:dyDescent="0.2"/>
    <row r="28443" s="197" customFormat="1" ht="12.75" x14ac:dyDescent="0.2"/>
    <row r="28444" s="197" customFormat="1" ht="12.75" x14ac:dyDescent="0.2"/>
    <row r="28445" s="197" customFormat="1" ht="12.75" x14ac:dyDescent="0.2"/>
    <row r="28446" s="197" customFormat="1" ht="12.75" x14ac:dyDescent="0.2"/>
    <row r="28447" s="197" customFormat="1" ht="12.75" x14ac:dyDescent="0.2"/>
    <row r="28448" s="197" customFormat="1" ht="12.75" x14ac:dyDescent="0.2"/>
    <row r="28449" s="197" customFormat="1" ht="12.75" x14ac:dyDescent="0.2"/>
    <row r="28450" s="197" customFormat="1" ht="12.75" x14ac:dyDescent="0.2"/>
    <row r="28451" s="197" customFormat="1" ht="12.75" x14ac:dyDescent="0.2"/>
    <row r="28452" s="197" customFormat="1" ht="12.75" x14ac:dyDescent="0.2"/>
    <row r="28453" s="197" customFormat="1" ht="12.75" x14ac:dyDescent="0.2"/>
    <row r="28454" s="197" customFormat="1" ht="12.75" x14ac:dyDescent="0.2"/>
    <row r="28455" s="197" customFormat="1" ht="12.75" x14ac:dyDescent="0.2"/>
    <row r="28456" s="197" customFormat="1" ht="12.75" x14ac:dyDescent="0.2"/>
    <row r="28457" s="197" customFormat="1" ht="12.75" x14ac:dyDescent="0.2"/>
    <row r="28458" s="197" customFormat="1" ht="12.75" x14ac:dyDescent="0.2"/>
    <row r="28459" s="197" customFormat="1" ht="12.75" x14ac:dyDescent="0.2"/>
    <row r="28460" s="197" customFormat="1" ht="12.75" x14ac:dyDescent="0.2"/>
    <row r="28461" s="197" customFormat="1" ht="12.75" x14ac:dyDescent="0.2"/>
    <row r="28462" s="197" customFormat="1" ht="12.75" x14ac:dyDescent="0.2"/>
    <row r="28463" s="197" customFormat="1" ht="12.75" x14ac:dyDescent="0.2"/>
    <row r="28464" s="197" customFormat="1" ht="12.75" x14ac:dyDescent="0.2"/>
    <row r="28465" s="197" customFormat="1" ht="12.75" x14ac:dyDescent="0.2"/>
    <row r="28466" s="197" customFormat="1" ht="12.75" x14ac:dyDescent="0.2"/>
    <row r="28467" s="197" customFormat="1" ht="12.75" x14ac:dyDescent="0.2"/>
    <row r="28468" s="197" customFormat="1" ht="12.75" x14ac:dyDescent="0.2"/>
    <row r="28469" s="197" customFormat="1" ht="12.75" x14ac:dyDescent="0.2"/>
    <row r="28470" s="197" customFormat="1" ht="12.75" x14ac:dyDescent="0.2"/>
    <row r="28471" s="197" customFormat="1" ht="12.75" x14ac:dyDescent="0.2"/>
    <row r="28472" s="197" customFormat="1" ht="12.75" x14ac:dyDescent="0.2"/>
    <row r="28473" s="197" customFormat="1" ht="12.75" x14ac:dyDescent="0.2"/>
    <row r="28474" s="197" customFormat="1" ht="12.75" x14ac:dyDescent="0.2"/>
    <row r="28475" s="197" customFormat="1" ht="12.75" x14ac:dyDescent="0.2"/>
    <row r="28476" s="197" customFormat="1" ht="12.75" x14ac:dyDescent="0.2"/>
    <row r="28477" s="197" customFormat="1" ht="12.75" x14ac:dyDescent="0.2"/>
    <row r="28478" s="197" customFormat="1" ht="12.75" x14ac:dyDescent="0.2"/>
    <row r="28479" s="197" customFormat="1" ht="12.75" x14ac:dyDescent="0.2"/>
    <row r="28480" s="197" customFormat="1" ht="12.75" x14ac:dyDescent="0.2"/>
    <row r="28481" s="197" customFormat="1" ht="12.75" x14ac:dyDescent="0.2"/>
    <row r="28482" s="197" customFormat="1" ht="12.75" x14ac:dyDescent="0.2"/>
    <row r="28483" s="197" customFormat="1" ht="12.75" x14ac:dyDescent="0.2"/>
    <row r="28484" s="197" customFormat="1" ht="12.75" x14ac:dyDescent="0.2"/>
    <row r="28485" s="197" customFormat="1" ht="12.75" x14ac:dyDescent="0.2"/>
    <row r="28486" s="197" customFormat="1" ht="12.75" x14ac:dyDescent="0.2"/>
    <row r="28487" s="197" customFormat="1" ht="12.75" x14ac:dyDescent="0.2"/>
    <row r="28488" s="197" customFormat="1" ht="12.75" x14ac:dyDescent="0.2"/>
    <row r="28489" s="197" customFormat="1" ht="12.75" x14ac:dyDescent="0.2"/>
    <row r="28490" s="197" customFormat="1" ht="12.75" x14ac:dyDescent="0.2"/>
    <row r="28491" s="197" customFormat="1" ht="12.75" x14ac:dyDescent="0.2"/>
    <row r="28492" s="197" customFormat="1" ht="12.75" x14ac:dyDescent="0.2"/>
    <row r="28493" s="197" customFormat="1" ht="12.75" x14ac:dyDescent="0.2"/>
    <row r="28494" s="197" customFormat="1" ht="12.75" x14ac:dyDescent="0.2"/>
    <row r="28495" s="197" customFormat="1" ht="12.75" x14ac:dyDescent="0.2"/>
    <row r="28496" s="197" customFormat="1" ht="12.75" x14ac:dyDescent="0.2"/>
    <row r="28497" s="197" customFormat="1" ht="12.75" x14ac:dyDescent="0.2"/>
    <row r="28498" s="197" customFormat="1" ht="12.75" x14ac:dyDescent="0.2"/>
    <row r="28499" s="197" customFormat="1" ht="12.75" x14ac:dyDescent="0.2"/>
    <row r="28500" s="197" customFormat="1" ht="12.75" x14ac:dyDescent="0.2"/>
    <row r="28501" s="197" customFormat="1" ht="12.75" x14ac:dyDescent="0.2"/>
    <row r="28502" s="197" customFormat="1" ht="12.75" x14ac:dyDescent="0.2"/>
    <row r="28503" s="197" customFormat="1" ht="12.75" x14ac:dyDescent="0.2"/>
    <row r="28504" s="197" customFormat="1" ht="12.75" x14ac:dyDescent="0.2"/>
    <row r="28505" s="197" customFormat="1" ht="12.75" x14ac:dyDescent="0.2"/>
    <row r="28506" s="197" customFormat="1" ht="12.75" x14ac:dyDescent="0.2"/>
    <row r="28507" s="197" customFormat="1" ht="12.75" x14ac:dyDescent="0.2"/>
    <row r="28508" s="197" customFormat="1" ht="12.75" x14ac:dyDescent="0.2"/>
    <row r="28509" s="197" customFormat="1" ht="12.75" x14ac:dyDescent="0.2"/>
    <row r="28510" s="197" customFormat="1" ht="12.75" x14ac:dyDescent="0.2"/>
    <row r="28511" s="197" customFormat="1" ht="12.75" x14ac:dyDescent="0.2"/>
    <row r="28512" s="197" customFormat="1" ht="12.75" x14ac:dyDescent="0.2"/>
    <row r="28513" s="197" customFormat="1" ht="12.75" x14ac:dyDescent="0.2"/>
    <row r="28514" s="197" customFormat="1" ht="12.75" x14ac:dyDescent="0.2"/>
    <row r="28515" s="197" customFormat="1" ht="12.75" x14ac:dyDescent="0.2"/>
    <row r="28516" s="197" customFormat="1" ht="12.75" x14ac:dyDescent="0.2"/>
    <row r="28517" s="197" customFormat="1" ht="12.75" x14ac:dyDescent="0.2"/>
    <row r="28518" s="197" customFormat="1" ht="12.75" x14ac:dyDescent="0.2"/>
    <row r="28519" s="197" customFormat="1" ht="12.75" x14ac:dyDescent="0.2"/>
    <row r="28520" s="197" customFormat="1" ht="12.75" x14ac:dyDescent="0.2"/>
    <row r="28521" s="197" customFormat="1" ht="12.75" x14ac:dyDescent="0.2"/>
    <row r="28522" s="197" customFormat="1" ht="12.75" x14ac:dyDescent="0.2"/>
    <row r="28523" s="197" customFormat="1" ht="12.75" x14ac:dyDescent="0.2"/>
    <row r="28524" s="197" customFormat="1" ht="12.75" x14ac:dyDescent="0.2"/>
    <row r="28525" s="197" customFormat="1" ht="12.75" x14ac:dyDescent="0.2"/>
    <row r="28526" s="197" customFormat="1" ht="12.75" x14ac:dyDescent="0.2"/>
    <row r="28527" s="197" customFormat="1" ht="12.75" x14ac:dyDescent="0.2"/>
    <row r="28528" s="197" customFormat="1" ht="12.75" x14ac:dyDescent="0.2"/>
    <row r="28529" s="197" customFormat="1" ht="12.75" x14ac:dyDescent="0.2"/>
    <row r="28530" s="197" customFormat="1" ht="12.75" x14ac:dyDescent="0.2"/>
    <row r="28531" s="197" customFormat="1" ht="12.75" x14ac:dyDescent="0.2"/>
    <row r="28532" s="197" customFormat="1" ht="12.75" x14ac:dyDescent="0.2"/>
    <row r="28533" s="197" customFormat="1" ht="12.75" x14ac:dyDescent="0.2"/>
    <row r="28534" s="197" customFormat="1" ht="12.75" x14ac:dyDescent="0.2"/>
    <row r="28535" s="197" customFormat="1" ht="12.75" x14ac:dyDescent="0.2"/>
    <row r="28536" s="197" customFormat="1" ht="12.75" x14ac:dyDescent="0.2"/>
    <row r="28537" s="197" customFormat="1" ht="12.75" x14ac:dyDescent="0.2"/>
    <row r="28538" s="197" customFormat="1" ht="12.75" x14ac:dyDescent="0.2"/>
    <row r="28539" s="197" customFormat="1" ht="12.75" x14ac:dyDescent="0.2"/>
    <row r="28540" s="197" customFormat="1" ht="12.75" x14ac:dyDescent="0.2"/>
    <row r="28541" s="197" customFormat="1" ht="12.75" x14ac:dyDescent="0.2"/>
    <row r="28542" s="197" customFormat="1" ht="12.75" x14ac:dyDescent="0.2"/>
    <row r="28543" s="197" customFormat="1" ht="12.75" x14ac:dyDescent="0.2"/>
    <row r="28544" s="197" customFormat="1" ht="12.75" x14ac:dyDescent="0.2"/>
    <row r="28545" s="197" customFormat="1" ht="12.75" x14ac:dyDescent="0.2"/>
    <row r="28546" s="197" customFormat="1" ht="12.75" x14ac:dyDescent="0.2"/>
    <row r="28547" s="197" customFormat="1" ht="12.75" x14ac:dyDescent="0.2"/>
    <row r="28548" s="197" customFormat="1" ht="12.75" x14ac:dyDescent="0.2"/>
    <row r="28549" s="197" customFormat="1" ht="12.75" x14ac:dyDescent="0.2"/>
    <row r="28550" s="197" customFormat="1" ht="12.75" x14ac:dyDescent="0.2"/>
    <row r="28551" s="197" customFormat="1" ht="12.75" x14ac:dyDescent="0.2"/>
    <row r="28552" s="197" customFormat="1" ht="12.75" x14ac:dyDescent="0.2"/>
    <row r="28553" s="197" customFormat="1" ht="12.75" x14ac:dyDescent="0.2"/>
    <row r="28554" s="197" customFormat="1" ht="12.75" x14ac:dyDescent="0.2"/>
    <row r="28555" s="197" customFormat="1" ht="12.75" x14ac:dyDescent="0.2"/>
    <row r="28556" s="197" customFormat="1" ht="12.75" x14ac:dyDescent="0.2"/>
    <row r="28557" s="197" customFormat="1" ht="12.75" x14ac:dyDescent="0.2"/>
    <row r="28558" s="197" customFormat="1" ht="12.75" x14ac:dyDescent="0.2"/>
    <row r="28559" s="197" customFormat="1" ht="12.75" x14ac:dyDescent="0.2"/>
    <row r="28560" s="197" customFormat="1" ht="12.75" x14ac:dyDescent="0.2"/>
    <row r="28561" s="197" customFormat="1" ht="12.75" x14ac:dyDescent="0.2"/>
    <row r="28562" s="197" customFormat="1" ht="12.75" x14ac:dyDescent="0.2"/>
    <row r="28563" s="197" customFormat="1" ht="12.75" x14ac:dyDescent="0.2"/>
    <row r="28564" s="197" customFormat="1" ht="12.75" x14ac:dyDescent="0.2"/>
    <row r="28565" s="197" customFormat="1" ht="12.75" x14ac:dyDescent="0.2"/>
    <row r="28566" s="197" customFormat="1" ht="12.75" x14ac:dyDescent="0.2"/>
    <row r="28567" s="197" customFormat="1" ht="12.75" x14ac:dyDescent="0.2"/>
    <row r="28568" s="197" customFormat="1" ht="12.75" x14ac:dyDescent="0.2"/>
    <row r="28569" s="197" customFormat="1" ht="12.75" x14ac:dyDescent="0.2"/>
    <row r="28570" s="197" customFormat="1" ht="12.75" x14ac:dyDescent="0.2"/>
    <row r="28571" s="197" customFormat="1" ht="12.75" x14ac:dyDescent="0.2"/>
    <row r="28572" s="197" customFormat="1" ht="12.75" x14ac:dyDescent="0.2"/>
    <row r="28573" s="197" customFormat="1" ht="12.75" x14ac:dyDescent="0.2"/>
    <row r="28574" s="197" customFormat="1" ht="12.75" x14ac:dyDescent="0.2"/>
    <row r="28575" s="197" customFormat="1" ht="12.75" x14ac:dyDescent="0.2"/>
    <row r="28576" s="197" customFormat="1" ht="12.75" x14ac:dyDescent="0.2"/>
    <row r="28577" s="197" customFormat="1" ht="12.75" x14ac:dyDescent="0.2"/>
    <row r="28578" s="197" customFormat="1" ht="12.75" x14ac:dyDescent="0.2"/>
    <row r="28579" s="197" customFormat="1" ht="12.75" x14ac:dyDescent="0.2"/>
    <row r="28580" s="197" customFormat="1" ht="12.75" x14ac:dyDescent="0.2"/>
    <row r="28581" s="197" customFormat="1" ht="12.75" x14ac:dyDescent="0.2"/>
    <row r="28582" s="197" customFormat="1" ht="12.75" x14ac:dyDescent="0.2"/>
    <row r="28583" s="197" customFormat="1" ht="12.75" x14ac:dyDescent="0.2"/>
    <row r="28584" s="197" customFormat="1" ht="12.75" x14ac:dyDescent="0.2"/>
    <row r="28585" s="197" customFormat="1" ht="12.75" x14ac:dyDescent="0.2"/>
    <row r="28586" s="197" customFormat="1" ht="12.75" x14ac:dyDescent="0.2"/>
    <row r="28587" s="197" customFormat="1" ht="12.75" x14ac:dyDescent="0.2"/>
    <row r="28588" s="197" customFormat="1" ht="12.75" x14ac:dyDescent="0.2"/>
    <row r="28589" s="197" customFormat="1" ht="12.75" x14ac:dyDescent="0.2"/>
    <row r="28590" s="197" customFormat="1" ht="12.75" x14ac:dyDescent="0.2"/>
    <row r="28591" s="197" customFormat="1" ht="12.75" x14ac:dyDescent="0.2"/>
    <row r="28592" s="197" customFormat="1" ht="12.75" x14ac:dyDescent="0.2"/>
    <row r="28593" s="197" customFormat="1" ht="12.75" x14ac:dyDescent="0.2"/>
    <row r="28594" s="197" customFormat="1" ht="12.75" x14ac:dyDescent="0.2"/>
    <row r="28595" s="197" customFormat="1" ht="12.75" x14ac:dyDescent="0.2"/>
    <row r="28596" s="197" customFormat="1" ht="12.75" x14ac:dyDescent="0.2"/>
    <row r="28597" s="197" customFormat="1" ht="12.75" x14ac:dyDescent="0.2"/>
    <row r="28598" s="197" customFormat="1" ht="12.75" x14ac:dyDescent="0.2"/>
    <row r="28599" s="197" customFormat="1" ht="12.75" x14ac:dyDescent="0.2"/>
    <row r="28600" s="197" customFormat="1" ht="12.75" x14ac:dyDescent="0.2"/>
    <row r="28601" s="197" customFormat="1" ht="12.75" x14ac:dyDescent="0.2"/>
    <row r="28602" s="197" customFormat="1" ht="12.75" x14ac:dyDescent="0.2"/>
    <row r="28603" s="197" customFormat="1" ht="12.75" x14ac:dyDescent="0.2"/>
    <row r="28604" s="197" customFormat="1" ht="12.75" x14ac:dyDescent="0.2"/>
    <row r="28605" s="197" customFormat="1" ht="12.75" x14ac:dyDescent="0.2"/>
    <row r="28606" s="197" customFormat="1" ht="12.75" x14ac:dyDescent="0.2"/>
    <row r="28607" s="197" customFormat="1" ht="12.75" x14ac:dyDescent="0.2"/>
    <row r="28608" s="197" customFormat="1" ht="12.75" x14ac:dyDescent="0.2"/>
    <row r="28609" s="197" customFormat="1" ht="12.75" x14ac:dyDescent="0.2"/>
    <row r="28610" s="197" customFormat="1" ht="12.75" x14ac:dyDescent="0.2"/>
    <row r="28611" s="197" customFormat="1" ht="12.75" x14ac:dyDescent="0.2"/>
    <row r="28612" s="197" customFormat="1" ht="12.75" x14ac:dyDescent="0.2"/>
    <row r="28613" s="197" customFormat="1" ht="12.75" x14ac:dyDescent="0.2"/>
    <row r="28614" s="197" customFormat="1" ht="12.75" x14ac:dyDescent="0.2"/>
    <row r="28615" s="197" customFormat="1" ht="12.75" x14ac:dyDescent="0.2"/>
    <row r="28616" s="197" customFormat="1" ht="12.75" x14ac:dyDescent="0.2"/>
    <row r="28617" s="197" customFormat="1" ht="12.75" x14ac:dyDescent="0.2"/>
    <row r="28618" s="197" customFormat="1" ht="12.75" x14ac:dyDescent="0.2"/>
    <row r="28619" s="197" customFormat="1" ht="12.75" x14ac:dyDescent="0.2"/>
    <row r="28620" s="197" customFormat="1" ht="12.75" x14ac:dyDescent="0.2"/>
    <row r="28621" s="197" customFormat="1" ht="12.75" x14ac:dyDescent="0.2"/>
    <row r="28622" s="197" customFormat="1" ht="12.75" x14ac:dyDescent="0.2"/>
    <row r="28623" s="197" customFormat="1" ht="12.75" x14ac:dyDescent="0.2"/>
    <row r="28624" s="197" customFormat="1" ht="12.75" x14ac:dyDescent="0.2"/>
    <row r="28625" s="197" customFormat="1" ht="12.75" x14ac:dyDescent="0.2"/>
    <row r="28626" s="197" customFormat="1" ht="12.75" x14ac:dyDescent="0.2"/>
    <row r="28627" s="197" customFormat="1" ht="12.75" x14ac:dyDescent="0.2"/>
    <row r="28628" s="197" customFormat="1" ht="12.75" x14ac:dyDescent="0.2"/>
    <row r="28629" s="197" customFormat="1" ht="12.75" x14ac:dyDescent="0.2"/>
    <row r="28630" s="197" customFormat="1" ht="12.75" x14ac:dyDescent="0.2"/>
    <row r="28631" s="197" customFormat="1" ht="12.75" x14ac:dyDescent="0.2"/>
    <row r="28632" s="197" customFormat="1" ht="12.75" x14ac:dyDescent="0.2"/>
    <row r="28633" s="197" customFormat="1" ht="12.75" x14ac:dyDescent="0.2"/>
    <row r="28634" s="197" customFormat="1" ht="12.75" x14ac:dyDescent="0.2"/>
    <row r="28635" s="197" customFormat="1" ht="12.75" x14ac:dyDescent="0.2"/>
    <row r="28636" s="197" customFormat="1" ht="12.75" x14ac:dyDescent="0.2"/>
    <row r="28637" s="197" customFormat="1" ht="12.75" x14ac:dyDescent="0.2"/>
    <row r="28638" s="197" customFormat="1" ht="12.75" x14ac:dyDescent="0.2"/>
    <row r="28639" s="197" customFormat="1" ht="12.75" x14ac:dyDescent="0.2"/>
    <row r="28640" s="197" customFormat="1" ht="12.75" x14ac:dyDescent="0.2"/>
    <row r="28641" s="197" customFormat="1" ht="12.75" x14ac:dyDescent="0.2"/>
    <row r="28642" s="197" customFormat="1" ht="12.75" x14ac:dyDescent="0.2"/>
    <row r="28643" s="197" customFormat="1" ht="12.75" x14ac:dyDescent="0.2"/>
    <row r="28644" s="197" customFormat="1" ht="12.75" x14ac:dyDescent="0.2"/>
    <row r="28645" s="197" customFormat="1" ht="12.75" x14ac:dyDescent="0.2"/>
    <row r="28646" s="197" customFormat="1" ht="12.75" x14ac:dyDescent="0.2"/>
    <row r="28647" s="197" customFormat="1" ht="12.75" x14ac:dyDescent="0.2"/>
    <row r="28648" s="197" customFormat="1" ht="12.75" x14ac:dyDescent="0.2"/>
    <row r="28649" s="197" customFormat="1" ht="12.75" x14ac:dyDescent="0.2"/>
    <row r="28650" s="197" customFormat="1" ht="12.75" x14ac:dyDescent="0.2"/>
    <row r="28651" s="197" customFormat="1" ht="12.75" x14ac:dyDescent="0.2"/>
    <row r="28652" s="197" customFormat="1" ht="12.75" x14ac:dyDescent="0.2"/>
    <row r="28653" s="197" customFormat="1" ht="12.75" x14ac:dyDescent="0.2"/>
    <row r="28654" s="197" customFormat="1" ht="12.75" x14ac:dyDescent="0.2"/>
    <row r="28655" s="197" customFormat="1" ht="12.75" x14ac:dyDescent="0.2"/>
    <row r="28656" s="197" customFormat="1" ht="12.75" x14ac:dyDescent="0.2"/>
    <row r="28657" s="197" customFormat="1" ht="12.75" x14ac:dyDescent="0.2"/>
    <row r="28658" s="197" customFormat="1" ht="12.75" x14ac:dyDescent="0.2"/>
    <row r="28659" s="197" customFormat="1" ht="12.75" x14ac:dyDescent="0.2"/>
    <row r="28660" s="197" customFormat="1" ht="12.75" x14ac:dyDescent="0.2"/>
    <row r="28661" s="197" customFormat="1" ht="12.75" x14ac:dyDescent="0.2"/>
    <row r="28662" s="197" customFormat="1" ht="12.75" x14ac:dyDescent="0.2"/>
    <row r="28663" s="197" customFormat="1" ht="12.75" x14ac:dyDescent="0.2"/>
    <row r="28664" s="197" customFormat="1" ht="12.75" x14ac:dyDescent="0.2"/>
    <row r="28665" s="197" customFormat="1" ht="12.75" x14ac:dyDescent="0.2"/>
    <row r="28666" s="197" customFormat="1" ht="12.75" x14ac:dyDescent="0.2"/>
    <row r="28667" s="197" customFormat="1" ht="12.75" x14ac:dyDescent="0.2"/>
    <row r="28668" s="197" customFormat="1" ht="12.75" x14ac:dyDescent="0.2"/>
    <row r="28669" s="197" customFormat="1" ht="12.75" x14ac:dyDescent="0.2"/>
    <row r="28670" s="197" customFormat="1" ht="12.75" x14ac:dyDescent="0.2"/>
    <row r="28671" s="197" customFormat="1" ht="12.75" x14ac:dyDescent="0.2"/>
    <row r="28672" s="197" customFormat="1" ht="12.75" x14ac:dyDescent="0.2"/>
    <row r="28673" s="197" customFormat="1" ht="12.75" x14ac:dyDescent="0.2"/>
    <row r="28674" s="197" customFormat="1" ht="12.75" x14ac:dyDescent="0.2"/>
    <row r="28675" s="197" customFormat="1" ht="12.75" x14ac:dyDescent="0.2"/>
    <row r="28676" s="197" customFormat="1" ht="12.75" x14ac:dyDescent="0.2"/>
    <row r="28677" s="197" customFormat="1" ht="12.75" x14ac:dyDescent="0.2"/>
    <row r="28678" s="197" customFormat="1" ht="12.75" x14ac:dyDescent="0.2"/>
    <row r="28679" s="197" customFormat="1" ht="12.75" x14ac:dyDescent="0.2"/>
    <row r="28680" s="197" customFormat="1" ht="12.75" x14ac:dyDescent="0.2"/>
    <row r="28681" s="197" customFormat="1" ht="12.75" x14ac:dyDescent="0.2"/>
    <row r="28682" s="197" customFormat="1" ht="12.75" x14ac:dyDescent="0.2"/>
    <row r="28683" s="197" customFormat="1" ht="12.75" x14ac:dyDescent="0.2"/>
    <row r="28684" s="197" customFormat="1" ht="12.75" x14ac:dyDescent="0.2"/>
    <row r="28685" s="197" customFormat="1" ht="12.75" x14ac:dyDescent="0.2"/>
    <row r="28686" s="197" customFormat="1" ht="12.75" x14ac:dyDescent="0.2"/>
    <row r="28687" s="197" customFormat="1" ht="12.75" x14ac:dyDescent="0.2"/>
    <row r="28688" s="197" customFormat="1" ht="12.75" x14ac:dyDescent="0.2"/>
    <row r="28689" s="197" customFormat="1" ht="12.75" x14ac:dyDescent="0.2"/>
    <row r="28690" s="197" customFormat="1" ht="12.75" x14ac:dyDescent="0.2"/>
    <row r="28691" s="197" customFormat="1" ht="12.75" x14ac:dyDescent="0.2"/>
    <row r="28692" s="197" customFormat="1" ht="12.75" x14ac:dyDescent="0.2"/>
    <row r="28693" s="197" customFormat="1" ht="12.75" x14ac:dyDescent="0.2"/>
    <row r="28694" s="197" customFormat="1" ht="12.75" x14ac:dyDescent="0.2"/>
    <row r="28695" s="197" customFormat="1" ht="12.75" x14ac:dyDescent="0.2"/>
    <row r="28696" s="197" customFormat="1" ht="12.75" x14ac:dyDescent="0.2"/>
    <row r="28697" s="197" customFormat="1" ht="12.75" x14ac:dyDescent="0.2"/>
    <row r="28698" s="197" customFormat="1" ht="12.75" x14ac:dyDescent="0.2"/>
    <row r="28699" s="197" customFormat="1" ht="12.75" x14ac:dyDescent="0.2"/>
    <row r="28700" s="197" customFormat="1" ht="12.75" x14ac:dyDescent="0.2"/>
    <row r="28701" s="197" customFormat="1" ht="12.75" x14ac:dyDescent="0.2"/>
    <row r="28702" s="197" customFormat="1" ht="12.75" x14ac:dyDescent="0.2"/>
    <row r="28703" s="197" customFormat="1" ht="12.75" x14ac:dyDescent="0.2"/>
    <row r="28704" s="197" customFormat="1" ht="12.75" x14ac:dyDescent="0.2"/>
    <row r="28705" s="197" customFormat="1" ht="12.75" x14ac:dyDescent="0.2"/>
    <row r="28706" s="197" customFormat="1" ht="12.75" x14ac:dyDescent="0.2"/>
    <row r="28707" s="197" customFormat="1" ht="12.75" x14ac:dyDescent="0.2"/>
    <row r="28708" s="197" customFormat="1" ht="12.75" x14ac:dyDescent="0.2"/>
    <row r="28709" s="197" customFormat="1" ht="12.75" x14ac:dyDescent="0.2"/>
    <row r="28710" s="197" customFormat="1" ht="12.75" x14ac:dyDescent="0.2"/>
    <row r="28711" s="197" customFormat="1" ht="12.75" x14ac:dyDescent="0.2"/>
    <row r="28712" s="197" customFormat="1" ht="12.75" x14ac:dyDescent="0.2"/>
    <row r="28713" s="197" customFormat="1" ht="12.75" x14ac:dyDescent="0.2"/>
    <row r="28714" s="197" customFormat="1" ht="12.75" x14ac:dyDescent="0.2"/>
    <row r="28715" s="197" customFormat="1" ht="12.75" x14ac:dyDescent="0.2"/>
    <row r="28716" s="197" customFormat="1" ht="12.75" x14ac:dyDescent="0.2"/>
    <row r="28717" s="197" customFormat="1" ht="12.75" x14ac:dyDescent="0.2"/>
    <row r="28718" s="197" customFormat="1" ht="12.75" x14ac:dyDescent="0.2"/>
    <row r="28719" s="197" customFormat="1" ht="12.75" x14ac:dyDescent="0.2"/>
    <row r="28720" s="197" customFormat="1" ht="12.75" x14ac:dyDescent="0.2"/>
    <row r="28721" s="197" customFormat="1" ht="12.75" x14ac:dyDescent="0.2"/>
    <row r="28722" s="197" customFormat="1" ht="12.75" x14ac:dyDescent="0.2"/>
    <row r="28723" s="197" customFormat="1" ht="12.75" x14ac:dyDescent="0.2"/>
    <row r="28724" s="197" customFormat="1" ht="12.75" x14ac:dyDescent="0.2"/>
    <row r="28725" s="197" customFormat="1" ht="12.75" x14ac:dyDescent="0.2"/>
    <row r="28726" s="197" customFormat="1" ht="12.75" x14ac:dyDescent="0.2"/>
    <row r="28727" s="197" customFormat="1" ht="12.75" x14ac:dyDescent="0.2"/>
    <row r="28728" s="197" customFormat="1" ht="12.75" x14ac:dyDescent="0.2"/>
    <row r="28729" s="197" customFormat="1" ht="12.75" x14ac:dyDescent="0.2"/>
    <row r="28730" s="197" customFormat="1" ht="12.75" x14ac:dyDescent="0.2"/>
    <row r="28731" s="197" customFormat="1" ht="12.75" x14ac:dyDescent="0.2"/>
    <row r="28732" s="197" customFormat="1" ht="12.75" x14ac:dyDescent="0.2"/>
    <row r="28733" s="197" customFormat="1" ht="12.75" x14ac:dyDescent="0.2"/>
    <row r="28734" s="197" customFormat="1" ht="12.75" x14ac:dyDescent="0.2"/>
    <row r="28735" s="197" customFormat="1" ht="12.75" x14ac:dyDescent="0.2"/>
    <row r="28736" s="197" customFormat="1" ht="12.75" x14ac:dyDescent="0.2"/>
    <row r="28737" s="197" customFormat="1" ht="12.75" x14ac:dyDescent="0.2"/>
    <row r="28738" s="197" customFormat="1" ht="12.75" x14ac:dyDescent="0.2"/>
    <row r="28739" s="197" customFormat="1" ht="12.75" x14ac:dyDescent="0.2"/>
    <row r="28740" s="197" customFormat="1" ht="12.75" x14ac:dyDescent="0.2"/>
    <row r="28741" s="197" customFormat="1" ht="12.75" x14ac:dyDescent="0.2"/>
    <row r="28742" s="197" customFormat="1" ht="12.75" x14ac:dyDescent="0.2"/>
    <row r="28743" s="197" customFormat="1" ht="12.75" x14ac:dyDescent="0.2"/>
    <row r="28744" s="197" customFormat="1" ht="12.75" x14ac:dyDescent="0.2"/>
    <row r="28745" s="197" customFormat="1" ht="12.75" x14ac:dyDescent="0.2"/>
    <row r="28746" s="197" customFormat="1" ht="12.75" x14ac:dyDescent="0.2"/>
    <row r="28747" s="197" customFormat="1" ht="12.75" x14ac:dyDescent="0.2"/>
    <row r="28748" s="197" customFormat="1" ht="12.75" x14ac:dyDescent="0.2"/>
    <row r="28749" s="197" customFormat="1" ht="12.75" x14ac:dyDescent="0.2"/>
    <row r="28750" s="197" customFormat="1" ht="12.75" x14ac:dyDescent="0.2"/>
    <row r="28751" s="197" customFormat="1" ht="12.75" x14ac:dyDescent="0.2"/>
    <row r="28752" s="197" customFormat="1" ht="12.75" x14ac:dyDescent="0.2"/>
    <row r="28753" s="197" customFormat="1" ht="12.75" x14ac:dyDescent="0.2"/>
    <row r="28754" s="197" customFormat="1" ht="12.75" x14ac:dyDescent="0.2"/>
    <row r="28755" s="197" customFormat="1" ht="12.75" x14ac:dyDescent="0.2"/>
    <row r="28756" s="197" customFormat="1" ht="12.75" x14ac:dyDescent="0.2"/>
    <row r="28757" s="197" customFormat="1" ht="12.75" x14ac:dyDescent="0.2"/>
    <row r="28758" s="197" customFormat="1" ht="12.75" x14ac:dyDescent="0.2"/>
    <row r="28759" s="197" customFormat="1" ht="12.75" x14ac:dyDescent="0.2"/>
    <row r="28760" s="197" customFormat="1" ht="12.75" x14ac:dyDescent="0.2"/>
    <row r="28761" s="197" customFormat="1" ht="12.75" x14ac:dyDescent="0.2"/>
    <row r="28762" s="197" customFormat="1" ht="12.75" x14ac:dyDescent="0.2"/>
    <row r="28763" s="197" customFormat="1" ht="12.75" x14ac:dyDescent="0.2"/>
    <row r="28764" s="197" customFormat="1" ht="12.75" x14ac:dyDescent="0.2"/>
    <row r="28765" s="197" customFormat="1" ht="12.75" x14ac:dyDescent="0.2"/>
    <row r="28766" s="197" customFormat="1" ht="12.75" x14ac:dyDescent="0.2"/>
    <row r="28767" s="197" customFormat="1" ht="12.75" x14ac:dyDescent="0.2"/>
    <row r="28768" s="197" customFormat="1" ht="12.75" x14ac:dyDescent="0.2"/>
    <row r="28769" s="197" customFormat="1" ht="12.75" x14ac:dyDescent="0.2"/>
    <row r="28770" s="197" customFormat="1" ht="12.75" x14ac:dyDescent="0.2"/>
    <row r="28771" s="197" customFormat="1" ht="12.75" x14ac:dyDescent="0.2"/>
    <row r="28772" s="197" customFormat="1" ht="12.75" x14ac:dyDescent="0.2"/>
    <row r="28773" s="197" customFormat="1" ht="12.75" x14ac:dyDescent="0.2"/>
    <row r="28774" s="197" customFormat="1" ht="12.75" x14ac:dyDescent="0.2"/>
    <row r="28775" s="197" customFormat="1" ht="12.75" x14ac:dyDescent="0.2"/>
    <row r="28776" s="197" customFormat="1" ht="12.75" x14ac:dyDescent="0.2"/>
    <row r="28777" s="197" customFormat="1" ht="12.75" x14ac:dyDescent="0.2"/>
    <row r="28778" s="197" customFormat="1" ht="12.75" x14ac:dyDescent="0.2"/>
    <row r="28779" s="197" customFormat="1" ht="12.75" x14ac:dyDescent="0.2"/>
    <row r="28780" s="197" customFormat="1" ht="12.75" x14ac:dyDescent="0.2"/>
    <row r="28781" s="197" customFormat="1" ht="12.75" x14ac:dyDescent="0.2"/>
    <row r="28782" s="197" customFormat="1" ht="12.75" x14ac:dyDescent="0.2"/>
    <row r="28783" s="197" customFormat="1" ht="12.75" x14ac:dyDescent="0.2"/>
    <row r="28784" s="197" customFormat="1" ht="12.75" x14ac:dyDescent="0.2"/>
    <row r="28785" s="197" customFormat="1" ht="12.75" x14ac:dyDescent="0.2"/>
    <row r="28786" s="197" customFormat="1" ht="12.75" x14ac:dyDescent="0.2"/>
    <row r="28787" s="197" customFormat="1" ht="12.75" x14ac:dyDescent="0.2"/>
    <row r="28788" s="197" customFormat="1" ht="12.75" x14ac:dyDescent="0.2"/>
    <row r="28789" s="197" customFormat="1" ht="12.75" x14ac:dyDescent="0.2"/>
    <row r="28790" s="197" customFormat="1" ht="12.75" x14ac:dyDescent="0.2"/>
    <row r="28791" s="197" customFormat="1" ht="12.75" x14ac:dyDescent="0.2"/>
    <row r="28792" s="197" customFormat="1" ht="12.75" x14ac:dyDescent="0.2"/>
    <row r="28793" s="197" customFormat="1" ht="12.75" x14ac:dyDescent="0.2"/>
    <row r="28794" s="197" customFormat="1" ht="12.75" x14ac:dyDescent="0.2"/>
    <row r="28795" s="197" customFormat="1" ht="12.75" x14ac:dyDescent="0.2"/>
    <row r="28796" s="197" customFormat="1" ht="12.75" x14ac:dyDescent="0.2"/>
    <row r="28797" s="197" customFormat="1" ht="12.75" x14ac:dyDescent="0.2"/>
    <row r="28798" s="197" customFormat="1" ht="12.75" x14ac:dyDescent="0.2"/>
    <row r="28799" s="197" customFormat="1" ht="12.75" x14ac:dyDescent="0.2"/>
    <row r="28800" s="197" customFormat="1" ht="12.75" x14ac:dyDescent="0.2"/>
    <row r="28801" s="197" customFormat="1" ht="12.75" x14ac:dyDescent="0.2"/>
    <row r="28802" s="197" customFormat="1" ht="12.75" x14ac:dyDescent="0.2"/>
    <row r="28803" s="197" customFormat="1" ht="12.75" x14ac:dyDescent="0.2"/>
    <row r="28804" s="197" customFormat="1" ht="12.75" x14ac:dyDescent="0.2"/>
    <row r="28805" s="197" customFormat="1" ht="12.75" x14ac:dyDescent="0.2"/>
    <row r="28806" s="197" customFormat="1" ht="12.75" x14ac:dyDescent="0.2"/>
    <row r="28807" s="197" customFormat="1" ht="12.75" x14ac:dyDescent="0.2"/>
    <row r="28808" s="197" customFormat="1" ht="12.75" x14ac:dyDescent="0.2"/>
    <row r="28809" s="197" customFormat="1" ht="12.75" x14ac:dyDescent="0.2"/>
    <row r="28810" s="197" customFormat="1" ht="12.75" x14ac:dyDescent="0.2"/>
    <row r="28811" s="197" customFormat="1" ht="12.75" x14ac:dyDescent="0.2"/>
    <row r="28812" s="197" customFormat="1" ht="12.75" x14ac:dyDescent="0.2"/>
    <row r="28813" s="197" customFormat="1" ht="12.75" x14ac:dyDescent="0.2"/>
    <row r="28814" s="197" customFormat="1" ht="12.75" x14ac:dyDescent="0.2"/>
    <row r="28815" s="197" customFormat="1" ht="12.75" x14ac:dyDescent="0.2"/>
    <row r="28816" s="197" customFormat="1" ht="12.75" x14ac:dyDescent="0.2"/>
    <row r="28817" s="197" customFormat="1" ht="12.75" x14ac:dyDescent="0.2"/>
    <row r="28818" s="197" customFormat="1" ht="12.75" x14ac:dyDescent="0.2"/>
    <row r="28819" s="197" customFormat="1" ht="12.75" x14ac:dyDescent="0.2"/>
    <row r="28820" s="197" customFormat="1" ht="12.75" x14ac:dyDescent="0.2"/>
    <row r="28821" s="197" customFormat="1" ht="12.75" x14ac:dyDescent="0.2"/>
    <row r="28822" s="197" customFormat="1" ht="12.75" x14ac:dyDescent="0.2"/>
    <row r="28823" s="197" customFormat="1" ht="12.75" x14ac:dyDescent="0.2"/>
    <row r="28824" s="197" customFormat="1" ht="12.75" x14ac:dyDescent="0.2"/>
    <row r="28825" s="197" customFormat="1" ht="12.75" x14ac:dyDescent="0.2"/>
    <row r="28826" s="197" customFormat="1" ht="12.75" x14ac:dyDescent="0.2"/>
    <row r="28827" s="197" customFormat="1" ht="12.75" x14ac:dyDescent="0.2"/>
    <row r="28828" s="197" customFormat="1" ht="12.75" x14ac:dyDescent="0.2"/>
    <row r="28829" s="197" customFormat="1" ht="12.75" x14ac:dyDescent="0.2"/>
    <row r="28830" s="197" customFormat="1" ht="12.75" x14ac:dyDescent="0.2"/>
    <row r="28831" s="197" customFormat="1" ht="12.75" x14ac:dyDescent="0.2"/>
    <row r="28832" s="197" customFormat="1" ht="12.75" x14ac:dyDescent="0.2"/>
    <row r="28833" s="197" customFormat="1" ht="12.75" x14ac:dyDescent="0.2"/>
    <row r="28834" s="197" customFormat="1" ht="12.75" x14ac:dyDescent="0.2"/>
    <row r="28835" s="197" customFormat="1" ht="12.75" x14ac:dyDescent="0.2"/>
    <row r="28836" s="197" customFormat="1" ht="12.75" x14ac:dyDescent="0.2"/>
    <row r="28837" s="197" customFormat="1" ht="12.75" x14ac:dyDescent="0.2"/>
    <row r="28838" s="197" customFormat="1" ht="12.75" x14ac:dyDescent="0.2"/>
    <row r="28839" s="197" customFormat="1" ht="12.75" x14ac:dyDescent="0.2"/>
    <row r="28840" s="197" customFormat="1" ht="12.75" x14ac:dyDescent="0.2"/>
    <row r="28841" s="197" customFormat="1" ht="12.75" x14ac:dyDescent="0.2"/>
    <row r="28842" s="197" customFormat="1" ht="12.75" x14ac:dyDescent="0.2"/>
    <row r="28843" s="197" customFormat="1" ht="12.75" x14ac:dyDescent="0.2"/>
    <row r="28844" s="197" customFormat="1" ht="12.75" x14ac:dyDescent="0.2"/>
    <row r="28845" s="197" customFormat="1" ht="12.75" x14ac:dyDescent="0.2"/>
    <row r="28846" s="197" customFormat="1" ht="12.75" x14ac:dyDescent="0.2"/>
    <row r="28847" s="197" customFormat="1" ht="12.75" x14ac:dyDescent="0.2"/>
    <row r="28848" s="197" customFormat="1" ht="12.75" x14ac:dyDescent="0.2"/>
    <row r="28849" s="197" customFormat="1" ht="12.75" x14ac:dyDescent="0.2"/>
    <row r="28850" s="197" customFormat="1" ht="12.75" x14ac:dyDescent="0.2"/>
    <row r="28851" s="197" customFormat="1" ht="12.75" x14ac:dyDescent="0.2"/>
    <row r="28852" s="197" customFormat="1" ht="12.75" x14ac:dyDescent="0.2"/>
    <row r="28853" s="197" customFormat="1" ht="12.75" x14ac:dyDescent="0.2"/>
    <row r="28854" s="197" customFormat="1" ht="12.75" x14ac:dyDescent="0.2"/>
    <row r="28855" s="197" customFormat="1" ht="12.75" x14ac:dyDescent="0.2"/>
    <row r="28856" s="197" customFormat="1" ht="12.75" x14ac:dyDescent="0.2"/>
    <row r="28857" s="197" customFormat="1" ht="12.75" x14ac:dyDescent="0.2"/>
    <row r="28858" s="197" customFormat="1" ht="12.75" x14ac:dyDescent="0.2"/>
    <row r="28859" s="197" customFormat="1" ht="12.75" x14ac:dyDescent="0.2"/>
    <row r="28860" s="197" customFormat="1" ht="12.75" x14ac:dyDescent="0.2"/>
    <row r="28861" s="197" customFormat="1" ht="12.75" x14ac:dyDescent="0.2"/>
    <row r="28862" s="197" customFormat="1" ht="12.75" x14ac:dyDescent="0.2"/>
    <row r="28863" s="197" customFormat="1" ht="12.75" x14ac:dyDescent="0.2"/>
    <row r="28864" s="197" customFormat="1" ht="12.75" x14ac:dyDescent="0.2"/>
    <row r="28865" s="197" customFormat="1" ht="12.75" x14ac:dyDescent="0.2"/>
    <row r="28866" s="197" customFormat="1" ht="12.75" x14ac:dyDescent="0.2"/>
    <row r="28867" s="197" customFormat="1" ht="12.75" x14ac:dyDescent="0.2"/>
    <row r="28868" s="197" customFormat="1" ht="12.75" x14ac:dyDescent="0.2"/>
    <row r="28869" s="197" customFormat="1" ht="12.75" x14ac:dyDescent="0.2"/>
    <row r="28870" s="197" customFormat="1" ht="12.75" x14ac:dyDescent="0.2"/>
    <row r="28871" s="197" customFormat="1" ht="12.75" x14ac:dyDescent="0.2"/>
    <row r="28872" s="197" customFormat="1" ht="12.75" x14ac:dyDescent="0.2"/>
    <row r="28873" s="197" customFormat="1" ht="12.75" x14ac:dyDescent="0.2"/>
    <row r="28874" s="197" customFormat="1" ht="12.75" x14ac:dyDescent="0.2"/>
    <row r="28875" s="197" customFormat="1" ht="12.75" x14ac:dyDescent="0.2"/>
    <row r="28876" s="197" customFormat="1" ht="12.75" x14ac:dyDescent="0.2"/>
    <row r="28877" s="197" customFormat="1" ht="12.75" x14ac:dyDescent="0.2"/>
    <row r="28878" s="197" customFormat="1" ht="12.75" x14ac:dyDescent="0.2"/>
    <row r="28879" s="197" customFormat="1" ht="12.75" x14ac:dyDescent="0.2"/>
    <row r="28880" s="197" customFormat="1" ht="12.75" x14ac:dyDescent="0.2"/>
    <row r="28881" s="197" customFormat="1" ht="12.75" x14ac:dyDescent="0.2"/>
    <row r="28882" s="197" customFormat="1" ht="12.75" x14ac:dyDescent="0.2"/>
    <row r="28883" s="197" customFormat="1" ht="12.75" x14ac:dyDescent="0.2"/>
    <row r="28884" s="197" customFormat="1" ht="12.75" x14ac:dyDescent="0.2"/>
    <row r="28885" s="197" customFormat="1" ht="12.75" x14ac:dyDescent="0.2"/>
    <row r="28886" s="197" customFormat="1" ht="12.75" x14ac:dyDescent="0.2"/>
    <row r="28887" s="197" customFormat="1" ht="12.75" x14ac:dyDescent="0.2"/>
    <row r="28888" s="197" customFormat="1" ht="12.75" x14ac:dyDescent="0.2"/>
    <row r="28889" s="197" customFormat="1" ht="12.75" x14ac:dyDescent="0.2"/>
    <row r="28890" s="197" customFormat="1" ht="12.75" x14ac:dyDescent="0.2"/>
    <row r="28891" s="197" customFormat="1" ht="12.75" x14ac:dyDescent="0.2"/>
    <row r="28892" s="197" customFormat="1" ht="12.75" x14ac:dyDescent="0.2"/>
    <row r="28893" s="197" customFormat="1" ht="12.75" x14ac:dyDescent="0.2"/>
    <row r="28894" s="197" customFormat="1" ht="12.75" x14ac:dyDescent="0.2"/>
    <row r="28895" s="197" customFormat="1" ht="12.75" x14ac:dyDescent="0.2"/>
    <row r="28896" s="197" customFormat="1" ht="12.75" x14ac:dyDescent="0.2"/>
    <row r="28897" s="197" customFormat="1" ht="12.75" x14ac:dyDescent="0.2"/>
    <row r="28898" s="197" customFormat="1" ht="12.75" x14ac:dyDescent="0.2"/>
    <row r="28899" s="197" customFormat="1" ht="12.75" x14ac:dyDescent="0.2"/>
    <row r="28900" s="197" customFormat="1" ht="12.75" x14ac:dyDescent="0.2"/>
    <row r="28901" s="197" customFormat="1" ht="12.75" x14ac:dyDescent="0.2"/>
    <row r="28902" s="197" customFormat="1" ht="12.75" x14ac:dyDescent="0.2"/>
    <row r="28903" s="197" customFormat="1" ht="12.75" x14ac:dyDescent="0.2"/>
    <row r="28904" s="197" customFormat="1" ht="12.75" x14ac:dyDescent="0.2"/>
    <row r="28905" s="197" customFormat="1" ht="12.75" x14ac:dyDescent="0.2"/>
    <row r="28906" s="197" customFormat="1" ht="12.75" x14ac:dyDescent="0.2"/>
    <row r="28907" s="197" customFormat="1" ht="12.75" x14ac:dyDescent="0.2"/>
    <row r="28908" s="197" customFormat="1" ht="12.75" x14ac:dyDescent="0.2"/>
    <row r="28909" s="197" customFormat="1" ht="12.75" x14ac:dyDescent="0.2"/>
    <row r="28910" s="197" customFormat="1" ht="12.75" x14ac:dyDescent="0.2"/>
    <row r="28911" s="197" customFormat="1" ht="12.75" x14ac:dyDescent="0.2"/>
    <row r="28912" s="197" customFormat="1" ht="12.75" x14ac:dyDescent="0.2"/>
    <row r="28913" s="197" customFormat="1" ht="12.75" x14ac:dyDescent="0.2"/>
    <row r="28914" s="197" customFormat="1" ht="12.75" x14ac:dyDescent="0.2"/>
    <row r="28915" s="197" customFormat="1" ht="12.75" x14ac:dyDescent="0.2"/>
    <row r="28916" s="197" customFormat="1" ht="12.75" x14ac:dyDescent="0.2"/>
    <row r="28917" s="197" customFormat="1" ht="12.75" x14ac:dyDescent="0.2"/>
    <row r="28918" s="197" customFormat="1" ht="12.75" x14ac:dyDescent="0.2"/>
    <row r="28919" s="197" customFormat="1" ht="12.75" x14ac:dyDescent="0.2"/>
    <row r="28920" s="197" customFormat="1" ht="12.75" x14ac:dyDescent="0.2"/>
    <row r="28921" s="197" customFormat="1" ht="12.75" x14ac:dyDescent="0.2"/>
    <row r="28922" s="197" customFormat="1" ht="12.75" x14ac:dyDescent="0.2"/>
    <row r="28923" s="197" customFormat="1" ht="12.75" x14ac:dyDescent="0.2"/>
    <row r="28924" s="197" customFormat="1" ht="12.75" x14ac:dyDescent="0.2"/>
    <row r="28925" s="197" customFormat="1" ht="12.75" x14ac:dyDescent="0.2"/>
    <row r="28926" s="197" customFormat="1" ht="12.75" x14ac:dyDescent="0.2"/>
    <row r="28927" s="197" customFormat="1" ht="12.75" x14ac:dyDescent="0.2"/>
    <row r="28928" s="197" customFormat="1" ht="12.75" x14ac:dyDescent="0.2"/>
    <row r="28929" s="197" customFormat="1" ht="12.75" x14ac:dyDescent="0.2"/>
    <row r="28930" s="197" customFormat="1" ht="12.75" x14ac:dyDescent="0.2"/>
    <row r="28931" s="197" customFormat="1" ht="12.75" x14ac:dyDescent="0.2"/>
    <row r="28932" s="197" customFormat="1" ht="12.75" x14ac:dyDescent="0.2"/>
    <row r="28933" s="197" customFormat="1" ht="12.75" x14ac:dyDescent="0.2"/>
    <row r="28934" s="197" customFormat="1" ht="12.75" x14ac:dyDescent="0.2"/>
    <row r="28935" s="197" customFormat="1" ht="12.75" x14ac:dyDescent="0.2"/>
    <row r="28936" s="197" customFormat="1" ht="12.75" x14ac:dyDescent="0.2"/>
    <row r="28937" s="197" customFormat="1" ht="12.75" x14ac:dyDescent="0.2"/>
    <row r="28938" s="197" customFormat="1" ht="12.75" x14ac:dyDescent="0.2"/>
    <row r="28939" s="197" customFormat="1" ht="12.75" x14ac:dyDescent="0.2"/>
    <row r="28940" s="197" customFormat="1" ht="12.75" x14ac:dyDescent="0.2"/>
    <row r="28941" s="197" customFormat="1" ht="12.75" x14ac:dyDescent="0.2"/>
    <row r="28942" s="197" customFormat="1" ht="12.75" x14ac:dyDescent="0.2"/>
    <row r="28943" s="197" customFormat="1" ht="12.75" x14ac:dyDescent="0.2"/>
    <row r="28944" s="197" customFormat="1" ht="12.75" x14ac:dyDescent="0.2"/>
    <row r="28945" s="197" customFormat="1" ht="12.75" x14ac:dyDescent="0.2"/>
    <row r="28946" s="197" customFormat="1" ht="12.75" x14ac:dyDescent="0.2"/>
    <row r="28947" s="197" customFormat="1" ht="12.75" x14ac:dyDescent="0.2"/>
    <row r="28948" s="197" customFormat="1" ht="12.75" x14ac:dyDescent="0.2"/>
    <row r="28949" s="197" customFormat="1" ht="12.75" x14ac:dyDescent="0.2"/>
    <row r="28950" s="197" customFormat="1" ht="12.75" x14ac:dyDescent="0.2"/>
    <row r="28951" s="197" customFormat="1" ht="12.75" x14ac:dyDescent="0.2"/>
    <row r="28952" s="197" customFormat="1" ht="12.75" x14ac:dyDescent="0.2"/>
    <row r="28953" s="197" customFormat="1" ht="12.75" x14ac:dyDescent="0.2"/>
    <row r="28954" s="197" customFormat="1" ht="12.75" x14ac:dyDescent="0.2"/>
    <row r="28955" s="197" customFormat="1" ht="12.75" x14ac:dyDescent="0.2"/>
    <row r="28956" s="197" customFormat="1" ht="12.75" x14ac:dyDescent="0.2"/>
    <row r="28957" s="197" customFormat="1" ht="12.75" x14ac:dyDescent="0.2"/>
    <row r="28958" s="197" customFormat="1" ht="12.75" x14ac:dyDescent="0.2"/>
    <row r="28959" s="197" customFormat="1" ht="12.75" x14ac:dyDescent="0.2"/>
    <row r="28960" s="197" customFormat="1" ht="12.75" x14ac:dyDescent="0.2"/>
    <row r="28961" s="197" customFormat="1" ht="12.75" x14ac:dyDescent="0.2"/>
    <row r="28962" s="197" customFormat="1" ht="12.75" x14ac:dyDescent="0.2"/>
    <row r="28963" s="197" customFormat="1" ht="12.75" x14ac:dyDescent="0.2"/>
    <row r="28964" s="197" customFormat="1" ht="12.75" x14ac:dyDescent="0.2"/>
    <row r="28965" s="197" customFormat="1" ht="12.75" x14ac:dyDescent="0.2"/>
    <row r="28966" s="197" customFormat="1" ht="12.75" x14ac:dyDescent="0.2"/>
    <row r="28967" s="197" customFormat="1" ht="12.75" x14ac:dyDescent="0.2"/>
    <row r="28968" s="197" customFormat="1" ht="12.75" x14ac:dyDescent="0.2"/>
    <row r="28969" s="197" customFormat="1" ht="12.75" x14ac:dyDescent="0.2"/>
    <row r="28970" s="197" customFormat="1" ht="12.75" x14ac:dyDescent="0.2"/>
    <row r="28971" s="197" customFormat="1" ht="12.75" x14ac:dyDescent="0.2"/>
    <row r="28972" s="197" customFormat="1" ht="12.75" x14ac:dyDescent="0.2"/>
    <row r="28973" s="197" customFormat="1" ht="12.75" x14ac:dyDescent="0.2"/>
    <row r="28974" s="197" customFormat="1" ht="12.75" x14ac:dyDescent="0.2"/>
    <row r="28975" s="197" customFormat="1" ht="12.75" x14ac:dyDescent="0.2"/>
    <row r="28976" s="197" customFormat="1" ht="12.75" x14ac:dyDescent="0.2"/>
    <row r="28977" s="197" customFormat="1" ht="12.75" x14ac:dyDescent="0.2"/>
    <row r="28978" s="197" customFormat="1" ht="12.75" x14ac:dyDescent="0.2"/>
    <row r="28979" s="197" customFormat="1" ht="12.75" x14ac:dyDescent="0.2"/>
    <row r="28980" s="197" customFormat="1" ht="12.75" x14ac:dyDescent="0.2"/>
    <row r="28981" s="197" customFormat="1" ht="12.75" x14ac:dyDescent="0.2"/>
    <row r="28982" s="197" customFormat="1" ht="12.75" x14ac:dyDescent="0.2"/>
    <row r="28983" s="197" customFormat="1" ht="12.75" x14ac:dyDescent="0.2"/>
    <row r="28984" s="197" customFormat="1" ht="12.75" x14ac:dyDescent="0.2"/>
    <row r="28985" s="197" customFormat="1" ht="12.75" x14ac:dyDescent="0.2"/>
    <row r="28986" s="197" customFormat="1" ht="12.75" x14ac:dyDescent="0.2"/>
    <row r="28987" s="197" customFormat="1" ht="12.75" x14ac:dyDescent="0.2"/>
    <row r="28988" s="197" customFormat="1" ht="12.75" x14ac:dyDescent="0.2"/>
    <row r="28989" s="197" customFormat="1" ht="12.75" x14ac:dyDescent="0.2"/>
    <row r="28990" s="197" customFormat="1" ht="12.75" x14ac:dyDescent="0.2"/>
    <row r="28991" s="197" customFormat="1" ht="12.75" x14ac:dyDescent="0.2"/>
    <row r="28992" s="197" customFormat="1" ht="12.75" x14ac:dyDescent="0.2"/>
    <row r="28993" s="197" customFormat="1" ht="12.75" x14ac:dyDescent="0.2"/>
    <row r="28994" s="197" customFormat="1" ht="12.75" x14ac:dyDescent="0.2"/>
    <row r="28995" s="197" customFormat="1" ht="12.75" x14ac:dyDescent="0.2"/>
    <row r="28996" s="197" customFormat="1" ht="12.75" x14ac:dyDescent="0.2"/>
    <row r="28997" s="197" customFormat="1" ht="12.75" x14ac:dyDescent="0.2"/>
    <row r="28998" s="197" customFormat="1" ht="12.75" x14ac:dyDescent="0.2"/>
    <row r="28999" s="197" customFormat="1" ht="12.75" x14ac:dyDescent="0.2"/>
    <row r="29000" s="197" customFormat="1" ht="12.75" x14ac:dyDescent="0.2"/>
    <row r="29001" s="197" customFormat="1" ht="12.75" x14ac:dyDescent="0.2"/>
    <row r="29002" s="197" customFormat="1" ht="12.75" x14ac:dyDescent="0.2"/>
    <row r="29003" s="197" customFormat="1" ht="12.75" x14ac:dyDescent="0.2"/>
    <row r="29004" s="197" customFormat="1" ht="12.75" x14ac:dyDescent="0.2"/>
    <row r="29005" s="197" customFormat="1" ht="12.75" x14ac:dyDescent="0.2"/>
    <row r="29006" s="197" customFormat="1" ht="12.75" x14ac:dyDescent="0.2"/>
    <row r="29007" s="197" customFormat="1" ht="12.75" x14ac:dyDescent="0.2"/>
    <row r="29008" s="197" customFormat="1" ht="12.75" x14ac:dyDescent="0.2"/>
    <row r="29009" s="197" customFormat="1" ht="12.75" x14ac:dyDescent="0.2"/>
    <row r="29010" s="197" customFormat="1" ht="12.75" x14ac:dyDescent="0.2"/>
    <row r="29011" s="197" customFormat="1" ht="12.75" x14ac:dyDescent="0.2"/>
    <row r="29012" s="197" customFormat="1" ht="12.75" x14ac:dyDescent="0.2"/>
    <row r="29013" s="197" customFormat="1" ht="12.75" x14ac:dyDescent="0.2"/>
    <row r="29014" s="197" customFormat="1" ht="12.75" x14ac:dyDescent="0.2"/>
    <row r="29015" s="197" customFormat="1" ht="12.75" x14ac:dyDescent="0.2"/>
    <row r="29016" s="197" customFormat="1" ht="12.75" x14ac:dyDescent="0.2"/>
    <row r="29017" s="197" customFormat="1" ht="12.75" x14ac:dyDescent="0.2"/>
    <row r="29018" s="197" customFormat="1" ht="12.75" x14ac:dyDescent="0.2"/>
    <row r="29019" s="197" customFormat="1" ht="12.75" x14ac:dyDescent="0.2"/>
    <row r="29020" s="197" customFormat="1" ht="12.75" x14ac:dyDescent="0.2"/>
    <row r="29021" s="197" customFormat="1" ht="12.75" x14ac:dyDescent="0.2"/>
    <row r="29022" s="197" customFormat="1" ht="12.75" x14ac:dyDescent="0.2"/>
    <row r="29023" s="197" customFormat="1" ht="12.75" x14ac:dyDescent="0.2"/>
    <row r="29024" s="197" customFormat="1" ht="12.75" x14ac:dyDescent="0.2"/>
    <row r="29025" s="197" customFormat="1" ht="12.75" x14ac:dyDescent="0.2"/>
    <row r="29026" s="197" customFormat="1" ht="12.75" x14ac:dyDescent="0.2"/>
    <row r="29027" s="197" customFormat="1" ht="12.75" x14ac:dyDescent="0.2"/>
    <row r="29028" s="197" customFormat="1" ht="12.75" x14ac:dyDescent="0.2"/>
    <row r="29029" s="197" customFormat="1" ht="12.75" x14ac:dyDescent="0.2"/>
    <row r="29030" s="197" customFormat="1" ht="12.75" x14ac:dyDescent="0.2"/>
    <row r="29031" s="197" customFormat="1" ht="12.75" x14ac:dyDescent="0.2"/>
    <row r="29032" s="197" customFormat="1" ht="12.75" x14ac:dyDescent="0.2"/>
    <row r="29033" s="197" customFormat="1" ht="12.75" x14ac:dyDescent="0.2"/>
    <row r="29034" s="197" customFormat="1" ht="12.75" x14ac:dyDescent="0.2"/>
    <row r="29035" s="197" customFormat="1" ht="12.75" x14ac:dyDescent="0.2"/>
    <row r="29036" s="197" customFormat="1" ht="12.75" x14ac:dyDescent="0.2"/>
    <row r="29037" s="197" customFormat="1" ht="12.75" x14ac:dyDescent="0.2"/>
    <row r="29038" s="197" customFormat="1" ht="12.75" x14ac:dyDescent="0.2"/>
    <row r="29039" s="197" customFormat="1" ht="12.75" x14ac:dyDescent="0.2"/>
    <row r="29040" s="197" customFormat="1" ht="12.75" x14ac:dyDescent="0.2"/>
    <row r="29041" s="197" customFormat="1" ht="12.75" x14ac:dyDescent="0.2"/>
    <row r="29042" s="197" customFormat="1" ht="12.75" x14ac:dyDescent="0.2"/>
    <row r="29043" s="197" customFormat="1" ht="12.75" x14ac:dyDescent="0.2"/>
    <row r="29044" s="197" customFormat="1" ht="12.75" x14ac:dyDescent="0.2"/>
    <row r="29045" s="197" customFormat="1" ht="12.75" x14ac:dyDescent="0.2"/>
    <row r="29046" s="197" customFormat="1" ht="12.75" x14ac:dyDescent="0.2"/>
    <row r="29047" s="197" customFormat="1" ht="12.75" x14ac:dyDescent="0.2"/>
    <row r="29048" s="197" customFormat="1" ht="12.75" x14ac:dyDescent="0.2"/>
    <row r="29049" s="197" customFormat="1" ht="12.75" x14ac:dyDescent="0.2"/>
    <row r="29050" s="197" customFormat="1" ht="12.75" x14ac:dyDescent="0.2"/>
    <row r="29051" s="197" customFormat="1" ht="12.75" x14ac:dyDescent="0.2"/>
    <row r="29052" s="197" customFormat="1" ht="12.75" x14ac:dyDescent="0.2"/>
    <row r="29053" s="197" customFormat="1" ht="12.75" x14ac:dyDescent="0.2"/>
    <row r="29054" s="197" customFormat="1" ht="12.75" x14ac:dyDescent="0.2"/>
    <row r="29055" s="197" customFormat="1" ht="12.75" x14ac:dyDescent="0.2"/>
    <row r="29056" s="197" customFormat="1" ht="12.75" x14ac:dyDescent="0.2"/>
    <row r="29057" s="197" customFormat="1" ht="12.75" x14ac:dyDescent="0.2"/>
    <row r="29058" s="197" customFormat="1" ht="12.75" x14ac:dyDescent="0.2"/>
    <row r="29059" s="197" customFormat="1" ht="12.75" x14ac:dyDescent="0.2"/>
    <row r="29060" s="197" customFormat="1" ht="12.75" x14ac:dyDescent="0.2"/>
    <row r="29061" s="197" customFormat="1" ht="12.75" x14ac:dyDescent="0.2"/>
    <row r="29062" s="197" customFormat="1" ht="12.75" x14ac:dyDescent="0.2"/>
    <row r="29063" s="197" customFormat="1" ht="12.75" x14ac:dyDescent="0.2"/>
    <row r="29064" s="197" customFormat="1" ht="12.75" x14ac:dyDescent="0.2"/>
    <row r="29065" s="197" customFormat="1" ht="12.75" x14ac:dyDescent="0.2"/>
    <row r="29066" s="197" customFormat="1" ht="12.75" x14ac:dyDescent="0.2"/>
    <row r="29067" s="197" customFormat="1" ht="12.75" x14ac:dyDescent="0.2"/>
    <row r="29068" s="197" customFormat="1" ht="12.75" x14ac:dyDescent="0.2"/>
    <row r="29069" s="197" customFormat="1" ht="12.75" x14ac:dyDescent="0.2"/>
    <row r="29070" s="197" customFormat="1" ht="12.75" x14ac:dyDescent="0.2"/>
    <row r="29071" s="197" customFormat="1" ht="12.75" x14ac:dyDescent="0.2"/>
    <row r="29072" s="197" customFormat="1" ht="12.75" x14ac:dyDescent="0.2"/>
    <row r="29073" s="197" customFormat="1" ht="12.75" x14ac:dyDescent="0.2"/>
    <row r="29074" s="197" customFormat="1" ht="12.75" x14ac:dyDescent="0.2"/>
    <row r="29075" s="197" customFormat="1" ht="12.75" x14ac:dyDescent="0.2"/>
    <row r="29076" s="197" customFormat="1" ht="12.75" x14ac:dyDescent="0.2"/>
    <row r="29077" s="197" customFormat="1" ht="12.75" x14ac:dyDescent="0.2"/>
    <row r="29078" s="197" customFormat="1" ht="12.75" x14ac:dyDescent="0.2"/>
    <row r="29079" s="197" customFormat="1" ht="12.75" x14ac:dyDescent="0.2"/>
    <row r="29080" s="197" customFormat="1" ht="12.75" x14ac:dyDescent="0.2"/>
    <row r="29081" s="197" customFormat="1" ht="12.75" x14ac:dyDescent="0.2"/>
    <row r="29082" s="197" customFormat="1" ht="12.75" x14ac:dyDescent="0.2"/>
    <row r="29083" s="197" customFormat="1" ht="12.75" x14ac:dyDescent="0.2"/>
    <row r="29084" s="197" customFormat="1" ht="12.75" x14ac:dyDescent="0.2"/>
    <row r="29085" s="197" customFormat="1" ht="12.75" x14ac:dyDescent="0.2"/>
    <row r="29086" s="197" customFormat="1" ht="12.75" x14ac:dyDescent="0.2"/>
    <row r="29087" s="197" customFormat="1" ht="12.75" x14ac:dyDescent="0.2"/>
    <row r="29088" s="197" customFormat="1" ht="12.75" x14ac:dyDescent="0.2"/>
    <row r="29089" s="197" customFormat="1" ht="12.75" x14ac:dyDescent="0.2"/>
    <row r="29090" s="197" customFormat="1" ht="12.75" x14ac:dyDescent="0.2"/>
    <row r="29091" s="197" customFormat="1" ht="12.75" x14ac:dyDescent="0.2"/>
    <row r="29092" s="197" customFormat="1" ht="12.75" x14ac:dyDescent="0.2"/>
    <row r="29093" s="197" customFormat="1" ht="12.75" x14ac:dyDescent="0.2"/>
    <row r="29094" s="197" customFormat="1" ht="12.75" x14ac:dyDescent="0.2"/>
    <row r="29095" s="197" customFormat="1" ht="12.75" x14ac:dyDescent="0.2"/>
    <row r="29096" s="197" customFormat="1" ht="12.75" x14ac:dyDescent="0.2"/>
    <row r="29097" s="197" customFormat="1" ht="12.75" x14ac:dyDescent="0.2"/>
    <row r="29098" s="197" customFormat="1" ht="12.75" x14ac:dyDescent="0.2"/>
    <row r="29099" s="197" customFormat="1" ht="12.75" x14ac:dyDescent="0.2"/>
    <row r="29100" s="197" customFormat="1" ht="12.75" x14ac:dyDescent="0.2"/>
    <row r="29101" s="197" customFormat="1" ht="12.75" x14ac:dyDescent="0.2"/>
    <row r="29102" s="197" customFormat="1" ht="12.75" x14ac:dyDescent="0.2"/>
    <row r="29103" s="197" customFormat="1" ht="12.75" x14ac:dyDescent="0.2"/>
    <row r="29104" s="197" customFormat="1" ht="12.75" x14ac:dyDescent="0.2"/>
    <row r="29105" s="197" customFormat="1" ht="12.75" x14ac:dyDescent="0.2"/>
    <row r="29106" s="197" customFormat="1" ht="12.75" x14ac:dyDescent="0.2"/>
    <row r="29107" s="197" customFormat="1" ht="12.75" x14ac:dyDescent="0.2"/>
    <row r="29108" s="197" customFormat="1" ht="12.75" x14ac:dyDescent="0.2"/>
    <row r="29109" s="197" customFormat="1" ht="12.75" x14ac:dyDescent="0.2"/>
    <row r="29110" s="197" customFormat="1" ht="12.75" x14ac:dyDescent="0.2"/>
    <row r="29111" s="197" customFormat="1" ht="12.75" x14ac:dyDescent="0.2"/>
    <row r="29112" s="197" customFormat="1" ht="12.75" x14ac:dyDescent="0.2"/>
    <row r="29113" s="197" customFormat="1" ht="12.75" x14ac:dyDescent="0.2"/>
    <row r="29114" s="197" customFormat="1" ht="12.75" x14ac:dyDescent="0.2"/>
    <row r="29115" s="197" customFormat="1" ht="12.75" x14ac:dyDescent="0.2"/>
    <row r="29116" s="197" customFormat="1" ht="12.75" x14ac:dyDescent="0.2"/>
    <row r="29117" s="197" customFormat="1" ht="12.75" x14ac:dyDescent="0.2"/>
    <row r="29118" s="197" customFormat="1" ht="12.75" x14ac:dyDescent="0.2"/>
    <row r="29119" s="197" customFormat="1" ht="12.75" x14ac:dyDescent="0.2"/>
    <row r="29120" s="197" customFormat="1" ht="12.75" x14ac:dyDescent="0.2"/>
    <row r="29121" s="197" customFormat="1" ht="12.75" x14ac:dyDescent="0.2"/>
    <row r="29122" s="197" customFormat="1" ht="12.75" x14ac:dyDescent="0.2"/>
    <row r="29123" s="197" customFormat="1" ht="12.75" x14ac:dyDescent="0.2"/>
    <row r="29124" s="197" customFormat="1" ht="12.75" x14ac:dyDescent="0.2"/>
    <row r="29125" s="197" customFormat="1" ht="12.75" x14ac:dyDescent="0.2"/>
    <row r="29126" s="197" customFormat="1" ht="12.75" x14ac:dyDescent="0.2"/>
    <row r="29127" s="197" customFormat="1" ht="12.75" x14ac:dyDescent="0.2"/>
    <row r="29128" s="197" customFormat="1" ht="12.75" x14ac:dyDescent="0.2"/>
    <row r="29129" s="197" customFormat="1" ht="12.75" x14ac:dyDescent="0.2"/>
    <row r="29130" s="197" customFormat="1" ht="12.75" x14ac:dyDescent="0.2"/>
    <row r="29131" s="197" customFormat="1" ht="12.75" x14ac:dyDescent="0.2"/>
    <row r="29132" s="197" customFormat="1" ht="12.75" x14ac:dyDescent="0.2"/>
    <row r="29133" s="197" customFormat="1" ht="12.75" x14ac:dyDescent="0.2"/>
    <row r="29134" s="197" customFormat="1" ht="12.75" x14ac:dyDescent="0.2"/>
    <row r="29135" s="197" customFormat="1" ht="12.75" x14ac:dyDescent="0.2"/>
    <row r="29136" s="197" customFormat="1" ht="12.75" x14ac:dyDescent="0.2"/>
    <row r="29137" s="197" customFormat="1" ht="12.75" x14ac:dyDescent="0.2"/>
    <row r="29138" s="197" customFormat="1" ht="12.75" x14ac:dyDescent="0.2"/>
    <row r="29139" s="197" customFormat="1" ht="12.75" x14ac:dyDescent="0.2"/>
    <row r="29140" s="197" customFormat="1" ht="12.75" x14ac:dyDescent="0.2"/>
    <row r="29141" s="197" customFormat="1" ht="12.75" x14ac:dyDescent="0.2"/>
    <row r="29142" s="197" customFormat="1" ht="12.75" x14ac:dyDescent="0.2"/>
    <row r="29143" s="197" customFormat="1" ht="12.75" x14ac:dyDescent="0.2"/>
    <row r="29144" s="197" customFormat="1" ht="12.75" x14ac:dyDescent="0.2"/>
    <row r="29145" s="197" customFormat="1" ht="12.75" x14ac:dyDescent="0.2"/>
    <row r="29146" s="197" customFormat="1" ht="12.75" x14ac:dyDescent="0.2"/>
    <row r="29147" s="197" customFormat="1" ht="12.75" x14ac:dyDescent="0.2"/>
    <row r="29148" s="197" customFormat="1" ht="12.75" x14ac:dyDescent="0.2"/>
    <row r="29149" s="197" customFormat="1" ht="12.75" x14ac:dyDescent="0.2"/>
    <row r="29150" s="197" customFormat="1" ht="12.75" x14ac:dyDescent="0.2"/>
    <row r="29151" s="197" customFormat="1" ht="12.75" x14ac:dyDescent="0.2"/>
    <row r="29152" s="197" customFormat="1" ht="12.75" x14ac:dyDescent="0.2"/>
    <row r="29153" s="197" customFormat="1" ht="12.75" x14ac:dyDescent="0.2"/>
    <row r="29154" s="197" customFormat="1" ht="12.75" x14ac:dyDescent="0.2"/>
    <row r="29155" s="197" customFormat="1" ht="12.75" x14ac:dyDescent="0.2"/>
    <row r="29156" s="197" customFormat="1" ht="12.75" x14ac:dyDescent="0.2"/>
    <row r="29157" s="197" customFormat="1" ht="12.75" x14ac:dyDescent="0.2"/>
    <row r="29158" s="197" customFormat="1" ht="12.75" x14ac:dyDescent="0.2"/>
    <row r="29159" s="197" customFormat="1" ht="12.75" x14ac:dyDescent="0.2"/>
    <row r="29160" s="197" customFormat="1" ht="12.75" x14ac:dyDescent="0.2"/>
    <row r="29161" s="197" customFormat="1" ht="12.75" x14ac:dyDescent="0.2"/>
    <row r="29162" s="197" customFormat="1" ht="12.75" x14ac:dyDescent="0.2"/>
    <row r="29163" s="197" customFormat="1" ht="12.75" x14ac:dyDescent="0.2"/>
    <row r="29164" s="197" customFormat="1" ht="12.75" x14ac:dyDescent="0.2"/>
    <row r="29165" s="197" customFormat="1" ht="12.75" x14ac:dyDescent="0.2"/>
    <row r="29166" s="197" customFormat="1" ht="12.75" x14ac:dyDescent="0.2"/>
    <row r="29167" s="197" customFormat="1" ht="12.75" x14ac:dyDescent="0.2"/>
    <row r="29168" s="197" customFormat="1" ht="12.75" x14ac:dyDescent="0.2"/>
    <row r="29169" s="197" customFormat="1" ht="12.75" x14ac:dyDescent="0.2"/>
    <row r="29170" s="197" customFormat="1" ht="12.75" x14ac:dyDescent="0.2"/>
    <row r="29171" s="197" customFormat="1" ht="12.75" x14ac:dyDescent="0.2"/>
    <row r="29172" s="197" customFormat="1" ht="12.75" x14ac:dyDescent="0.2"/>
    <row r="29173" s="197" customFormat="1" ht="12.75" x14ac:dyDescent="0.2"/>
    <row r="29174" s="197" customFormat="1" ht="12.75" x14ac:dyDescent="0.2"/>
    <row r="29175" s="197" customFormat="1" ht="12.75" x14ac:dyDescent="0.2"/>
    <row r="29176" s="197" customFormat="1" ht="12.75" x14ac:dyDescent="0.2"/>
    <row r="29177" s="197" customFormat="1" ht="12.75" x14ac:dyDescent="0.2"/>
    <row r="29178" s="197" customFormat="1" ht="12.75" x14ac:dyDescent="0.2"/>
    <row r="29179" s="197" customFormat="1" ht="12.75" x14ac:dyDescent="0.2"/>
    <row r="29180" s="197" customFormat="1" ht="12.75" x14ac:dyDescent="0.2"/>
    <row r="29181" s="197" customFormat="1" ht="12.75" x14ac:dyDescent="0.2"/>
    <row r="29182" s="197" customFormat="1" ht="12.75" x14ac:dyDescent="0.2"/>
    <row r="29183" s="197" customFormat="1" ht="12.75" x14ac:dyDescent="0.2"/>
    <row r="29184" s="197" customFormat="1" ht="12.75" x14ac:dyDescent="0.2"/>
    <row r="29185" s="197" customFormat="1" ht="12.75" x14ac:dyDescent="0.2"/>
    <row r="29186" s="197" customFormat="1" ht="12.75" x14ac:dyDescent="0.2"/>
    <row r="29187" s="197" customFormat="1" ht="12.75" x14ac:dyDescent="0.2"/>
    <row r="29188" s="197" customFormat="1" ht="12.75" x14ac:dyDescent="0.2"/>
    <row r="29189" s="197" customFormat="1" ht="12.75" x14ac:dyDescent="0.2"/>
    <row r="29190" s="197" customFormat="1" ht="12.75" x14ac:dyDescent="0.2"/>
    <row r="29191" s="197" customFormat="1" ht="12.75" x14ac:dyDescent="0.2"/>
    <row r="29192" s="197" customFormat="1" ht="12.75" x14ac:dyDescent="0.2"/>
    <row r="29193" s="197" customFormat="1" ht="12.75" x14ac:dyDescent="0.2"/>
    <row r="29194" s="197" customFormat="1" ht="12.75" x14ac:dyDescent="0.2"/>
    <row r="29195" s="197" customFormat="1" ht="12.75" x14ac:dyDescent="0.2"/>
    <row r="29196" s="197" customFormat="1" ht="12.75" x14ac:dyDescent="0.2"/>
    <row r="29197" s="197" customFormat="1" ht="12.75" x14ac:dyDescent="0.2"/>
    <row r="29198" s="197" customFormat="1" ht="12.75" x14ac:dyDescent="0.2"/>
    <row r="29199" s="197" customFormat="1" ht="12.75" x14ac:dyDescent="0.2"/>
    <row r="29200" s="197" customFormat="1" ht="12.75" x14ac:dyDescent="0.2"/>
    <row r="29201" s="197" customFormat="1" ht="12.75" x14ac:dyDescent="0.2"/>
    <row r="29202" s="197" customFormat="1" ht="12.75" x14ac:dyDescent="0.2"/>
    <row r="29203" s="197" customFormat="1" ht="12.75" x14ac:dyDescent="0.2"/>
    <row r="29204" s="197" customFormat="1" ht="12.75" x14ac:dyDescent="0.2"/>
    <row r="29205" s="197" customFormat="1" ht="12.75" x14ac:dyDescent="0.2"/>
    <row r="29206" s="197" customFormat="1" ht="12.75" x14ac:dyDescent="0.2"/>
    <row r="29207" s="197" customFormat="1" ht="12.75" x14ac:dyDescent="0.2"/>
    <row r="29208" s="197" customFormat="1" ht="12.75" x14ac:dyDescent="0.2"/>
    <row r="29209" s="197" customFormat="1" ht="12.75" x14ac:dyDescent="0.2"/>
    <row r="29210" s="197" customFormat="1" ht="12.75" x14ac:dyDescent="0.2"/>
    <row r="29211" s="197" customFormat="1" ht="12.75" x14ac:dyDescent="0.2"/>
    <row r="29212" s="197" customFormat="1" ht="12.75" x14ac:dyDescent="0.2"/>
    <row r="29213" s="197" customFormat="1" ht="12.75" x14ac:dyDescent="0.2"/>
    <row r="29214" s="197" customFormat="1" ht="12.75" x14ac:dyDescent="0.2"/>
    <row r="29215" s="197" customFormat="1" ht="12.75" x14ac:dyDescent="0.2"/>
    <row r="29216" s="197" customFormat="1" ht="12.75" x14ac:dyDescent="0.2"/>
    <row r="29217" s="197" customFormat="1" ht="12.75" x14ac:dyDescent="0.2"/>
    <row r="29218" s="197" customFormat="1" ht="12.75" x14ac:dyDescent="0.2"/>
    <row r="29219" s="197" customFormat="1" ht="12.75" x14ac:dyDescent="0.2"/>
    <row r="29220" s="197" customFormat="1" ht="12.75" x14ac:dyDescent="0.2"/>
    <row r="29221" s="197" customFormat="1" ht="12.75" x14ac:dyDescent="0.2"/>
    <row r="29222" s="197" customFormat="1" ht="12.75" x14ac:dyDescent="0.2"/>
    <row r="29223" s="197" customFormat="1" ht="12.75" x14ac:dyDescent="0.2"/>
    <row r="29224" s="197" customFormat="1" ht="12.75" x14ac:dyDescent="0.2"/>
    <row r="29225" s="197" customFormat="1" ht="12.75" x14ac:dyDescent="0.2"/>
    <row r="29226" s="197" customFormat="1" ht="12.75" x14ac:dyDescent="0.2"/>
    <row r="29227" s="197" customFormat="1" ht="12.75" x14ac:dyDescent="0.2"/>
    <row r="29228" s="197" customFormat="1" ht="12.75" x14ac:dyDescent="0.2"/>
    <row r="29229" s="197" customFormat="1" ht="12.75" x14ac:dyDescent="0.2"/>
    <row r="29230" s="197" customFormat="1" ht="12.75" x14ac:dyDescent="0.2"/>
    <row r="29231" s="197" customFormat="1" ht="12.75" x14ac:dyDescent="0.2"/>
    <row r="29232" s="197" customFormat="1" ht="12.75" x14ac:dyDescent="0.2"/>
    <row r="29233" s="197" customFormat="1" ht="12.75" x14ac:dyDescent="0.2"/>
    <row r="29234" s="197" customFormat="1" ht="12.75" x14ac:dyDescent="0.2"/>
    <row r="29235" s="197" customFormat="1" ht="12.75" x14ac:dyDescent="0.2"/>
    <row r="29236" s="197" customFormat="1" ht="12.75" x14ac:dyDescent="0.2"/>
    <row r="29237" s="197" customFormat="1" ht="12.75" x14ac:dyDescent="0.2"/>
    <row r="29238" s="197" customFormat="1" ht="12.75" x14ac:dyDescent="0.2"/>
    <row r="29239" s="197" customFormat="1" ht="12.75" x14ac:dyDescent="0.2"/>
    <row r="29240" s="197" customFormat="1" ht="12.75" x14ac:dyDescent="0.2"/>
    <row r="29241" s="197" customFormat="1" ht="12.75" x14ac:dyDescent="0.2"/>
    <row r="29242" s="197" customFormat="1" ht="12.75" x14ac:dyDescent="0.2"/>
    <row r="29243" s="197" customFormat="1" ht="12.75" x14ac:dyDescent="0.2"/>
    <row r="29244" s="197" customFormat="1" ht="12.75" x14ac:dyDescent="0.2"/>
    <row r="29245" s="197" customFormat="1" ht="12.75" x14ac:dyDescent="0.2"/>
    <row r="29246" s="197" customFormat="1" ht="12.75" x14ac:dyDescent="0.2"/>
    <row r="29247" s="197" customFormat="1" ht="12.75" x14ac:dyDescent="0.2"/>
    <row r="29248" s="197" customFormat="1" ht="12.75" x14ac:dyDescent="0.2"/>
    <row r="29249" s="197" customFormat="1" ht="12.75" x14ac:dyDescent="0.2"/>
    <row r="29250" s="197" customFormat="1" ht="12.75" x14ac:dyDescent="0.2"/>
    <row r="29251" s="197" customFormat="1" ht="12.75" x14ac:dyDescent="0.2"/>
    <row r="29252" s="197" customFormat="1" ht="12.75" x14ac:dyDescent="0.2"/>
    <row r="29253" s="197" customFormat="1" ht="12.75" x14ac:dyDescent="0.2"/>
    <row r="29254" s="197" customFormat="1" ht="12.75" x14ac:dyDescent="0.2"/>
    <row r="29255" s="197" customFormat="1" ht="12.75" x14ac:dyDescent="0.2"/>
    <row r="29256" s="197" customFormat="1" ht="12.75" x14ac:dyDescent="0.2"/>
    <row r="29257" s="197" customFormat="1" ht="12.75" x14ac:dyDescent="0.2"/>
    <row r="29258" s="197" customFormat="1" ht="12.75" x14ac:dyDescent="0.2"/>
    <row r="29259" s="197" customFormat="1" ht="12.75" x14ac:dyDescent="0.2"/>
    <row r="29260" s="197" customFormat="1" ht="12.75" x14ac:dyDescent="0.2"/>
    <row r="29261" s="197" customFormat="1" ht="12.75" x14ac:dyDescent="0.2"/>
    <row r="29262" s="197" customFormat="1" ht="12.75" x14ac:dyDescent="0.2"/>
    <row r="29263" s="197" customFormat="1" ht="12.75" x14ac:dyDescent="0.2"/>
    <row r="29264" s="197" customFormat="1" ht="12.75" x14ac:dyDescent="0.2"/>
    <row r="29265" s="197" customFormat="1" ht="12.75" x14ac:dyDescent="0.2"/>
    <row r="29266" s="197" customFormat="1" ht="12.75" x14ac:dyDescent="0.2"/>
    <row r="29267" s="197" customFormat="1" ht="12.75" x14ac:dyDescent="0.2"/>
    <row r="29268" s="197" customFormat="1" ht="12.75" x14ac:dyDescent="0.2"/>
    <row r="29269" s="197" customFormat="1" ht="12.75" x14ac:dyDescent="0.2"/>
    <row r="29270" s="197" customFormat="1" ht="12.75" x14ac:dyDescent="0.2"/>
    <row r="29271" s="197" customFormat="1" ht="12.75" x14ac:dyDescent="0.2"/>
    <row r="29272" s="197" customFormat="1" ht="12.75" x14ac:dyDescent="0.2"/>
    <row r="29273" s="197" customFormat="1" ht="12.75" x14ac:dyDescent="0.2"/>
    <row r="29274" s="197" customFormat="1" ht="12.75" x14ac:dyDescent="0.2"/>
    <row r="29275" s="197" customFormat="1" ht="12.75" x14ac:dyDescent="0.2"/>
    <row r="29276" s="197" customFormat="1" ht="12.75" x14ac:dyDescent="0.2"/>
    <row r="29277" s="197" customFormat="1" ht="12.75" x14ac:dyDescent="0.2"/>
    <row r="29278" s="197" customFormat="1" ht="12.75" x14ac:dyDescent="0.2"/>
    <row r="29279" s="197" customFormat="1" ht="12.75" x14ac:dyDescent="0.2"/>
    <row r="29280" s="197" customFormat="1" ht="12.75" x14ac:dyDescent="0.2"/>
    <row r="29281" s="197" customFormat="1" ht="12.75" x14ac:dyDescent="0.2"/>
    <row r="29282" s="197" customFormat="1" ht="12.75" x14ac:dyDescent="0.2"/>
    <row r="29283" s="197" customFormat="1" ht="12.75" x14ac:dyDescent="0.2"/>
    <row r="29284" s="197" customFormat="1" ht="12.75" x14ac:dyDescent="0.2"/>
    <row r="29285" s="197" customFormat="1" ht="12.75" x14ac:dyDescent="0.2"/>
    <row r="29286" s="197" customFormat="1" ht="12.75" x14ac:dyDescent="0.2"/>
    <row r="29287" s="197" customFormat="1" ht="12.75" x14ac:dyDescent="0.2"/>
    <row r="29288" s="197" customFormat="1" ht="12.75" x14ac:dyDescent="0.2"/>
    <row r="29289" s="197" customFormat="1" ht="12.75" x14ac:dyDescent="0.2"/>
    <row r="29290" s="197" customFormat="1" ht="12.75" x14ac:dyDescent="0.2"/>
    <row r="29291" s="197" customFormat="1" ht="12.75" x14ac:dyDescent="0.2"/>
    <row r="29292" s="197" customFormat="1" ht="12.75" x14ac:dyDescent="0.2"/>
    <row r="29293" s="197" customFormat="1" ht="12.75" x14ac:dyDescent="0.2"/>
    <row r="29294" s="197" customFormat="1" ht="12.75" x14ac:dyDescent="0.2"/>
    <row r="29295" s="197" customFormat="1" ht="12.75" x14ac:dyDescent="0.2"/>
    <row r="29296" s="197" customFormat="1" ht="12.75" x14ac:dyDescent="0.2"/>
    <row r="29297" s="197" customFormat="1" ht="12.75" x14ac:dyDescent="0.2"/>
    <row r="29298" s="197" customFormat="1" ht="12.75" x14ac:dyDescent="0.2"/>
    <row r="29299" s="197" customFormat="1" ht="12.75" x14ac:dyDescent="0.2"/>
    <row r="29300" s="197" customFormat="1" ht="12.75" x14ac:dyDescent="0.2"/>
    <row r="29301" s="197" customFormat="1" ht="12.75" x14ac:dyDescent="0.2"/>
    <row r="29302" s="197" customFormat="1" ht="12.75" x14ac:dyDescent="0.2"/>
    <row r="29303" s="197" customFormat="1" ht="12.75" x14ac:dyDescent="0.2"/>
    <row r="29304" s="197" customFormat="1" ht="12.75" x14ac:dyDescent="0.2"/>
    <row r="29305" s="197" customFormat="1" ht="12.75" x14ac:dyDescent="0.2"/>
    <row r="29306" s="197" customFormat="1" ht="12.75" x14ac:dyDescent="0.2"/>
    <row r="29307" s="197" customFormat="1" ht="12.75" x14ac:dyDescent="0.2"/>
    <row r="29308" s="197" customFormat="1" ht="12.75" x14ac:dyDescent="0.2"/>
    <row r="29309" s="197" customFormat="1" ht="12.75" x14ac:dyDescent="0.2"/>
    <row r="29310" s="197" customFormat="1" ht="12.75" x14ac:dyDescent="0.2"/>
    <row r="29311" s="197" customFormat="1" ht="12.75" x14ac:dyDescent="0.2"/>
    <row r="29312" s="197" customFormat="1" ht="12.75" x14ac:dyDescent="0.2"/>
    <row r="29313" s="197" customFormat="1" ht="12.75" x14ac:dyDescent="0.2"/>
    <row r="29314" s="197" customFormat="1" ht="12.75" x14ac:dyDescent="0.2"/>
    <row r="29315" s="197" customFormat="1" ht="12.75" x14ac:dyDescent="0.2"/>
    <row r="29316" s="197" customFormat="1" ht="12.75" x14ac:dyDescent="0.2"/>
    <row r="29317" s="197" customFormat="1" ht="12.75" x14ac:dyDescent="0.2"/>
    <row r="29318" s="197" customFormat="1" ht="12.75" x14ac:dyDescent="0.2"/>
    <row r="29319" s="197" customFormat="1" ht="12.75" x14ac:dyDescent="0.2"/>
    <row r="29320" s="197" customFormat="1" ht="12.75" x14ac:dyDescent="0.2"/>
    <row r="29321" s="197" customFormat="1" ht="12.75" x14ac:dyDescent="0.2"/>
    <row r="29322" s="197" customFormat="1" ht="12.75" x14ac:dyDescent="0.2"/>
    <row r="29323" s="197" customFormat="1" ht="12.75" x14ac:dyDescent="0.2"/>
    <row r="29324" s="197" customFormat="1" ht="12.75" x14ac:dyDescent="0.2"/>
    <row r="29325" s="197" customFormat="1" ht="12.75" x14ac:dyDescent="0.2"/>
    <row r="29326" s="197" customFormat="1" ht="12.75" x14ac:dyDescent="0.2"/>
    <row r="29327" s="197" customFormat="1" ht="12.75" x14ac:dyDescent="0.2"/>
    <row r="29328" s="197" customFormat="1" ht="12.75" x14ac:dyDescent="0.2"/>
    <row r="29329" s="197" customFormat="1" ht="12.75" x14ac:dyDescent="0.2"/>
    <row r="29330" s="197" customFormat="1" ht="12.75" x14ac:dyDescent="0.2"/>
    <row r="29331" s="197" customFormat="1" ht="12.75" x14ac:dyDescent="0.2"/>
    <row r="29332" s="197" customFormat="1" ht="12.75" x14ac:dyDescent="0.2"/>
    <row r="29333" s="197" customFormat="1" ht="12.75" x14ac:dyDescent="0.2"/>
    <row r="29334" s="197" customFormat="1" ht="12.75" x14ac:dyDescent="0.2"/>
    <row r="29335" s="197" customFormat="1" ht="12.75" x14ac:dyDescent="0.2"/>
    <row r="29336" s="197" customFormat="1" ht="12.75" x14ac:dyDescent="0.2"/>
    <row r="29337" s="197" customFormat="1" ht="12.75" x14ac:dyDescent="0.2"/>
    <row r="29338" s="197" customFormat="1" ht="12.75" x14ac:dyDescent="0.2"/>
    <row r="29339" s="197" customFormat="1" ht="12.75" x14ac:dyDescent="0.2"/>
    <row r="29340" s="197" customFormat="1" ht="12.75" x14ac:dyDescent="0.2"/>
    <row r="29341" s="197" customFormat="1" ht="12.75" x14ac:dyDescent="0.2"/>
    <row r="29342" s="197" customFormat="1" ht="12.75" x14ac:dyDescent="0.2"/>
    <row r="29343" s="197" customFormat="1" ht="12.75" x14ac:dyDescent="0.2"/>
    <row r="29344" s="197" customFormat="1" ht="12.75" x14ac:dyDescent="0.2"/>
    <row r="29345" s="197" customFormat="1" ht="12.75" x14ac:dyDescent="0.2"/>
    <row r="29346" s="197" customFormat="1" ht="12.75" x14ac:dyDescent="0.2"/>
    <row r="29347" s="197" customFormat="1" ht="12.75" x14ac:dyDescent="0.2"/>
    <row r="29348" s="197" customFormat="1" ht="12.75" x14ac:dyDescent="0.2"/>
    <row r="29349" s="197" customFormat="1" ht="12.75" x14ac:dyDescent="0.2"/>
    <row r="29350" s="197" customFormat="1" ht="12.75" x14ac:dyDescent="0.2"/>
    <row r="29351" s="197" customFormat="1" ht="12.75" x14ac:dyDescent="0.2"/>
    <row r="29352" s="197" customFormat="1" ht="12.75" x14ac:dyDescent="0.2"/>
    <row r="29353" s="197" customFormat="1" ht="12.75" x14ac:dyDescent="0.2"/>
    <row r="29354" s="197" customFormat="1" ht="12.75" x14ac:dyDescent="0.2"/>
    <row r="29355" s="197" customFormat="1" ht="12.75" x14ac:dyDescent="0.2"/>
    <row r="29356" s="197" customFormat="1" ht="12.75" x14ac:dyDescent="0.2"/>
    <row r="29357" s="197" customFormat="1" ht="12.75" x14ac:dyDescent="0.2"/>
    <row r="29358" s="197" customFormat="1" ht="12.75" x14ac:dyDescent="0.2"/>
    <row r="29359" s="197" customFormat="1" ht="12.75" x14ac:dyDescent="0.2"/>
    <row r="29360" s="197" customFormat="1" ht="12.75" x14ac:dyDescent="0.2"/>
    <row r="29361" s="197" customFormat="1" ht="12.75" x14ac:dyDescent="0.2"/>
    <row r="29362" s="197" customFormat="1" ht="12.75" x14ac:dyDescent="0.2"/>
    <row r="29363" s="197" customFormat="1" ht="12.75" x14ac:dyDescent="0.2"/>
    <row r="29364" s="197" customFormat="1" ht="12.75" x14ac:dyDescent="0.2"/>
    <row r="29365" s="197" customFormat="1" ht="12.75" x14ac:dyDescent="0.2"/>
    <row r="29366" s="197" customFormat="1" ht="12.75" x14ac:dyDescent="0.2"/>
    <row r="29367" s="197" customFormat="1" ht="12.75" x14ac:dyDescent="0.2"/>
    <row r="29368" s="197" customFormat="1" ht="12.75" x14ac:dyDescent="0.2"/>
    <row r="29369" s="197" customFormat="1" ht="12.75" x14ac:dyDescent="0.2"/>
    <row r="29370" s="197" customFormat="1" ht="12.75" x14ac:dyDescent="0.2"/>
    <row r="29371" s="197" customFormat="1" ht="12.75" x14ac:dyDescent="0.2"/>
    <row r="29372" s="197" customFormat="1" ht="12.75" x14ac:dyDescent="0.2"/>
    <row r="29373" s="197" customFormat="1" ht="12.75" x14ac:dyDescent="0.2"/>
    <row r="29374" s="197" customFormat="1" ht="12.75" x14ac:dyDescent="0.2"/>
    <row r="29375" s="197" customFormat="1" ht="12.75" x14ac:dyDescent="0.2"/>
    <row r="29376" s="197" customFormat="1" ht="12.75" x14ac:dyDescent="0.2"/>
    <row r="29377" s="197" customFormat="1" ht="12.75" x14ac:dyDescent="0.2"/>
    <row r="29378" s="197" customFormat="1" ht="12.75" x14ac:dyDescent="0.2"/>
    <row r="29379" s="197" customFormat="1" ht="12.75" x14ac:dyDescent="0.2"/>
    <row r="29380" s="197" customFormat="1" ht="12.75" x14ac:dyDescent="0.2"/>
    <row r="29381" s="197" customFormat="1" ht="12.75" x14ac:dyDescent="0.2"/>
    <row r="29382" s="197" customFormat="1" ht="12.75" x14ac:dyDescent="0.2"/>
    <row r="29383" s="197" customFormat="1" ht="12.75" x14ac:dyDescent="0.2"/>
    <row r="29384" s="197" customFormat="1" ht="12.75" x14ac:dyDescent="0.2"/>
    <row r="29385" s="197" customFormat="1" ht="12.75" x14ac:dyDescent="0.2"/>
    <row r="29386" s="197" customFormat="1" ht="12.75" x14ac:dyDescent="0.2"/>
    <row r="29387" s="197" customFormat="1" ht="12.75" x14ac:dyDescent="0.2"/>
    <row r="29388" s="197" customFormat="1" ht="12.75" x14ac:dyDescent="0.2"/>
    <row r="29389" s="197" customFormat="1" ht="12.75" x14ac:dyDescent="0.2"/>
    <row r="29390" s="197" customFormat="1" ht="12.75" x14ac:dyDescent="0.2"/>
    <row r="29391" s="197" customFormat="1" ht="12.75" x14ac:dyDescent="0.2"/>
    <row r="29392" s="197" customFormat="1" ht="12.75" x14ac:dyDescent="0.2"/>
    <row r="29393" s="197" customFormat="1" ht="12.75" x14ac:dyDescent="0.2"/>
    <row r="29394" s="197" customFormat="1" ht="12.75" x14ac:dyDescent="0.2"/>
    <row r="29395" s="197" customFormat="1" ht="12.75" x14ac:dyDescent="0.2"/>
    <row r="29396" s="197" customFormat="1" ht="12.75" x14ac:dyDescent="0.2"/>
    <row r="29397" s="197" customFormat="1" ht="12.75" x14ac:dyDescent="0.2"/>
    <row r="29398" s="197" customFormat="1" ht="12.75" x14ac:dyDescent="0.2"/>
    <row r="29399" s="197" customFormat="1" ht="12.75" x14ac:dyDescent="0.2"/>
    <row r="29400" s="197" customFormat="1" ht="12.75" x14ac:dyDescent="0.2"/>
    <row r="29401" s="197" customFormat="1" ht="12.75" x14ac:dyDescent="0.2"/>
    <row r="29402" s="197" customFormat="1" ht="12.75" x14ac:dyDescent="0.2"/>
    <row r="29403" s="197" customFormat="1" ht="12.75" x14ac:dyDescent="0.2"/>
    <row r="29404" s="197" customFormat="1" ht="12.75" x14ac:dyDescent="0.2"/>
    <row r="29405" s="197" customFormat="1" ht="12.75" x14ac:dyDescent="0.2"/>
    <row r="29406" s="197" customFormat="1" ht="12.75" x14ac:dyDescent="0.2"/>
    <row r="29407" s="197" customFormat="1" ht="12.75" x14ac:dyDescent="0.2"/>
    <row r="29408" s="197" customFormat="1" ht="12.75" x14ac:dyDescent="0.2"/>
    <row r="29409" s="197" customFormat="1" ht="12.75" x14ac:dyDescent="0.2"/>
    <row r="29410" s="197" customFormat="1" ht="12.75" x14ac:dyDescent="0.2"/>
    <row r="29411" s="197" customFormat="1" ht="12.75" x14ac:dyDescent="0.2"/>
    <row r="29412" s="197" customFormat="1" ht="12.75" x14ac:dyDescent="0.2"/>
    <row r="29413" s="197" customFormat="1" ht="12.75" x14ac:dyDescent="0.2"/>
    <row r="29414" s="197" customFormat="1" ht="12.75" x14ac:dyDescent="0.2"/>
    <row r="29415" s="197" customFormat="1" ht="12.75" x14ac:dyDescent="0.2"/>
    <row r="29416" s="197" customFormat="1" ht="12.75" x14ac:dyDescent="0.2"/>
    <row r="29417" s="197" customFormat="1" ht="12.75" x14ac:dyDescent="0.2"/>
    <row r="29418" s="197" customFormat="1" ht="12.75" x14ac:dyDescent="0.2"/>
    <row r="29419" s="197" customFormat="1" ht="12.75" x14ac:dyDescent="0.2"/>
    <row r="29420" s="197" customFormat="1" ht="12.75" x14ac:dyDescent="0.2"/>
    <row r="29421" s="197" customFormat="1" ht="12.75" x14ac:dyDescent="0.2"/>
    <row r="29422" s="197" customFormat="1" ht="12.75" x14ac:dyDescent="0.2"/>
    <row r="29423" s="197" customFormat="1" ht="12.75" x14ac:dyDescent="0.2"/>
    <row r="29424" s="197" customFormat="1" ht="12.75" x14ac:dyDescent="0.2"/>
    <row r="29425" s="197" customFormat="1" ht="12.75" x14ac:dyDescent="0.2"/>
    <row r="29426" s="197" customFormat="1" ht="12.75" x14ac:dyDescent="0.2"/>
    <row r="29427" s="197" customFormat="1" ht="12.75" x14ac:dyDescent="0.2"/>
    <row r="29428" s="197" customFormat="1" ht="12.75" x14ac:dyDescent="0.2"/>
    <row r="29429" s="197" customFormat="1" ht="12.75" x14ac:dyDescent="0.2"/>
    <row r="29430" s="197" customFormat="1" ht="12.75" x14ac:dyDescent="0.2"/>
    <row r="29431" s="197" customFormat="1" ht="12.75" x14ac:dyDescent="0.2"/>
    <row r="29432" s="197" customFormat="1" ht="12.75" x14ac:dyDescent="0.2"/>
    <row r="29433" s="197" customFormat="1" ht="12.75" x14ac:dyDescent="0.2"/>
    <row r="29434" s="197" customFormat="1" ht="12.75" x14ac:dyDescent="0.2"/>
    <row r="29435" s="197" customFormat="1" ht="12.75" x14ac:dyDescent="0.2"/>
    <row r="29436" s="197" customFormat="1" ht="12.75" x14ac:dyDescent="0.2"/>
    <row r="29437" s="197" customFormat="1" ht="12.75" x14ac:dyDescent="0.2"/>
    <row r="29438" s="197" customFormat="1" ht="12.75" x14ac:dyDescent="0.2"/>
    <row r="29439" s="197" customFormat="1" ht="12.75" x14ac:dyDescent="0.2"/>
    <row r="29440" s="197" customFormat="1" ht="12.75" x14ac:dyDescent="0.2"/>
    <row r="29441" s="197" customFormat="1" ht="12.75" x14ac:dyDescent="0.2"/>
    <row r="29442" s="197" customFormat="1" ht="12.75" x14ac:dyDescent="0.2"/>
    <row r="29443" s="197" customFormat="1" ht="12.75" x14ac:dyDescent="0.2"/>
    <row r="29444" s="197" customFormat="1" ht="12.75" x14ac:dyDescent="0.2"/>
    <row r="29445" s="197" customFormat="1" ht="12.75" x14ac:dyDescent="0.2"/>
    <row r="29446" s="197" customFormat="1" ht="12.75" x14ac:dyDescent="0.2"/>
    <row r="29447" s="197" customFormat="1" ht="12.75" x14ac:dyDescent="0.2"/>
    <row r="29448" s="197" customFormat="1" ht="12.75" x14ac:dyDescent="0.2"/>
    <row r="29449" s="197" customFormat="1" ht="12.75" x14ac:dyDescent="0.2"/>
    <row r="29450" s="197" customFormat="1" ht="12.75" x14ac:dyDescent="0.2"/>
    <row r="29451" s="197" customFormat="1" ht="12.75" x14ac:dyDescent="0.2"/>
    <row r="29452" s="197" customFormat="1" ht="12.75" x14ac:dyDescent="0.2"/>
    <row r="29453" s="197" customFormat="1" ht="12.75" x14ac:dyDescent="0.2"/>
    <row r="29454" s="197" customFormat="1" ht="12.75" x14ac:dyDescent="0.2"/>
    <row r="29455" s="197" customFormat="1" ht="12.75" x14ac:dyDescent="0.2"/>
    <row r="29456" s="197" customFormat="1" ht="12.75" x14ac:dyDescent="0.2"/>
    <row r="29457" s="197" customFormat="1" ht="12.75" x14ac:dyDescent="0.2"/>
    <row r="29458" s="197" customFormat="1" ht="12.75" x14ac:dyDescent="0.2"/>
    <row r="29459" s="197" customFormat="1" ht="12.75" x14ac:dyDescent="0.2"/>
    <row r="29460" s="197" customFormat="1" ht="12.75" x14ac:dyDescent="0.2"/>
    <row r="29461" s="197" customFormat="1" ht="12.75" x14ac:dyDescent="0.2"/>
    <row r="29462" s="197" customFormat="1" ht="12.75" x14ac:dyDescent="0.2"/>
    <row r="29463" s="197" customFormat="1" ht="12.75" x14ac:dyDescent="0.2"/>
    <row r="29464" s="197" customFormat="1" ht="12.75" x14ac:dyDescent="0.2"/>
    <row r="29465" s="197" customFormat="1" ht="12.75" x14ac:dyDescent="0.2"/>
    <row r="29466" s="197" customFormat="1" ht="12.75" x14ac:dyDescent="0.2"/>
    <row r="29467" s="197" customFormat="1" ht="12.75" x14ac:dyDescent="0.2"/>
    <row r="29468" s="197" customFormat="1" ht="12.75" x14ac:dyDescent="0.2"/>
    <row r="29469" s="197" customFormat="1" ht="12.75" x14ac:dyDescent="0.2"/>
    <row r="29470" s="197" customFormat="1" ht="12.75" x14ac:dyDescent="0.2"/>
    <row r="29471" s="197" customFormat="1" ht="12.75" x14ac:dyDescent="0.2"/>
    <row r="29472" s="197" customFormat="1" ht="12.75" x14ac:dyDescent="0.2"/>
    <row r="29473" s="197" customFormat="1" ht="12.75" x14ac:dyDescent="0.2"/>
    <row r="29474" s="197" customFormat="1" ht="12.75" x14ac:dyDescent="0.2"/>
    <row r="29475" s="197" customFormat="1" ht="12.75" x14ac:dyDescent="0.2"/>
    <row r="29476" s="197" customFormat="1" ht="12.75" x14ac:dyDescent="0.2"/>
    <row r="29477" s="197" customFormat="1" ht="12.75" x14ac:dyDescent="0.2"/>
    <row r="29478" s="197" customFormat="1" ht="12.75" x14ac:dyDescent="0.2"/>
    <row r="29479" s="197" customFormat="1" ht="12.75" x14ac:dyDescent="0.2"/>
    <row r="29480" s="197" customFormat="1" ht="12.75" x14ac:dyDescent="0.2"/>
    <row r="29481" s="197" customFormat="1" ht="12.75" x14ac:dyDescent="0.2"/>
    <row r="29482" s="197" customFormat="1" ht="12.75" x14ac:dyDescent="0.2"/>
    <row r="29483" s="197" customFormat="1" ht="12.75" x14ac:dyDescent="0.2"/>
    <row r="29484" s="197" customFormat="1" ht="12.75" x14ac:dyDescent="0.2"/>
    <row r="29485" s="197" customFormat="1" ht="12.75" x14ac:dyDescent="0.2"/>
    <row r="29486" s="197" customFormat="1" ht="12.75" x14ac:dyDescent="0.2"/>
    <row r="29487" s="197" customFormat="1" ht="12.75" x14ac:dyDescent="0.2"/>
    <row r="29488" s="197" customFormat="1" ht="12.75" x14ac:dyDescent="0.2"/>
    <row r="29489" s="197" customFormat="1" ht="12.75" x14ac:dyDescent="0.2"/>
    <row r="29490" s="197" customFormat="1" ht="12.75" x14ac:dyDescent="0.2"/>
    <row r="29491" s="197" customFormat="1" ht="12.75" x14ac:dyDescent="0.2"/>
    <row r="29492" s="197" customFormat="1" ht="12.75" x14ac:dyDescent="0.2"/>
    <row r="29493" s="197" customFormat="1" ht="12.75" x14ac:dyDescent="0.2"/>
    <row r="29494" s="197" customFormat="1" ht="12.75" x14ac:dyDescent="0.2"/>
    <row r="29495" s="197" customFormat="1" ht="12.75" x14ac:dyDescent="0.2"/>
    <row r="29496" s="197" customFormat="1" ht="12.75" x14ac:dyDescent="0.2"/>
    <row r="29497" s="197" customFormat="1" ht="12.75" x14ac:dyDescent="0.2"/>
    <row r="29498" s="197" customFormat="1" ht="12.75" x14ac:dyDescent="0.2"/>
    <row r="29499" s="197" customFormat="1" ht="12.75" x14ac:dyDescent="0.2"/>
    <row r="29500" s="197" customFormat="1" ht="12.75" x14ac:dyDescent="0.2"/>
    <row r="29501" s="197" customFormat="1" ht="12.75" x14ac:dyDescent="0.2"/>
    <row r="29502" s="197" customFormat="1" ht="12.75" x14ac:dyDescent="0.2"/>
    <row r="29503" s="197" customFormat="1" ht="12.75" x14ac:dyDescent="0.2"/>
    <row r="29504" s="197" customFormat="1" ht="12.75" x14ac:dyDescent="0.2"/>
    <row r="29505" s="197" customFormat="1" ht="12.75" x14ac:dyDescent="0.2"/>
    <row r="29506" s="197" customFormat="1" ht="12.75" x14ac:dyDescent="0.2"/>
    <row r="29507" s="197" customFormat="1" ht="12.75" x14ac:dyDescent="0.2"/>
    <row r="29508" s="197" customFormat="1" ht="12.75" x14ac:dyDescent="0.2"/>
    <row r="29509" s="197" customFormat="1" ht="12.75" x14ac:dyDescent="0.2"/>
    <row r="29510" s="197" customFormat="1" ht="12.75" x14ac:dyDescent="0.2"/>
    <row r="29511" s="197" customFormat="1" ht="12.75" x14ac:dyDescent="0.2"/>
    <row r="29512" s="197" customFormat="1" ht="12.75" x14ac:dyDescent="0.2"/>
    <row r="29513" s="197" customFormat="1" ht="12.75" x14ac:dyDescent="0.2"/>
    <row r="29514" s="197" customFormat="1" ht="12.75" x14ac:dyDescent="0.2"/>
    <row r="29515" s="197" customFormat="1" ht="12.75" x14ac:dyDescent="0.2"/>
    <row r="29516" s="197" customFormat="1" ht="12.75" x14ac:dyDescent="0.2"/>
    <row r="29517" s="197" customFormat="1" ht="12.75" x14ac:dyDescent="0.2"/>
    <row r="29518" s="197" customFormat="1" ht="12.75" x14ac:dyDescent="0.2"/>
    <row r="29519" s="197" customFormat="1" ht="12.75" x14ac:dyDescent="0.2"/>
    <row r="29520" s="197" customFormat="1" ht="12.75" x14ac:dyDescent="0.2"/>
    <row r="29521" s="197" customFormat="1" ht="12.75" x14ac:dyDescent="0.2"/>
    <row r="29522" s="197" customFormat="1" ht="12.75" x14ac:dyDescent="0.2"/>
    <row r="29523" s="197" customFormat="1" ht="12.75" x14ac:dyDescent="0.2"/>
    <row r="29524" s="197" customFormat="1" ht="12.75" x14ac:dyDescent="0.2"/>
    <row r="29525" s="197" customFormat="1" ht="12.75" x14ac:dyDescent="0.2"/>
    <row r="29526" s="197" customFormat="1" ht="12.75" x14ac:dyDescent="0.2"/>
    <row r="29527" s="197" customFormat="1" ht="12.75" x14ac:dyDescent="0.2"/>
    <row r="29528" s="197" customFormat="1" ht="12.75" x14ac:dyDescent="0.2"/>
    <row r="29529" s="197" customFormat="1" ht="12.75" x14ac:dyDescent="0.2"/>
    <row r="29530" s="197" customFormat="1" ht="12.75" x14ac:dyDescent="0.2"/>
    <row r="29531" s="197" customFormat="1" ht="12.75" x14ac:dyDescent="0.2"/>
    <row r="29532" s="197" customFormat="1" ht="12.75" x14ac:dyDescent="0.2"/>
    <row r="29533" s="197" customFormat="1" ht="12.75" x14ac:dyDescent="0.2"/>
    <row r="29534" s="197" customFormat="1" ht="12.75" x14ac:dyDescent="0.2"/>
    <row r="29535" s="197" customFormat="1" ht="12.75" x14ac:dyDescent="0.2"/>
    <row r="29536" s="197" customFormat="1" ht="12.75" x14ac:dyDescent="0.2"/>
    <row r="29537" s="197" customFormat="1" ht="12.75" x14ac:dyDescent="0.2"/>
    <row r="29538" s="197" customFormat="1" ht="12.75" x14ac:dyDescent="0.2"/>
    <row r="29539" s="197" customFormat="1" ht="12.75" x14ac:dyDescent="0.2"/>
    <row r="29540" s="197" customFormat="1" ht="12.75" x14ac:dyDescent="0.2"/>
    <row r="29541" s="197" customFormat="1" ht="12.75" x14ac:dyDescent="0.2"/>
    <row r="29542" s="197" customFormat="1" ht="12.75" x14ac:dyDescent="0.2"/>
    <row r="29543" s="197" customFormat="1" ht="12.75" x14ac:dyDescent="0.2"/>
    <row r="29544" s="197" customFormat="1" ht="12.75" x14ac:dyDescent="0.2"/>
    <row r="29545" s="197" customFormat="1" ht="12.75" x14ac:dyDescent="0.2"/>
    <row r="29546" s="197" customFormat="1" ht="12.75" x14ac:dyDescent="0.2"/>
    <row r="29547" s="197" customFormat="1" ht="12.75" x14ac:dyDescent="0.2"/>
    <row r="29548" s="197" customFormat="1" ht="12.75" x14ac:dyDescent="0.2"/>
    <row r="29549" s="197" customFormat="1" ht="12.75" x14ac:dyDescent="0.2"/>
    <row r="29550" s="197" customFormat="1" ht="12.75" x14ac:dyDescent="0.2"/>
    <row r="29551" s="197" customFormat="1" ht="12.75" x14ac:dyDescent="0.2"/>
    <row r="29552" s="197" customFormat="1" ht="12.75" x14ac:dyDescent="0.2"/>
    <row r="29553" s="197" customFormat="1" ht="12.75" x14ac:dyDescent="0.2"/>
    <row r="29554" s="197" customFormat="1" ht="12.75" x14ac:dyDescent="0.2"/>
    <row r="29555" s="197" customFormat="1" ht="12.75" x14ac:dyDescent="0.2"/>
    <row r="29556" s="197" customFormat="1" ht="12.75" x14ac:dyDescent="0.2"/>
    <row r="29557" s="197" customFormat="1" ht="12.75" x14ac:dyDescent="0.2"/>
    <row r="29558" s="197" customFormat="1" ht="12.75" x14ac:dyDescent="0.2"/>
    <row r="29559" s="197" customFormat="1" ht="12.75" x14ac:dyDescent="0.2"/>
    <row r="29560" s="197" customFormat="1" ht="12.75" x14ac:dyDescent="0.2"/>
    <row r="29561" s="197" customFormat="1" ht="12.75" x14ac:dyDescent="0.2"/>
    <row r="29562" s="197" customFormat="1" ht="12.75" x14ac:dyDescent="0.2"/>
    <row r="29563" s="197" customFormat="1" ht="12.75" x14ac:dyDescent="0.2"/>
    <row r="29564" s="197" customFormat="1" ht="12.75" x14ac:dyDescent="0.2"/>
    <row r="29565" s="197" customFormat="1" ht="12.75" x14ac:dyDescent="0.2"/>
    <row r="29566" s="197" customFormat="1" ht="12.75" x14ac:dyDescent="0.2"/>
    <row r="29567" s="197" customFormat="1" ht="12.75" x14ac:dyDescent="0.2"/>
    <row r="29568" s="197" customFormat="1" ht="12.75" x14ac:dyDescent="0.2"/>
    <row r="29569" s="197" customFormat="1" ht="12.75" x14ac:dyDescent="0.2"/>
    <row r="29570" s="197" customFormat="1" ht="12.75" x14ac:dyDescent="0.2"/>
    <row r="29571" s="197" customFormat="1" ht="12.75" x14ac:dyDescent="0.2"/>
    <row r="29572" s="197" customFormat="1" ht="12.75" x14ac:dyDescent="0.2"/>
    <row r="29573" s="197" customFormat="1" ht="12.75" x14ac:dyDescent="0.2"/>
    <row r="29574" s="197" customFormat="1" ht="12.75" x14ac:dyDescent="0.2"/>
    <row r="29575" s="197" customFormat="1" ht="12.75" x14ac:dyDescent="0.2"/>
    <row r="29576" s="197" customFormat="1" ht="12.75" x14ac:dyDescent="0.2"/>
    <row r="29577" s="197" customFormat="1" ht="12.75" x14ac:dyDescent="0.2"/>
    <row r="29578" s="197" customFormat="1" ht="12.75" x14ac:dyDescent="0.2"/>
    <row r="29579" s="197" customFormat="1" ht="12.75" x14ac:dyDescent="0.2"/>
    <row r="29580" s="197" customFormat="1" ht="12.75" x14ac:dyDescent="0.2"/>
    <row r="29581" s="197" customFormat="1" ht="12.75" x14ac:dyDescent="0.2"/>
    <row r="29582" s="197" customFormat="1" ht="12.75" x14ac:dyDescent="0.2"/>
    <row r="29583" s="197" customFormat="1" ht="12.75" x14ac:dyDescent="0.2"/>
    <row r="29584" s="197" customFormat="1" ht="12.75" x14ac:dyDescent="0.2"/>
    <row r="29585" s="197" customFormat="1" ht="12.75" x14ac:dyDescent="0.2"/>
    <row r="29586" s="197" customFormat="1" ht="12.75" x14ac:dyDescent="0.2"/>
    <row r="29587" s="197" customFormat="1" ht="12.75" x14ac:dyDescent="0.2"/>
    <row r="29588" s="197" customFormat="1" ht="12.75" x14ac:dyDescent="0.2"/>
    <row r="29589" s="197" customFormat="1" ht="12.75" x14ac:dyDescent="0.2"/>
    <row r="29590" s="197" customFormat="1" ht="12.75" x14ac:dyDescent="0.2"/>
    <row r="29591" s="197" customFormat="1" ht="12.75" x14ac:dyDescent="0.2"/>
    <row r="29592" s="197" customFormat="1" ht="12.75" x14ac:dyDescent="0.2"/>
    <row r="29593" s="197" customFormat="1" ht="12.75" x14ac:dyDescent="0.2"/>
    <row r="29594" s="197" customFormat="1" ht="12.75" x14ac:dyDescent="0.2"/>
    <row r="29595" s="197" customFormat="1" ht="12.75" x14ac:dyDescent="0.2"/>
    <row r="29596" s="197" customFormat="1" ht="12.75" x14ac:dyDescent="0.2"/>
    <row r="29597" s="197" customFormat="1" ht="12.75" x14ac:dyDescent="0.2"/>
    <row r="29598" s="197" customFormat="1" ht="12.75" x14ac:dyDescent="0.2"/>
    <row r="29599" s="197" customFormat="1" ht="12.75" x14ac:dyDescent="0.2"/>
    <row r="29600" s="197" customFormat="1" ht="12.75" x14ac:dyDescent="0.2"/>
    <row r="29601" s="197" customFormat="1" ht="12.75" x14ac:dyDescent="0.2"/>
    <row r="29602" s="197" customFormat="1" ht="12.75" x14ac:dyDescent="0.2"/>
    <row r="29603" s="197" customFormat="1" ht="12.75" x14ac:dyDescent="0.2"/>
    <row r="29604" s="197" customFormat="1" ht="12.75" x14ac:dyDescent="0.2"/>
    <row r="29605" s="197" customFormat="1" ht="12.75" x14ac:dyDescent="0.2"/>
    <row r="29606" s="197" customFormat="1" ht="12.75" x14ac:dyDescent="0.2"/>
    <row r="29607" s="197" customFormat="1" ht="12.75" x14ac:dyDescent="0.2"/>
    <row r="29608" s="197" customFormat="1" ht="12.75" x14ac:dyDescent="0.2"/>
    <row r="29609" s="197" customFormat="1" ht="12.75" x14ac:dyDescent="0.2"/>
    <row r="29610" s="197" customFormat="1" ht="12.75" x14ac:dyDescent="0.2"/>
    <row r="29611" s="197" customFormat="1" ht="12.75" x14ac:dyDescent="0.2"/>
    <row r="29612" s="197" customFormat="1" ht="12.75" x14ac:dyDescent="0.2"/>
    <row r="29613" s="197" customFormat="1" ht="12.75" x14ac:dyDescent="0.2"/>
    <row r="29614" s="197" customFormat="1" ht="12.75" x14ac:dyDescent="0.2"/>
    <row r="29615" s="197" customFormat="1" ht="12.75" x14ac:dyDescent="0.2"/>
    <row r="29616" s="197" customFormat="1" ht="12.75" x14ac:dyDescent="0.2"/>
    <row r="29617" s="197" customFormat="1" ht="12.75" x14ac:dyDescent="0.2"/>
    <row r="29618" s="197" customFormat="1" ht="12.75" x14ac:dyDescent="0.2"/>
    <row r="29619" s="197" customFormat="1" ht="12.75" x14ac:dyDescent="0.2"/>
    <row r="29620" s="197" customFormat="1" ht="12.75" x14ac:dyDescent="0.2"/>
    <row r="29621" s="197" customFormat="1" ht="12.75" x14ac:dyDescent="0.2"/>
    <row r="29622" s="197" customFormat="1" ht="12.75" x14ac:dyDescent="0.2"/>
    <row r="29623" s="197" customFormat="1" ht="12.75" x14ac:dyDescent="0.2"/>
    <row r="29624" s="197" customFormat="1" ht="12.75" x14ac:dyDescent="0.2"/>
    <row r="29625" s="197" customFormat="1" ht="12.75" x14ac:dyDescent="0.2"/>
    <row r="29626" s="197" customFormat="1" ht="12.75" x14ac:dyDescent="0.2"/>
    <row r="29627" s="197" customFormat="1" ht="12.75" x14ac:dyDescent="0.2"/>
    <row r="29628" s="197" customFormat="1" ht="12.75" x14ac:dyDescent="0.2"/>
    <row r="29629" s="197" customFormat="1" ht="12.75" x14ac:dyDescent="0.2"/>
    <row r="29630" s="197" customFormat="1" ht="12.75" x14ac:dyDescent="0.2"/>
    <row r="29631" s="197" customFormat="1" ht="12.75" x14ac:dyDescent="0.2"/>
    <row r="29632" s="197" customFormat="1" ht="12.75" x14ac:dyDescent="0.2"/>
    <row r="29633" s="197" customFormat="1" ht="12.75" x14ac:dyDescent="0.2"/>
    <row r="29634" s="197" customFormat="1" ht="12.75" x14ac:dyDescent="0.2"/>
    <row r="29635" s="197" customFormat="1" ht="12.75" x14ac:dyDescent="0.2"/>
    <row r="29636" s="197" customFormat="1" ht="12.75" x14ac:dyDescent="0.2"/>
    <row r="29637" s="197" customFormat="1" ht="12.75" x14ac:dyDescent="0.2"/>
    <row r="29638" s="197" customFormat="1" ht="12.75" x14ac:dyDescent="0.2"/>
    <row r="29639" s="197" customFormat="1" ht="12.75" x14ac:dyDescent="0.2"/>
    <row r="29640" s="197" customFormat="1" ht="12.75" x14ac:dyDescent="0.2"/>
    <row r="29641" s="197" customFormat="1" ht="12.75" x14ac:dyDescent="0.2"/>
    <row r="29642" s="197" customFormat="1" ht="12.75" x14ac:dyDescent="0.2"/>
    <row r="29643" s="197" customFormat="1" ht="12.75" x14ac:dyDescent="0.2"/>
    <row r="29644" s="197" customFormat="1" ht="12.75" x14ac:dyDescent="0.2"/>
    <row r="29645" s="197" customFormat="1" ht="12.75" x14ac:dyDescent="0.2"/>
    <row r="29646" s="197" customFormat="1" ht="12.75" x14ac:dyDescent="0.2"/>
    <row r="29647" s="197" customFormat="1" ht="12.75" x14ac:dyDescent="0.2"/>
    <row r="29648" s="197" customFormat="1" ht="12.75" x14ac:dyDescent="0.2"/>
    <row r="29649" s="197" customFormat="1" ht="12.75" x14ac:dyDescent="0.2"/>
    <row r="29650" s="197" customFormat="1" ht="12.75" x14ac:dyDescent="0.2"/>
    <row r="29651" s="197" customFormat="1" ht="12.75" x14ac:dyDescent="0.2"/>
    <row r="29652" s="197" customFormat="1" ht="12.75" x14ac:dyDescent="0.2"/>
    <row r="29653" s="197" customFormat="1" ht="12.75" x14ac:dyDescent="0.2"/>
    <row r="29654" s="197" customFormat="1" ht="12.75" x14ac:dyDescent="0.2"/>
    <row r="29655" s="197" customFormat="1" ht="12.75" x14ac:dyDescent="0.2"/>
    <row r="29656" s="197" customFormat="1" ht="12.75" x14ac:dyDescent="0.2"/>
    <row r="29657" s="197" customFormat="1" ht="12.75" x14ac:dyDescent="0.2"/>
    <row r="29658" s="197" customFormat="1" ht="12.75" x14ac:dyDescent="0.2"/>
    <row r="29659" s="197" customFormat="1" ht="12.75" x14ac:dyDescent="0.2"/>
    <row r="29660" s="197" customFormat="1" ht="12.75" x14ac:dyDescent="0.2"/>
    <row r="29661" s="197" customFormat="1" ht="12.75" x14ac:dyDescent="0.2"/>
    <row r="29662" s="197" customFormat="1" ht="12.75" x14ac:dyDescent="0.2"/>
    <row r="29663" s="197" customFormat="1" ht="12.75" x14ac:dyDescent="0.2"/>
    <row r="29664" s="197" customFormat="1" ht="12.75" x14ac:dyDescent="0.2"/>
    <row r="29665" s="197" customFormat="1" ht="12.75" x14ac:dyDescent="0.2"/>
    <row r="29666" s="197" customFormat="1" ht="12.75" x14ac:dyDescent="0.2"/>
    <row r="29667" s="197" customFormat="1" ht="12.75" x14ac:dyDescent="0.2"/>
    <row r="29668" s="197" customFormat="1" ht="12.75" x14ac:dyDescent="0.2"/>
    <row r="29669" s="197" customFormat="1" ht="12.75" x14ac:dyDescent="0.2"/>
    <row r="29670" s="197" customFormat="1" ht="12.75" x14ac:dyDescent="0.2"/>
    <row r="29671" s="197" customFormat="1" ht="12.75" x14ac:dyDescent="0.2"/>
    <row r="29672" s="197" customFormat="1" ht="12.75" x14ac:dyDescent="0.2"/>
    <row r="29673" s="197" customFormat="1" ht="12.75" x14ac:dyDescent="0.2"/>
    <row r="29674" s="197" customFormat="1" ht="12.75" x14ac:dyDescent="0.2"/>
    <row r="29675" s="197" customFormat="1" ht="12.75" x14ac:dyDescent="0.2"/>
    <row r="29676" s="197" customFormat="1" ht="12.75" x14ac:dyDescent="0.2"/>
    <row r="29677" s="197" customFormat="1" ht="12.75" x14ac:dyDescent="0.2"/>
    <row r="29678" s="197" customFormat="1" ht="12.75" x14ac:dyDescent="0.2"/>
    <row r="29679" s="197" customFormat="1" ht="12.75" x14ac:dyDescent="0.2"/>
    <row r="29680" s="197" customFormat="1" ht="12.75" x14ac:dyDescent="0.2"/>
    <row r="29681" s="197" customFormat="1" ht="12.75" x14ac:dyDescent="0.2"/>
    <row r="29682" s="197" customFormat="1" ht="12.75" x14ac:dyDescent="0.2"/>
    <row r="29683" s="197" customFormat="1" ht="12.75" x14ac:dyDescent="0.2"/>
    <row r="29684" s="197" customFormat="1" ht="12.75" x14ac:dyDescent="0.2"/>
    <row r="29685" s="197" customFormat="1" ht="12.75" x14ac:dyDescent="0.2"/>
    <row r="29686" s="197" customFormat="1" ht="12.75" x14ac:dyDescent="0.2"/>
    <row r="29687" s="197" customFormat="1" ht="12.75" x14ac:dyDescent="0.2"/>
    <row r="29688" s="197" customFormat="1" ht="12.75" x14ac:dyDescent="0.2"/>
    <row r="29689" s="197" customFormat="1" ht="12.75" x14ac:dyDescent="0.2"/>
    <row r="29690" s="197" customFormat="1" ht="12.75" x14ac:dyDescent="0.2"/>
    <row r="29691" s="197" customFormat="1" ht="12.75" x14ac:dyDescent="0.2"/>
    <row r="29692" s="197" customFormat="1" ht="12.75" x14ac:dyDescent="0.2"/>
    <row r="29693" s="197" customFormat="1" ht="12.75" x14ac:dyDescent="0.2"/>
    <row r="29694" s="197" customFormat="1" ht="12.75" x14ac:dyDescent="0.2"/>
    <row r="29695" s="197" customFormat="1" ht="12.75" x14ac:dyDescent="0.2"/>
    <row r="29696" s="197" customFormat="1" ht="12.75" x14ac:dyDescent="0.2"/>
    <row r="29697" s="197" customFormat="1" ht="12.75" x14ac:dyDescent="0.2"/>
    <row r="29698" s="197" customFormat="1" ht="12.75" x14ac:dyDescent="0.2"/>
    <row r="29699" s="197" customFormat="1" ht="12.75" x14ac:dyDescent="0.2"/>
    <row r="29700" s="197" customFormat="1" ht="12.75" x14ac:dyDescent="0.2"/>
    <row r="29701" s="197" customFormat="1" ht="12.75" x14ac:dyDescent="0.2"/>
    <row r="29702" s="197" customFormat="1" ht="12.75" x14ac:dyDescent="0.2"/>
    <row r="29703" s="197" customFormat="1" ht="12.75" x14ac:dyDescent="0.2"/>
    <row r="29704" s="197" customFormat="1" ht="12.75" x14ac:dyDescent="0.2"/>
    <row r="29705" s="197" customFormat="1" ht="12.75" x14ac:dyDescent="0.2"/>
    <row r="29706" s="197" customFormat="1" ht="12.75" x14ac:dyDescent="0.2"/>
    <row r="29707" s="197" customFormat="1" ht="12.75" x14ac:dyDescent="0.2"/>
    <row r="29708" s="197" customFormat="1" ht="12.75" x14ac:dyDescent="0.2"/>
    <row r="29709" s="197" customFormat="1" ht="12.75" x14ac:dyDescent="0.2"/>
    <row r="29710" s="197" customFormat="1" ht="12.75" x14ac:dyDescent="0.2"/>
    <row r="29711" s="197" customFormat="1" ht="12.75" x14ac:dyDescent="0.2"/>
    <row r="29712" s="197" customFormat="1" ht="12.75" x14ac:dyDescent="0.2"/>
    <row r="29713" s="197" customFormat="1" ht="12.75" x14ac:dyDescent="0.2"/>
    <row r="29714" s="197" customFormat="1" ht="12.75" x14ac:dyDescent="0.2"/>
    <row r="29715" s="197" customFormat="1" ht="12.75" x14ac:dyDescent="0.2"/>
    <row r="29716" s="197" customFormat="1" ht="12.75" x14ac:dyDescent="0.2"/>
    <row r="29717" s="197" customFormat="1" ht="12.75" x14ac:dyDescent="0.2"/>
    <row r="29718" s="197" customFormat="1" ht="12.75" x14ac:dyDescent="0.2"/>
    <row r="29719" s="197" customFormat="1" ht="12.75" x14ac:dyDescent="0.2"/>
    <row r="29720" s="197" customFormat="1" ht="12.75" x14ac:dyDescent="0.2"/>
    <row r="29721" s="197" customFormat="1" ht="12.75" x14ac:dyDescent="0.2"/>
    <row r="29722" s="197" customFormat="1" ht="12.75" x14ac:dyDescent="0.2"/>
    <row r="29723" s="197" customFormat="1" ht="12.75" x14ac:dyDescent="0.2"/>
    <row r="29724" s="197" customFormat="1" ht="12.75" x14ac:dyDescent="0.2"/>
    <row r="29725" s="197" customFormat="1" ht="12.75" x14ac:dyDescent="0.2"/>
    <row r="29726" s="197" customFormat="1" ht="12.75" x14ac:dyDescent="0.2"/>
    <row r="29727" s="197" customFormat="1" ht="12.75" x14ac:dyDescent="0.2"/>
    <row r="29728" s="197" customFormat="1" ht="12.75" x14ac:dyDescent="0.2"/>
    <row r="29729" s="197" customFormat="1" ht="12.75" x14ac:dyDescent="0.2"/>
    <row r="29730" s="197" customFormat="1" ht="12.75" x14ac:dyDescent="0.2"/>
    <row r="29731" s="197" customFormat="1" ht="12.75" x14ac:dyDescent="0.2"/>
    <row r="29732" s="197" customFormat="1" ht="12.75" x14ac:dyDescent="0.2"/>
    <row r="29733" s="197" customFormat="1" ht="12.75" x14ac:dyDescent="0.2"/>
    <row r="29734" s="197" customFormat="1" ht="12.75" x14ac:dyDescent="0.2"/>
    <row r="29735" s="197" customFormat="1" ht="12.75" x14ac:dyDescent="0.2"/>
    <row r="29736" s="197" customFormat="1" ht="12.75" x14ac:dyDescent="0.2"/>
    <row r="29737" s="197" customFormat="1" ht="12.75" x14ac:dyDescent="0.2"/>
    <row r="29738" s="197" customFormat="1" ht="12.75" x14ac:dyDescent="0.2"/>
    <row r="29739" s="197" customFormat="1" ht="12.75" x14ac:dyDescent="0.2"/>
    <row r="29740" s="197" customFormat="1" ht="12.75" x14ac:dyDescent="0.2"/>
    <row r="29741" s="197" customFormat="1" ht="12.75" x14ac:dyDescent="0.2"/>
    <row r="29742" s="197" customFormat="1" ht="12.75" x14ac:dyDescent="0.2"/>
    <row r="29743" s="197" customFormat="1" ht="12.75" x14ac:dyDescent="0.2"/>
    <row r="29744" s="197" customFormat="1" ht="12.75" x14ac:dyDescent="0.2"/>
    <row r="29745" s="197" customFormat="1" ht="12.75" x14ac:dyDescent="0.2"/>
    <row r="29746" s="197" customFormat="1" ht="12.75" x14ac:dyDescent="0.2"/>
    <row r="29747" s="197" customFormat="1" ht="12.75" x14ac:dyDescent="0.2"/>
    <row r="29748" s="197" customFormat="1" ht="12.75" x14ac:dyDescent="0.2"/>
    <row r="29749" s="197" customFormat="1" ht="12.75" x14ac:dyDescent="0.2"/>
    <row r="29750" s="197" customFormat="1" ht="12.75" x14ac:dyDescent="0.2"/>
    <row r="29751" s="197" customFormat="1" ht="12.75" x14ac:dyDescent="0.2"/>
    <row r="29752" s="197" customFormat="1" ht="12.75" x14ac:dyDescent="0.2"/>
    <row r="29753" s="197" customFormat="1" ht="12.75" x14ac:dyDescent="0.2"/>
    <row r="29754" s="197" customFormat="1" ht="12.75" x14ac:dyDescent="0.2"/>
    <row r="29755" s="197" customFormat="1" ht="12.75" x14ac:dyDescent="0.2"/>
    <row r="29756" s="197" customFormat="1" ht="12.75" x14ac:dyDescent="0.2"/>
    <row r="29757" s="197" customFormat="1" ht="12.75" x14ac:dyDescent="0.2"/>
    <row r="29758" s="197" customFormat="1" ht="12.75" x14ac:dyDescent="0.2"/>
    <row r="29759" s="197" customFormat="1" ht="12.75" x14ac:dyDescent="0.2"/>
    <row r="29760" s="197" customFormat="1" ht="12.75" x14ac:dyDescent="0.2"/>
    <row r="29761" s="197" customFormat="1" ht="12.75" x14ac:dyDescent="0.2"/>
    <row r="29762" s="197" customFormat="1" ht="12.75" x14ac:dyDescent="0.2"/>
    <row r="29763" s="197" customFormat="1" ht="12.75" x14ac:dyDescent="0.2"/>
    <row r="29764" s="197" customFormat="1" ht="12.75" x14ac:dyDescent="0.2"/>
    <row r="29765" s="197" customFormat="1" ht="12.75" x14ac:dyDescent="0.2"/>
    <row r="29766" s="197" customFormat="1" ht="12.75" x14ac:dyDescent="0.2"/>
    <row r="29767" s="197" customFormat="1" ht="12.75" x14ac:dyDescent="0.2"/>
    <row r="29768" s="197" customFormat="1" ht="12.75" x14ac:dyDescent="0.2"/>
    <row r="29769" s="197" customFormat="1" ht="12.75" x14ac:dyDescent="0.2"/>
    <row r="29770" s="197" customFormat="1" ht="12.75" x14ac:dyDescent="0.2"/>
    <row r="29771" s="197" customFormat="1" ht="12.75" x14ac:dyDescent="0.2"/>
    <row r="29772" s="197" customFormat="1" ht="12.75" x14ac:dyDescent="0.2"/>
    <row r="29773" s="197" customFormat="1" ht="12.75" x14ac:dyDescent="0.2"/>
    <row r="29774" s="197" customFormat="1" ht="12.75" x14ac:dyDescent="0.2"/>
    <row r="29775" s="197" customFormat="1" ht="12.75" x14ac:dyDescent="0.2"/>
    <row r="29776" s="197" customFormat="1" ht="12.75" x14ac:dyDescent="0.2"/>
    <row r="29777" s="197" customFormat="1" ht="12.75" x14ac:dyDescent="0.2"/>
    <row r="29778" s="197" customFormat="1" ht="12.75" x14ac:dyDescent="0.2"/>
    <row r="29779" s="197" customFormat="1" ht="12.75" x14ac:dyDescent="0.2"/>
    <row r="29780" s="197" customFormat="1" ht="12.75" x14ac:dyDescent="0.2"/>
    <row r="29781" s="197" customFormat="1" ht="12.75" x14ac:dyDescent="0.2"/>
    <row r="29782" s="197" customFormat="1" ht="12.75" x14ac:dyDescent="0.2"/>
    <row r="29783" s="197" customFormat="1" ht="12.75" x14ac:dyDescent="0.2"/>
    <row r="29784" s="197" customFormat="1" ht="12.75" x14ac:dyDescent="0.2"/>
    <row r="29785" s="197" customFormat="1" ht="12.75" x14ac:dyDescent="0.2"/>
    <row r="29786" s="197" customFormat="1" ht="12.75" x14ac:dyDescent="0.2"/>
    <row r="29787" s="197" customFormat="1" ht="12.75" x14ac:dyDescent="0.2"/>
    <row r="29788" s="197" customFormat="1" ht="12.75" x14ac:dyDescent="0.2"/>
    <row r="29789" s="197" customFormat="1" ht="12.75" x14ac:dyDescent="0.2"/>
    <row r="29790" s="197" customFormat="1" ht="12.75" x14ac:dyDescent="0.2"/>
    <row r="29791" s="197" customFormat="1" ht="12.75" x14ac:dyDescent="0.2"/>
    <row r="29792" s="197" customFormat="1" ht="12.75" x14ac:dyDescent="0.2"/>
    <row r="29793" s="197" customFormat="1" ht="12.75" x14ac:dyDescent="0.2"/>
    <row r="29794" s="197" customFormat="1" ht="12.75" x14ac:dyDescent="0.2"/>
    <row r="29795" s="197" customFormat="1" ht="12.75" x14ac:dyDescent="0.2"/>
    <row r="29796" s="197" customFormat="1" ht="12.75" x14ac:dyDescent="0.2"/>
    <row r="29797" s="197" customFormat="1" ht="12.75" x14ac:dyDescent="0.2"/>
    <row r="29798" s="197" customFormat="1" ht="12.75" x14ac:dyDescent="0.2"/>
    <row r="29799" s="197" customFormat="1" ht="12.75" x14ac:dyDescent="0.2"/>
    <row r="29800" s="197" customFormat="1" ht="12.75" x14ac:dyDescent="0.2"/>
    <row r="29801" s="197" customFormat="1" ht="12.75" x14ac:dyDescent="0.2"/>
    <row r="29802" s="197" customFormat="1" ht="12.75" x14ac:dyDescent="0.2"/>
    <row r="29803" s="197" customFormat="1" ht="12.75" x14ac:dyDescent="0.2"/>
    <row r="29804" s="197" customFormat="1" ht="12.75" x14ac:dyDescent="0.2"/>
    <row r="29805" s="197" customFormat="1" ht="12.75" x14ac:dyDescent="0.2"/>
    <row r="29806" s="197" customFormat="1" ht="12.75" x14ac:dyDescent="0.2"/>
    <row r="29807" s="197" customFormat="1" ht="12.75" x14ac:dyDescent="0.2"/>
    <row r="29808" s="197" customFormat="1" ht="12.75" x14ac:dyDescent="0.2"/>
    <row r="29809" s="197" customFormat="1" ht="12.75" x14ac:dyDescent="0.2"/>
    <row r="29810" s="197" customFormat="1" ht="12.75" x14ac:dyDescent="0.2"/>
    <row r="29811" s="197" customFormat="1" ht="12.75" x14ac:dyDescent="0.2"/>
    <row r="29812" s="197" customFormat="1" ht="12.75" x14ac:dyDescent="0.2"/>
    <row r="29813" s="197" customFormat="1" ht="12.75" x14ac:dyDescent="0.2"/>
    <row r="29814" s="197" customFormat="1" ht="12.75" x14ac:dyDescent="0.2"/>
    <row r="29815" s="197" customFormat="1" ht="12.75" x14ac:dyDescent="0.2"/>
    <row r="29816" s="197" customFormat="1" ht="12.75" x14ac:dyDescent="0.2"/>
    <row r="29817" s="197" customFormat="1" ht="12.75" x14ac:dyDescent="0.2"/>
    <row r="29818" s="197" customFormat="1" ht="12.75" x14ac:dyDescent="0.2"/>
    <row r="29819" s="197" customFormat="1" ht="12.75" x14ac:dyDescent="0.2"/>
    <row r="29820" s="197" customFormat="1" ht="12.75" x14ac:dyDescent="0.2"/>
    <row r="29821" s="197" customFormat="1" ht="12.75" x14ac:dyDescent="0.2"/>
    <row r="29822" s="197" customFormat="1" ht="12.75" x14ac:dyDescent="0.2"/>
    <row r="29823" s="197" customFormat="1" ht="12.75" x14ac:dyDescent="0.2"/>
    <row r="29824" s="197" customFormat="1" ht="12.75" x14ac:dyDescent="0.2"/>
    <row r="29825" s="197" customFormat="1" ht="12.75" x14ac:dyDescent="0.2"/>
    <row r="29826" s="197" customFormat="1" ht="12.75" x14ac:dyDescent="0.2"/>
    <row r="29827" s="197" customFormat="1" ht="12.75" x14ac:dyDescent="0.2"/>
    <row r="29828" s="197" customFormat="1" ht="12.75" x14ac:dyDescent="0.2"/>
    <row r="29829" s="197" customFormat="1" ht="12.75" x14ac:dyDescent="0.2"/>
    <row r="29830" s="197" customFormat="1" ht="12.75" x14ac:dyDescent="0.2"/>
    <row r="29831" s="197" customFormat="1" ht="12.75" x14ac:dyDescent="0.2"/>
    <row r="29832" s="197" customFormat="1" ht="12.75" x14ac:dyDescent="0.2"/>
    <row r="29833" s="197" customFormat="1" ht="12.75" x14ac:dyDescent="0.2"/>
    <row r="29834" s="197" customFormat="1" ht="12.75" x14ac:dyDescent="0.2"/>
    <row r="29835" s="197" customFormat="1" ht="12.75" x14ac:dyDescent="0.2"/>
    <row r="29836" s="197" customFormat="1" ht="12.75" x14ac:dyDescent="0.2"/>
    <row r="29837" s="197" customFormat="1" ht="12.75" x14ac:dyDescent="0.2"/>
    <row r="29838" s="197" customFormat="1" ht="12.75" x14ac:dyDescent="0.2"/>
    <row r="29839" s="197" customFormat="1" ht="12.75" x14ac:dyDescent="0.2"/>
    <row r="29840" s="197" customFormat="1" ht="12.75" x14ac:dyDescent="0.2"/>
    <row r="29841" s="197" customFormat="1" ht="12.75" x14ac:dyDescent="0.2"/>
    <row r="29842" s="197" customFormat="1" ht="12.75" x14ac:dyDescent="0.2"/>
    <row r="29843" s="197" customFormat="1" ht="12.75" x14ac:dyDescent="0.2"/>
    <row r="29844" s="197" customFormat="1" ht="12.75" x14ac:dyDescent="0.2"/>
    <row r="29845" s="197" customFormat="1" ht="12.75" x14ac:dyDescent="0.2"/>
    <row r="29846" s="197" customFormat="1" ht="12.75" x14ac:dyDescent="0.2"/>
    <row r="29847" s="197" customFormat="1" ht="12.75" x14ac:dyDescent="0.2"/>
    <row r="29848" s="197" customFormat="1" ht="12.75" x14ac:dyDescent="0.2"/>
    <row r="29849" s="197" customFormat="1" ht="12.75" x14ac:dyDescent="0.2"/>
    <row r="29850" s="197" customFormat="1" ht="12.75" x14ac:dyDescent="0.2"/>
    <row r="29851" s="197" customFormat="1" ht="12.75" x14ac:dyDescent="0.2"/>
    <row r="29852" s="197" customFormat="1" ht="12.75" x14ac:dyDescent="0.2"/>
    <row r="29853" s="197" customFormat="1" ht="12.75" x14ac:dyDescent="0.2"/>
    <row r="29854" s="197" customFormat="1" ht="12.75" x14ac:dyDescent="0.2"/>
    <row r="29855" s="197" customFormat="1" ht="12.75" x14ac:dyDescent="0.2"/>
    <row r="29856" s="197" customFormat="1" ht="12.75" x14ac:dyDescent="0.2"/>
    <row r="29857" s="197" customFormat="1" ht="12.75" x14ac:dyDescent="0.2"/>
    <row r="29858" s="197" customFormat="1" ht="12.75" x14ac:dyDescent="0.2"/>
    <row r="29859" s="197" customFormat="1" ht="12.75" x14ac:dyDescent="0.2"/>
    <row r="29860" s="197" customFormat="1" ht="12.75" x14ac:dyDescent="0.2"/>
    <row r="29861" s="197" customFormat="1" ht="12.75" x14ac:dyDescent="0.2"/>
    <row r="29862" s="197" customFormat="1" ht="12.75" x14ac:dyDescent="0.2"/>
    <row r="29863" s="197" customFormat="1" ht="12.75" x14ac:dyDescent="0.2"/>
    <row r="29864" s="197" customFormat="1" ht="12.75" x14ac:dyDescent="0.2"/>
    <row r="29865" s="197" customFormat="1" ht="12.75" x14ac:dyDescent="0.2"/>
    <row r="29866" s="197" customFormat="1" ht="12.75" x14ac:dyDescent="0.2"/>
    <row r="29867" s="197" customFormat="1" ht="12.75" x14ac:dyDescent="0.2"/>
    <row r="29868" s="197" customFormat="1" ht="12.75" x14ac:dyDescent="0.2"/>
    <row r="29869" s="197" customFormat="1" ht="12.75" x14ac:dyDescent="0.2"/>
    <row r="29870" s="197" customFormat="1" ht="12.75" x14ac:dyDescent="0.2"/>
    <row r="29871" s="197" customFormat="1" ht="12.75" x14ac:dyDescent="0.2"/>
    <row r="29872" s="197" customFormat="1" ht="12.75" x14ac:dyDescent="0.2"/>
    <row r="29873" s="197" customFormat="1" ht="12.75" x14ac:dyDescent="0.2"/>
    <row r="29874" s="197" customFormat="1" ht="12.75" x14ac:dyDescent="0.2"/>
    <row r="29875" s="197" customFormat="1" ht="12.75" x14ac:dyDescent="0.2"/>
    <row r="29876" s="197" customFormat="1" ht="12.75" x14ac:dyDescent="0.2"/>
    <row r="29877" s="197" customFormat="1" ht="12.75" x14ac:dyDescent="0.2"/>
    <row r="29878" s="197" customFormat="1" ht="12.75" x14ac:dyDescent="0.2"/>
    <row r="29879" s="197" customFormat="1" ht="12.75" x14ac:dyDescent="0.2"/>
    <row r="29880" s="197" customFormat="1" ht="12.75" x14ac:dyDescent="0.2"/>
    <row r="29881" s="197" customFormat="1" ht="12.75" x14ac:dyDescent="0.2"/>
    <row r="29882" s="197" customFormat="1" ht="12.75" x14ac:dyDescent="0.2"/>
    <row r="29883" s="197" customFormat="1" ht="12.75" x14ac:dyDescent="0.2"/>
    <row r="29884" s="197" customFormat="1" ht="12.75" x14ac:dyDescent="0.2"/>
    <row r="29885" s="197" customFormat="1" ht="12.75" x14ac:dyDescent="0.2"/>
    <row r="29886" s="197" customFormat="1" ht="12.75" x14ac:dyDescent="0.2"/>
    <row r="29887" s="197" customFormat="1" ht="12.75" x14ac:dyDescent="0.2"/>
    <row r="29888" s="197" customFormat="1" ht="12.75" x14ac:dyDescent="0.2"/>
    <row r="29889" s="197" customFormat="1" ht="12.75" x14ac:dyDescent="0.2"/>
    <row r="29890" s="197" customFormat="1" ht="12.75" x14ac:dyDescent="0.2"/>
    <row r="29891" s="197" customFormat="1" ht="12.75" x14ac:dyDescent="0.2"/>
    <row r="29892" s="197" customFormat="1" ht="12.75" x14ac:dyDescent="0.2"/>
    <row r="29893" s="197" customFormat="1" ht="12.75" x14ac:dyDescent="0.2"/>
    <row r="29894" s="197" customFormat="1" ht="12.75" x14ac:dyDescent="0.2"/>
    <row r="29895" s="197" customFormat="1" ht="12.75" x14ac:dyDescent="0.2"/>
    <row r="29896" s="197" customFormat="1" ht="12.75" x14ac:dyDescent="0.2"/>
    <row r="29897" s="197" customFormat="1" ht="12.75" x14ac:dyDescent="0.2"/>
    <row r="29898" s="197" customFormat="1" ht="12.75" x14ac:dyDescent="0.2"/>
    <row r="29899" s="197" customFormat="1" ht="12.75" x14ac:dyDescent="0.2"/>
    <row r="29900" s="197" customFormat="1" ht="12.75" x14ac:dyDescent="0.2"/>
    <row r="29901" s="197" customFormat="1" ht="12.75" x14ac:dyDescent="0.2"/>
    <row r="29902" s="197" customFormat="1" ht="12.75" x14ac:dyDescent="0.2"/>
    <row r="29903" s="197" customFormat="1" ht="12.75" x14ac:dyDescent="0.2"/>
    <row r="29904" s="197" customFormat="1" ht="12.75" x14ac:dyDescent="0.2"/>
    <row r="29905" s="197" customFormat="1" ht="12.75" x14ac:dyDescent="0.2"/>
    <row r="29906" s="197" customFormat="1" ht="12.75" x14ac:dyDescent="0.2"/>
    <row r="29907" s="197" customFormat="1" ht="12.75" x14ac:dyDescent="0.2"/>
    <row r="29908" s="197" customFormat="1" ht="12.75" x14ac:dyDescent="0.2"/>
    <row r="29909" s="197" customFormat="1" ht="12.75" x14ac:dyDescent="0.2"/>
    <row r="29910" s="197" customFormat="1" ht="12.75" x14ac:dyDescent="0.2"/>
    <row r="29911" s="197" customFormat="1" ht="12.75" x14ac:dyDescent="0.2"/>
    <row r="29912" s="197" customFormat="1" ht="12.75" x14ac:dyDescent="0.2"/>
    <row r="29913" s="197" customFormat="1" ht="12.75" x14ac:dyDescent="0.2"/>
    <row r="29914" s="197" customFormat="1" ht="12.75" x14ac:dyDescent="0.2"/>
    <row r="29915" s="197" customFormat="1" ht="12.75" x14ac:dyDescent="0.2"/>
    <row r="29916" s="197" customFormat="1" ht="12.75" x14ac:dyDescent="0.2"/>
    <row r="29917" s="197" customFormat="1" ht="12.75" x14ac:dyDescent="0.2"/>
    <row r="29918" s="197" customFormat="1" ht="12.75" x14ac:dyDescent="0.2"/>
    <row r="29919" s="197" customFormat="1" ht="12.75" x14ac:dyDescent="0.2"/>
    <row r="29920" s="197" customFormat="1" ht="12.75" x14ac:dyDescent="0.2"/>
    <row r="29921" s="197" customFormat="1" ht="12.75" x14ac:dyDescent="0.2"/>
    <row r="29922" s="197" customFormat="1" ht="12.75" x14ac:dyDescent="0.2"/>
    <row r="29923" s="197" customFormat="1" ht="12.75" x14ac:dyDescent="0.2"/>
    <row r="29924" s="197" customFormat="1" ht="12.75" x14ac:dyDescent="0.2"/>
    <row r="29925" s="197" customFormat="1" ht="12.75" x14ac:dyDescent="0.2"/>
    <row r="29926" s="197" customFormat="1" ht="12.75" x14ac:dyDescent="0.2"/>
    <row r="29927" s="197" customFormat="1" ht="12.75" x14ac:dyDescent="0.2"/>
    <row r="29928" s="197" customFormat="1" ht="12.75" x14ac:dyDescent="0.2"/>
    <row r="29929" s="197" customFormat="1" ht="12.75" x14ac:dyDescent="0.2"/>
    <row r="29930" s="197" customFormat="1" ht="12.75" x14ac:dyDescent="0.2"/>
    <row r="29931" s="197" customFormat="1" ht="12.75" x14ac:dyDescent="0.2"/>
    <row r="29932" s="197" customFormat="1" ht="12.75" x14ac:dyDescent="0.2"/>
    <row r="29933" s="197" customFormat="1" ht="12.75" x14ac:dyDescent="0.2"/>
    <row r="29934" s="197" customFormat="1" ht="12.75" x14ac:dyDescent="0.2"/>
    <row r="29935" s="197" customFormat="1" ht="12.75" x14ac:dyDescent="0.2"/>
    <row r="29936" s="197" customFormat="1" ht="12.75" x14ac:dyDescent="0.2"/>
    <row r="29937" s="197" customFormat="1" ht="12.75" x14ac:dyDescent="0.2"/>
    <row r="29938" s="197" customFormat="1" ht="12.75" x14ac:dyDescent="0.2"/>
    <row r="29939" s="197" customFormat="1" ht="12.75" x14ac:dyDescent="0.2"/>
    <row r="29940" s="197" customFormat="1" ht="12.75" x14ac:dyDescent="0.2"/>
    <row r="29941" s="197" customFormat="1" ht="12.75" x14ac:dyDescent="0.2"/>
    <row r="29942" s="197" customFormat="1" ht="12.75" x14ac:dyDescent="0.2"/>
    <row r="29943" s="197" customFormat="1" ht="12.75" x14ac:dyDescent="0.2"/>
    <row r="29944" s="197" customFormat="1" ht="12.75" x14ac:dyDescent="0.2"/>
    <row r="29945" s="197" customFormat="1" ht="12.75" x14ac:dyDescent="0.2"/>
    <row r="29946" s="197" customFormat="1" ht="12.75" x14ac:dyDescent="0.2"/>
    <row r="29947" s="197" customFormat="1" ht="12.75" x14ac:dyDescent="0.2"/>
    <row r="29948" s="197" customFormat="1" ht="12.75" x14ac:dyDescent="0.2"/>
    <row r="29949" s="197" customFormat="1" ht="12.75" x14ac:dyDescent="0.2"/>
    <row r="29950" s="197" customFormat="1" ht="12.75" x14ac:dyDescent="0.2"/>
    <row r="29951" s="197" customFormat="1" ht="12.75" x14ac:dyDescent="0.2"/>
    <row r="29952" s="197" customFormat="1" ht="12.75" x14ac:dyDescent="0.2"/>
    <row r="29953" s="197" customFormat="1" ht="12.75" x14ac:dyDescent="0.2"/>
    <row r="29954" s="197" customFormat="1" ht="12.75" x14ac:dyDescent="0.2"/>
    <row r="29955" s="197" customFormat="1" ht="12.75" x14ac:dyDescent="0.2"/>
    <row r="29956" s="197" customFormat="1" ht="12.75" x14ac:dyDescent="0.2"/>
    <row r="29957" s="197" customFormat="1" ht="12.75" x14ac:dyDescent="0.2"/>
    <row r="29958" s="197" customFormat="1" ht="12.75" x14ac:dyDescent="0.2"/>
    <row r="29959" s="197" customFormat="1" ht="12.75" x14ac:dyDescent="0.2"/>
    <row r="29960" s="197" customFormat="1" ht="12.75" x14ac:dyDescent="0.2"/>
    <row r="29961" s="197" customFormat="1" ht="12.75" x14ac:dyDescent="0.2"/>
    <row r="29962" s="197" customFormat="1" ht="12.75" x14ac:dyDescent="0.2"/>
    <row r="29963" s="197" customFormat="1" ht="12.75" x14ac:dyDescent="0.2"/>
    <row r="29964" s="197" customFormat="1" ht="12.75" x14ac:dyDescent="0.2"/>
    <row r="29965" s="197" customFormat="1" ht="12.75" x14ac:dyDescent="0.2"/>
    <row r="29966" s="197" customFormat="1" ht="12.75" x14ac:dyDescent="0.2"/>
    <row r="29967" s="197" customFormat="1" ht="12.75" x14ac:dyDescent="0.2"/>
    <row r="29968" s="197" customFormat="1" ht="12.75" x14ac:dyDescent="0.2"/>
    <row r="29969" s="197" customFormat="1" ht="12.75" x14ac:dyDescent="0.2"/>
    <row r="29970" s="197" customFormat="1" ht="12.75" x14ac:dyDescent="0.2"/>
    <row r="29971" s="197" customFormat="1" ht="12.75" x14ac:dyDescent="0.2"/>
    <row r="29972" s="197" customFormat="1" ht="12.75" x14ac:dyDescent="0.2"/>
    <row r="29973" s="197" customFormat="1" ht="12.75" x14ac:dyDescent="0.2"/>
    <row r="29974" s="197" customFormat="1" ht="12.75" x14ac:dyDescent="0.2"/>
    <row r="29975" s="197" customFormat="1" ht="12.75" x14ac:dyDescent="0.2"/>
    <row r="29976" s="197" customFormat="1" ht="12.75" x14ac:dyDescent="0.2"/>
    <row r="29977" s="197" customFormat="1" ht="12.75" x14ac:dyDescent="0.2"/>
    <row r="29978" s="197" customFormat="1" ht="12.75" x14ac:dyDescent="0.2"/>
    <row r="29979" s="197" customFormat="1" ht="12.75" x14ac:dyDescent="0.2"/>
    <row r="29980" s="197" customFormat="1" ht="12.75" x14ac:dyDescent="0.2"/>
    <row r="29981" s="197" customFormat="1" ht="12.75" x14ac:dyDescent="0.2"/>
    <row r="29982" s="197" customFormat="1" ht="12.75" x14ac:dyDescent="0.2"/>
    <row r="29983" s="197" customFormat="1" ht="12.75" x14ac:dyDescent="0.2"/>
    <row r="29984" s="197" customFormat="1" ht="12.75" x14ac:dyDescent="0.2"/>
    <row r="29985" s="197" customFormat="1" ht="12.75" x14ac:dyDescent="0.2"/>
    <row r="29986" s="197" customFormat="1" ht="12.75" x14ac:dyDescent="0.2"/>
    <row r="29987" s="197" customFormat="1" ht="12.75" x14ac:dyDescent="0.2"/>
    <row r="29988" s="197" customFormat="1" ht="12.75" x14ac:dyDescent="0.2"/>
    <row r="29989" s="197" customFormat="1" ht="12.75" x14ac:dyDescent="0.2"/>
    <row r="29990" s="197" customFormat="1" ht="12.75" x14ac:dyDescent="0.2"/>
    <row r="29991" s="197" customFormat="1" ht="12.75" x14ac:dyDescent="0.2"/>
    <row r="29992" s="197" customFormat="1" ht="12.75" x14ac:dyDescent="0.2"/>
    <row r="29993" s="197" customFormat="1" ht="12.75" x14ac:dyDescent="0.2"/>
    <row r="29994" s="197" customFormat="1" ht="12.75" x14ac:dyDescent="0.2"/>
    <row r="29995" s="197" customFormat="1" ht="12.75" x14ac:dyDescent="0.2"/>
    <row r="29996" s="197" customFormat="1" ht="12.75" x14ac:dyDescent="0.2"/>
    <row r="29997" s="197" customFormat="1" ht="12.75" x14ac:dyDescent="0.2"/>
    <row r="29998" s="197" customFormat="1" ht="12.75" x14ac:dyDescent="0.2"/>
    <row r="29999" s="197" customFormat="1" ht="12.75" x14ac:dyDescent="0.2"/>
    <row r="30000" s="197" customFormat="1" ht="12.75" x14ac:dyDescent="0.2"/>
    <row r="30001" s="197" customFormat="1" ht="12.75" x14ac:dyDescent="0.2"/>
    <row r="30002" s="197" customFormat="1" ht="12.75" x14ac:dyDescent="0.2"/>
    <row r="30003" s="197" customFormat="1" ht="12.75" x14ac:dyDescent="0.2"/>
    <row r="30004" s="197" customFormat="1" ht="12.75" x14ac:dyDescent="0.2"/>
    <row r="30005" s="197" customFormat="1" ht="12.75" x14ac:dyDescent="0.2"/>
    <row r="30006" s="197" customFormat="1" ht="12.75" x14ac:dyDescent="0.2"/>
    <row r="30007" s="197" customFormat="1" ht="12.75" x14ac:dyDescent="0.2"/>
    <row r="30008" s="197" customFormat="1" ht="12.75" x14ac:dyDescent="0.2"/>
    <row r="30009" s="197" customFormat="1" ht="12.75" x14ac:dyDescent="0.2"/>
    <row r="30010" s="197" customFormat="1" ht="12.75" x14ac:dyDescent="0.2"/>
    <row r="30011" s="197" customFormat="1" ht="12.75" x14ac:dyDescent="0.2"/>
    <row r="30012" s="197" customFormat="1" ht="12.75" x14ac:dyDescent="0.2"/>
    <row r="30013" s="197" customFormat="1" ht="12.75" x14ac:dyDescent="0.2"/>
    <row r="30014" s="197" customFormat="1" ht="12.75" x14ac:dyDescent="0.2"/>
    <row r="30015" s="197" customFormat="1" ht="12.75" x14ac:dyDescent="0.2"/>
    <row r="30016" s="197" customFormat="1" ht="12.75" x14ac:dyDescent="0.2"/>
    <row r="30017" s="197" customFormat="1" ht="12.75" x14ac:dyDescent="0.2"/>
    <row r="30018" s="197" customFormat="1" ht="12.75" x14ac:dyDescent="0.2"/>
    <row r="30019" s="197" customFormat="1" ht="12.75" x14ac:dyDescent="0.2"/>
    <row r="30020" s="197" customFormat="1" ht="12.75" x14ac:dyDescent="0.2"/>
    <row r="30021" s="197" customFormat="1" ht="12.75" x14ac:dyDescent="0.2"/>
    <row r="30022" s="197" customFormat="1" ht="12.75" x14ac:dyDescent="0.2"/>
    <row r="30023" s="197" customFormat="1" ht="12.75" x14ac:dyDescent="0.2"/>
    <row r="30024" s="197" customFormat="1" ht="12.75" x14ac:dyDescent="0.2"/>
    <row r="30025" s="197" customFormat="1" ht="12.75" x14ac:dyDescent="0.2"/>
    <row r="30026" s="197" customFormat="1" ht="12.75" x14ac:dyDescent="0.2"/>
    <row r="30027" s="197" customFormat="1" ht="12.75" x14ac:dyDescent="0.2"/>
    <row r="30028" s="197" customFormat="1" ht="12.75" x14ac:dyDescent="0.2"/>
    <row r="30029" s="197" customFormat="1" ht="12.75" x14ac:dyDescent="0.2"/>
    <row r="30030" s="197" customFormat="1" ht="12.75" x14ac:dyDescent="0.2"/>
    <row r="30031" s="197" customFormat="1" ht="12.75" x14ac:dyDescent="0.2"/>
    <row r="30032" s="197" customFormat="1" ht="12.75" x14ac:dyDescent="0.2"/>
    <row r="30033" s="197" customFormat="1" ht="12.75" x14ac:dyDescent="0.2"/>
    <row r="30034" s="197" customFormat="1" ht="12.75" x14ac:dyDescent="0.2"/>
    <row r="30035" s="197" customFormat="1" ht="12.75" x14ac:dyDescent="0.2"/>
    <row r="30036" s="197" customFormat="1" ht="12.75" x14ac:dyDescent="0.2"/>
    <row r="30037" s="197" customFormat="1" ht="12.75" x14ac:dyDescent="0.2"/>
    <row r="30038" s="197" customFormat="1" ht="12.75" x14ac:dyDescent="0.2"/>
    <row r="30039" s="197" customFormat="1" ht="12.75" x14ac:dyDescent="0.2"/>
    <row r="30040" s="197" customFormat="1" ht="12.75" x14ac:dyDescent="0.2"/>
    <row r="30041" s="197" customFormat="1" ht="12.75" x14ac:dyDescent="0.2"/>
    <row r="30042" s="197" customFormat="1" ht="12.75" x14ac:dyDescent="0.2"/>
    <row r="30043" s="197" customFormat="1" ht="12.75" x14ac:dyDescent="0.2"/>
    <row r="30044" s="197" customFormat="1" ht="12.75" x14ac:dyDescent="0.2"/>
    <row r="30045" s="197" customFormat="1" ht="12.75" x14ac:dyDescent="0.2"/>
    <row r="30046" s="197" customFormat="1" ht="12.75" x14ac:dyDescent="0.2"/>
    <row r="30047" s="197" customFormat="1" ht="12.75" x14ac:dyDescent="0.2"/>
    <row r="30048" s="197" customFormat="1" ht="12.75" x14ac:dyDescent="0.2"/>
    <row r="30049" s="197" customFormat="1" ht="12.75" x14ac:dyDescent="0.2"/>
    <row r="30050" s="197" customFormat="1" ht="12.75" x14ac:dyDescent="0.2"/>
    <row r="30051" s="197" customFormat="1" ht="12.75" x14ac:dyDescent="0.2"/>
    <row r="30052" s="197" customFormat="1" ht="12.75" x14ac:dyDescent="0.2"/>
    <row r="30053" s="197" customFormat="1" ht="12.75" x14ac:dyDescent="0.2"/>
    <row r="30054" s="197" customFormat="1" ht="12.75" x14ac:dyDescent="0.2"/>
    <row r="30055" s="197" customFormat="1" ht="12.75" x14ac:dyDescent="0.2"/>
    <row r="30056" s="197" customFormat="1" ht="12.75" x14ac:dyDescent="0.2"/>
    <row r="30057" s="197" customFormat="1" ht="12.75" x14ac:dyDescent="0.2"/>
    <row r="30058" s="197" customFormat="1" ht="12.75" x14ac:dyDescent="0.2"/>
    <row r="30059" s="197" customFormat="1" ht="12.75" x14ac:dyDescent="0.2"/>
    <row r="30060" s="197" customFormat="1" ht="12.75" x14ac:dyDescent="0.2"/>
    <row r="30061" s="197" customFormat="1" ht="12.75" x14ac:dyDescent="0.2"/>
    <row r="30062" s="197" customFormat="1" ht="12.75" x14ac:dyDescent="0.2"/>
    <row r="30063" s="197" customFormat="1" ht="12.75" x14ac:dyDescent="0.2"/>
    <row r="30064" s="197" customFormat="1" ht="12.75" x14ac:dyDescent="0.2"/>
    <row r="30065" s="197" customFormat="1" ht="12.75" x14ac:dyDescent="0.2"/>
    <row r="30066" s="197" customFormat="1" ht="12.75" x14ac:dyDescent="0.2"/>
    <row r="30067" s="197" customFormat="1" ht="12.75" x14ac:dyDescent="0.2"/>
    <row r="30068" s="197" customFormat="1" ht="12.75" x14ac:dyDescent="0.2"/>
    <row r="30069" s="197" customFormat="1" ht="12.75" x14ac:dyDescent="0.2"/>
    <row r="30070" s="197" customFormat="1" ht="12.75" x14ac:dyDescent="0.2"/>
    <row r="30071" s="197" customFormat="1" ht="12.75" x14ac:dyDescent="0.2"/>
    <row r="30072" s="197" customFormat="1" ht="12.75" x14ac:dyDescent="0.2"/>
    <row r="30073" s="197" customFormat="1" ht="12.75" x14ac:dyDescent="0.2"/>
    <row r="30074" s="197" customFormat="1" ht="12.75" x14ac:dyDescent="0.2"/>
    <row r="30075" s="197" customFormat="1" ht="12.75" x14ac:dyDescent="0.2"/>
    <row r="30076" s="197" customFormat="1" ht="12.75" x14ac:dyDescent="0.2"/>
    <row r="30077" s="197" customFormat="1" ht="12.75" x14ac:dyDescent="0.2"/>
    <row r="30078" s="197" customFormat="1" ht="12.75" x14ac:dyDescent="0.2"/>
    <row r="30079" s="197" customFormat="1" ht="12.75" x14ac:dyDescent="0.2"/>
    <row r="30080" s="197" customFormat="1" ht="12.75" x14ac:dyDescent="0.2"/>
    <row r="30081" s="197" customFormat="1" ht="12.75" x14ac:dyDescent="0.2"/>
    <row r="30082" s="197" customFormat="1" ht="12.75" x14ac:dyDescent="0.2"/>
    <row r="30083" s="197" customFormat="1" ht="12.75" x14ac:dyDescent="0.2"/>
    <row r="30084" s="197" customFormat="1" ht="12.75" x14ac:dyDescent="0.2"/>
    <row r="30085" s="197" customFormat="1" ht="12.75" x14ac:dyDescent="0.2"/>
    <row r="30086" s="197" customFormat="1" ht="12.75" x14ac:dyDescent="0.2"/>
    <row r="30087" s="197" customFormat="1" ht="12.75" x14ac:dyDescent="0.2"/>
    <row r="30088" s="197" customFormat="1" ht="12.75" x14ac:dyDescent="0.2"/>
    <row r="30089" s="197" customFormat="1" ht="12.75" x14ac:dyDescent="0.2"/>
    <row r="30090" s="197" customFormat="1" ht="12.75" x14ac:dyDescent="0.2"/>
    <row r="30091" s="197" customFormat="1" ht="12.75" x14ac:dyDescent="0.2"/>
    <row r="30092" s="197" customFormat="1" ht="12.75" x14ac:dyDescent="0.2"/>
    <row r="30093" s="197" customFormat="1" ht="12.75" x14ac:dyDescent="0.2"/>
    <row r="30094" s="197" customFormat="1" ht="12.75" x14ac:dyDescent="0.2"/>
    <row r="30095" s="197" customFormat="1" ht="12.75" x14ac:dyDescent="0.2"/>
    <row r="30096" s="197" customFormat="1" ht="12.75" x14ac:dyDescent="0.2"/>
    <row r="30097" s="197" customFormat="1" ht="12.75" x14ac:dyDescent="0.2"/>
    <row r="30098" s="197" customFormat="1" ht="12.75" x14ac:dyDescent="0.2"/>
    <row r="30099" s="197" customFormat="1" ht="12.75" x14ac:dyDescent="0.2"/>
    <row r="30100" s="197" customFormat="1" ht="12.75" x14ac:dyDescent="0.2"/>
    <row r="30101" s="197" customFormat="1" ht="12.75" x14ac:dyDescent="0.2"/>
    <row r="30102" s="197" customFormat="1" ht="12.75" x14ac:dyDescent="0.2"/>
    <row r="30103" s="197" customFormat="1" ht="12.75" x14ac:dyDescent="0.2"/>
    <row r="30104" s="197" customFormat="1" ht="12.75" x14ac:dyDescent="0.2"/>
    <row r="30105" s="197" customFormat="1" ht="12.75" x14ac:dyDescent="0.2"/>
    <row r="30106" s="197" customFormat="1" ht="12.75" x14ac:dyDescent="0.2"/>
    <row r="30107" s="197" customFormat="1" ht="12.75" x14ac:dyDescent="0.2"/>
    <row r="30108" s="197" customFormat="1" ht="12.75" x14ac:dyDescent="0.2"/>
    <row r="30109" s="197" customFormat="1" ht="12.75" x14ac:dyDescent="0.2"/>
    <row r="30110" s="197" customFormat="1" ht="12.75" x14ac:dyDescent="0.2"/>
    <row r="30111" s="197" customFormat="1" ht="12.75" x14ac:dyDescent="0.2"/>
    <row r="30112" s="197" customFormat="1" ht="12.75" x14ac:dyDescent="0.2"/>
    <row r="30113" s="197" customFormat="1" ht="12.75" x14ac:dyDescent="0.2"/>
    <row r="30114" s="197" customFormat="1" ht="12.75" x14ac:dyDescent="0.2"/>
    <row r="30115" s="197" customFormat="1" ht="12.75" x14ac:dyDescent="0.2"/>
    <row r="30116" s="197" customFormat="1" ht="12.75" x14ac:dyDescent="0.2"/>
    <row r="30117" s="197" customFormat="1" ht="12.75" x14ac:dyDescent="0.2"/>
    <row r="30118" s="197" customFormat="1" ht="12.75" x14ac:dyDescent="0.2"/>
    <row r="30119" s="197" customFormat="1" ht="12.75" x14ac:dyDescent="0.2"/>
    <row r="30120" s="197" customFormat="1" ht="12.75" x14ac:dyDescent="0.2"/>
    <row r="30121" s="197" customFormat="1" ht="12.75" x14ac:dyDescent="0.2"/>
    <row r="30122" s="197" customFormat="1" ht="12.75" x14ac:dyDescent="0.2"/>
    <row r="30123" s="197" customFormat="1" ht="12.75" x14ac:dyDescent="0.2"/>
    <row r="30124" s="197" customFormat="1" ht="12.75" x14ac:dyDescent="0.2"/>
    <row r="30125" s="197" customFormat="1" ht="12.75" x14ac:dyDescent="0.2"/>
    <row r="30126" s="197" customFormat="1" ht="12.75" x14ac:dyDescent="0.2"/>
    <row r="30127" s="197" customFormat="1" ht="12.75" x14ac:dyDescent="0.2"/>
    <row r="30128" s="197" customFormat="1" ht="12.75" x14ac:dyDescent="0.2"/>
    <row r="30129" s="197" customFormat="1" ht="12.75" x14ac:dyDescent="0.2"/>
    <row r="30130" s="197" customFormat="1" ht="12.75" x14ac:dyDescent="0.2"/>
    <row r="30131" s="197" customFormat="1" ht="12.75" x14ac:dyDescent="0.2"/>
    <row r="30132" s="197" customFormat="1" ht="12.75" x14ac:dyDescent="0.2"/>
    <row r="30133" s="197" customFormat="1" ht="12.75" x14ac:dyDescent="0.2"/>
    <row r="30134" s="197" customFormat="1" ht="12.75" x14ac:dyDescent="0.2"/>
    <row r="30135" s="197" customFormat="1" ht="12.75" x14ac:dyDescent="0.2"/>
    <row r="30136" s="197" customFormat="1" ht="12.75" x14ac:dyDescent="0.2"/>
    <row r="30137" s="197" customFormat="1" ht="12.75" x14ac:dyDescent="0.2"/>
    <row r="30138" s="197" customFormat="1" ht="12.75" x14ac:dyDescent="0.2"/>
    <row r="30139" s="197" customFormat="1" ht="12.75" x14ac:dyDescent="0.2"/>
    <row r="30140" s="197" customFormat="1" ht="12.75" x14ac:dyDescent="0.2"/>
    <row r="30141" s="197" customFormat="1" ht="12.75" x14ac:dyDescent="0.2"/>
    <row r="30142" s="197" customFormat="1" ht="12.75" x14ac:dyDescent="0.2"/>
    <row r="30143" s="197" customFormat="1" ht="12.75" x14ac:dyDescent="0.2"/>
    <row r="30144" s="197" customFormat="1" ht="12.75" x14ac:dyDescent="0.2"/>
    <row r="30145" s="197" customFormat="1" ht="12.75" x14ac:dyDescent="0.2"/>
    <row r="30146" s="197" customFormat="1" ht="12.75" x14ac:dyDescent="0.2"/>
    <row r="30147" s="197" customFormat="1" ht="12.75" x14ac:dyDescent="0.2"/>
    <row r="30148" s="197" customFormat="1" ht="12.75" x14ac:dyDescent="0.2"/>
    <row r="30149" s="197" customFormat="1" ht="12.75" x14ac:dyDescent="0.2"/>
    <row r="30150" s="197" customFormat="1" ht="12.75" x14ac:dyDescent="0.2"/>
    <row r="30151" s="197" customFormat="1" ht="12.75" x14ac:dyDescent="0.2"/>
    <row r="30152" s="197" customFormat="1" ht="12.75" x14ac:dyDescent="0.2"/>
    <row r="30153" s="197" customFormat="1" ht="12.75" x14ac:dyDescent="0.2"/>
    <row r="30154" s="197" customFormat="1" ht="12.75" x14ac:dyDescent="0.2"/>
    <row r="30155" s="197" customFormat="1" ht="12.75" x14ac:dyDescent="0.2"/>
    <row r="30156" s="197" customFormat="1" ht="12.75" x14ac:dyDescent="0.2"/>
    <row r="30157" s="197" customFormat="1" ht="12.75" x14ac:dyDescent="0.2"/>
    <row r="30158" s="197" customFormat="1" ht="12.75" x14ac:dyDescent="0.2"/>
    <row r="30159" s="197" customFormat="1" ht="12.75" x14ac:dyDescent="0.2"/>
    <row r="30160" s="197" customFormat="1" ht="12.75" x14ac:dyDescent="0.2"/>
    <row r="30161" s="197" customFormat="1" ht="12.75" x14ac:dyDescent="0.2"/>
    <row r="30162" s="197" customFormat="1" ht="12.75" x14ac:dyDescent="0.2"/>
    <row r="30163" s="197" customFormat="1" ht="12.75" x14ac:dyDescent="0.2"/>
    <row r="30164" s="197" customFormat="1" ht="12.75" x14ac:dyDescent="0.2"/>
    <row r="30165" s="197" customFormat="1" ht="12.75" x14ac:dyDescent="0.2"/>
    <row r="30166" s="197" customFormat="1" ht="12.75" x14ac:dyDescent="0.2"/>
    <row r="30167" s="197" customFormat="1" ht="12.75" x14ac:dyDescent="0.2"/>
    <row r="30168" s="197" customFormat="1" ht="12.75" x14ac:dyDescent="0.2"/>
    <row r="30169" s="197" customFormat="1" ht="12.75" x14ac:dyDescent="0.2"/>
    <row r="30170" s="197" customFormat="1" ht="12.75" x14ac:dyDescent="0.2"/>
    <row r="30171" s="197" customFormat="1" ht="12.75" x14ac:dyDescent="0.2"/>
    <row r="30172" s="197" customFormat="1" ht="12.75" x14ac:dyDescent="0.2"/>
    <row r="30173" s="197" customFormat="1" ht="12.75" x14ac:dyDescent="0.2"/>
    <row r="30174" s="197" customFormat="1" ht="12.75" x14ac:dyDescent="0.2"/>
    <row r="30175" s="197" customFormat="1" ht="12.75" x14ac:dyDescent="0.2"/>
    <row r="30176" s="197" customFormat="1" ht="12.75" x14ac:dyDescent="0.2"/>
    <row r="30177" s="197" customFormat="1" ht="12.75" x14ac:dyDescent="0.2"/>
    <row r="30178" s="197" customFormat="1" ht="12.75" x14ac:dyDescent="0.2"/>
    <row r="30179" s="197" customFormat="1" ht="12.75" x14ac:dyDescent="0.2"/>
    <row r="30180" s="197" customFormat="1" ht="12.75" x14ac:dyDescent="0.2"/>
    <row r="30181" s="197" customFormat="1" ht="12.75" x14ac:dyDescent="0.2"/>
    <row r="30182" s="197" customFormat="1" ht="12.75" x14ac:dyDescent="0.2"/>
    <row r="30183" s="197" customFormat="1" ht="12.75" x14ac:dyDescent="0.2"/>
    <row r="30184" s="197" customFormat="1" ht="12.75" x14ac:dyDescent="0.2"/>
    <row r="30185" s="197" customFormat="1" ht="12.75" x14ac:dyDescent="0.2"/>
    <row r="30186" s="197" customFormat="1" ht="12.75" x14ac:dyDescent="0.2"/>
    <row r="30187" s="197" customFormat="1" ht="12.75" x14ac:dyDescent="0.2"/>
    <row r="30188" s="197" customFormat="1" ht="12.75" x14ac:dyDescent="0.2"/>
    <row r="30189" s="197" customFormat="1" ht="12.75" x14ac:dyDescent="0.2"/>
    <row r="30190" s="197" customFormat="1" ht="12.75" x14ac:dyDescent="0.2"/>
    <row r="30191" s="197" customFormat="1" ht="12.75" x14ac:dyDescent="0.2"/>
    <row r="30192" s="197" customFormat="1" ht="12.75" x14ac:dyDescent="0.2"/>
    <row r="30193" s="197" customFormat="1" ht="12.75" x14ac:dyDescent="0.2"/>
    <row r="30194" s="197" customFormat="1" ht="12.75" x14ac:dyDescent="0.2"/>
    <row r="30195" s="197" customFormat="1" ht="12.75" x14ac:dyDescent="0.2"/>
    <row r="30196" s="197" customFormat="1" ht="12.75" x14ac:dyDescent="0.2"/>
    <row r="30197" s="197" customFormat="1" ht="12.75" x14ac:dyDescent="0.2"/>
    <row r="30198" s="197" customFormat="1" ht="12.75" x14ac:dyDescent="0.2"/>
    <row r="30199" s="197" customFormat="1" ht="12.75" x14ac:dyDescent="0.2"/>
    <row r="30200" s="197" customFormat="1" ht="12.75" x14ac:dyDescent="0.2"/>
    <row r="30201" s="197" customFormat="1" ht="12.75" x14ac:dyDescent="0.2"/>
    <row r="30202" s="197" customFormat="1" ht="12.75" x14ac:dyDescent="0.2"/>
    <row r="30203" s="197" customFormat="1" ht="12.75" x14ac:dyDescent="0.2"/>
    <row r="30204" s="197" customFormat="1" ht="12.75" x14ac:dyDescent="0.2"/>
    <row r="30205" s="197" customFormat="1" ht="12.75" x14ac:dyDescent="0.2"/>
    <row r="30206" s="197" customFormat="1" ht="12.75" x14ac:dyDescent="0.2"/>
    <row r="30207" s="197" customFormat="1" ht="12.75" x14ac:dyDescent="0.2"/>
    <row r="30208" s="197" customFormat="1" ht="12.75" x14ac:dyDescent="0.2"/>
    <row r="30209" s="197" customFormat="1" ht="12.75" x14ac:dyDescent="0.2"/>
    <row r="30210" s="197" customFormat="1" ht="12.75" x14ac:dyDescent="0.2"/>
    <row r="30211" s="197" customFormat="1" ht="12.75" x14ac:dyDescent="0.2"/>
    <row r="30212" s="197" customFormat="1" ht="12.75" x14ac:dyDescent="0.2"/>
    <row r="30213" s="197" customFormat="1" ht="12.75" x14ac:dyDescent="0.2"/>
    <row r="30214" s="197" customFormat="1" ht="12.75" x14ac:dyDescent="0.2"/>
    <row r="30215" s="197" customFormat="1" ht="12.75" x14ac:dyDescent="0.2"/>
    <row r="30216" s="197" customFormat="1" ht="12.75" x14ac:dyDescent="0.2"/>
    <row r="30217" s="197" customFormat="1" ht="12.75" x14ac:dyDescent="0.2"/>
    <row r="30218" s="197" customFormat="1" ht="12.75" x14ac:dyDescent="0.2"/>
    <row r="30219" s="197" customFormat="1" ht="12.75" x14ac:dyDescent="0.2"/>
    <row r="30220" s="197" customFormat="1" ht="12.75" x14ac:dyDescent="0.2"/>
    <row r="30221" s="197" customFormat="1" ht="12.75" x14ac:dyDescent="0.2"/>
    <row r="30222" s="197" customFormat="1" ht="12.75" x14ac:dyDescent="0.2"/>
    <row r="30223" s="197" customFormat="1" ht="12.75" x14ac:dyDescent="0.2"/>
    <row r="30224" s="197" customFormat="1" ht="12.75" x14ac:dyDescent="0.2"/>
    <row r="30225" s="197" customFormat="1" ht="12.75" x14ac:dyDescent="0.2"/>
    <row r="30226" s="197" customFormat="1" ht="12.75" x14ac:dyDescent="0.2"/>
    <row r="30227" s="197" customFormat="1" ht="12.75" x14ac:dyDescent="0.2"/>
    <row r="30228" s="197" customFormat="1" ht="12.75" x14ac:dyDescent="0.2"/>
    <row r="30229" s="197" customFormat="1" ht="12.75" x14ac:dyDescent="0.2"/>
    <row r="30230" s="197" customFormat="1" ht="12.75" x14ac:dyDescent="0.2"/>
    <row r="30231" s="197" customFormat="1" ht="12.75" x14ac:dyDescent="0.2"/>
    <row r="30232" s="197" customFormat="1" ht="12.75" x14ac:dyDescent="0.2"/>
    <row r="30233" s="197" customFormat="1" ht="12.75" x14ac:dyDescent="0.2"/>
    <row r="30234" s="197" customFormat="1" ht="12.75" x14ac:dyDescent="0.2"/>
    <row r="30235" s="197" customFormat="1" ht="12.75" x14ac:dyDescent="0.2"/>
    <row r="30236" s="197" customFormat="1" ht="12.75" x14ac:dyDescent="0.2"/>
    <row r="30237" s="197" customFormat="1" ht="12.75" x14ac:dyDescent="0.2"/>
    <row r="30238" s="197" customFormat="1" ht="12.75" x14ac:dyDescent="0.2"/>
    <row r="30239" s="197" customFormat="1" ht="12.75" x14ac:dyDescent="0.2"/>
    <row r="30240" s="197" customFormat="1" ht="12.75" x14ac:dyDescent="0.2"/>
    <row r="30241" s="197" customFormat="1" ht="12.75" x14ac:dyDescent="0.2"/>
    <row r="30242" s="197" customFormat="1" ht="12.75" x14ac:dyDescent="0.2"/>
    <row r="30243" s="197" customFormat="1" ht="12.75" x14ac:dyDescent="0.2"/>
    <row r="30244" s="197" customFormat="1" ht="12.75" x14ac:dyDescent="0.2"/>
    <row r="30245" s="197" customFormat="1" ht="12.75" x14ac:dyDescent="0.2"/>
    <row r="30246" s="197" customFormat="1" ht="12.75" x14ac:dyDescent="0.2"/>
    <row r="30247" s="197" customFormat="1" ht="12.75" x14ac:dyDescent="0.2"/>
    <row r="30248" s="197" customFormat="1" ht="12.75" x14ac:dyDescent="0.2"/>
    <row r="30249" s="197" customFormat="1" ht="12.75" x14ac:dyDescent="0.2"/>
    <row r="30250" s="197" customFormat="1" ht="12.75" x14ac:dyDescent="0.2"/>
    <row r="30251" s="197" customFormat="1" ht="12.75" x14ac:dyDescent="0.2"/>
    <row r="30252" s="197" customFormat="1" ht="12.75" x14ac:dyDescent="0.2"/>
    <row r="30253" s="197" customFormat="1" ht="12.75" x14ac:dyDescent="0.2"/>
    <row r="30254" s="197" customFormat="1" ht="12.75" x14ac:dyDescent="0.2"/>
    <row r="30255" s="197" customFormat="1" ht="12.75" x14ac:dyDescent="0.2"/>
    <row r="30256" s="197" customFormat="1" ht="12.75" x14ac:dyDescent="0.2"/>
    <row r="30257" s="197" customFormat="1" ht="12.75" x14ac:dyDescent="0.2"/>
    <row r="30258" s="197" customFormat="1" ht="12.75" x14ac:dyDescent="0.2"/>
    <row r="30259" s="197" customFormat="1" ht="12.75" x14ac:dyDescent="0.2"/>
    <row r="30260" s="197" customFormat="1" ht="12.75" x14ac:dyDescent="0.2"/>
    <row r="30261" s="197" customFormat="1" ht="12.75" x14ac:dyDescent="0.2"/>
    <row r="30262" s="197" customFormat="1" ht="12.75" x14ac:dyDescent="0.2"/>
    <row r="30263" s="197" customFormat="1" ht="12.75" x14ac:dyDescent="0.2"/>
    <row r="30264" s="197" customFormat="1" ht="12.75" x14ac:dyDescent="0.2"/>
    <row r="30265" s="197" customFormat="1" ht="12.75" x14ac:dyDescent="0.2"/>
    <row r="30266" s="197" customFormat="1" ht="12.75" x14ac:dyDescent="0.2"/>
    <row r="30267" s="197" customFormat="1" ht="12.75" x14ac:dyDescent="0.2"/>
    <row r="30268" s="197" customFormat="1" ht="12.75" x14ac:dyDescent="0.2"/>
    <row r="30269" s="197" customFormat="1" ht="12.75" x14ac:dyDescent="0.2"/>
    <row r="30270" s="197" customFormat="1" ht="12.75" x14ac:dyDescent="0.2"/>
    <row r="30271" s="197" customFormat="1" ht="12.75" x14ac:dyDescent="0.2"/>
    <row r="30272" s="197" customFormat="1" ht="12.75" x14ac:dyDescent="0.2"/>
    <row r="30273" s="197" customFormat="1" ht="12.75" x14ac:dyDescent="0.2"/>
    <row r="30274" s="197" customFormat="1" ht="12.75" x14ac:dyDescent="0.2"/>
    <row r="30275" s="197" customFormat="1" ht="12.75" x14ac:dyDescent="0.2"/>
    <row r="30276" s="197" customFormat="1" ht="12.75" x14ac:dyDescent="0.2"/>
    <row r="30277" s="197" customFormat="1" ht="12.75" x14ac:dyDescent="0.2"/>
    <row r="30278" s="197" customFormat="1" ht="12.75" x14ac:dyDescent="0.2"/>
    <row r="30279" s="197" customFormat="1" ht="12.75" x14ac:dyDescent="0.2"/>
    <row r="30280" s="197" customFormat="1" ht="12.75" x14ac:dyDescent="0.2"/>
    <row r="30281" s="197" customFormat="1" ht="12.75" x14ac:dyDescent="0.2"/>
    <row r="30282" s="197" customFormat="1" ht="12.75" x14ac:dyDescent="0.2"/>
    <row r="30283" s="197" customFormat="1" ht="12.75" x14ac:dyDescent="0.2"/>
    <row r="30284" s="197" customFormat="1" ht="12.75" x14ac:dyDescent="0.2"/>
    <row r="30285" s="197" customFormat="1" ht="12.75" x14ac:dyDescent="0.2"/>
    <row r="30286" s="197" customFormat="1" ht="12.75" x14ac:dyDescent="0.2"/>
    <row r="30287" s="197" customFormat="1" ht="12.75" x14ac:dyDescent="0.2"/>
    <row r="30288" s="197" customFormat="1" ht="12.75" x14ac:dyDescent="0.2"/>
    <row r="30289" s="197" customFormat="1" ht="12.75" x14ac:dyDescent="0.2"/>
    <row r="30290" s="197" customFormat="1" ht="12.75" x14ac:dyDescent="0.2"/>
    <row r="30291" s="197" customFormat="1" ht="12.75" x14ac:dyDescent="0.2"/>
    <row r="30292" s="197" customFormat="1" ht="12.75" x14ac:dyDescent="0.2"/>
    <row r="30293" s="197" customFormat="1" ht="12.75" x14ac:dyDescent="0.2"/>
    <row r="30294" s="197" customFormat="1" ht="12.75" x14ac:dyDescent="0.2"/>
    <row r="30295" s="197" customFormat="1" ht="12.75" x14ac:dyDescent="0.2"/>
    <row r="30296" s="197" customFormat="1" ht="12.75" x14ac:dyDescent="0.2"/>
    <row r="30297" s="197" customFormat="1" ht="12.75" x14ac:dyDescent="0.2"/>
    <row r="30298" s="197" customFormat="1" ht="12.75" x14ac:dyDescent="0.2"/>
    <row r="30299" s="197" customFormat="1" ht="12.75" x14ac:dyDescent="0.2"/>
    <row r="30300" s="197" customFormat="1" ht="12.75" x14ac:dyDescent="0.2"/>
    <row r="30301" s="197" customFormat="1" ht="12.75" x14ac:dyDescent="0.2"/>
    <row r="30302" s="197" customFormat="1" ht="12.75" x14ac:dyDescent="0.2"/>
    <row r="30303" s="197" customFormat="1" ht="12.75" x14ac:dyDescent="0.2"/>
    <row r="30304" s="197" customFormat="1" ht="12.75" x14ac:dyDescent="0.2"/>
    <row r="30305" s="197" customFormat="1" ht="12.75" x14ac:dyDescent="0.2"/>
    <row r="30306" s="197" customFormat="1" ht="12.75" x14ac:dyDescent="0.2"/>
    <row r="30307" s="197" customFormat="1" ht="12.75" x14ac:dyDescent="0.2"/>
    <row r="30308" s="197" customFormat="1" ht="12.75" x14ac:dyDescent="0.2"/>
    <row r="30309" s="197" customFormat="1" ht="12.75" x14ac:dyDescent="0.2"/>
    <row r="30310" s="197" customFormat="1" ht="12.75" x14ac:dyDescent="0.2"/>
    <row r="30311" s="197" customFormat="1" ht="12.75" x14ac:dyDescent="0.2"/>
    <row r="30312" s="197" customFormat="1" ht="12.75" x14ac:dyDescent="0.2"/>
    <row r="30313" s="197" customFormat="1" ht="12.75" x14ac:dyDescent="0.2"/>
    <row r="30314" s="197" customFormat="1" ht="12.75" x14ac:dyDescent="0.2"/>
    <row r="30315" s="197" customFormat="1" ht="12.75" x14ac:dyDescent="0.2"/>
    <row r="30316" s="197" customFormat="1" ht="12.75" x14ac:dyDescent="0.2"/>
    <row r="30317" s="197" customFormat="1" ht="12.75" x14ac:dyDescent="0.2"/>
    <row r="30318" s="197" customFormat="1" ht="12.75" x14ac:dyDescent="0.2"/>
    <row r="30319" s="197" customFormat="1" ht="12.75" x14ac:dyDescent="0.2"/>
    <row r="30320" s="197" customFormat="1" ht="12.75" x14ac:dyDescent="0.2"/>
    <row r="30321" s="197" customFormat="1" ht="12.75" x14ac:dyDescent="0.2"/>
    <row r="30322" s="197" customFormat="1" ht="12.75" x14ac:dyDescent="0.2"/>
    <row r="30323" s="197" customFormat="1" ht="12.75" x14ac:dyDescent="0.2"/>
    <row r="30324" s="197" customFormat="1" ht="12.75" x14ac:dyDescent="0.2"/>
    <row r="30325" s="197" customFormat="1" ht="12.75" x14ac:dyDescent="0.2"/>
    <row r="30326" s="197" customFormat="1" ht="12.75" x14ac:dyDescent="0.2"/>
    <row r="30327" s="197" customFormat="1" ht="12.75" x14ac:dyDescent="0.2"/>
    <row r="30328" s="197" customFormat="1" ht="12.75" x14ac:dyDescent="0.2"/>
    <row r="30329" s="197" customFormat="1" ht="12.75" x14ac:dyDescent="0.2"/>
    <row r="30330" s="197" customFormat="1" ht="12.75" x14ac:dyDescent="0.2"/>
    <row r="30331" s="197" customFormat="1" ht="12.75" x14ac:dyDescent="0.2"/>
    <row r="30332" s="197" customFormat="1" ht="12.75" x14ac:dyDescent="0.2"/>
    <row r="30333" s="197" customFormat="1" ht="12.75" x14ac:dyDescent="0.2"/>
    <row r="30334" s="197" customFormat="1" ht="12.75" x14ac:dyDescent="0.2"/>
    <row r="30335" s="197" customFormat="1" ht="12.75" x14ac:dyDescent="0.2"/>
    <row r="30336" s="197" customFormat="1" ht="12.75" x14ac:dyDescent="0.2"/>
    <row r="30337" s="197" customFormat="1" ht="12.75" x14ac:dyDescent="0.2"/>
    <row r="30338" s="197" customFormat="1" ht="12.75" x14ac:dyDescent="0.2"/>
    <row r="30339" s="197" customFormat="1" ht="12.75" x14ac:dyDescent="0.2"/>
    <row r="30340" s="197" customFormat="1" ht="12.75" x14ac:dyDescent="0.2"/>
    <row r="30341" s="197" customFormat="1" ht="12.75" x14ac:dyDescent="0.2"/>
    <row r="30342" s="197" customFormat="1" ht="12.75" x14ac:dyDescent="0.2"/>
    <row r="30343" s="197" customFormat="1" ht="12.75" x14ac:dyDescent="0.2"/>
    <row r="30344" s="197" customFormat="1" ht="12.75" x14ac:dyDescent="0.2"/>
    <row r="30345" s="197" customFormat="1" ht="12.75" x14ac:dyDescent="0.2"/>
    <row r="30346" s="197" customFormat="1" ht="12.75" x14ac:dyDescent="0.2"/>
    <row r="30347" s="197" customFormat="1" ht="12.75" x14ac:dyDescent="0.2"/>
    <row r="30348" s="197" customFormat="1" ht="12.75" x14ac:dyDescent="0.2"/>
    <row r="30349" s="197" customFormat="1" ht="12.75" x14ac:dyDescent="0.2"/>
    <row r="30350" s="197" customFormat="1" ht="12.75" x14ac:dyDescent="0.2"/>
    <row r="30351" s="197" customFormat="1" ht="12.75" x14ac:dyDescent="0.2"/>
    <row r="30352" s="197" customFormat="1" ht="12.75" x14ac:dyDescent="0.2"/>
    <row r="30353" s="197" customFormat="1" ht="12.75" x14ac:dyDescent="0.2"/>
    <row r="30354" s="197" customFormat="1" ht="12.75" x14ac:dyDescent="0.2"/>
    <row r="30355" s="197" customFormat="1" ht="12.75" x14ac:dyDescent="0.2"/>
    <row r="30356" s="197" customFormat="1" ht="12.75" x14ac:dyDescent="0.2"/>
    <row r="30357" s="197" customFormat="1" ht="12.75" x14ac:dyDescent="0.2"/>
    <row r="30358" s="197" customFormat="1" ht="12.75" x14ac:dyDescent="0.2"/>
    <row r="30359" s="197" customFormat="1" ht="12.75" x14ac:dyDescent="0.2"/>
    <row r="30360" s="197" customFormat="1" ht="12.75" x14ac:dyDescent="0.2"/>
    <row r="30361" s="197" customFormat="1" ht="12.75" x14ac:dyDescent="0.2"/>
    <row r="30362" s="197" customFormat="1" ht="12.75" x14ac:dyDescent="0.2"/>
    <row r="30363" s="197" customFormat="1" ht="12.75" x14ac:dyDescent="0.2"/>
    <row r="30364" s="197" customFormat="1" ht="12.75" x14ac:dyDescent="0.2"/>
    <row r="30365" s="197" customFormat="1" ht="12.75" x14ac:dyDescent="0.2"/>
    <row r="30366" s="197" customFormat="1" ht="12.75" x14ac:dyDescent="0.2"/>
    <row r="30367" s="197" customFormat="1" ht="12.75" x14ac:dyDescent="0.2"/>
    <row r="30368" s="197" customFormat="1" ht="12.75" x14ac:dyDescent="0.2"/>
    <row r="30369" s="197" customFormat="1" ht="12.75" x14ac:dyDescent="0.2"/>
    <row r="30370" s="197" customFormat="1" ht="12.75" x14ac:dyDescent="0.2"/>
    <row r="30371" s="197" customFormat="1" ht="12.75" x14ac:dyDescent="0.2"/>
    <row r="30372" s="197" customFormat="1" ht="12.75" x14ac:dyDescent="0.2"/>
    <row r="30373" s="197" customFormat="1" ht="12.75" x14ac:dyDescent="0.2"/>
    <row r="30374" s="197" customFormat="1" ht="12.75" x14ac:dyDescent="0.2"/>
    <row r="30375" s="197" customFormat="1" ht="12.75" x14ac:dyDescent="0.2"/>
    <row r="30376" s="197" customFormat="1" ht="12.75" x14ac:dyDescent="0.2"/>
    <row r="30377" s="197" customFormat="1" ht="12.75" x14ac:dyDescent="0.2"/>
    <row r="30378" s="197" customFormat="1" ht="12.75" x14ac:dyDescent="0.2"/>
    <row r="30379" s="197" customFormat="1" ht="12.75" x14ac:dyDescent="0.2"/>
    <row r="30380" s="197" customFormat="1" ht="12.75" x14ac:dyDescent="0.2"/>
    <row r="30381" s="197" customFormat="1" ht="12.75" x14ac:dyDescent="0.2"/>
    <row r="30382" s="197" customFormat="1" ht="12.75" x14ac:dyDescent="0.2"/>
    <row r="30383" s="197" customFormat="1" ht="12.75" x14ac:dyDescent="0.2"/>
    <row r="30384" s="197" customFormat="1" ht="12.75" x14ac:dyDescent="0.2"/>
    <row r="30385" s="197" customFormat="1" ht="12.75" x14ac:dyDescent="0.2"/>
    <row r="30386" s="197" customFormat="1" ht="12.75" x14ac:dyDescent="0.2"/>
    <row r="30387" s="197" customFormat="1" ht="12.75" x14ac:dyDescent="0.2"/>
    <row r="30388" s="197" customFormat="1" ht="12.75" x14ac:dyDescent="0.2"/>
    <row r="30389" s="197" customFormat="1" ht="12.75" x14ac:dyDescent="0.2"/>
    <row r="30390" s="197" customFormat="1" ht="12.75" x14ac:dyDescent="0.2"/>
    <row r="30391" s="197" customFormat="1" ht="12.75" x14ac:dyDescent="0.2"/>
    <row r="30392" s="197" customFormat="1" ht="12.75" x14ac:dyDescent="0.2"/>
    <row r="30393" s="197" customFormat="1" ht="12.75" x14ac:dyDescent="0.2"/>
    <row r="30394" s="197" customFormat="1" ht="12.75" x14ac:dyDescent="0.2"/>
    <row r="30395" s="197" customFormat="1" ht="12.75" x14ac:dyDescent="0.2"/>
    <row r="30396" s="197" customFormat="1" ht="12.75" x14ac:dyDescent="0.2"/>
    <row r="30397" s="197" customFormat="1" ht="12.75" x14ac:dyDescent="0.2"/>
    <row r="30398" s="197" customFormat="1" ht="12.75" x14ac:dyDescent="0.2"/>
    <row r="30399" s="197" customFormat="1" ht="12.75" x14ac:dyDescent="0.2"/>
    <row r="30400" s="197" customFormat="1" ht="12.75" x14ac:dyDescent="0.2"/>
    <row r="30401" s="197" customFormat="1" ht="12.75" x14ac:dyDescent="0.2"/>
    <row r="30402" s="197" customFormat="1" ht="12.75" x14ac:dyDescent="0.2"/>
    <row r="30403" s="197" customFormat="1" ht="12.75" x14ac:dyDescent="0.2"/>
    <row r="30404" s="197" customFormat="1" ht="12.75" x14ac:dyDescent="0.2"/>
    <row r="30405" s="197" customFormat="1" ht="12.75" x14ac:dyDescent="0.2"/>
    <row r="30406" s="197" customFormat="1" ht="12.75" x14ac:dyDescent="0.2"/>
    <row r="30407" s="197" customFormat="1" ht="12.75" x14ac:dyDescent="0.2"/>
    <row r="30408" s="197" customFormat="1" ht="12.75" x14ac:dyDescent="0.2"/>
    <row r="30409" s="197" customFormat="1" ht="12.75" x14ac:dyDescent="0.2"/>
    <row r="30410" s="197" customFormat="1" ht="12.75" x14ac:dyDescent="0.2"/>
    <row r="30411" s="197" customFormat="1" ht="12.75" x14ac:dyDescent="0.2"/>
    <row r="30412" s="197" customFormat="1" ht="12.75" x14ac:dyDescent="0.2"/>
    <row r="30413" s="197" customFormat="1" ht="12.75" x14ac:dyDescent="0.2"/>
    <row r="30414" s="197" customFormat="1" ht="12.75" x14ac:dyDescent="0.2"/>
    <row r="30415" s="197" customFormat="1" ht="12.75" x14ac:dyDescent="0.2"/>
    <row r="30416" s="197" customFormat="1" ht="12.75" x14ac:dyDescent="0.2"/>
    <row r="30417" s="197" customFormat="1" ht="12.75" x14ac:dyDescent="0.2"/>
    <row r="30418" s="197" customFormat="1" ht="12.75" x14ac:dyDescent="0.2"/>
    <row r="30419" s="197" customFormat="1" ht="12.75" x14ac:dyDescent="0.2"/>
    <row r="30420" s="197" customFormat="1" ht="12.75" x14ac:dyDescent="0.2"/>
    <row r="30421" s="197" customFormat="1" ht="12.75" x14ac:dyDescent="0.2"/>
    <row r="30422" s="197" customFormat="1" ht="12.75" x14ac:dyDescent="0.2"/>
    <row r="30423" s="197" customFormat="1" ht="12.75" x14ac:dyDescent="0.2"/>
    <row r="30424" s="197" customFormat="1" ht="12.75" x14ac:dyDescent="0.2"/>
    <row r="30425" s="197" customFormat="1" ht="12.75" x14ac:dyDescent="0.2"/>
    <row r="30426" s="197" customFormat="1" ht="12.75" x14ac:dyDescent="0.2"/>
    <row r="30427" s="197" customFormat="1" ht="12.75" x14ac:dyDescent="0.2"/>
    <row r="30428" s="197" customFormat="1" ht="12.75" x14ac:dyDescent="0.2"/>
    <row r="30429" s="197" customFormat="1" ht="12.75" x14ac:dyDescent="0.2"/>
    <row r="30430" s="197" customFormat="1" ht="12.75" x14ac:dyDescent="0.2"/>
    <row r="30431" s="197" customFormat="1" ht="12.75" x14ac:dyDescent="0.2"/>
    <row r="30432" s="197" customFormat="1" ht="12.75" x14ac:dyDescent="0.2"/>
    <row r="30433" s="197" customFormat="1" ht="12.75" x14ac:dyDescent="0.2"/>
    <row r="30434" s="197" customFormat="1" ht="12.75" x14ac:dyDescent="0.2"/>
    <row r="30435" s="197" customFormat="1" ht="12.75" x14ac:dyDescent="0.2"/>
    <row r="30436" s="197" customFormat="1" ht="12.75" x14ac:dyDescent="0.2"/>
    <row r="30437" s="197" customFormat="1" ht="12.75" x14ac:dyDescent="0.2"/>
    <row r="30438" s="197" customFormat="1" ht="12.75" x14ac:dyDescent="0.2"/>
    <row r="30439" s="197" customFormat="1" ht="12.75" x14ac:dyDescent="0.2"/>
    <row r="30440" s="197" customFormat="1" ht="12.75" x14ac:dyDescent="0.2"/>
    <row r="30441" s="197" customFormat="1" ht="12.75" x14ac:dyDescent="0.2"/>
    <row r="30442" s="197" customFormat="1" ht="12.75" x14ac:dyDescent="0.2"/>
    <row r="30443" s="197" customFormat="1" ht="12.75" x14ac:dyDescent="0.2"/>
    <row r="30444" s="197" customFormat="1" ht="12.75" x14ac:dyDescent="0.2"/>
    <row r="30445" s="197" customFormat="1" ht="12.75" x14ac:dyDescent="0.2"/>
    <row r="30446" s="197" customFormat="1" ht="12.75" x14ac:dyDescent="0.2"/>
    <row r="30447" s="197" customFormat="1" ht="12.75" x14ac:dyDescent="0.2"/>
    <row r="30448" s="197" customFormat="1" ht="12.75" x14ac:dyDescent="0.2"/>
    <row r="30449" s="197" customFormat="1" ht="12.75" x14ac:dyDescent="0.2"/>
    <row r="30450" s="197" customFormat="1" ht="12.75" x14ac:dyDescent="0.2"/>
    <row r="30451" s="197" customFormat="1" ht="12.75" x14ac:dyDescent="0.2"/>
    <row r="30452" s="197" customFormat="1" ht="12.75" x14ac:dyDescent="0.2"/>
    <row r="30453" s="197" customFormat="1" ht="12.75" x14ac:dyDescent="0.2"/>
    <row r="30454" s="197" customFormat="1" ht="12.75" x14ac:dyDescent="0.2"/>
    <row r="30455" s="197" customFormat="1" ht="12.75" x14ac:dyDescent="0.2"/>
    <row r="30456" s="197" customFormat="1" ht="12.75" x14ac:dyDescent="0.2"/>
    <row r="30457" s="197" customFormat="1" ht="12.75" x14ac:dyDescent="0.2"/>
    <row r="30458" s="197" customFormat="1" ht="12.75" x14ac:dyDescent="0.2"/>
    <row r="30459" s="197" customFormat="1" ht="12.75" x14ac:dyDescent="0.2"/>
    <row r="30460" s="197" customFormat="1" ht="12.75" x14ac:dyDescent="0.2"/>
    <row r="30461" s="197" customFormat="1" ht="12.75" x14ac:dyDescent="0.2"/>
    <row r="30462" s="197" customFormat="1" ht="12.75" x14ac:dyDescent="0.2"/>
    <row r="30463" s="197" customFormat="1" ht="12.75" x14ac:dyDescent="0.2"/>
    <row r="30464" s="197" customFormat="1" ht="12.75" x14ac:dyDescent="0.2"/>
    <row r="30465" s="197" customFormat="1" ht="12.75" x14ac:dyDescent="0.2"/>
    <row r="30466" s="197" customFormat="1" ht="12.75" x14ac:dyDescent="0.2"/>
    <row r="30467" s="197" customFormat="1" ht="12.75" x14ac:dyDescent="0.2"/>
    <row r="30468" s="197" customFormat="1" ht="12.75" x14ac:dyDescent="0.2"/>
    <row r="30469" s="197" customFormat="1" ht="12.75" x14ac:dyDescent="0.2"/>
    <row r="30470" s="197" customFormat="1" ht="12.75" x14ac:dyDescent="0.2"/>
    <row r="30471" s="197" customFormat="1" ht="12.75" x14ac:dyDescent="0.2"/>
    <row r="30472" s="197" customFormat="1" ht="12.75" x14ac:dyDescent="0.2"/>
    <row r="30473" s="197" customFormat="1" ht="12.75" x14ac:dyDescent="0.2"/>
    <row r="30474" s="197" customFormat="1" ht="12.75" x14ac:dyDescent="0.2"/>
    <row r="30475" s="197" customFormat="1" ht="12.75" x14ac:dyDescent="0.2"/>
    <row r="30476" s="197" customFormat="1" ht="12.75" x14ac:dyDescent="0.2"/>
    <row r="30477" s="197" customFormat="1" ht="12.75" x14ac:dyDescent="0.2"/>
    <row r="30478" s="197" customFormat="1" ht="12.75" x14ac:dyDescent="0.2"/>
    <row r="30479" s="197" customFormat="1" ht="12.75" x14ac:dyDescent="0.2"/>
    <row r="30480" s="197" customFormat="1" ht="12.75" x14ac:dyDescent="0.2"/>
    <row r="30481" s="197" customFormat="1" ht="12.75" x14ac:dyDescent="0.2"/>
    <row r="30482" s="197" customFormat="1" ht="12.75" x14ac:dyDescent="0.2"/>
    <row r="30483" s="197" customFormat="1" ht="12.75" x14ac:dyDescent="0.2"/>
    <row r="30484" s="197" customFormat="1" ht="12.75" x14ac:dyDescent="0.2"/>
    <row r="30485" s="197" customFormat="1" ht="12.75" x14ac:dyDescent="0.2"/>
    <row r="30486" s="197" customFormat="1" ht="12.75" x14ac:dyDescent="0.2"/>
    <row r="30487" s="197" customFormat="1" ht="12.75" x14ac:dyDescent="0.2"/>
    <row r="30488" s="197" customFormat="1" ht="12.75" x14ac:dyDescent="0.2"/>
    <row r="30489" s="197" customFormat="1" ht="12.75" x14ac:dyDescent="0.2"/>
    <row r="30490" s="197" customFormat="1" ht="12.75" x14ac:dyDescent="0.2"/>
    <row r="30491" s="197" customFormat="1" ht="12.75" x14ac:dyDescent="0.2"/>
    <row r="30492" s="197" customFormat="1" ht="12.75" x14ac:dyDescent="0.2"/>
    <row r="30493" s="197" customFormat="1" ht="12.75" x14ac:dyDescent="0.2"/>
    <row r="30494" s="197" customFormat="1" ht="12.75" x14ac:dyDescent="0.2"/>
    <row r="30495" s="197" customFormat="1" ht="12.75" x14ac:dyDescent="0.2"/>
    <row r="30496" s="197" customFormat="1" ht="12.75" x14ac:dyDescent="0.2"/>
    <row r="30497" s="197" customFormat="1" ht="12.75" x14ac:dyDescent="0.2"/>
    <row r="30498" s="197" customFormat="1" ht="12.75" x14ac:dyDescent="0.2"/>
    <row r="30499" s="197" customFormat="1" ht="12.75" x14ac:dyDescent="0.2"/>
    <row r="30500" s="197" customFormat="1" ht="12.75" x14ac:dyDescent="0.2"/>
    <row r="30501" s="197" customFormat="1" ht="12.75" x14ac:dyDescent="0.2"/>
    <row r="30502" s="197" customFormat="1" ht="12.75" x14ac:dyDescent="0.2"/>
    <row r="30503" s="197" customFormat="1" ht="12.75" x14ac:dyDescent="0.2"/>
    <row r="30504" s="197" customFormat="1" ht="12.75" x14ac:dyDescent="0.2"/>
    <row r="30505" s="197" customFormat="1" ht="12.75" x14ac:dyDescent="0.2"/>
    <row r="30506" s="197" customFormat="1" ht="12.75" x14ac:dyDescent="0.2"/>
    <row r="30507" s="197" customFormat="1" ht="12.75" x14ac:dyDescent="0.2"/>
    <row r="30508" s="197" customFormat="1" ht="12.75" x14ac:dyDescent="0.2"/>
    <row r="30509" s="197" customFormat="1" ht="12.75" x14ac:dyDescent="0.2"/>
    <row r="30510" s="197" customFormat="1" ht="12.75" x14ac:dyDescent="0.2"/>
    <row r="30511" s="197" customFormat="1" ht="12.75" x14ac:dyDescent="0.2"/>
    <row r="30512" s="197" customFormat="1" ht="12.75" x14ac:dyDescent="0.2"/>
    <row r="30513" s="197" customFormat="1" ht="12.75" x14ac:dyDescent="0.2"/>
    <row r="30514" s="197" customFormat="1" ht="12.75" x14ac:dyDescent="0.2"/>
    <row r="30515" s="197" customFormat="1" ht="12.75" x14ac:dyDescent="0.2"/>
    <row r="30516" s="197" customFormat="1" ht="12.75" x14ac:dyDescent="0.2"/>
    <row r="30517" s="197" customFormat="1" ht="12.75" x14ac:dyDescent="0.2"/>
    <row r="30518" s="197" customFormat="1" ht="12.75" x14ac:dyDescent="0.2"/>
    <row r="30519" s="197" customFormat="1" ht="12.75" x14ac:dyDescent="0.2"/>
    <row r="30520" s="197" customFormat="1" ht="12.75" x14ac:dyDescent="0.2"/>
    <row r="30521" s="197" customFormat="1" ht="12.75" x14ac:dyDescent="0.2"/>
    <row r="30522" s="197" customFormat="1" ht="12.75" x14ac:dyDescent="0.2"/>
    <row r="30523" s="197" customFormat="1" ht="12.75" x14ac:dyDescent="0.2"/>
    <row r="30524" s="197" customFormat="1" ht="12.75" x14ac:dyDescent="0.2"/>
    <row r="30525" s="197" customFormat="1" ht="12.75" x14ac:dyDescent="0.2"/>
    <row r="30526" s="197" customFormat="1" ht="12.75" x14ac:dyDescent="0.2"/>
    <row r="30527" s="197" customFormat="1" ht="12.75" x14ac:dyDescent="0.2"/>
    <row r="30528" s="197" customFormat="1" ht="12.75" x14ac:dyDescent="0.2"/>
    <row r="30529" s="197" customFormat="1" ht="12.75" x14ac:dyDescent="0.2"/>
    <row r="30530" s="197" customFormat="1" ht="12.75" x14ac:dyDescent="0.2"/>
    <row r="30531" s="197" customFormat="1" ht="12.75" x14ac:dyDescent="0.2"/>
    <row r="30532" s="197" customFormat="1" ht="12.75" x14ac:dyDescent="0.2"/>
    <row r="30533" s="197" customFormat="1" ht="12.75" x14ac:dyDescent="0.2"/>
    <row r="30534" s="197" customFormat="1" ht="12.75" x14ac:dyDescent="0.2"/>
    <row r="30535" s="197" customFormat="1" ht="12.75" x14ac:dyDescent="0.2"/>
    <row r="30536" s="197" customFormat="1" ht="12.75" x14ac:dyDescent="0.2"/>
    <row r="30537" s="197" customFormat="1" ht="12.75" x14ac:dyDescent="0.2"/>
    <row r="30538" s="197" customFormat="1" ht="12.75" x14ac:dyDescent="0.2"/>
    <row r="30539" s="197" customFormat="1" ht="12.75" x14ac:dyDescent="0.2"/>
    <row r="30540" s="197" customFormat="1" ht="12.75" x14ac:dyDescent="0.2"/>
    <row r="30541" s="197" customFormat="1" ht="12.75" x14ac:dyDescent="0.2"/>
    <row r="30542" s="197" customFormat="1" ht="12.75" x14ac:dyDescent="0.2"/>
    <row r="30543" s="197" customFormat="1" ht="12.75" x14ac:dyDescent="0.2"/>
    <row r="30544" s="197" customFormat="1" ht="12.75" x14ac:dyDescent="0.2"/>
    <row r="30545" s="197" customFormat="1" ht="12.75" x14ac:dyDescent="0.2"/>
    <row r="30546" s="197" customFormat="1" ht="12.75" x14ac:dyDescent="0.2"/>
    <row r="30547" s="197" customFormat="1" ht="12.75" x14ac:dyDescent="0.2"/>
    <row r="30548" s="197" customFormat="1" ht="12.75" x14ac:dyDescent="0.2"/>
    <row r="30549" s="197" customFormat="1" ht="12.75" x14ac:dyDescent="0.2"/>
    <row r="30550" s="197" customFormat="1" ht="12.75" x14ac:dyDescent="0.2"/>
    <row r="30551" s="197" customFormat="1" ht="12.75" x14ac:dyDescent="0.2"/>
    <row r="30552" s="197" customFormat="1" ht="12.75" x14ac:dyDescent="0.2"/>
    <row r="30553" s="197" customFormat="1" ht="12.75" x14ac:dyDescent="0.2"/>
    <row r="30554" s="197" customFormat="1" ht="12.75" x14ac:dyDescent="0.2"/>
    <row r="30555" s="197" customFormat="1" ht="12.75" x14ac:dyDescent="0.2"/>
    <row r="30556" s="197" customFormat="1" ht="12.75" x14ac:dyDescent="0.2"/>
    <row r="30557" s="197" customFormat="1" ht="12.75" x14ac:dyDescent="0.2"/>
    <row r="30558" s="197" customFormat="1" ht="12.75" x14ac:dyDescent="0.2"/>
    <row r="30559" s="197" customFormat="1" ht="12.75" x14ac:dyDescent="0.2"/>
    <row r="30560" s="197" customFormat="1" ht="12.75" x14ac:dyDescent="0.2"/>
    <row r="30561" s="197" customFormat="1" ht="12.75" x14ac:dyDescent="0.2"/>
    <row r="30562" s="197" customFormat="1" ht="12.75" x14ac:dyDescent="0.2"/>
    <row r="30563" s="197" customFormat="1" ht="12.75" x14ac:dyDescent="0.2"/>
    <row r="30564" s="197" customFormat="1" ht="12.75" x14ac:dyDescent="0.2"/>
    <row r="30565" s="197" customFormat="1" ht="12.75" x14ac:dyDescent="0.2"/>
    <row r="30566" s="197" customFormat="1" ht="12.75" x14ac:dyDescent="0.2"/>
    <row r="30567" s="197" customFormat="1" ht="12.75" x14ac:dyDescent="0.2"/>
    <row r="30568" s="197" customFormat="1" ht="12.75" x14ac:dyDescent="0.2"/>
    <row r="30569" s="197" customFormat="1" ht="12.75" x14ac:dyDescent="0.2"/>
    <row r="30570" s="197" customFormat="1" ht="12.75" x14ac:dyDescent="0.2"/>
    <row r="30571" s="197" customFormat="1" ht="12.75" x14ac:dyDescent="0.2"/>
    <row r="30572" s="197" customFormat="1" ht="12.75" x14ac:dyDescent="0.2"/>
    <row r="30573" s="197" customFormat="1" ht="12.75" x14ac:dyDescent="0.2"/>
    <row r="30574" s="197" customFormat="1" ht="12.75" x14ac:dyDescent="0.2"/>
    <row r="30575" s="197" customFormat="1" ht="12.75" x14ac:dyDescent="0.2"/>
    <row r="30576" s="197" customFormat="1" ht="12.75" x14ac:dyDescent="0.2"/>
    <row r="30577" s="197" customFormat="1" ht="12.75" x14ac:dyDescent="0.2"/>
    <row r="30578" s="197" customFormat="1" ht="12.75" x14ac:dyDescent="0.2"/>
    <row r="30579" s="197" customFormat="1" ht="12.75" x14ac:dyDescent="0.2"/>
    <row r="30580" s="197" customFormat="1" ht="12.75" x14ac:dyDescent="0.2"/>
    <row r="30581" s="197" customFormat="1" ht="12.75" x14ac:dyDescent="0.2"/>
    <row r="30582" s="197" customFormat="1" ht="12.75" x14ac:dyDescent="0.2"/>
    <row r="30583" s="197" customFormat="1" ht="12.75" x14ac:dyDescent="0.2"/>
    <row r="30584" s="197" customFormat="1" ht="12.75" x14ac:dyDescent="0.2"/>
    <row r="30585" s="197" customFormat="1" ht="12.75" x14ac:dyDescent="0.2"/>
    <row r="30586" s="197" customFormat="1" ht="12.75" x14ac:dyDescent="0.2"/>
    <row r="30587" s="197" customFormat="1" ht="12.75" x14ac:dyDescent="0.2"/>
    <row r="30588" s="197" customFormat="1" ht="12.75" x14ac:dyDescent="0.2"/>
    <row r="30589" s="197" customFormat="1" ht="12.75" x14ac:dyDescent="0.2"/>
    <row r="30590" s="197" customFormat="1" ht="12.75" x14ac:dyDescent="0.2"/>
    <row r="30591" s="197" customFormat="1" ht="12.75" x14ac:dyDescent="0.2"/>
    <row r="30592" s="197" customFormat="1" ht="12.75" x14ac:dyDescent="0.2"/>
    <row r="30593" s="197" customFormat="1" ht="12.75" x14ac:dyDescent="0.2"/>
    <row r="30594" s="197" customFormat="1" ht="12.75" x14ac:dyDescent="0.2"/>
    <row r="30595" s="197" customFormat="1" ht="12.75" x14ac:dyDescent="0.2"/>
    <row r="30596" s="197" customFormat="1" ht="12.75" x14ac:dyDescent="0.2"/>
    <row r="30597" s="197" customFormat="1" ht="12.75" x14ac:dyDescent="0.2"/>
    <row r="30598" s="197" customFormat="1" ht="12.75" x14ac:dyDescent="0.2"/>
    <row r="30599" s="197" customFormat="1" ht="12.75" x14ac:dyDescent="0.2"/>
    <row r="30600" s="197" customFormat="1" ht="12.75" x14ac:dyDescent="0.2"/>
    <row r="30601" s="197" customFormat="1" ht="12.75" x14ac:dyDescent="0.2"/>
    <row r="30602" s="197" customFormat="1" ht="12.75" x14ac:dyDescent="0.2"/>
    <row r="30603" s="197" customFormat="1" ht="12.75" x14ac:dyDescent="0.2"/>
    <row r="30604" s="197" customFormat="1" ht="12.75" x14ac:dyDescent="0.2"/>
    <row r="30605" s="197" customFormat="1" ht="12.75" x14ac:dyDescent="0.2"/>
    <row r="30606" s="197" customFormat="1" ht="12.75" x14ac:dyDescent="0.2"/>
    <row r="30607" s="197" customFormat="1" ht="12.75" x14ac:dyDescent="0.2"/>
    <row r="30608" s="197" customFormat="1" ht="12.75" x14ac:dyDescent="0.2"/>
    <row r="30609" s="197" customFormat="1" ht="12.75" x14ac:dyDescent="0.2"/>
    <row r="30610" s="197" customFormat="1" ht="12.75" x14ac:dyDescent="0.2"/>
    <row r="30611" s="197" customFormat="1" ht="12.75" x14ac:dyDescent="0.2"/>
    <row r="30612" s="197" customFormat="1" ht="12.75" x14ac:dyDescent="0.2"/>
    <row r="30613" s="197" customFormat="1" ht="12.75" x14ac:dyDescent="0.2"/>
    <row r="30614" s="197" customFormat="1" ht="12.75" x14ac:dyDescent="0.2"/>
    <row r="30615" s="197" customFormat="1" ht="12.75" x14ac:dyDescent="0.2"/>
    <row r="30616" s="197" customFormat="1" ht="12.75" x14ac:dyDescent="0.2"/>
    <row r="30617" s="197" customFormat="1" ht="12.75" x14ac:dyDescent="0.2"/>
    <row r="30618" s="197" customFormat="1" ht="12.75" x14ac:dyDescent="0.2"/>
    <row r="30619" s="197" customFormat="1" ht="12.75" x14ac:dyDescent="0.2"/>
    <row r="30620" s="197" customFormat="1" ht="12.75" x14ac:dyDescent="0.2"/>
    <row r="30621" s="197" customFormat="1" ht="12.75" x14ac:dyDescent="0.2"/>
    <row r="30622" s="197" customFormat="1" ht="12.75" x14ac:dyDescent="0.2"/>
    <row r="30623" s="197" customFormat="1" ht="12.75" x14ac:dyDescent="0.2"/>
    <row r="30624" s="197" customFormat="1" ht="12.75" x14ac:dyDescent="0.2"/>
    <row r="30625" s="197" customFormat="1" ht="12.75" x14ac:dyDescent="0.2"/>
    <row r="30626" s="197" customFormat="1" ht="12.75" x14ac:dyDescent="0.2"/>
    <row r="30627" s="197" customFormat="1" ht="12.75" x14ac:dyDescent="0.2"/>
    <row r="30628" s="197" customFormat="1" ht="12.75" x14ac:dyDescent="0.2"/>
    <row r="30629" s="197" customFormat="1" ht="12.75" x14ac:dyDescent="0.2"/>
    <row r="30630" s="197" customFormat="1" ht="12.75" x14ac:dyDescent="0.2"/>
    <row r="30631" s="197" customFormat="1" ht="12.75" x14ac:dyDescent="0.2"/>
    <row r="30632" s="197" customFormat="1" ht="12.75" x14ac:dyDescent="0.2"/>
    <row r="30633" s="197" customFormat="1" ht="12.75" x14ac:dyDescent="0.2"/>
    <row r="30634" s="197" customFormat="1" ht="12.75" x14ac:dyDescent="0.2"/>
    <row r="30635" s="197" customFormat="1" ht="12.75" x14ac:dyDescent="0.2"/>
    <row r="30636" s="197" customFormat="1" ht="12.75" x14ac:dyDescent="0.2"/>
    <row r="30637" s="197" customFormat="1" ht="12.75" x14ac:dyDescent="0.2"/>
    <row r="30638" s="197" customFormat="1" ht="12.75" x14ac:dyDescent="0.2"/>
    <row r="30639" s="197" customFormat="1" ht="12.75" x14ac:dyDescent="0.2"/>
    <row r="30640" s="197" customFormat="1" ht="12.75" x14ac:dyDescent="0.2"/>
    <row r="30641" s="197" customFormat="1" ht="12.75" x14ac:dyDescent="0.2"/>
    <row r="30642" s="197" customFormat="1" ht="12.75" x14ac:dyDescent="0.2"/>
    <row r="30643" s="197" customFormat="1" ht="12.75" x14ac:dyDescent="0.2"/>
    <row r="30644" s="197" customFormat="1" ht="12.75" x14ac:dyDescent="0.2"/>
    <row r="30645" s="197" customFormat="1" ht="12.75" x14ac:dyDescent="0.2"/>
    <row r="30646" s="197" customFormat="1" ht="12.75" x14ac:dyDescent="0.2"/>
    <row r="30647" s="197" customFormat="1" ht="12.75" x14ac:dyDescent="0.2"/>
    <row r="30648" s="197" customFormat="1" ht="12.75" x14ac:dyDescent="0.2"/>
    <row r="30649" s="197" customFormat="1" ht="12.75" x14ac:dyDescent="0.2"/>
    <row r="30650" s="197" customFormat="1" ht="12.75" x14ac:dyDescent="0.2"/>
    <row r="30651" s="197" customFormat="1" ht="12.75" x14ac:dyDescent="0.2"/>
    <row r="30652" s="197" customFormat="1" ht="12.75" x14ac:dyDescent="0.2"/>
    <row r="30653" s="197" customFormat="1" ht="12.75" x14ac:dyDescent="0.2"/>
    <row r="30654" s="197" customFormat="1" ht="12.75" x14ac:dyDescent="0.2"/>
    <row r="30655" s="197" customFormat="1" ht="12.75" x14ac:dyDescent="0.2"/>
    <row r="30656" s="197" customFormat="1" ht="12.75" x14ac:dyDescent="0.2"/>
    <row r="30657" s="197" customFormat="1" ht="12.75" x14ac:dyDescent="0.2"/>
    <row r="30658" s="197" customFormat="1" ht="12.75" x14ac:dyDescent="0.2"/>
    <row r="30659" s="197" customFormat="1" ht="12.75" x14ac:dyDescent="0.2"/>
    <row r="30660" s="197" customFormat="1" ht="12.75" x14ac:dyDescent="0.2"/>
    <row r="30661" s="197" customFormat="1" ht="12.75" x14ac:dyDescent="0.2"/>
    <row r="30662" s="197" customFormat="1" ht="12.75" x14ac:dyDescent="0.2"/>
    <row r="30663" s="197" customFormat="1" ht="12.75" x14ac:dyDescent="0.2"/>
    <row r="30664" s="197" customFormat="1" ht="12.75" x14ac:dyDescent="0.2"/>
    <row r="30665" s="197" customFormat="1" ht="12.75" x14ac:dyDescent="0.2"/>
    <row r="30666" s="197" customFormat="1" ht="12.75" x14ac:dyDescent="0.2"/>
    <row r="30667" s="197" customFormat="1" ht="12.75" x14ac:dyDescent="0.2"/>
    <row r="30668" s="197" customFormat="1" ht="12.75" x14ac:dyDescent="0.2"/>
    <row r="30669" s="197" customFormat="1" ht="12.75" x14ac:dyDescent="0.2"/>
    <row r="30670" s="197" customFormat="1" ht="12.75" x14ac:dyDescent="0.2"/>
    <row r="30671" s="197" customFormat="1" ht="12.75" x14ac:dyDescent="0.2"/>
    <row r="30672" s="197" customFormat="1" ht="12.75" x14ac:dyDescent="0.2"/>
    <row r="30673" s="197" customFormat="1" ht="12.75" x14ac:dyDescent="0.2"/>
    <row r="30674" s="197" customFormat="1" ht="12.75" x14ac:dyDescent="0.2"/>
    <row r="30675" s="197" customFormat="1" ht="12.75" x14ac:dyDescent="0.2"/>
    <row r="30676" s="197" customFormat="1" ht="12.75" x14ac:dyDescent="0.2"/>
    <row r="30677" s="197" customFormat="1" ht="12.75" x14ac:dyDescent="0.2"/>
    <row r="30678" s="197" customFormat="1" ht="12.75" x14ac:dyDescent="0.2"/>
    <row r="30679" s="197" customFormat="1" ht="12.75" x14ac:dyDescent="0.2"/>
    <row r="30680" s="197" customFormat="1" ht="12.75" x14ac:dyDescent="0.2"/>
    <row r="30681" s="197" customFormat="1" ht="12.75" x14ac:dyDescent="0.2"/>
    <row r="30682" s="197" customFormat="1" ht="12.75" x14ac:dyDescent="0.2"/>
    <row r="30683" s="197" customFormat="1" ht="12.75" x14ac:dyDescent="0.2"/>
    <row r="30684" s="197" customFormat="1" ht="12.75" x14ac:dyDescent="0.2"/>
    <row r="30685" s="197" customFormat="1" ht="12.75" x14ac:dyDescent="0.2"/>
    <row r="30686" s="197" customFormat="1" ht="12.75" x14ac:dyDescent="0.2"/>
    <row r="30687" s="197" customFormat="1" ht="12.75" x14ac:dyDescent="0.2"/>
    <row r="30688" s="197" customFormat="1" ht="12.75" x14ac:dyDescent="0.2"/>
    <row r="30689" s="197" customFormat="1" ht="12.75" x14ac:dyDescent="0.2"/>
    <row r="30690" s="197" customFormat="1" ht="12.75" x14ac:dyDescent="0.2"/>
    <row r="30691" s="197" customFormat="1" ht="12.75" x14ac:dyDescent="0.2"/>
    <row r="30692" s="197" customFormat="1" ht="12.75" x14ac:dyDescent="0.2"/>
    <row r="30693" s="197" customFormat="1" ht="12.75" x14ac:dyDescent="0.2"/>
    <row r="30694" s="197" customFormat="1" ht="12.75" x14ac:dyDescent="0.2"/>
    <row r="30695" s="197" customFormat="1" ht="12.75" x14ac:dyDescent="0.2"/>
    <row r="30696" s="197" customFormat="1" ht="12.75" x14ac:dyDescent="0.2"/>
    <row r="30697" s="197" customFormat="1" ht="12.75" x14ac:dyDescent="0.2"/>
    <row r="30698" s="197" customFormat="1" ht="12.75" x14ac:dyDescent="0.2"/>
    <row r="30699" s="197" customFormat="1" ht="12.75" x14ac:dyDescent="0.2"/>
    <row r="30700" s="197" customFormat="1" ht="12.75" x14ac:dyDescent="0.2"/>
    <row r="30701" s="197" customFormat="1" ht="12.75" x14ac:dyDescent="0.2"/>
    <row r="30702" s="197" customFormat="1" ht="12.75" x14ac:dyDescent="0.2"/>
    <row r="30703" s="197" customFormat="1" ht="12.75" x14ac:dyDescent="0.2"/>
    <row r="30704" s="197" customFormat="1" ht="12.75" x14ac:dyDescent="0.2"/>
    <row r="30705" s="197" customFormat="1" ht="12.75" x14ac:dyDescent="0.2"/>
    <row r="30706" s="197" customFormat="1" ht="12.75" x14ac:dyDescent="0.2"/>
    <row r="30707" s="197" customFormat="1" ht="12.75" x14ac:dyDescent="0.2"/>
    <row r="30708" s="197" customFormat="1" ht="12.75" x14ac:dyDescent="0.2"/>
    <row r="30709" s="197" customFormat="1" ht="12.75" x14ac:dyDescent="0.2"/>
    <row r="30710" s="197" customFormat="1" ht="12.75" x14ac:dyDescent="0.2"/>
    <row r="30711" s="197" customFormat="1" ht="12.75" x14ac:dyDescent="0.2"/>
    <row r="30712" s="197" customFormat="1" ht="12.75" x14ac:dyDescent="0.2"/>
    <row r="30713" s="197" customFormat="1" ht="12.75" x14ac:dyDescent="0.2"/>
    <row r="30714" s="197" customFormat="1" ht="12.75" x14ac:dyDescent="0.2"/>
    <row r="30715" s="197" customFormat="1" ht="12.75" x14ac:dyDescent="0.2"/>
    <row r="30716" s="197" customFormat="1" ht="12.75" x14ac:dyDescent="0.2"/>
    <row r="30717" s="197" customFormat="1" ht="12.75" x14ac:dyDescent="0.2"/>
    <row r="30718" s="197" customFormat="1" ht="12.75" x14ac:dyDescent="0.2"/>
    <row r="30719" s="197" customFormat="1" ht="12.75" x14ac:dyDescent="0.2"/>
    <row r="30720" s="197" customFormat="1" ht="12.75" x14ac:dyDescent="0.2"/>
    <row r="30721" s="197" customFormat="1" ht="12.75" x14ac:dyDescent="0.2"/>
    <row r="30722" s="197" customFormat="1" ht="12.75" x14ac:dyDescent="0.2"/>
    <row r="30723" s="197" customFormat="1" ht="12.75" x14ac:dyDescent="0.2"/>
    <row r="30724" s="197" customFormat="1" ht="12.75" x14ac:dyDescent="0.2"/>
    <row r="30725" s="197" customFormat="1" ht="12.75" x14ac:dyDescent="0.2"/>
    <row r="30726" s="197" customFormat="1" ht="12.75" x14ac:dyDescent="0.2"/>
    <row r="30727" s="197" customFormat="1" ht="12.75" x14ac:dyDescent="0.2"/>
    <row r="30728" s="197" customFormat="1" ht="12.75" x14ac:dyDescent="0.2"/>
    <row r="30729" s="197" customFormat="1" ht="12.75" x14ac:dyDescent="0.2"/>
    <row r="30730" s="197" customFormat="1" ht="12.75" x14ac:dyDescent="0.2"/>
    <row r="30731" s="197" customFormat="1" ht="12.75" x14ac:dyDescent="0.2"/>
    <row r="30732" s="197" customFormat="1" ht="12.75" x14ac:dyDescent="0.2"/>
    <row r="30733" s="197" customFormat="1" ht="12.75" x14ac:dyDescent="0.2"/>
    <row r="30734" s="197" customFormat="1" ht="12.75" x14ac:dyDescent="0.2"/>
    <row r="30735" s="197" customFormat="1" ht="12.75" x14ac:dyDescent="0.2"/>
    <row r="30736" s="197" customFormat="1" ht="12.75" x14ac:dyDescent="0.2"/>
    <row r="30737" s="197" customFormat="1" ht="12.75" x14ac:dyDescent="0.2"/>
    <row r="30738" s="197" customFormat="1" ht="12.75" x14ac:dyDescent="0.2"/>
    <row r="30739" s="197" customFormat="1" ht="12.75" x14ac:dyDescent="0.2"/>
    <row r="30740" s="197" customFormat="1" ht="12.75" x14ac:dyDescent="0.2"/>
    <row r="30741" s="197" customFormat="1" ht="12.75" x14ac:dyDescent="0.2"/>
    <row r="30742" s="197" customFormat="1" ht="12.75" x14ac:dyDescent="0.2"/>
    <row r="30743" s="197" customFormat="1" ht="12.75" x14ac:dyDescent="0.2"/>
    <row r="30744" s="197" customFormat="1" ht="12.75" x14ac:dyDescent="0.2"/>
    <row r="30745" s="197" customFormat="1" ht="12.75" x14ac:dyDescent="0.2"/>
    <row r="30746" s="197" customFormat="1" ht="12.75" x14ac:dyDescent="0.2"/>
    <row r="30747" s="197" customFormat="1" ht="12.75" x14ac:dyDescent="0.2"/>
    <row r="30748" s="197" customFormat="1" ht="12.75" x14ac:dyDescent="0.2"/>
    <row r="30749" s="197" customFormat="1" ht="12.75" x14ac:dyDescent="0.2"/>
    <row r="30750" s="197" customFormat="1" ht="12.75" x14ac:dyDescent="0.2"/>
    <row r="30751" s="197" customFormat="1" ht="12.75" x14ac:dyDescent="0.2"/>
    <row r="30752" s="197" customFormat="1" ht="12.75" x14ac:dyDescent="0.2"/>
    <row r="30753" s="197" customFormat="1" ht="12.75" x14ac:dyDescent="0.2"/>
    <row r="30754" s="197" customFormat="1" ht="12.75" x14ac:dyDescent="0.2"/>
    <row r="30755" s="197" customFormat="1" ht="12.75" x14ac:dyDescent="0.2"/>
    <row r="30756" s="197" customFormat="1" ht="12.75" x14ac:dyDescent="0.2"/>
    <row r="30757" s="197" customFormat="1" ht="12.75" x14ac:dyDescent="0.2"/>
    <row r="30758" s="197" customFormat="1" ht="12.75" x14ac:dyDescent="0.2"/>
    <row r="30759" s="197" customFormat="1" ht="12.75" x14ac:dyDescent="0.2"/>
    <row r="30760" s="197" customFormat="1" ht="12.75" x14ac:dyDescent="0.2"/>
    <row r="30761" s="197" customFormat="1" ht="12.75" x14ac:dyDescent="0.2"/>
    <row r="30762" s="197" customFormat="1" ht="12.75" x14ac:dyDescent="0.2"/>
    <row r="30763" s="197" customFormat="1" ht="12.75" x14ac:dyDescent="0.2"/>
    <row r="30764" s="197" customFormat="1" ht="12.75" x14ac:dyDescent="0.2"/>
    <row r="30765" s="197" customFormat="1" ht="12.75" x14ac:dyDescent="0.2"/>
    <row r="30766" s="197" customFormat="1" ht="12.75" x14ac:dyDescent="0.2"/>
    <row r="30767" s="197" customFormat="1" ht="12.75" x14ac:dyDescent="0.2"/>
    <row r="30768" s="197" customFormat="1" ht="12.75" x14ac:dyDescent="0.2"/>
    <row r="30769" s="197" customFormat="1" ht="12.75" x14ac:dyDescent="0.2"/>
    <row r="30770" s="197" customFormat="1" ht="12.75" x14ac:dyDescent="0.2"/>
    <row r="30771" s="197" customFormat="1" ht="12.75" x14ac:dyDescent="0.2"/>
    <row r="30772" s="197" customFormat="1" ht="12.75" x14ac:dyDescent="0.2"/>
    <row r="30773" s="197" customFormat="1" ht="12.75" x14ac:dyDescent="0.2"/>
    <row r="30774" s="197" customFormat="1" ht="12.75" x14ac:dyDescent="0.2"/>
    <row r="30775" s="197" customFormat="1" ht="12.75" x14ac:dyDescent="0.2"/>
    <row r="30776" s="197" customFormat="1" ht="12.75" x14ac:dyDescent="0.2"/>
    <row r="30777" s="197" customFormat="1" ht="12.75" x14ac:dyDescent="0.2"/>
    <row r="30778" s="197" customFormat="1" ht="12.75" x14ac:dyDescent="0.2"/>
    <row r="30779" s="197" customFormat="1" ht="12.75" x14ac:dyDescent="0.2"/>
    <row r="30780" s="197" customFormat="1" ht="12.75" x14ac:dyDescent="0.2"/>
    <row r="30781" s="197" customFormat="1" ht="12.75" x14ac:dyDescent="0.2"/>
    <row r="30782" s="197" customFormat="1" ht="12.75" x14ac:dyDescent="0.2"/>
    <row r="30783" s="197" customFormat="1" ht="12.75" x14ac:dyDescent="0.2"/>
    <row r="30784" s="197" customFormat="1" ht="12.75" x14ac:dyDescent="0.2"/>
    <row r="30785" s="197" customFormat="1" ht="12.75" x14ac:dyDescent="0.2"/>
    <row r="30786" s="197" customFormat="1" ht="12.75" x14ac:dyDescent="0.2"/>
    <row r="30787" s="197" customFormat="1" ht="12.75" x14ac:dyDescent="0.2"/>
    <row r="30788" s="197" customFormat="1" ht="12.75" x14ac:dyDescent="0.2"/>
    <row r="30789" s="197" customFormat="1" ht="12.75" x14ac:dyDescent="0.2"/>
    <row r="30790" s="197" customFormat="1" ht="12.75" x14ac:dyDescent="0.2"/>
    <row r="30791" s="197" customFormat="1" ht="12.75" x14ac:dyDescent="0.2"/>
    <row r="30792" s="197" customFormat="1" ht="12.75" x14ac:dyDescent="0.2"/>
    <row r="30793" s="197" customFormat="1" ht="12.75" x14ac:dyDescent="0.2"/>
    <row r="30794" s="197" customFormat="1" ht="12.75" x14ac:dyDescent="0.2"/>
    <row r="30795" s="197" customFormat="1" ht="12.75" x14ac:dyDescent="0.2"/>
    <row r="30796" s="197" customFormat="1" ht="12.75" x14ac:dyDescent="0.2"/>
    <row r="30797" s="197" customFormat="1" ht="12.75" x14ac:dyDescent="0.2"/>
    <row r="30798" s="197" customFormat="1" ht="12.75" x14ac:dyDescent="0.2"/>
    <row r="30799" s="197" customFormat="1" ht="12.75" x14ac:dyDescent="0.2"/>
    <row r="30800" s="197" customFormat="1" ht="12.75" x14ac:dyDescent="0.2"/>
    <row r="30801" s="197" customFormat="1" ht="12.75" x14ac:dyDescent="0.2"/>
    <row r="30802" s="197" customFormat="1" ht="12.75" x14ac:dyDescent="0.2"/>
    <row r="30803" s="197" customFormat="1" ht="12.75" x14ac:dyDescent="0.2"/>
    <row r="30804" s="197" customFormat="1" ht="12.75" x14ac:dyDescent="0.2"/>
    <row r="30805" s="197" customFormat="1" ht="12.75" x14ac:dyDescent="0.2"/>
    <row r="30806" s="197" customFormat="1" ht="12.75" x14ac:dyDescent="0.2"/>
    <row r="30807" s="197" customFormat="1" ht="12.75" x14ac:dyDescent="0.2"/>
    <row r="30808" s="197" customFormat="1" ht="12.75" x14ac:dyDescent="0.2"/>
    <row r="30809" s="197" customFormat="1" ht="12.75" x14ac:dyDescent="0.2"/>
    <row r="30810" s="197" customFormat="1" ht="12.75" x14ac:dyDescent="0.2"/>
    <row r="30811" s="197" customFormat="1" ht="12.75" x14ac:dyDescent="0.2"/>
    <row r="30812" s="197" customFormat="1" ht="12.75" x14ac:dyDescent="0.2"/>
    <row r="30813" s="197" customFormat="1" ht="12.75" x14ac:dyDescent="0.2"/>
    <row r="30814" s="197" customFormat="1" ht="12.75" x14ac:dyDescent="0.2"/>
    <row r="30815" s="197" customFormat="1" ht="12.75" x14ac:dyDescent="0.2"/>
    <row r="30816" s="197" customFormat="1" ht="12.75" x14ac:dyDescent="0.2"/>
    <row r="30817" s="197" customFormat="1" ht="12.75" x14ac:dyDescent="0.2"/>
    <row r="30818" s="197" customFormat="1" ht="12.75" x14ac:dyDescent="0.2"/>
    <row r="30819" s="197" customFormat="1" ht="12.75" x14ac:dyDescent="0.2"/>
    <row r="30820" s="197" customFormat="1" ht="12.75" x14ac:dyDescent="0.2"/>
    <row r="30821" s="197" customFormat="1" ht="12.75" x14ac:dyDescent="0.2"/>
    <row r="30822" s="197" customFormat="1" ht="12.75" x14ac:dyDescent="0.2"/>
    <row r="30823" s="197" customFormat="1" ht="12.75" x14ac:dyDescent="0.2"/>
    <row r="30824" s="197" customFormat="1" ht="12.75" x14ac:dyDescent="0.2"/>
    <row r="30825" s="197" customFormat="1" ht="12.75" x14ac:dyDescent="0.2"/>
    <row r="30826" s="197" customFormat="1" ht="12.75" x14ac:dyDescent="0.2"/>
    <row r="30827" s="197" customFormat="1" ht="12.75" x14ac:dyDescent="0.2"/>
    <row r="30828" s="197" customFormat="1" ht="12.75" x14ac:dyDescent="0.2"/>
    <row r="30829" s="197" customFormat="1" ht="12.75" x14ac:dyDescent="0.2"/>
    <row r="30830" s="197" customFormat="1" ht="12.75" x14ac:dyDescent="0.2"/>
    <row r="30831" s="197" customFormat="1" ht="12.75" x14ac:dyDescent="0.2"/>
    <row r="30832" s="197" customFormat="1" ht="12.75" x14ac:dyDescent="0.2"/>
    <row r="30833" s="197" customFormat="1" ht="12.75" x14ac:dyDescent="0.2"/>
    <row r="30834" s="197" customFormat="1" ht="12.75" x14ac:dyDescent="0.2"/>
    <row r="30835" s="197" customFormat="1" ht="12.75" x14ac:dyDescent="0.2"/>
    <row r="30836" s="197" customFormat="1" ht="12.75" x14ac:dyDescent="0.2"/>
    <row r="30837" s="197" customFormat="1" ht="12.75" x14ac:dyDescent="0.2"/>
    <row r="30838" s="197" customFormat="1" ht="12.75" x14ac:dyDescent="0.2"/>
    <row r="30839" s="197" customFormat="1" ht="12.75" x14ac:dyDescent="0.2"/>
    <row r="30840" s="197" customFormat="1" ht="12.75" x14ac:dyDescent="0.2"/>
    <row r="30841" s="197" customFormat="1" ht="12.75" x14ac:dyDescent="0.2"/>
    <row r="30842" s="197" customFormat="1" ht="12.75" x14ac:dyDescent="0.2"/>
    <row r="30843" s="197" customFormat="1" ht="12.75" x14ac:dyDescent="0.2"/>
    <row r="30844" s="197" customFormat="1" ht="12.75" x14ac:dyDescent="0.2"/>
    <row r="30845" s="197" customFormat="1" ht="12.75" x14ac:dyDescent="0.2"/>
    <row r="30846" s="197" customFormat="1" ht="12.75" x14ac:dyDescent="0.2"/>
    <row r="30847" s="197" customFormat="1" ht="12.75" x14ac:dyDescent="0.2"/>
    <row r="30848" s="197" customFormat="1" ht="12.75" x14ac:dyDescent="0.2"/>
    <row r="30849" s="197" customFormat="1" ht="12.75" x14ac:dyDescent="0.2"/>
    <row r="30850" s="197" customFormat="1" ht="12.75" x14ac:dyDescent="0.2"/>
    <row r="30851" s="197" customFormat="1" ht="12.75" x14ac:dyDescent="0.2"/>
    <row r="30852" s="197" customFormat="1" ht="12.75" x14ac:dyDescent="0.2"/>
    <row r="30853" s="197" customFormat="1" ht="12.75" x14ac:dyDescent="0.2"/>
    <row r="30854" s="197" customFormat="1" ht="12.75" x14ac:dyDescent="0.2"/>
    <row r="30855" s="197" customFormat="1" ht="12.75" x14ac:dyDescent="0.2"/>
    <row r="30856" s="197" customFormat="1" ht="12.75" x14ac:dyDescent="0.2"/>
    <row r="30857" s="197" customFormat="1" ht="12.75" x14ac:dyDescent="0.2"/>
    <row r="30858" s="197" customFormat="1" ht="12.75" x14ac:dyDescent="0.2"/>
    <row r="30859" s="197" customFormat="1" ht="12.75" x14ac:dyDescent="0.2"/>
    <row r="30860" s="197" customFormat="1" ht="12.75" x14ac:dyDescent="0.2"/>
    <row r="30861" s="197" customFormat="1" ht="12.75" x14ac:dyDescent="0.2"/>
    <row r="30862" s="197" customFormat="1" ht="12.75" x14ac:dyDescent="0.2"/>
    <row r="30863" s="197" customFormat="1" ht="12.75" x14ac:dyDescent="0.2"/>
    <row r="30864" s="197" customFormat="1" ht="12.75" x14ac:dyDescent="0.2"/>
    <row r="30865" s="197" customFormat="1" ht="12.75" x14ac:dyDescent="0.2"/>
    <row r="30866" s="197" customFormat="1" ht="12.75" x14ac:dyDescent="0.2"/>
    <row r="30867" s="197" customFormat="1" ht="12.75" x14ac:dyDescent="0.2"/>
    <row r="30868" s="197" customFormat="1" ht="12.75" x14ac:dyDescent="0.2"/>
    <row r="30869" s="197" customFormat="1" ht="12.75" x14ac:dyDescent="0.2"/>
    <row r="30870" s="197" customFormat="1" ht="12.75" x14ac:dyDescent="0.2"/>
    <row r="30871" s="197" customFormat="1" ht="12.75" x14ac:dyDescent="0.2"/>
    <row r="30872" s="197" customFormat="1" ht="12.75" x14ac:dyDescent="0.2"/>
    <row r="30873" s="197" customFormat="1" ht="12.75" x14ac:dyDescent="0.2"/>
    <row r="30874" s="197" customFormat="1" ht="12.75" x14ac:dyDescent="0.2"/>
    <row r="30875" s="197" customFormat="1" ht="12.75" x14ac:dyDescent="0.2"/>
    <row r="30876" s="197" customFormat="1" ht="12.75" x14ac:dyDescent="0.2"/>
    <row r="30877" s="197" customFormat="1" ht="12.75" x14ac:dyDescent="0.2"/>
    <row r="30878" s="197" customFormat="1" ht="12.75" x14ac:dyDescent="0.2"/>
    <row r="30879" s="197" customFormat="1" ht="12.75" x14ac:dyDescent="0.2"/>
    <row r="30880" s="197" customFormat="1" ht="12.75" x14ac:dyDescent="0.2"/>
    <row r="30881" s="197" customFormat="1" ht="12.75" x14ac:dyDescent="0.2"/>
    <row r="30882" s="197" customFormat="1" ht="12.75" x14ac:dyDescent="0.2"/>
    <row r="30883" s="197" customFormat="1" ht="12.75" x14ac:dyDescent="0.2"/>
    <row r="30884" s="197" customFormat="1" ht="12.75" x14ac:dyDescent="0.2"/>
    <row r="30885" s="197" customFormat="1" ht="12.75" x14ac:dyDescent="0.2"/>
    <row r="30886" s="197" customFormat="1" ht="12.75" x14ac:dyDescent="0.2"/>
    <row r="30887" s="197" customFormat="1" ht="12.75" x14ac:dyDescent="0.2"/>
    <row r="30888" s="197" customFormat="1" ht="12.75" x14ac:dyDescent="0.2"/>
    <row r="30889" s="197" customFormat="1" ht="12.75" x14ac:dyDescent="0.2"/>
    <row r="30890" s="197" customFormat="1" ht="12.75" x14ac:dyDescent="0.2"/>
    <row r="30891" s="197" customFormat="1" ht="12.75" x14ac:dyDescent="0.2"/>
    <row r="30892" s="197" customFormat="1" ht="12.75" x14ac:dyDescent="0.2"/>
    <row r="30893" s="197" customFormat="1" ht="12.75" x14ac:dyDescent="0.2"/>
    <row r="30894" s="197" customFormat="1" ht="12.75" x14ac:dyDescent="0.2"/>
    <row r="30895" s="197" customFormat="1" ht="12.75" x14ac:dyDescent="0.2"/>
    <row r="30896" s="197" customFormat="1" ht="12.75" x14ac:dyDescent="0.2"/>
    <row r="30897" s="197" customFormat="1" ht="12.75" x14ac:dyDescent="0.2"/>
    <row r="30898" s="197" customFormat="1" ht="12.75" x14ac:dyDescent="0.2"/>
    <row r="30899" s="197" customFormat="1" ht="12.75" x14ac:dyDescent="0.2"/>
    <row r="30900" s="197" customFormat="1" ht="12.75" x14ac:dyDescent="0.2"/>
    <row r="30901" s="197" customFormat="1" ht="12.75" x14ac:dyDescent="0.2"/>
    <row r="30902" s="197" customFormat="1" ht="12.75" x14ac:dyDescent="0.2"/>
    <row r="30903" s="197" customFormat="1" ht="12.75" x14ac:dyDescent="0.2"/>
    <row r="30904" s="197" customFormat="1" ht="12.75" x14ac:dyDescent="0.2"/>
    <row r="30905" s="197" customFormat="1" ht="12.75" x14ac:dyDescent="0.2"/>
    <row r="30906" s="197" customFormat="1" ht="12.75" x14ac:dyDescent="0.2"/>
    <row r="30907" s="197" customFormat="1" ht="12.75" x14ac:dyDescent="0.2"/>
    <row r="30908" s="197" customFormat="1" ht="12.75" x14ac:dyDescent="0.2"/>
    <row r="30909" s="197" customFormat="1" ht="12.75" x14ac:dyDescent="0.2"/>
    <row r="30910" s="197" customFormat="1" ht="12.75" x14ac:dyDescent="0.2"/>
    <row r="30911" s="197" customFormat="1" ht="12.75" x14ac:dyDescent="0.2"/>
    <row r="30912" s="197" customFormat="1" ht="12.75" x14ac:dyDescent="0.2"/>
    <row r="30913" s="197" customFormat="1" ht="12.75" x14ac:dyDescent="0.2"/>
    <row r="30914" s="197" customFormat="1" ht="12.75" x14ac:dyDescent="0.2"/>
    <row r="30915" s="197" customFormat="1" ht="12.75" x14ac:dyDescent="0.2"/>
    <row r="30916" s="197" customFormat="1" ht="12.75" x14ac:dyDescent="0.2"/>
    <row r="30917" s="197" customFormat="1" ht="12.75" x14ac:dyDescent="0.2"/>
    <row r="30918" s="197" customFormat="1" ht="12.75" x14ac:dyDescent="0.2"/>
    <row r="30919" s="197" customFormat="1" ht="12.75" x14ac:dyDescent="0.2"/>
    <row r="30920" s="197" customFormat="1" ht="12.75" x14ac:dyDescent="0.2"/>
    <row r="30921" s="197" customFormat="1" ht="12.75" x14ac:dyDescent="0.2"/>
    <row r="30922" s="197" customFormat="1" ht="12.75" x14ac:dyDescent="0.2"/>
    <row r="30923" s="197" customFormat="1" ht="12.75" x14ac:dyDescent="0.2"/>
    <row r="30924" s="197" customFormat="1" ht="12.75" x14ac:dyDescent="0.2"/>
    <row r="30925" s="197" customFormat="1" ht="12.75" x14ac:dyDescent="0.2"/>
    <row r="30926" s="197" customFormat="1" ht="12.75" x14ac:dyDescent="0.2"/>
    <row r="30927" s="197" customFormat="1" ht="12.75" x14ac:dyDescent="0.2"/>
    <row r="30928" s="197" customFormat="1" ht="12.75" x14ac:dyDescent="0.2"/>
    <row r="30929" s="197" customFormat="1" ht="12.75" x14ac:dyDescent="0.2"/>
    <row r="30930" s="197" customFormat="1" ht="12.75" x14ac:dyDescent="0.2"/>
    <row r="30931" s="197" customFormat="1" ht="12.75" x14ac:dyDescent="0.2"/>
    <row r="30932" s="197" customFormat="1" ht="12.75" x14ac:dyDescent="0.2"/>
    <row r="30933" s="197" customFormat="1" ht="12.75" x14ac:dyDescent="0.2"/>
    <row r="30934" s="197" customFormat="1" ht="12.75" x14ac:dyDescent="0.2"/>
    <row r="30935" s="197" customFormat="1" ht="12.75" x14ac:dyDescent="0.2"/>
    <row r="30936" s="197" customFormat="1" ht="12.75" x14ac:dyDescent="0.2"/>
    <row r="30937" s="197" customFormat="1" ht="12.75" x14ac:dyDescent="0.2"/>
    <row r="30938" s="197" customFormat="1" ht="12.75" x14ac:dyDescent="0.2"/>
    <row r="30939" s="197" customFormat="1" ht="12.75" x14ac:dyDescent="0.2"/>
    <row r="30940" s="197" customFormat="1" ht="12.75" x14ac:dyDescent="0.2"/>
    <row r="30941" s="197" customFormat="1" ht="12.75" x14ac:dyDescent="0.2"/>
    <row r="30942" s="197" customFormat="1" ht="12.75" x14ac:dyDescent="0.2"/>
    <row r="30943" s="197" customFormat="1" ht="12.75" x14ac:dyDescent="0.2"/>
    <row r="30944" s="197" customFormat="1" ht="12.75" x14ac:dyDescent="0.2"/>
    <row r="30945" s="197" customFormat="1" ht="12.75" x14ac:dyDescent="0.2"/>
    <row r="30946" s="197" customFormat="1" ht="12.75" x14ac:dyDescent="0.2"/>
    <row r="30947" s="197" customFormat="1" ht="12.75" x14ac:dyDescent="0.2"/>
    <row r="30948" s="197" customFormat="1" ht="12.75" x14ac:dyDescent="0.2"/>
    <row r="30949" s="197" customFormat="1" ht="12.75" x14ac:dyDescent="0.2"/>
    <row r="30950" s="197" customFormat="1" ht="12.75" x14ac:dyDescent="0.2"/>
    <row r="30951" s="197" customFormat="1" ht="12.75" x14ac:dyDescent="0.2"/>
    <row r="30952" s="197" customFormat="1" ht="12.75" x14ac:dyDescent="0.2"/>
    <row r="30953" s="197" customFormat="1" ht="12.75" x14ac:dyDescent="0.2"/>
    <row r="30954" s="197" customFormat="1" ht="12.75" x14ac:dyDescent="0.2"/>
    <row r="30955" s="197" customFormat="1" ht="12.75" x14ac:dyDescent="0.2"/>
    <row r="30956" s="197" customFormat="1" ht="12.75" x14ac:dyDescent="0.2"/>
    <row r="30957" s="197" customFormat="1" ht="12.75" x14ac:dyDescent="0.2"/>
    <row r="30958" s="197" customFormat="1" ht="12.75" x14ac:dyDescent="0.2"/>
    <row r="30959" s="197" customFormat="1" ht="12.75" x14ac:dyDescent="0.2"/>
    <row r="30960" s="197" customFormat="1" ht="12.75" x14ac:dyDescent="0.2"/>
    <row r="30961" s="197" customFormat="1" ht="12.75" x14ac:dyDescent="0.2"/>
    <row r="30962" s="197" customFormat="1" ht="12.75" x14ac:dyDescent="0.2"/>
    <row r="30963" s="197" customFormat="1" ht="12.75" x14ac:dyDescent="0.2"/>
    <row r="30964" s="197" customFormat="1" ht="12.75" x14ac:dyDescent="0.2"/>
    <row r="30965" s="197" customFormat="1" ht="12.75" x14ac:dyDescent="0.2"/>
    <row r="30966" s="197" customFormat="1" ht="12.75" x14ac:dyDescent="0.2"/>
    <row r="30967" s="197" customFormat="1" ht="12.75" x14ac:dyDescent="0.2"/>
    <row r="30968" s="197" customFormat="1" ht="12.75" x14ac:dyDescent="0.2"/>
    <row r="30969" s="197" customFormat="1" ht="12.75" x14ac:dyDescent="0.2"/>
    <row r="30970" s="197" customFormat="1" ht="12.75" x14ac:dyDescent="0.2"/>
    <row r="30971" s="197" customFormat="1" ht="12.75" x14ac:dyDescent="0.2"/>
    <row r="30972" s="197" customFormat="1" ht="12.75" x14ac:dyDescent="0.2"/>
    <row r="30973" s="197" customFormat="1" ht="12.75" x14ac:dyDescent="0.2"/>
    <row r="30974" s="197" customFormat="1" ht="12.75" x14ac:dyDescent="0.2"/>
    <row r="30975" s="197" customFormat="1" ht="12.75" x14ac:dyDescent="0.2"/>
    <row r="30976" s="197" customFormat="1" ht="12.75" x14ac:dyDescent="0.2"/>
    <row r="30977" s="197" customFormat="1" ht="12.75" x14ac:dyDescent="0.2"/>
    <row r="30978" s="197" customFormat="1" ht="12.75" x14ac:dyDescent="0.2"/>
    <row r="30979" s="197" customFormat="1" ht="12.75" x14ac:dyDescent="0.2"/>
    <row r="30980" s="197" customFormat="1" ht="12.75" x14ac:dyDescent="0.2"/>
    <row r="30981" s="197" customFormat="1" ht="12.75" x14ac:dyDescent="0.2"/>
    <row r="30982" s="197" customFormat="1" ht="12.75" x14ac:dyDescent="0.2"/>
    <row r="30983" s="197" customFormat="1" ht="12.75" x14ac:dyDescent="0.2"/>
    <row r="30984" s="197" customFormat="1" ht="12.75" x14ac:dyDescent="0.2"/>
    <row r="30985" s="197" customFormat="1" ht="12.75" x14ac:dyDescent="0.2"/>
    <row r="30986" s="197" customFormat="1" ht="12.75" x14ac:dyDescent="0.2"/>
    <row r="30987" s="197" customFormat="1" ht="12.75" x14ac:dyDescent="0.2"/>
    <row r="30988" s="197" customFormat="1" ht="12.75" x14ac:dyDescent="0.2"/>
    <row r="30989" s="197" customFormat="1" ht="12.75" x14ac:dyDescent="0.2"/>
    <row r="30990" s="197" customFormat="1" ht="12.75" x14ac:dyDescent="0.2"/>
    <row r="30991" s="197" customFormat="1" ht="12.75" x14ac:dyDescent="0.2"/>
    <row r="30992" s="197" customFormat="1" ht="12.75" x14ac:dyDescent="0.2"/>
    <row r="30993" s="197" customFormat="1" ht="12.75" x14ac:dyDescent="0.2"/>
    <row r="30994" s="197" customFormat="1" ht="12.75" x14ac:dyDescent="0.2"/>
    <row r="30995" s="197" customFormat="1" ht="12.75" x14ac:dyDescent="0.2"/>
    <row r="30996" s="197" customFormat="1" ht="12.75" x14ac:dyDescent="0.2"/>
    <row r="30997" s="197" customFormat="1" ht="12.75" x14ac:dyDescent="0.2"/>
    <row r="30998" s="197" customFormat="1" ht="12.75" x14ac:dyDescent="0.2"/>
    <row r="30999" s="197" customFormat="1" ht="12.75" x14ac:dyDescent="0.2"/>
    <row r="31000" s="197" customFormat="1" ht="12.75" x14ac:dyDescent="0.2"/>
    <row r="31001" s="197" customFormat="1" ht="12.75" x14ac:dyDescent="0.2"/>
    <row r="31002" s="197" customFormat="1" ht="12.75" x14ac:dyDescent="0.2"/>
    <row r="31003" s="197" customFormat="1" ht="12.75" x14ac:dyDescent="0.2"/>
    <row r="31004" s="197" customFormat="1" ht="12.75" x14ac:dyDescent="0.2"/>
    <row r="31005" s="197" customFormat="1" ht="12.75" x14ac:dyDescent="0.2"/>
    <row r="31006" s="197" customFormat="1" ht="12.75" x14ac:dyDescent="0.2"/>
    <row r="31007" s="197" customFormat="1" ht="12.75" x14ac:dyDescent="0.2"/>
    <row r="31008" s="197" customFormat="1" ht="12.75" x14ac:dyDescent="0.2"/>
    <row r="31009" s="197" customFormat="1" ht="12.75" x14ac:dyDescent="0.2"/>
    <row r="31010" s="197" customFormat="1" ht="12.75" x14ac:dyDescent="0.2"/>
    <row r="31011" s="197" customFormat="1" ht="12.75" x14ac:dyDescent="0.2"/>
    <row r="31012" s="197" customFormat="1" ht="12.75" x14ac:dyDescent="0.2"/>
    <row r="31013" s="197" customFormat="1" ht="12.75" x14ac:dyDescent="0.2"/>
    <row r="31014" s="197" customFormat="1" ht="12.75" x14ac:dyDescent="0.2"/>
    <row r="31015" s="197" customFormat="1" ht="12.75" x14ac:dyDescent="0.2"/>
    <row r="31016" s="197" customFormat="1" ht="12.75" x14ac:dyDescent="0.2"/>
    <row r="31017" s="197" customFormat="1" ht="12.75" x14ac:dyDescent="0.2"/>
    <row r="31018" s="197" customFormat="1" ht="12.75" x14ac:dyDescent="0.2"/>
    <row r="31019" s="197" customFormat="1" ht="12.75" x14ac:dyDescent="0.2"/>
    <row r="31020" s="197" customFormat="1" ht="12.75" x14ac:dyDescent="0.2"/>
    <row r="31021" s="197" customFormat="1" ht="12.75" x14ac:dyDescent="0.2"/>
    <row r="31022" s="197" customFormat="1" ht="12.75" x14ac:dyDescent="0.2"/>
    <row r="31023" s="197" customFormat="1" ht="12.75" x14ac:dyDescent="0.2"/>
    <row r="31024" s="197" customFormat="1" ht="12.75" x14ac:dyDescent="0.2"/>
    <row r="31025" s="197" customFormat="1" ht="12.75" x14ac:dyDescent="0.2"/>
    <row r="31026" s="197" customFormat="1" ht="12.75" x14ac:dyDescent="0.2"/>
    <row r="31027" s="197" customFormat="1" ht="12.75" x14ac:dyDescent="0.2"/>
    <row r="31028" s="197" customFormat="1" ht="12.75" x14ac:dyDescent="0.2"/>
    <row r="31029" s="197" customFormat="1" ht="12.75" x14ac:dyDescent="0.2"/>
    <row r="31030" s="197" customFormat="1" ht="12.75" x14ac:dyDescent="0.2"/>
    <row r="31031" s="197" customFormat="1" ht="12.75" x14ac:dyDescent="0.2"/>
    <row r="31032" s="197" customFormat="1" ht="12.75" x14ac:dyDescent="0.2"/>
    <row r="31033" s="197" customFormat="1" ht="12.75" x14ac:dyDescent="0.2"/>
    <row r="31034" s="197" customFormat="1" ht="12.75" x14ac:dyDescent="0.2"/>
    <row r="31035" s="197" customFormat="1" ht="12.75" x14ac:dyDescent="0.2"/>
    <row r="31036" s="197" customFormat="1" ht="12.75" x14ac:dyDescent="0.2"/>
    <row r="31037" s="197" customFormat="1" ht="12.75" x14ac:dyDescent="0.2"/>
    <row r="31038" s="197" customFormat="1" ht="12.75" x14ac:dyDescent="0.2"/>
    <row r="31039" s="197" customFormat="1" ht="12.75" x14ac:dyDescent="0.2"/>
    <row r="31040" s="197" customFormat="1" ht="12.75" x14ac:dyDescent="0.2"/>
    <row r="31041" s="197" customFormat="1" ht="12.75" x14ac:dyDescent="0.2"/>
    <row r="31042" s="197" customFormat="1" ht="12.75" x14ac:dyDescent="0.2"/>
    <row r="31043" s="197" customFormat="1" ht="12.75" x14ac:dyDescent="0.2"/>
    <row r="31044" s="197" customFormat="1" ht="12.75" x14ac:dyDescent="0.2"/>
    <row r="31045" s="197" customFormat="1" ht="12.75" x14ac:dyDescent="0.2"/>
    <row r="31046" s="197" customFormat="1" ht="12.75" x14ac:dyDescent="0.2"/>
    <row r="31047" s="197" customFormat="1" ht="12.75" x14ac:dyDescent="0.2"/>
    <row r="31048" s="197" customFormat="1" ht="12.75" x14ac:dyDescent="0.2"/>
    <row r="31049" s="197" customFormat="1" ht="12.75" x14ac:dyDescent="0.2"/>
    <row r="31050" s="197" customFormat="1" ht="12.75" x14ac:dyDescent="0.2"/>
    <row r="31051" s="197" customFormat="1" ht="12.75" x14ac:dyDescent="0.2"/>
    <row r="31052" s="197" customFormat="1" ht="12.75" x14ac:dyDescent="0.2"/>
    <row r="31053" s="197" customFormat="1" ht="12.75" x14ac:dyDescent="0.2"/>
    <row r="31054" s="197" customFormat="1" ht="12.75" x14ac:dyDescent="0.2"/>
    <row r="31055" s="197" customFormat="1" ht="12.75" x14ac:dyDescent="0.2"/>
    <row r="31056" s="197" customFormat="1" ht="12.75" x14ac:dyDescent="0.2"/>
    <row r="31057" s="197" customFormat="1" ht="12.75" x14ac:dyDescent="0.2"/>
    <row r="31058" s="197" customFormat="1" ht="12.75" x14ac:dyDescent="0.2"/>
    <row r="31059" s="197" customFormat="1" ht="12.75" x14ac:dyDescent="0.2"/>
    <row r="31060" s="197" customFormat="1" ht="12.75" x14ac:dyDescent="0.2"/>
    <row r="31061" s="197" customFormat="1" ht="12.75" x14ac:dyDescent="0.2"/>
    <row r="31062" s="197" customFormat="1" ht="12.75" x14ac:dyDescent="0.2"/>
    <row r="31063" s="197" customFormat="1" ht="12.75" x14ac:dyDescent="0.2"/>
    <row r="31064" s="197" customFormat="1" ht="12.75" x14ac:dyDescent="0.2"/>
    <row r="31065" s="197" customFormat="1" ht="12.75" x14ac:dyDescent="0.2"/>
    <row r="31066" s="197" customFormat="1" ht="12.75" x14ac:dyDescent="0.2"/>
    <row r="31067" s="197" customFormat="1" ht="12.75" x14ac:dyDescent="0.2"/>
    <row r="31068" s="197" customFormat="1" ht="12.75" x14ac:dyDescent="0.2"/>
    <row r="31069" s="197" customFormat="1" ht="12.75" x14ac:dyDescent="0.2"/>
    <row r="31070" s="197" customFormat="1" ht="12.75" x14ac:dyDescent="0.2"/>
    <row r="31071" s="197" customFormat="1" ht="12.75" x14ac:dyDescent="0.2"/>
    <row r="31072" s="197" customFormat="1" ht="12.75" x14ac:dyDescent="0.2"/>
    <row r="31073" s="197" customFormat="1" ht="12.75" x14ac:dyDescent="0.2"/>
    <row r="31074" s="197" customFormat="1" ht="12.75" x14ac:dyDescent="0.2"/>
    <row r="31075" s="197" customFormat="1" ht="12.75" x14ac:dyDescent="0.2"/>
    <row r="31076" s="197" customFormat="1" ht="12.75" x14ac:dyDescent="0.2"/>
    <row r="31077" s="197" customFormat="1" ht="12.75" x14ac:dyDescent="0.2"/>
    <row r="31078" s="197" customFormat="1" ht="12.75" x14ac:dyDescent="0.2"/>
    <row r="31079" s="197" customFormat="1" ht="12.75" x14ac:dyDescent="0.2"/>
    <row r="31080" s="197" customFormat="1" ht="12.75" x14ac:dyDescent="0.2"/>
    <row r="31081" s="197" customFormat="1" ht="12.75" x14ac:dyDescent="0.2"/>
    <row r="31082" s="197" customFormat="1" ht="12.75" x14ac:dyDescent="0.2"/>
    <row r="31083" s="197" customFormat="1" ht="12.75" x14ac:dyDescent="0.2"/>
    <row r="31084" s="197" customFormat="1" ht="12.75" x14ac:dyDescent="0.2"/>
    <row r="31085" s="197" customFormat="1" ht="12.75" x14ac:dyDescent="0.2"/>
    <row r="31086" s="197" customFormat="1" ht="12.75" x14ac:dyDescent="0.2"/>
    <row r="31087" s="197" customFormat="1" ht="12.75" x14ac:dyDescent="0.2"/>
    <row r="31088" s="197" customFormat="1" ht="12.75" x14ac:dyDescent="0.2"/>
    <row r="31089" s="197" customFormat="1" ht="12.75" x14ac:dyDescent="0.2"/>
    <row r="31090" s="197" customFormat="1" ht="12.75" x14ac:dyDescent="0.2"/>
    <row r="31091" s="197" customFormat="1" ht="12.75" x14ac:dyDescent="0.2"/>
    <row r="31092" s="197" customFormat="1" ht="12.75" x14ac:dyDescent="0.2"/>
    <row r="31093" s="197" customFormat="1" ht="12.75" x14ac:dyDescent="0.2"/>
    <row r="31094" s="197" customFormat="1" ht="12.75" x14ac:dyDescent="0.2"/>
    <row r="31095" s="197" customFormat="1" ht="12.75" x14ac:dyDescent="0.2"/>
    <row r="31096" s="197" customFormat="1" ht="12.75" x14ac:dyDescent="0.2"/>
    <row r="31097" s="197" customFormat="1" ht="12.75" x14ac:dyDescent="0.2"/>
    <row r="31098" s="197" customFormat="1" ht="12.75" x14ac:dyDescent="0.2"/>
    <row r="31099" s="197" customFormat="1" ht="12.75" x14ac:dyDescent="0.2"/>
    <row r="31100" s="197" customFormat="1" ht="12.75" x14ac:dyDescent="0.2"/>
    <row r="31101" s="197" customFormat="1" ht="12.75" x14ac:dyDescent="0.2"/>
    <row r="31102" s="197" customFormat="1" ht="12.75" x14ac:dyDescent="0.2"/>
    <row r="31103" s="197" customFormat="1" ht="12.75" x14ac:dyDescent="0.2"/>
    <row r="31104" s="197" customFormat="1" ht="12.75" x14ac:dyDescent="0.2"/>
    <row r="31105" s="197" customFormat="1" ht="12.75" x14ac:dyDescent="0.2"/>
    <row r="31106" s="197" customFormat="1" ht="12.75" x14ac:dyDescent="0.2"/>
    <row r="31107" s="197" customFormat="1" ht="12.75" x14ac:dyDescent="0.2"/>
    <row r="31108" s="197" customFormat="1" ht="12.75" x14ac:dyDescent="0.2"/>
    <row r="31109" s="197" customFormat="1" ht="12.75" x14ac:dyDescent="0.2"/>
    <row r="31110" s="197" customFormat="1" ht="12.75" x14ac:dyDescent="0.2"/>
    <row r="31111" s="197" customFormat="1" ht="12.75" x14ac:dyDescent="0.2"/>
    <row r="31112" s="197" customFormat="1" ht="12.75" x14ac:dyDescent="0.2"/>
    <row r="31113" s="197" customFormat="1" ht="12.75" x14ac:dyDescent="0.2"/>
    <row r="31114" s="197" customFormat="1" ht="12.75" x14ac:dyDescent="0.2"/>
    <row r="31115" s="197" customFormat="1" ht="12.75" x14ac:dyDescent="0.2"/>
    <row r="31116" s="197" customFormat="1" ht="12.75" x14ac:dyDescent="0.2"/>
    <row r="31117" s="197" customFormat="1" ht="12.75" x14ac:dyDescent="0.2"/>
    <row r="31118" s="197" customFormat="1" ht="12.75" x14ac:dyDescent="0.2"/>
    <row r="31119" s="197" customFormat="1" ht="12.75" x14ac:dyDescent="0.2"/>
    <row r="31120" s="197" customFormat="1" ht="12.75" x14ac:dyDescent="0.2"/>
    <row r="31121" s="197" customFormat="1" ht="12.75" x14ac:dyDescent="0.2"/>
    <row r="31122" s="197" customFormat="1" ht="12.75" x14ac:dyDescent="0.2"/>
    <row r="31123" s="197" customFormat="1" ht="12.75" x14ac:dyDescent="0.2"/>
    <row r="31124" s="197" customFormat="1" ht="12.75" x14ac:dyDescent="0.2"/>
    <row r="31125" s="197" customFormat="1" ht="12.75" x14ac:dyDescent="0.2"/>
    <row r="31126" s="197" customFormat="1" ht="12.75" x14ac:dyDescent="0.2"/>
    <row r="31127" s="197" customFormat="1" ht="12.75" x14ac:dyDescent="0.2"/>
    <row r="31128" s="197" customFormat="1" ht="12.75" x14ac:dyDescent="0.2"/>
    <row r="31129" s="197" customFormat="1" ht="12.75" x14ac:dyDescent="0.2"/>
    <row r="31130" s="197" customFormat="1" ht="12.75" x14ac:dyDescent="0.2"/>
    <row r="31131" s="197" customFormat="1" ht="12.75" x14ac:dyDescent="0.2"/>
    <row r="31132" s="197" customFormat="1" ht="12.75" x14ac:dyDescent="0.2"/>
    <row r="31133" s="197" customFormat="1" ht="12.75" x14ac:dyDescent="0.2"/>
    <row r="31134" s="197" customFormat="1" ht="12.75" x14ac:dyDescent="0.2"/>
    <row r="31135" s="197" customFormat="1" ht="12.75" x14ac:dyDescent="0.2"/>
    <row r="31136" s="197" customFormat="1" ht="12.75" x14ac:dyDescent="0.2"/>
    <row r="31137" s="197" customFormat="1" ht="12.75" x14ac:dyDescent="0.2"/>
    <row r="31138" s="197" customFormat="1" ht="12.75" x14ac:dyDescent="0.2"/>
    <row r="31139" s="197" customFormat="1" ht="12.75" x14ac:dyDescent="0.2"/>
    <row r="31140" s="197" customFormat="1" ht="12.75" x14ac:dyDescent="0.2"/>
    <row r="31141" s="197" customFormat="1" ht="12.75" x14ac:dyDescent="0.2"/>
    <row r="31142" s="197" customFormat="1" ht="12.75" x14ac:dyDescent="0.2"/>
    <row r="31143" s="197" customFormat="1" ht="12.75" x14ac:dyDescent="0.2"/>
    <row r="31144" s="197" customFormat="1" ht="12.75" x14ac:dyDescent="0.2"/>
    <row r="31145" s="197" customFormat="1" ht="12.75" x14ac:dyDescent="0.2"/>
    <row r="31146" s="197" customFormat="1" ht="12.75" x14ac:dyDescent="0.2"/>
    <row r="31147" s="197" customFormat="1" ht="12.75" x14ac:dyDescent="0.2"/>
    <row r="31148" s="197" customFormat="1" ht="12.75" x14ac:dyDescent="0.2"/>
    <row r="31149" s="197" customFormat="1" ht="12.75" x14ac:dyDescent="0.2"/>
    <row r="31150" s="197" customFormat="1" ht="12.75" x14ac:dyDescent="0.2"/>
    <row r="31151" s="197" customFormat="1" ht="12.75" x14ac:dyDescent="0.2"/>
    <row r="31152" s="197" customFormat="1" ht="12.75" x14ac:dyDescent="0.2"/>
    <row r="31153" s="197" customFormat="1" ht="12.75" x14ac:dyDescent="0.2"/>
    <row r="31154" s="197" customFormat="1" ht="12.75" x14ac:dyDescent="0.2"/>
    <row r="31155" s="197" customFormat="1" ht="12.75" x14ac:dyDescent="0.2"/>
    <row r="31156" s="197" customFormat="1" ht="12.75" x14ac:dyDescent="0.2"/>
    <row r="31157" s="197" customFormat="1" ht="12.75" x14ac:dyDescent="0.2"/>
    <row r="31158" s="197" customFormat="1" ht="12.75" x14ac:dyDescent="0.2"/>
    <row r="31159" s="197" customFormat="1" ht="12.75" x14ac:dyDescent="0.2"/>
    <row r="31160" s="197" customFormat="1" ht="12.75" x14ac:dyDescent="0.2"/>
    <row r="31161" s="197" customFormat="1" ht="12.75" x14ac:dyDescent="0.2"/>
    <row r="31162" s="197" customFormat="1" ht="12.75" x14ac:dyDescent="0.2"/>
    <row r="31163" s="197" customFormat="1" ht="12.75" x14ac:dyDescent="0.2"/>
    <row r="31164" s="197" customFormat="1" ht="12.75" x14ac:dyDescent="0.2"/>
    <row r="31165" s="197" customFormat="1" ht="12.75" x14ac:dyDescent="0.2"/>
    <row r="31166" s="197" customFormat="1" ht="12.75" x14ac:dyDescent="0.2"/>
    <row r="31167" s="197" customFormat="1" ht="12.75" x14ac:dyDescent="0.2"/>
    <row r="31168" s="197" customFormat="1" ht="12.75" x14ac:dyDescent="0.2"/>
    <row r="31169" s="197" customFormat="1" ht="12.75" x14ac:dyDescent="0.2"/>
    <row r="31170" s="197" customFormat="1" ht="12.75" x14ac:dyDescent="0.2"/>
    <row r="31171" s="197" customFormat="1" ht="12.75" x14ac:dyDescent="0.2"/>
    <row r="31172" s="197" customFormat="1" ht="12.75" x14ac:dyDescent="0.2"/>
    <row r="31173" s="197" customFormat="1" ht="12.75" x14ac:dyDescent="0.2"/>
    <row r="31174" s="197" customFormat="1" ht="12.75" x14ac:dyDescent="0.2"/>
    <row r="31175" s="197" customFormat="1" ht="12.75" x14ac:dyDescent="0.2"/>
    <row r="31176" s="197" customFormat="1" ht="12.75" x14ac:dyDescent="0.2"/>
    <row r="31177" s="197" customFormat="1" ht="12.75" x14ac:dyDescent="0.2"/>
    <row r="31178" s="197" customFormat="1" ht="12.75" x14ac:dyDescent="0.2"/>
    <row r="31179" s="197" customFormat="1" ht="12.75" x14ac:dyDescent="0.2"/>
    <row r="31180" s="197" customFormat="1" ht="12.75" x14ac:dyDescent="0.2"/>
    <row r="31181" s="197" customFormat="1" ht="12.75" x14ac:dyDescent="0.2"/>
    <row r="31182" s="197" customFormat="1" ht="12.75" x14ac:dyDescent="0.2"/>
    <row r="31183" s="197" customFormat="1" ht="12.75" x14ac:dyDescent="0.2"/>
    <row r="31184" s="197" customFormat="1" ht="12.75" x14ac:dyDescent="0.2"/>
    <row r="31185" s="197" customFormat="1" ht="12.75" x14ac:dyDescent="0.2"/>
    <row r="31186" s="197" customFormat="1" ht="12.75" x14ac:dyDescent="0.2"/>
    <row r="31187" s="197" customFormat="1" ht="12.75" x14ac:dyDescent="0.2"/>
    <row r="31188" s="197" customFormat="1" ht="12.75" x14ac:dyDescent="0.2"/>
    <row r="31189" s="197" customFormat="1" ht="12.75" x14ac:dyDescent="0.2"/>
    <row r="31190" s="197" customFormat="1" ht="12.75" x14ac:dyDescent="0.2"/>
    <row r="31191" s="197" customFormat="1" ht="12.75" x14ac:dyDescent="0.2"/>
    <row r="31192" s="197" customFormat="1" ht="12.75" x14ac:dyDescent="0.2"/>
    <row r="31193" s="197" customFormat="1" ht="12.75" x14ac:dyDescent="0.2"/>
    <row r="31194" s="197" customFormat="1" ht="12.75" x14ac:dyDescent="0.2"/>
    <row r="31195" s="197" customFormat="1" ht="12.75" x14ac:dyDescent="0.2"/>
    <row r="31196" s="197" customFormat="1" ht="12.75" x14ac:dyDescent="0.2"/>
    <row r="31197" s="197" customFormat="1" ht="12.75" x14ac:dyDescent="0.2"/>
    <row r="31198" s="197" customFormat="1" ht="12.75" x14ac:dyDescent="0.2"/>
    <row r="31199" s="197" customFormat="1" ht="12.75" x14ac:dyDescent="0.2"/>
    <row r="31200" s="197" customFormat="1" ht="12.75" x14ac:dyDescent="0.2"/>
    <row r="31201" s="197" customFormat="1" ht="12.75" x14ac:dyDescent="0.2"/>
    <row r="31202" s="197" customFormat="1" ht="12.75" x14ac:dyDescent="0.2"/>
    <row r="31203" s="197" customFormat="1" ht="12.75" x14ac:dyDescent="0.2"/>
    <row r="31204" s="197" customFormat="1" ht="12.75" x14ac:dyDescent="0.2"/>
    <row r="31205" s="197" customFormat="1" ht="12.75" x14ac:dyDescent="0.2"/>
    <row r="31206" s="197" customFormat="1" ht="12.75" x14ac:dyDescent="0.2"/>
    <row r="31207" s="197" customFormat="1" ht="12.75" x14ac:dyDescent="0.2"/>
    <row r="31208" s="197" customFormat="1" ht="12.75" x14ac:dyDescent="0.2"/>
    <row r="31209" s="197" customFormat="1" ht="12.75" x14ac:dyDescent="0.2"/>
    <row r="31210" s="197" customFormat="1" ht="12.75" x14ac:dyDescent="0.2"/>
    <row r="31211" s="197" customFormat="1" ht="12.75" x14ac:dyDescent="0.2"/>
    <row r="31212" s="197" customFormat="1" ht="12.75" x14ac:dyDescent="0.2"/>
    <row r="31213" s="197" customFormat="1" ht="12.75" x14ac:dyDescent="0.2"/>
    <row r="31214" s="197" customFormat="1" ht="12.75" x14ac:dyDescent="0.2"/>
    <row r="31215" s="197" customFormat="1" ht="12.75" x14ac:dyDescent="0.2"/>
    <row r="31216" s="197" customFormat="1" ht="12.75" x14ac:dyDescent="0.2"/>
    <row r="31217" s="197" customFormat="1" ht="12.75" x14ac:dyDescent="0.2"/>
    <row r="31218" s="197" customFormat="1" ht="12.75" x14ac:dyDescent="0.2"/>
    <row r="31219" s="197" customFormat="1" ht="12.75" x14ac:dyDescent="0.2"/>
    <row r="31220" s="197" customFormat="1" ht="12.75" x14ac:dyDescent="0.2"/>
    <row r="31221" s="197" customFormat="1" ht="12.75" x14ac:dyDescent="0.2"/>
    <row r="31222" s="197" customFormat="1" ht="12.75" x14ac:dyDescent="0.2"/>
    <row r="31223" s="197" customFormat="1" ht="12.75" x14ac:dyDescent="0.2"/>
    <row r="31224" s="197" customFormat="1" ht="12.75" x14ac:dyDescent="0.2"/>
    <row r="31225" s="197" customFormat="1" ht="12.75" x14ac:dyDescent="0.2"/>
    <row r="31226" s="197" customFormat="1" ht="12.75" x14ac:dyDescent="0.2"/>
    <row r="31227" s="197" customFormat="1" ht="12.75" x14ac:dyDescent="0.2"/>
    <row r="31228" s="197" customFormat="1" ht="12.75" x14ac:dyDescent="0.2"/>
    <row r="31229" s="197" customFormat="1" ht="12.75" x14ac:dyDescent="0.2"/>
    <row r="31230" s="197" customFormat="1" ht="12.75" x14ac:dyDescent="0.2"/>
    <row r="31231" s="197" customFormat="1" ht="12.75" x14ac:dyDescent="0.2"/>
    <row r="31232" s="197" customFormat="1" ht="12.75" x14ac:dyDescent="0.2"/>
    <row r="31233" s="197" customFormat="1" ht="12.75" x14ac:dyDescent="0.2"/>
    <row r="31234" s="197" customFormat="1" ht="12.75" x14ac:dyDescent="0.2"/>
    <row r="31235" s="197" customFormat="1" ht="12.75" x14ac:dyDescent="0.2"/>
    <row r="31236" s="197" customFormat="1" ht="12.75" x14ac:dyDescent="0.2"/>
    <row r="31237" s="197" customFormat="1" ht="12.75" x14ac:dyDescent="0.2"/>
    <row r="31238" s="197" customFormat="1" ht="12.75" x14ac:dyDescent="0.2"/>
    <row r="31239" s="197" customFormat="1" ht="12.75" x14ac:dyDescent="0.2"/>
    <row r="31240" s="197" customFormat="1" ht="12.75" x14ac:dyDescent="0.2"/>
    <row r="31241" s="197" customFormat="1" ht="12.75" x14ac:dyDescent="0.2"/>
    <row r="31242" s="197" customFormat="1" ht="12.75" x14ac:dyDescent="0.2"/>
    <row r="31243" s="197" customFormat="1" ht="12.75" x14ac:dyDescent="0.2"/>
    <row r="31244" s="197" customFormat="1" ht="12.75" x14ac:dyDescent="0.2"/>
    <row r="31245" s="197" customFormat="1" ht="12.75" x14ac:dyDescent="0.2"/>
    <row r="31246" s="197" customFormat="1" ht="12.75" x14ac:dyDescent="0.2"/>
    <row r="31247" s="197" customFormat="1" ht="12.75" x14ac:dyDescent="0.2"/>
    <row r="31248" s="197" customFormat="1" ht="12.75" x14ac:dyDescent="0.2"/>
    <row r="31249" s="197" customFormat="1" ht="12.75" x14ac:dyDescent="0.2"/>
    <row r="31250" s="197" customFormat="1" ht="12.75" x14ac:dyDescent="0.2"/>
    <row r="31251" s="197" customFormat="1" ht="12.75" x14ac:dyDescent="0.2"/>
    <row r="31252" s="197" customFormat="1" ht="12.75" x14ac:dyDescent="0.2"/>
    <row r="31253" s="197" customFormat="1" ht="12.75" x14ac:dyDescent="0.2"/>
    <row r="31254" s="197" customFormat="1" ht="12.75" x14ac:dyDescent="0.2"/>
    <row r="31255" s="197" customFormat="1" ht="12.75" x14ac:dyDescent="0.2"/>
    <row r="31256" s="197" customFormat="1" ht="12.75" x14ac:dyDescent="0.2"/>
    <row r="31257" s="197" customFormat="1" ht="12.75" x14ac:dyDescent="0.2"/>
    <row r="31258" s="197" customFormat="1" ht="12.75" x14ac:dyDescent="0.2"/>
    <row r="31259" s="197" customFormat="1" ht="12.75" x14ac:dyDescent="0.2"/>
    <row r="31260" s="197" customFormat="1" ht="12.75" x14ac:dyDescent="0.2"/>
    <row r="31261" s="197" customFormat="1" ht="12.75" x14ac:dyDescent="0.2"/>
    <row r="31262" s="197" customFormat="1" ht="12.75" x14ac:dyDescent="0.2"/>
    <row r="31263" s="197" customFormat="1" ht="12.75" x14ac:dyDescent="0.2"/>
    <row r="31264" s="197" customFormat="1" ht="12.75" x14ac:dyDescent="0.2"/>
    <row r="31265" s="197" customFormat="1" ht="12.75" x14ac:dyDescent="0.2"/>
    <row r="31266" s="197" customFormat="1" ht="12.75" x14ac:dyDescent="0.2"/>
    <row r="31267" s="197" customFormat="1" ht="12.75" x14ac:dyDescent="0.2"/>
    <row r="31268" s="197" customFormat="1" ht="12.75" x14ac:dyDescent="0.2"/>
    <row r="31269" s="197" customFormat="1" ht="12.75" x14ac:dyDescent="0.2"/>
    <row r="31270" s="197" customFormat="1" ht="12.75" x14ac:dyDescent="0.2"/>
    <row r="31271" s="197" customFormat="1" ht="12.75" x14ac:dyDescent="0.2"/>
    <row r="31272" s="197" customFormat="1" ht="12.75" x14ac:dyDescent="0.2"/>
    <row r="31273" s="197" customFormat="1" ht="12.75" x14ac:dyDescent="0.2"/>
    <row r="31274" s="197" customFormat="1" ht="12.75" x14ac:dyDescent="0.2"/>
    <row r="31275" s="197" customFormat="1" ht="12.75" x14ac:dyDescent="0.2"/>
    <row r="31276" s="197" customFormat="1" ht="12.75" x14ac:dyDescent="0.2"/>
    <row r="31277" s="197" customFormat="1" ht="12.75" x14ac:dyDescent="0.2"/>
    <row r="31278" s="197" customFormat="1" ht="12.75" x14ac:dyDescent="0.2"/>
    <row r="31279" s="197" customFormat="1" ht="12.75" x14ac:dyDescent="0.2"/>
    <row r="31280" s="197" customFormat="1" ht="12.75" x14ac:dyDescent="0.2"/>
    <row r="31281" s="197" customFormat="1" ht="12.75" x14ac:dyDescent="0.2"/>
    <row r="31282" s="197" customFormat="1" ht="12.75" x14ac:dyDescent="0.2"/>
    <row r="31283" s="197" customFormat="1" ht="12.75" x14ac:dyDescent="0.2"/>
    <row r="31284" s="197" customFormat="1" ht="12.75" x14ac:dyDescent="0.2"/>
    <row r="31285" s="197" customFormat="1" ht="12.75" x14ac:dyDescent="0.2"/>
    <row r="31286" s="197" customFormat="1" ht="12.75" x14ac:dyDescent="0.2"/>
    <row r="31287" s="197" customFormat="1" ht="12.75" x14ac:dyDescent="0.2"/>
    <row r="31288" s="197" customFormat="1" ht="12.75" x14ac:dyDescent="0.2"/>
    <row r="31289" s="197" customFormat="1" ht="12.75" x14ac:dyDescent="0.2"/>
    <row r="31290" s="197" customFormat="1" ht="12.75" x14ac:dyDescent="0.2"/>
    <row r="31291" s="197" customFormat="1" ht="12.75" x14ac:dyDescent="0.2"/>
    <row r="31292" s="197" customFormat="1" ht="12.75" x14ac:dyDescent="0.2"/>
    <row r="31293" s="197" customFormat="1" ht="12.75" x14ac:dyDescent="0.2"/>
    <row r="31294" s="197" customFormat="1" ht="12.75" x14ac:dyDescent="0.2"/>
    <row r="31295" s="197" customFormat="1" ht="12.75" x14ac:dyDescent="0.2"/>
    <row r="31296" s="197" customFormat="1" ht="12.75" x14ac:dyDescent="0.2"/>
    <row r="31297" s="197" customFormat="1" ht="12.75" x14ac:dyDescent="0.2"/>
    <row r="31298" s="197" customFormat="1" ht="12.75" x14ac:dyDescent="0.2"/>
    <row r="31299" s="197" customFormat="1" ht="12.75" x14ac:dyDescent="0.2"/>
    <row r="31300" s="197" customFormat="1" ht="12.75" x14ac:dyDescent="0.2"/>
    <row r="31301" s="197" customFormat="1" ht="12.75" x14ac:dyDescent="0.2"/>
    <row r="31302" s="197" customFormat="1" ht="12.75" x14ac:dyDescent="0.2"/>
    <row r="31303" s="197" customFormat="1" ht="12.75" x14ac:dyDescent="0.2"/>
    <row r="31304" s="197" customFormat="1" ht="12.75" x14ac:dyDescent="0.2"/>
    <row r="31305" s="197" customFormat="1" ht="12.75" x14ac:dyDescent="0.2"/>
    <row r="31306" s="197" customFormat="1" ht="12.75" x14ac:dyDescent="0.2"/>
    <row r="31307" s="197" customFormat="1" ht="12.75" x14ac:dyDescent="0.2"/>
    <row r="31308" s="197" customFormat="1" ht="12.75" x14ac:dyDescent="0.2"/>
    <row r="31309" s="197" customFormat="1" ht="12.75" x14ac:dyDescent="0.2"/>
    <row r="31310" s="197" customFormat="1" ht="12.75" x14ac:dyDescent="0.2"/>
    <row r="31311" s="197" customFormat="1" ht="12.75" x14ac:dyDescent="0.2"/>
    <row r="31312" s="197" customFormat="1" ht="12.75" x14ac:dyDescent="0.2"/>
    <row r="31313" s="197" customFormat="1" ht="12.75" x14ac:dyDescent="0.2"/>
    <row r="31314" s="197" customFormat="1" ht="12.75" x14ac:dyDescent="0.2"/>
    <row r="31315" s="197" customFormat="1" ht="12.75" x14ac:dyDescent="0.2"/>
    <row r="31316" s="197" customFormat="1" ht="12.75" x14ac:dyDescent="0.2"/>
    <row r="31317" s="197" customFormat="1" ht="12.75" x14ac:dyDescent="0.2"/>
    <row r="31318" s="197" customFormat="1" ht="12.75" x14ac:dyDescent="0.2"/>
    <row r="31319" s="197" customFormat="1" ht="12.75" x14ac:dyDescent="0.2"/>
    <row r="31320" s="197" customFormat="1" ht="12.75" x14ac:dyDescent="0.2"/>
    <row r="31321" s="197" customFormat="1" ht="12.75" x14ac:dyDescent="0.2"/>
    <row r="31322" s="197" customFormat="1" ht="12.75" x14ac:dyDescent="0.2"/>
    <row r="31323" s="197" customFormat="1" ht="12.75" x14ac:dyDescent="0.2"/>
    <row r="31324" s="197" customFormat="1" ht="12.75" x14ac:dyDescent="0.2"/>
    <row r="31325" s="197" customFormat="1" ht="12.75" x14ac:dyDescent="0.2"/>
    <row r="31326" s="197" customFormat="1" ht="12.75" x14ac:dyDescent="0.2"/>
    <row r="31327" s="197" customFormat="1" ht="12.75" x14ac:dyDescent="0.2"/>
    <row r="31328" s="197" customFormat="1" ht="12.75" x14ac:dyDescent="0.2"/>
    <row r="31329" s="197" customFormat="1" ht="12.75" x14ac:dyDescent="0.2"/>
    <row r="31330" s="197" customFormat="1" ht="12.75" x14ac:dyDescent="0.2"/>
    <row r="31331" s="197" customFormat="1" ht="12.75" x14ac:dyDescent="0.2"/>
    <row r="31332" s="197" customFormat="1" ht="12.75" x14ac:dyDescent="0.2"/>
    <row r="31333" s="197" customFormat="1" ht="12.75" x14ac:dyDescent="0.2"/>
    <row r="31334" s="197" customFormat="1" ht="12.75" x14ac:dyDescent="0.2"/>
    <row r="31335" s="197" customFormat="1" ht="12.75" x14ac:dyDescent="0.2"/>
    <row r="31336" s="197" customFormat="1" ht="12.75" x14ac:dyDescent="0.2"/>
    <row r="31337" s="197" customFormat="1" ht="12.75" x14ac:dyDescent="0.2"/>
    <row r="31338" s="197" customFormat="1" ht="12.75" x14ac:dyDescent="0.2"/>
    <row r="31339" s="197" customFormat="1" ht="12.75" x14ac:dyDescent="0.2"/>
    <row r="31340" s="197" customFormat="1" ht="12.75" x14ac:dyDescent="0.2"/>
    <row r="31341" s="197" customFormat="1" ht="12.75" x14ac:dyDescent="0.2"/>
    <row r="31342" s="197" customFormat="1" ht="12.75" x14ac:dyDescent="0.2"/>
    <row r="31343" s="197" customFormat="1" ht="12.75" x14ac:dyDescent="0.2"/>
    <row r="31344" s="197" customFormat="1" ht="12.75" x14ac:dyDescent="0.2"/>
    <row r="31345" s="197" customFormat="1" ht="12.75" x14ac:dyDescent="0.2"/>
    <row r="31346" s="197" customFormat="1" ht="12.75" x14ac:dyDescent="0.2"/>
    <row r="31347" s="197" customFormat="1" ht="12.75" x14ac:dyDescent="0.2"/>
    <row r="31348" s="197" customFormat="1" ht="12.75" x14ac:dyDescent="0.2"/>
    <row r="31349" s="197" customFormat="1" ht="12.75" x14ac:dyDescent="0.2"/>
    <row r="31350" s="197" customFormat="1" ht="12.75" x14ac:dyDescent="0.2"/>
    <row r="31351" s="197" customFormat="1" ht="12.75" x14ac:dyDescent="0.2"/>
    <row r="31352" s="197" customFormat="1" ht="12.75" x14ac:dyDescent="0.2"/>
    <row r="31353" s="197" customFormat="1" ht="12.75" x14ac:dyDescent="0.2"/>
    <row r="31354" s="197" customFormat="1" ht="12.75" x14ac:dyDescent="0.2"/>
    <row r="31355" s="197" customFormat="1" ht="12.75" x14ac:dyDescent="0.2"/>
    <row r="31356" s="197" customFormat="1" ht="12.75" x14ac:dyDescent="0.2"/>
    <row r="31357" s="197" customFormat="1" ht="12.75" x14ac:dyDescent="0.2"/>
    <row r="31358" s="197" customFormat="1" ht="12.75" x14ac:dyDescent="0.2"/>
    <row r="31359" s="197" customFormat="1" ht="12.75" x14ac:dyDescent="0.2"/>
    <row r="31360" s="197" customFormat="1" ht="12.75" x14ac:dyDescent="0.2"/>
    <row r="31361" s="197" customFormat="1" ht="12.75" x14ac:dyDescent="0.2"/>
    <row r="31362" s="197" customFormat="1" ht="12.75" x14ac:dyDescent="0.2"/>
    <row r="31363" s="197" customFormat="1" ht="12.75" x14ac:dyDescent="0.2"/>
    <row r="31364" s="197" customFormat="1" ht="12.75" x14ac:dyDescent="0.2"/>
    <row r="31365" s="197" customFormat="1" ht="12.75" x14ac:dyDescent="0.2"/>
    <row r="31366" s="197" customFormat="1" ht="12.75" x14ac:dyDescent="0.2"/>
    <row r="31367" s="197" customFormat="1" ht="12.75" x14ac:dyDescent="0.2"/>
    <row r="31368" s="197" customFormat="1" ht="12.75" x14ac:dyDescent="0.2"/>
    <row r="31369" s="197" customFormat="1" ht="12.75" x14ac:dyDescent="0.2"/>
    <row r="31370" s="197" customFormat="1" ht="12.75" x14ac:dyDescent="0.2"/>
    <row r="31371" s="197" customFormat="1" ht="12.75" x14ac:dyDescent="0.2"/>
    <row r="31372" s="197" customFormat="1" ht="12.75" x14ac:dyDescent="0.2"/>
    <row r="31373" s="197" customFormat="1" ht="12.75" x14ac:dyDescent="0.2"/>
    <row r="31374" s="197" customFormat="1" ht="12.75" x14ac:dyDescent="0.2"/>
    <row r="31375" s="197" customFormat="1" ht="12.75" x14ac:dyDescent="0.2"/>
    <row r="31376" s="197" customFormat="1" ht="12.75" x14ac:dyDescent="0.2"/>
    <row r="31377" s="197" customFormat="1" ht="12.75" x14ac:dyDescent="0.2"/>
    <row r="31378" s="197" customFormat="1" ht="12.75" x14ac:dyDescent="0.2"/>
    <row r="31379" s="197" customFormat="1" ht="12.75" x14ac:dyDescent="0.2"/>
    <row r="31380" s="197" customFormat="1" ht="12.75" x14ac:dyDescent="0.2"/>
    <row r="31381" s="197" customFormat="1" ht="12.75" x14ac:dyDescent="0.2"/>
    <row r="31382" s="197" customFormat="1" ht="12.75" x14ac:dyDescent="0.2"/>
    <row r="31383" s="197" customFormat="1" ht="12.75" x14ac:dyDescent="0.2"/>
    <row r="31384" s="197" customFormat="1" ht="12.75" x14ac:dyDescent="0.2"/>
    <row r="31385" s="197" customFormat="1" ht="12.75" x14ac:dyDescent="0.2"/>
    <row r="31386" s="197" customFormat="1" ht="12.75" x14ac:dyDescent="0.2"/>
    <row r="31387" s="197" customFormat="1" ht="12.75" x14ac:dyDescent="0.2"/>
    <row r="31388" s="197" customFormat="1" ht="12.75" x14ac:dyDescent="0.2"/>
    <row r="31389" s="197" customFormat="1" ht="12.75" x14ac:dyDescent="0.2"/>
    <row r="31390" s="197" customFormat="1" ht="12.75" x14ac:dyDescent="0.2"/>
    <row r="31391" s="197" customFormat="1" ht="12.75" x14ac:dyDescent="0.2"/>
    <row r="31392" s="197" customFormat="1" ht="12.75" x14ac:dyDescent="0.2"/>
    <row r="31393" s="197" customFormat="1" ht="12.75" x14ac:dyDescent="0.2"/>
    <row r="31394" s="197" customFormat="1" ht="12.75" x14ac:dyDescent="0.2"/>
    <row r="31395" s="197" customFormat="1" ht="12.75" x14ac:dyDescent="0.2"/>
    <row r="31396" s="197" customFormat="1" ht="12.75" x14ac:dyDescent="0.2"/>
    <row r="31397" s="197" customFormat="1" ht="12.75" x14ac:dyDescent="0.2"/>
    <row r="31398" s="197" customFormat="1" ht="12.75" x14ac:dyDescent="0.2"/>
    <row r="31399" s="197" customFormat="1" ht="12.75" x14ac:dyDescent="0.2"/>
    <row r="31400" s="197" customFormat="1" ht="12.75" x14ac:dyDescent="0.2"/>
    <row r="31401" s="197" customFormat="1" ht="12.75" x14ac:dyDescent="0.2"/>
    <row r="31402" s="197" customFormat="1" ht="12.75" x14ac:dyDescent="0.2"/>
    <row r="31403" s="197" customFormat="1" ht="12.75" x14ac:dyDescent="0.2"/>
    <row r="31404" s="197" customFormat="1" ht="12.75" x14ac:dyDescent="0.2"/>
    <row r="31405" s="197" customFormat="1" ht="12.75" x14ac:dyDescent="0.2"/>
    <row r="31406" s="197" customFormat="1" ht="12.75" x14ac:dyDescent="0.2"/>
    <row r="31407" s="197" customFormat="1" ht="12.75" x14ac:dyDescent="0.2"/>
    <row r="31408" s="197" customFormat="1" ht="12.75" x14ac:dyDescent="0.2"/>
    <row r="31409" s="197" customFormat="1" ht="12.75" x14ac:dyDescent="0.2"/>
    <row r="31410" s="197" customFormat="1" ht="12.75" x14ac:dyDescent="0.2"/>
    <row r="31411" s="197" customFormat="1" ht="12.75" x14ac:dyDescent="0.2"/>
    <row r="31412" s="197" customFormat="1" ht="12.75" x14ac:dyDescent="0.2"/>
    <row r="31413" s="197" customFormat="1" ht="12.75" x14ac:dyDescent="0.2"/>
    <row r="31414" s="197" customFormat="1" ht="12.75" x14ac:dyDescent="0.2"/>
    <row r="31415" s="197" customFormat="1" ht="12.75" x14ac:dyDescent="0.2"/>
    <row r="31416" s="197" customFormat="1" ht="12.75" x14ac:dyDescent="0.2"/>
    <row r="31417" s="197" customFormat="1" ht="12.75" x14ac:dyDescent="0.2"/>
    <row r="31418" s="197" customFormat="1" ht="12.75" x14ac:dyDescent="0.2"/>
    <row r="31419" s="197" customFormat="1" ht="12.75" x14ac:dyDescent="0.2"/>
    <row r="31420" s="197" customFormat="1" ht="12.75" x14ac:dyDescent="0.2"/>
    <row r="31421" s="197" customFormat="1" ht="12.75" x14ac:dyDescent="0.2"/>
    <row r="31422" s="197" customFormat="1" ht="12.75" x14ac:dyDescent="0.2"/>
    <row r="31423" s="197" customFormat="1" ht="12.75" x14ac:dyDescent="0.2"/>
    <row r="31424" s="197" customFormat="1" ht="12.75" x14ac:dyDescent="0.2"/>
    <row r="31425" s="197" customFormat="1" ht="12.75" x14ac:dyDescent="0.2"/>
    <row r="31426" s="197" customFormat="1" ht="12.75" x14ac:dyDescent="0.2"/>
    <row r="31427" s="197" customFormat="1" ht="12.75" x14ac:dyDescent="0.2"/>
    <row r="31428" s="197" customFormat="1" ht="12.75" x14ac:dyDescent="0.2"/>
    <row r="31429" s="197" customFormat="1" ht="12.75" x14ac:dyDescent="0.2"/>
    <row r="31430" s="197" customFormat="1" ht="12.75" x14ac:dyDescent="0.2"/>
    <row r="31431" s="197" customFormat="1" ht="12.75" x14ac:dyDescent="0.2"/>
    <row r="31432" s="197" customFormat="1" ht="12.75" x14ac:dyDescent="0.2"/>
    <row r="31433" s="197" customFormat="1" ht="12.75" x14ac:dyDescent="0.2"/>
    <row r="31434" s="197" customFormat="1" ht="12.75" x14ac:dyDescent="0.2"/>
    <row r="31435" s="197" customFormat="1" ht="12.75" x14ac:dyDescent="0.2"/>
    <row r="31436" s="197" customFormat="1" ht="12.75" x14ac:dyDescent="0.2"/>
    <row r="31437" s="197" customFormat="1" ht="12.75" x14ac:dyDescent="0.2"/>
    <row r="31438" s="197" customFormat="1" ht="12.75" x14ac:dyDescent="0.2"/>
    <row r="31439" s="197" customFormat="1" ht="12.75" x14ac:dyDescent="0.2"/>
    <row r="31440" s="197" customFormat="1" ht="12.75" x14ac:dyDescent="0.2"/>
    <row r="31441" s="197" customFormat="1" ht="12.75" x14ac:dyDescent="0.2"/>
    <row r="31442" s="197" customFormat="1" ht="12.75" x14ac:dyDescent="0.2"/>
    <row r="31443" s="197" customFormat="1" ht="12.75" x14ac:dyDescent="0.2"/>
    <row r="31444" s="197" customFormat="1" ht="12.75" x14ac:dyDescent="0.2"/>
    <row r="31445" s="197" customFormat="1" ht="12.75" x14ac:dyDescent="0.2"/>
    <row r="31446" s="197" customFormat="1" ht="12.75" x14ac:dyDescent="0.2"/>
    <row r="31447" s="197" customFormat="1" ht="12.75" x14ac:dyDescent="0.2"/>
    <row r="31448" s="197" customFormat="1" ht="12.75" x14ac:dyDescent="0.2"/>
    <row r="31449" s="197" customFormat="1" ht="12.75" x14ac:dyDescent="0.2"/>
    <row r="31450" s="197" customFormat="1" ht="12.75" x14ac:dyDescent="0.2"/>
    <row r="31451" s="197" customFormat="1" ht="12.75" x14ac:dyDescent="0.2"/>
    <row r="31452" s="197" customFormat="1" ht="12.75" x14ac:dyDescent="0.2"/>
    <row r="31453" s="197" customFormat="1" ht="12.75" x14ac:dyDescent="0.2"/>
    <row r="31454" s="197" customFormat="1" ht="12.75" x14ac:dyDescent="0.2"/>
    <row r="31455" s="197" customFormat="1" ht="12.75" x14ac:dyDescent="0.2"/>
    <row r="31456" s="197" customFormat="1" ht="12.75" x14ac:dyDescent="0.2"/>
    <row r="31457" s="197" customFormat="1" ht="12.75" x14ac:dyDescent="0.2"/>
    <row r="31458" s="197" customFormat="1" ht="12.75" x14ac:dyDescent="0.2"/>
    <row r="31459" s="197" customFormat="1" ht="12.75" x14ac:dyDescent="0.2"/>
    <row r="31460" s="197" customFormat="1" ht="12.75" x14ac:dyDescent="0.2"/>
    <row r="31461" s="197" customFormat="1" ht="12.75" x14ac:dyDescent="0.2"/>
    <row r="31462" s="197" customFormat="1" ht="12.75" x14ac:dyDescent="0.2"/>
    <row r="31463" s="197" customFormat="1" ht="12.75" x14ac:dyDescent="0.2"/>
    <row r="31464" s="197" customFormat="1" ht="12.75" x14ac:dyDescent="0.2"/>
    <row r="31465" s="197" customFormat="1" ht="12.75" x14ac:dyDescent="0.2"/>
    <row r="31466" s="197" customFormat="1" ht="12.75" x14ac:dyDescent="0.2"/>
    <row r="31467" s="197" customFormat="1" ht="12.75" x14ac:dyDescent="0.2"/>
    <row r="31468" s="197" customFormat="1" ht="12.75" x14ac:dyDescent="0.2"/>
    <row r="31469" s="197" customFormat="1" ht="12.75" x14ac:dyDescent="0.2"/>
    <row r="31470" s="197" customFormat="1" ht="12.75" x14ac:dyDescent="0.2"/>
    <row r="31471" s="197" customFormat="1" ht="12.75" x14ac:dyDescent="0.2"/>
    <row r="31472" s="197" customFormat="1" ht="12.75" x14ac:dyDescent="0.2"/>
    <row r="31473" s="197" customFormat="1" ht="12.75" x14ac:dyDescent="0.2"/>
    <row r="31474" s="197" customFormat="1" ht="12.75" x14ac:dyDescent="0.2"/>
    <row r="31475" s="197" customFormat="1" ht="12.75" x14ac:dyDescent="0.2"/>
    <row r="31476" s="197" customFormat="1" ht="12.75" x14ac:dyDescent="0.2"/>
    <row r="31477" s="197" customFormat="1" ht="12.75" x14ac:dyDescent="0.2"/>
    <row r="31478" s="197" customFormat="1" ht="12.75" x14ac:dyDescent="0.2"/>
    <row r="31479" s="197" customFormat="1" ht="12.75" x14ac:dyDescent="0.2"/>
    <row r="31480" s="197" customFormat="1" ht="12.75" x14ac:dyDescent="0.2"/>
    <row r="31481" s="197" customFormat="1" ht="12.75" x14ac:dyDescent="0.2"/>
    <row r="31482" s="197" customFormat="1" ht="12.75" x14ac:dyDescent="0.2"/>
    <row r="31483" s="197" customFormat="1" ht="12.75" x14ac:dyDescent="0.2"/>
    <row r="31484" s="197" customFormat="1" ht="12.75" x14ac:dyDescent="0.2"/>
    <row r="31485" s="197" customFormat="1" ht="12.75" x14ac:dyDescent="0.2"/>
    <row r="31486" s="197" customFormat="1" ht="12.75" x14ac:dyDescent="0.2"/>
    <row r="31487" s="197" customFormat="1" ht="12.75" x14ac:dyDescent="0.2"/>
    <row r="31488" s="197" customFormat="1" ht="12.75" x14ac:dyDescent="0.2"/>
    <row r="31489" s="197" customFormat="1" ht="12.75" x14ac:dyDescent="0.2"/>
    <row r="31490" s="197" customFormat="1" ht="12.75" x14ac:dyDescent="0.2"/>
    <row r="31491" s="197" customFormat="1" ht="12.75" x14ac:dyDescent="0.2"/>
    <row r="31492" s="197" customFormat="1" ht="12.75" x14ac:dyDescent="0.2"/>
    <row r="31493" s="197" customFormat="1" ht="12.75" x14ac:dyDescent="0.2"/>
    <row r="31494" s="197" customFormat="1" ht="12.75" x14ac:dyDescent="0.2"/>
    <row r="31495" s="197" customFormat="1" ht="12.75" x14ac:dyDescent="0.2"/>
    <row r="31496" s="197" customFormat="1" ht="12.75" x14ac:dyDescent="0.2"/>
    <row r="31497" s="197" customFormat="1" ht="12.75" x14ac:dyDescent="0.2"/>
    <row r="31498" s="197" customFormat="1" ht="12.75" x14ac:dyDescent="0.2"/>
    <row r="31499" s="197" customFormat="1" ht="12.75" x14ac:dyDescent="0.2"/>
    <row r="31500" s="197" customFormat="1" ht="12.75" x14ac:dyDescent="0.2"/>
    <row r="31501" s="197" customFormat="1" ht="12.75" x14ac:dyDescent="0.2"/>
    <row r="31502" s="197" customFormat="1" ht="12.75" x14ac:dyDescent="0.2"/>
    <row r="31503" s="197" customFormat="1" ht="12.75" x14ac:dyDescent="0.2"/>
    <row r="31504" s="197" customFormat="1" ht="12.75" x14ac:dyDescent="0.2"/>
    <row r="31505" s="197" customFormat="1" ht="12.75" x14ac:dyDescent="0.2"/>
    <row r="31506" s="197" customFormat="1" ht="12.75" x14ac:dyDescent="0.2"/>
    <row r="31507" s="197" customFormat="1" ht="12.75" x14ac:dyDescent="0.2"/>
    <row r="31508" s="197" customFormat="1" ht="12.75" x14ac:dyDescent="0.2"/>
    <row r="31509" s="197" customFormat="1" ht="12.75" x14ac:dyDescent="0.2"/>
    <row r="31510" s="197" customFormat="1" ht="12.75" x14ac:dyDescent="0.2"/>
    <row r="31511" s="197" customFormat="1" ht="12.75" x14ac:dyDescent="0.2"/>
    <row r="31512" s="197" customFormat="1" ht="12.75" x14ac:dyDescent="0.2"/>
    <row r="31513" s="197" customFormat="1" ht="12.75" x14ac:dyDescent="0.2"/>
    <row r="31514" s="197" customFormat="1" ht="12.75" x14ac:dyDescent="0.2"/>
    <row r="31515" s="197" customFormat="1" ht="12.75" x14ac:dyDescent="0.2"/>
    <row r="31516" s="197" customFormat="1" ht="12.75" x14ac:dyDescent="0.2"/>
    <row r="31517" s="197" customFormat="1" ht="12.75" x14ac:dyDescent="0.2"/>
    <row r="31518" s="197" customFormat="1" ht="12.75" x14ac:dyDescent="0.2"/>
    <row r="31519" s="197" customFormat="1" ht="12.75" x14ac:dyDescent="0.2"/>
    <row r="31520" s="197" customFormat="1" ht="12.75" x14ac:dyDescent="0.2"/>
    <row r="31521" s="197" customFormat="1" ht="12.75" x14ac:dyDescent="0.2"/>
    <row r="31522" s="197" customFormat="1" ht="12.75" x14ac:dyDescent="0.2"/>
    <row r="31523" s="197" customFormat="1" ht="12.75" x14ac:dyDescent="0.2"/>
    <row r="31524" s="197" customFormat="1" ht="12.75" x14ac:dyDescent="0.2"/>
    <row r="31525" s="197" customFormat="1" ht="12.75" x14ac:dyDescent="0.2"/>
    <row r="31526" s="197" customFormat="1" ht="12.75" x14ac:dyDescent="0.2"/>
    <row r="31527" s="197" customFormat="1" ht="12.75" x14ac:dyDescent="0.2"/>
    <row r="31528" s="197" customFormat="1" ht="12.75" x14ac:dyDescent="0.2"/>
    <row r="31529" s="197" customFormat="1" ht="12.75" x14ac:dyDescent="0.2"/>
    <row r="31530" s="197" customFormat="1" ht="12.75" x14ac:dyDescent="0.2"/>
    <row r="31531" s="197" customFormat="1" ht="12.75" x14ac:dyDescent="0.2"/>
    <row r="31532" s="197" customFormat="1" ht="12.75" x14ac:dyDescent="0.2"/>
    <row r="31533" s="197" customFormat="1" ht="12.75" x14ac:dyDescent="0.2"/>
    <row r="31534" s="197" customFormat="1" ht="12.75" x14ac:dyDescent="0.2"/>
    <row r="31535" s="197" customFormat="1" ht="12.75" x14ac:dyDescent="0.2"/>
    <row r="31536" s="197" customFormat="1" ht="12.75" x14ac:dyDescent="0.2"/>
    <row r="31537" s="197" customFormat="1" ht="12.75" x14ac:dyDescent="0.2"/>
    <row r="31538" s="197" customFormat="1" ht="12.75" x14ac:dyDescent="0.2"/>
    <row r="31539" s="197" customFormat="1" ht="12.75" x14ac:dyDescent="0.2"/>
    <row r="31540" s="197" customFormat="1" ht="12.75" x14ac:dyDescent="0.2"/>
    <row r="31541" s="197" customFormat="1" ht="12.75" x14ac:dyDescent="0.2"/>
    <row r="31542" s="197" customFormat="1" ht="12.75" x14ac:dyDescent="0.2"/>
    <row r="31543" s="197" customFormat="1" ht="12.75" x14ac:dyDescent="0.2"/>
    <row r="31544" s="197" customFormat="1" ht="12.75" x14ac:dyDescent="0.2"/>
    <row r="31545" s="197" customFormat="1" ht="12.75" x14ac:dyDescent="0.2"/>
    <row r="31546" s="197" customFormat="1" ht="12.75" x14ac:dyDescent="0.2"/>
    <row r="31547" s="197" customFormat="1" ht="12.75" x14ac:dyDescent="0.2"/>
    <row r="31548" s="197" customFormat="1" ht="12.75" x14ac:dyDescent="0.2"/>
    <row r="31549" s="197" customFormat="1" ht="12.75" x14ac:dyDescent="0.2"/>
    <row r="31550" s="197" customFormat="1" ht="12.75" x14ac:dyDescent="0.2"/>
    <row r="31551" s="197" customFormat="1" ht="12.75" x14ac:dyDescent="0.2"/>
    <row r="31552" s="197" customFormat="1" ht="12.75" x14ac:dyDescent="0.2"/>
    <row r="31553" s="197" customFormat="1" ht="12.75" x14ac:dyDescent="0.2"/>
    <row r="31554" s="197" customFormat="1" ht="12.75" x14ac:dyDescent="0.2"/>
    <row r="31555" s="197" customFormat="1" ht="12.75" x14ac:dyDescent="0.2"/>
    <row r="31556" s="197" customFormat="1" ht="12.75" x14ac:dyDescent="0.2"/>
    <row r="31557" s="197" customFormat="1" ht="12.75" x14ac:dyDescent="0.2"/>
    <row r="31558" s="197" customFormat="1" ht="12.75" x14ac:dyDescent="0.2"/>
    <row r="31559" s="197" customFormat="1" ht="12.75" x14ac:dyDescent="0.2"/>
    <row r="31560" s="197" customFormat="1" ht="12.75" x14ac:dyDescent="0.2"/>
    <row r="31561" s="197" customFormat="1" ht="12.75" x14ac:dyDescent="0.2"/>
    <row r="31562" s="197" customFormat="1" ht="12.75" x14ac:dyDescent="0.2"/>
    <row r="31563" s="197" customFormat="1" ht="12.75" x14ac:dyDescent="0.2"/>
    <row r="31564" s="197" customFormat="1" ht="12.75" x14ac:dyDescent="0.2"/>
    <row r="31565" s="197" customFormat="1" ht="12.75" x14ac:dyDescent="0.2"/>
    <row r="31566" s="197" customFormat="1" ht="12.75" x14ac:dyDescent="0.2"/>
    <row r="31567" s="197" customFormat="1" ht="12.75" x14ac:dyDescent="0.2"/>
    <row r="31568" s="197" customFormat="1" ht="12.75" x14ac:dyDescent="0.2"/>
    <row r="31569" s="197" customFormat="1" ht="12.75" x14ac:dyDescent="0.2"/>
    <row r="31570" s="197" customFormat="1" ht="12.75" x14ac:dyDescent="0.2"/>
    <row r="31571" s="197" customFormat="1" ht="12.75" x14ac:dyDescent="0.2"/>
    <row r="31572" s="197" customFormat="1" ht="12.75" x14ac:dyDescent="0.2"/>
    <row r="31573" s="197" customFormat="1" ht="12.75" x14ac:dyDescent="0.2"/>
    <row r="31574" s="197" customFormat="1" ht="12.75" x14ac:dyDescent="0.2"/>
    <row r="31575" s="197" customFormat="1" ht="12.75" x14ac:dyDescent="0.2"/>
    <row r="31576" s="197" customFormat="1" ht="12.75" x14ac:dyDescent="0.2"/>
    <row r="31577" s="197" customFormat="1" ht="12.75" x14ac:dyDescent="0.2"/>
    <row r="31578" s="197" customFormat="1" ht="12.75" x14ac:dyDescent="0.2"/>
    <row r="31579" s="197" customFormat="1" ht="12.75" x14ac:dyDescent="0.2"/>
    <row r="31580" s="197" customFormat="1" ht="12.75" x14ac:dyDescent="0.2"/>
    <row r="31581" s="197" customFormat="1" ht="12.75" x14ac:dyDescent="0.2"/>
    <row r="31582" s="197" customFormat="1" ht="12.75" x14ac:dyDescent="0.2"/>
    <row r="31583" s="197" customFormat="1" ht="12.75" x14ac:dyDescent="0.2"/>
    <row r="31584" s="197" customFormat="1" ht="12.75" x14ac:dyDescent="0.2"/>
    <row r="31585" s="197" customFormat="1" ht="12.75" x14ac:dyDescent="0.2"/>
    <row r="31586" s="197" customFormat="1" ht="12.75" x14ac:dyDescent="0.2"/>
    <row r="31587" s="197" customFormat="1" ht="12.75" x14ac:dyDescent="0.2"/>
    <row r="31588" s="197" customFormat="1" ht="12.75" x14ac:dyDescent="0.2"/>
    <row r="31589" s="197" customFormat="1" ht="12.75" x14ac:dyDescent="0.2"/>
    <row r="31590" s="197" customFormat="1" ht="12.75" x14ac:dyDescent="0.2"/>
    <row r="31591" s="197" customFormat="1" ht="12.75" x14ac:dyDescent="0.2"/>
    <row r="31592" s="197" customFormat="1" ht="12.75" x14ac:dyDescent="0.2"/>
    <row r="31593" s="197" customFormat="1" ht="12.75" x14ac:dyDescent="0.2"/>
    <row r="31594" s="197" customFormat="1" ht="12.75" x14ac:dyDescent="0.2"/>
    <row r="31595" s="197" customFormat="1" ht="12.75" x14ac:dyDescent="0.2"/>
    <row r="31596" s="197" customFormat="1" ht="12.75" x14ac:dyDescent="0.2"/>
    <row r="31597" s="197" customFormat="1" ht="12.75" x14ac:dyDescent="0.2"/>
    <row r="31598" s="197" customFormat="1" ht="12.75" x14ac:dyDescent="0.2"/>
    <row r="31599" s="197" customFormat="1" ht="12.75" x14ac:dyDescent="0.2"/>
    <row r="31600" s="197" customFormat="1" ht="12.75" x14ac:dyDescent="0.2"/>
    <row r="31601" s="197" customFormat="1" ht="12.75" x14ac:dyDescent="0.2"/>
    <row r="31602" s="197" customFormat="1" ht="12.75" x14ac:dyDescent="0.2"/>
    <row r="31603" s="197" customFormat="1" ht="12.75" x14ac:dyDescent="0.2"/>
    <row r="31604" s="197" customFormat="1" ht="12.75" x14ac:dyDescent="0.2"/>
    <row r="31605" s="197" customFormat="1" ht="12.75" x14ac:dyDescent="0.2"/>
    <row r="31606" s="197" customFormat="1" ht="12.75" x14ac:dyDescent="0.2"/>
    <row r="31607" s="197" customFormat="1" ht="12.75" x14ac:dyDescent="0.2"/>
    <row r="31608" s="197" customFormat="1" ht="12.75" x14ac:dyDescent="0.2"/>
    <row r="31609" s="197" customFormat="1" ht="12.75" x14ac:dyDescent="0.2"/>
    <row r="31610" s="197" customFormat="1" ht="12.75" x14ac:dyDescent="0.2"/>
    <row r="31611" s="197" customFormat="1" ht="12.75" x14ac:dyDescent="0.2"/>
    <row r="31612" s="197" customFormat="1" ht="12.75" x14ac:dyDescent="0.2"/>
    <row r="31613" s="197" customFormat="1" ht="12.75" x14ac:dyDescent="0.2"/>
    <row r="31614" s="197" customFormat="1" ht="12.75" x14ac:dyDescent="0.2"/>
    <row r="31615" s="197" customFormat="1" ht="12.75" x14ac:dyDescent="0.2"/>
    <row r="31616" s="197" customFormat="1" ht="12.75" x14ac:dyDescent="0.2"/>
    <row r="31617" s="197" customFormat="1" ht="12.75" x14ac:dyDescent="0.2"/>
    <row r="31618" s="197" customFormat="1" ht="12.75" x14ac:dyDescent="0.2"/>
    <row r="31619" s="197" customFormat="1" ht="12.75" x14ac:dyDescent="0.2"/>
    <row r="31620" s="197" customFormat="1" ht="12.75" x14ac:dyDescent="0.2"/>
    <row r="31621" s="197" customFormat="1" ht="12.75" x14ac:dyDescent="0.2"/>
    <row r="31622" s="197" customFormat="1" ht="12.75" x14ac:dyDescent="0.2"/>
    <row r="31623" s="197" customFormat="1" ht="12.75" x14ac:dyDescent="0.2"/>
    <row r="31624" s="197" customFormat="1" ht="12.75" x14ac:dyDescent="0.2"/>
    <row r="31625" s="197" customFormat="1" ht="12.75" x14ac:dyDescent="0.2"/>
    <row r="31626" s="197" customFormat="1" ht="12.75" x14ac:dyDescent="0.2"/>
    <row r="31627" s="197" customFormat="1" ht="12.75" x14ac:dyDescent="0.2"/>
    <row r="31628" s="197" customFormat="1" ht="12.75" x14ac:dyDescent="0.2"/>
    <row r="31629" s="197" customFormat="1" ht="12.75" x14ac:dyDescent="0.2"/>
    <row r="31630" s="197" customFormat="1" ht="12.75" x14ac:dyDescent="0.2"/>
    <row r="31631" s="197" customFormat="1" ht="12.75" x14ac:dyDescent="0.2"/>
    <row r="31632" s="197" customFormat="1" ht="12.75" x14ac:dyDescent="0.2"/>
    <row r="31633" s="197" customFormat="1" ht="12.75" x14ac:dyDescent="0.2"/>
    <row r="31634" s="197" customFormat="1" ht="12.75" x14ac:dyDescent="0.2"/>
    <row r="31635" s="197" customFormat="1" ht="12.75" x14ac:dyDescent="0.2"/>
    <row r="31636" s="197" customFormat="1" ht="12.75" x14ac:dyDescent="0.2"/>
    <row r="31637" s="197" customFormat="1" ht="12.75" x14ac:dyDescent="0.2"/>
    <row r="31638" s="197" customFormat="1" ht="12.75" x14ac:dyDescent="0.2"/>
    <row r="31639" s="197" customFormat="1" ht="12.75" x14ac:dyDescent="0.2"/>
    <row r="31640" s="197" customFormat="1" ht="12.75" x14ac:dyDescent="0.2"/>
    <row r="31641" s="197" customFormat="1" ht="12.75" x14ac:dyDescent="0.2"/>
    <row r="31642" s="197" customFormat="1" ht="12.75" x14ac:dyDescent="0.2"/>
    <row r="31643" s="197" customFormat="1" ht="12.75" x14ac:dyDescent="0.2"/>
    <row r="31644" s="197" customFormat="1" ht="12.75" x14ac:dyDescent="0.2"/>
    <row r="31645" s="197" customFormat="1" ht="12.75" x14ac:dyDescent="0.2"/>
    <row r="31646" s="197" customFormat="1" ht="12.75" x14ac:dyDescent="0.2"/>
    <row r="31647" s="197" customFormat="1" ht="12.75" x14ac:dyDescent="0.2"/>
    <row r="31648" s="197" customFormat="1" ht="12.75" x14ac:dyDescent="0.2"/>
    <row r="31649" s="197" customFormat="1" ht="12.75" x14ac:dyDescent="0.2"/>
    <row r="31650" s="197" customFormat="1" ht="12.75" x14ac:dyDescent="0.2"/>
    <row r="31651" s="197" customFormat="1" ht="12.75" x14ac:dyDescent="0.2"/>
    <row r="31652" s="197" customFormat="1" ht="12.75" x14ac:dyDescent="0.2"/>
    <row r="31653" s="197" customFormat="1" ht="12.75" x14ac:dyDescent="0.2"/>
    <row r="31654" s="197" customFormat="1" ht="12.75" x14ac:dyDescent="0.2"/>
    <row r="31655" s="197" customFormat="1" ht="12.75" x14ac:dyDescent="0.2"/>
    <row r="31656" s="197" customFormat="1" ht="12.75" x14ac:dyDescent="0.2"/>
    <row r="31657" s="197" customFormat="1" ht="12.75" x14ac:dyDescent="0.2"/>
    <row r="31658" s="197" customFormat="1" ht="12.75" x14ac:dyDescent="0.2"/>
    <row r="31659" s="197" customFormat="1" ht="12.75" x14ac:dyDescent="0.2"/>
    <row r="31660" s="197" customFormat="1" ht="12.75" x14ac:dyDescent="0.2"/>
    <row r="31661" s="197" customFormat="1" ht="12.75" x14ac:dyDescent="0.2"/>
    <row r="31662" s="197" customFormat="1" ht="12.75" x14ac:dyDescent="0.2"/>
    <row r="31663" s="197" customFormat="1" ht="12.75" x14ac:dyDescent="0.2"/>
    <row r="31664" s="197" customFormat="1" ht="12.75" x14ac:dyDescent="0.2"/>
    <row r="31665" s="197" customFormat="1" ht="12.75" x14ac:dyDescent="0.2"/>
    <row r="31666" s="197" customFormat="1" ht="12.75" x14ac:dyDescent="0.2"/>
    <row r="31667" s="197" customFormat="1" ht="12.75" x14ac:dyDescent="0.2"/>
    <row r="31668" s="197" customFormat="1" ht="12.75" x14ac:dyDescent="0.2"/>
    <row r="31669" s="197" customFormat="1" ht="12.75" x14ac:dyDescent="0.2"/>
    <row r="31670" s="197" customFormat="1" ht="12.75" x14ac:dyDescent="0.2"/>
    <row r="31671" s="197" customFormat="1" ht="12.75" x14ac:dyDescent="0.2"/>
    <row r="31672" s="197" customFormat="1" ht="12.75" x14ac:dyDescent="0.2"/>
    <row r="31673" s="197" customFormat="1" ht="12.75" x14ac:dyDescent="0.2"/>
    <row r="31674" s="197" customFormat="1" ht="12.75" x14ac:dyDescent="0.2"/>
    <row r="31675" s="197" customFormat="1" ht="12.75" x14ac:dyDescent="0.2"/>
    <row r="31676" s="197" customFormat="1" ht="12.75" x14ac:dyDescent="0.2"/>
    <row r="31677" s="197" customFormat="1" ht="12.75" x14ac:dyDescent="0.2"/>
    <row r="31678" s="197" customFormat="1" ht="12.75" x14ac:dyDescent="0.2"/>
    <row r="31679" s="197" customFormat="1" ht="12.75" x14ac:dyDescent="0.2"/>
    <row r="31680" s="197" customFormat="1" ht="12.75" x14ac:dyDescent="0.2"/>
    <row r="31681" s="197" customFormat="1" ht="12.75" x14ac:dyDescent="0.2"/>
    <row r="31682" s="197" customFormat="1" ht="12.75" x14ac:dyDescent="0.2"/>
    <row r="31683" s="197" customFormat="1" ht="12.75" x14ac:dyDescent="0.2"/>
    <row r="31684" s="197" customFormat="1" ht="12.75" x14ac:dyDescent="0.2"/>
    <row r="31685" s="197" customFormat="1" ht="12.75" x14ac:dyDescent="0.2"/>
    <row r="31686" s="197" customFormat="1" ht="12.75" x14ac:dyDescent="0.2"/>
    <row r="31687" s="197" customFormat="1" ht="12.75" x14ac:dyDescent="0.2"/>
    <row r="31688" s="197" customFormat="1" ht="12.75" x14ac:dyDescent="0.2"/>
    <row r="31689" s="197" customFormat="1" ht="12.75" x14ac:dyDescent="0.2"/>
    <row r="31690" s="197" customFormat="1" ht="12.75" x14ac:dyDescent="0.2"/>
    <row r="31691" s="197" customFormat="1" ht="12.75" x14ac:dyDescent="0.2"/>
    <row r="31692" s="197" customFormat="1" ht="12.75" x14ac:dyDescent="0.2"/>
    <row r="31693" s="197" customFormat="1" ht="12.75" x14ac:dyDescent="0.2"/>
    <row r="31694" s="197" customFormat="1" ht="12.75" x14ac:dyDescent="0.2"/>
    <row r="31695" s="197" customFormat="1" ht="12.75" x14ac:dyDescent="0.2"/>
    <row r="31696" s="197" customFormat="1" ht="12.75" x14ac:dyDescent="0.2"/>
    <row r="31697" s="197" customFormat="1" ht="12.75" x14ac:dyDescent="0.2"/>
    <row r="31698" s="197" customFormat="1" ht="12.75" x14ac:dyDescent="0.2"/>
    <row r="31699" s="197" customFormat="1" ht="12.75" x14ac:dyDescent="0.2"/>
    <row r="31700" s="197" customFormat="1" ht="12.75" x14ac:dyDescent="0.2"/>
    <row r="31701" s="197" customFormat="1" ht="12.75" x14ac:dyDescent="0.2"/>
    <row r="31702" s="197" customFormat="1" ht="12.75" x14ac:dyDescent="0.2"/>
    <row r="31703" s="197" customFormat="1" ht="12.75" x14ac:dyDescent="0.2"/>
    <row r="31704" s="197" customFormat="1" ht="12.75" x14ac:dyDescent="0.2"/>
    <row r="31705" s="197" customFormat="1" ht="12.75" x14ac:dyDescent="0.2"/>
    <row r="31706" s="197" customFormat="1" ht="12.75" x14ac:dyDescent="0.2"/>
    <row r="31707" s="197" customFormat="1" ht="12.75" x14ac:dyDescent="0.2"/>
    <row r="31708" s="197" customFormat="1" ht="12.75" x14ac:dyDescent="0.2"/>
    <row r="31709" s="197" customFormat="1" ht="12.75" x14ac:dyDescent="0.2"/>
    <row r="31710" s="197" customFormat="1" ht="12.75" x14ac:dyDescent="0.2"/>
    <row r="31711" s="197" customFormat="1" ht="12.75" x14ac:dyDescent="0.2"/>
    <row r="31712" s="197" customFormat="1" ht="12.75" x14ac:dyDescent="0.2"/>
    <row r="31713" s="197" customFormat="1" ht="12.75" x14ac:dyDescent="0.2"/>
    <row r="31714" s="197" customFormat="1" ht="12.75" x14ac:dyDescent="0.2"/>
    <row r="31715" s="197" customFormat="1" ht="12.75" x14ac:dyDescent="0.2"/>
    <row r="31716" s="197" customFormat="1" ht="12.75" x14ac:dyDescent="0.2"/>
    <row r="31717" s="197" customFormat="1" ht="12.75" x14ac:dyDescent="0.2"/>
    <row r="31718" s="197" customFormat="1" ht="12.75" x14ac:dyDescent="0.2"/>
    <row r="31719" s="197" customFormat="1" ht="12.75" x14ac:dyDescent="0.2"/>
    <row r="31720" s="197" customFormat="1" ht="12.75" x14ac:dyDescent="0.2"/>
    <row r="31721" s="197" customFormat="1" ht="12.75" x14ac:dyDescent="0.2"/>
    <row r="31722" s="197" customFormat="1" ht="12.75" x14ac:dyDescent="0.2"/>
    <row r="31723" s="197" customFormat="1" ht="12.75" x14ac:dyDescent="0.2"/>
    <row r="31724" s="197" customFormat="1" ht="12.75" x14ac:dyDescent="0.2"/>
    <row r="31725" s="197" customFormat="1" ht="12.75" x14ac:dyDescent="0.2"/>
    <row r="31726" s="197" customFormat="1" ht="12.75" x14ac:dyDescent="0.2"/>
    <row r="31727" s="197" customFormat="1" ht="12.75" x14ac:dyDescent="0.2"/>
    <row r="31728" s="197" customFormat="1" ht="12.75" x14ac:dyDescent="0.2"/>
    <row r="31729" s="197" customFormat="1" ht="12.75" x14ac:dyDescent="0.2"/>
    <row r="31730" s="197" customFormat="1" ht="12.75" x14ac:dyDescent="0.2"/>
    <row r="31731" s="197" customFormat="1" ht="12.75" x14ac:dyDescent="0.2"/>
    <row r="31732" s="197" customFormat="1" ht="12.75" x14ac:dyDescent="0.2"/>
    <row r="31733" s="197" customFormat="1" ht="12.75" x14ac:dyDescent="0.2"/>
    <row r="31734" s="197" customFormat="1" ht="12.75" x14ac:dyDescent="0.2"/>
    <row r="31735" s="197" customFormat="1" ht="12.75" x14ac:dyDescent="0.2"/>
    <row r="31736" s="197" customFormat="1" ht="12.75" x14ac:dyDescent="0.2"/>
    <row r="31737" s="197" customFormat="1" ht="12.75" x14ac:dyDescent="0.2"/>
    <row r="31738" s="197" customFormat="1" ht="12.75" x14ac:dyDescent="0.2"/>
    <row r="31739" s="197" customFormat="1" ht="12.75" x14ac:dyDescent="0.2"/>
    <row r="31740" s="197" customFormat="1" ht="12.75" x14ac:dyDescent="0.2"/>
    <row r="31741" s="197" customFormat="1" ht="12.75" x14ac:dyDescent="0.2"/>
    <row r="31742" s="197" customFormat="1" ht="12.75" x14ac:dyDescent="0.2"/>
    <row r="31743" s="197" customFormat="1" ht="12.75" x14ac:dyDescent="0.2"/>
    <row r="31744" s="197" customFormat="1" ht="12.75" x14ac:dyDescent="0.2"/>
    <row r="31745" s="197" customFormat="1" ht="12.75" x14ac:dyDescent="0.2"/>
    <row r="31746" s="197" customFormat="1" ht="12.75" x14ac:dyDescent="0.2"/>
    <row r="31747" s="197" customFormat="1" ht="12.75" x14ac:dyDescent="0.2"/>
    <row r="31748" s="197" customFormat="1" ht="12.75" x14ac:dyDescent="0.2"/>
    <row r="31749" s="197" customFormat="1" ht="12.75" x14ac:dyDescent="0.2"/>
    <row r="31750" s="197" customFormat="1" ht="12.75" x14ac:dyDescent="0.2"/>
    <row r="31751" s="197" customFormat="1" ht="12.75" x14ac:dyDescent="0.2"/>
    <row r="31752" s="197" customFormat="1" ht="12.75" x14ac:dyDescent="0.2"/>
    <row r="31753" s="197" customFormat="1" ht="12.75" x14ac:dyDescent="0.2"/>
    <row r="31754" s="197" customFormat="1" ht="12.75" x14ac:dyDescent="0.2"/>
    <row r="31755" s="197" customFormat="1" ht="12.75" x14ac:dyDescent="0.2"/>
    <row r="31756" s="197" customFormat="1" ht="12.75" x14ac:dyDescent="0.2"/>
    <row r="31757" s="197" customFormat="1" ht="12.75" x14ac:dyDescent="0.2"/>
    <row r="31758" s="197" customFormat="1" ht="12.75" x14ac:dyDescent="0.2"/>
    <row r="31759" s="197" customFormat="1" ht="12.75" x14ac:dyDescent="0.2"/>
    <row r="31760" s="197" customFormat="1" ht="12.75" x14ac:dyDescent="0.2"/>
    <row r="31761" s="197" customFormat="1" ht="12.75" x14ac:dyDescent="0.2"/>
    <row r="31762" s="197" customFormat="1" ht="12.75" x14ac:dyDescent="0.2"/>
    <row r="31763" s="197" customFormat="1" ht="12.75" x14ac:dyDescent="0.2"/>
    <row r="31764" s="197" customFormat="1" ht="12.75" x14ac:dyDescent="0.2"/>
    <row r="31765" s="197" customFormat="1" ht="12.75" x14ac:dyDescent="0.2"/>
    <row r="31766" s="197" customFormat="1" ht="12.75" x14ac:dyDescent="0.2"/>
    <row r="31767" s="197" customFormat="1" ht="12.75" x14ac:dyDescent="0.2"/>
    <row r="31768" s="197" customFormat="1" ht="12.75" x14ac:dyDescent="0.2"/>
    <row r="31769" s="197" customFormat="1" ht="12.75" x14ac:dyDescent="0.2"/>
    <row r="31770" s="197" customFormat="1" ht="12.75" x14ac:dyDescent="0.2"/>
    <row r="31771" s="197" customFormat="1" ht="12.75" x14ac:dyDescent="0.2"/>
    <row r="31772" s="197" customFormat="1" ht="12.75" x14ac:dyDescent="0.2"/>
    <row r="31773" s="197" customFormat="1" ht="12.75" x14ac:dyDescent="0.2"/>
    <row r="31774" s="197" customFormat="1" ht="12.75" x14ac:dyDescent="0.2"/>
    <row r="31775" s="197" customFormat="1" ht="12.75" x14ac:dyDescent="0.2"/>
    <row r="31776" s="197" customFormat="1" ht="12.75" x14ac:dyDescent="0.2"/>
    <row r="31777" s="197" customFormat="1" ht="12.75" x14ac:dyDescent="0.2"/>
    <row r="31778" s="197" customFormat="1" ht="12.75" x14ac:dyDescent="0.2"/>
    <row r="31779" s="197" customFormat="1" ht="12.75" x14ac:dyDescent="0.2"/>
    <row r="31780" s="197" customFormat="1" ht="12.75" x14ac:dyDescent="0.2"/>
    <row r="31781" s="197" customFormat="1" ht="12.75" x14ac:dyDescent="0.2"/>
    <row r="31782" s="197" customFormat="1" ht="12.75" x14ac:dyDescent="0.2"/>
    <row r="31783" s="197" customFormat="1" ht="12.75" x14ac:dyDescent="0.2"/>
    <row r="31784" s="197" customFormat="1" ht="12.75" x14ac:dyDescent="0.2"/>
    <row r="31785" s="197" customFormat="1" ht="12.75" x14ac:dyDescent="0.2"/>
    <row r="31786" s="197" customFormat="1" ht="12.75" x14ac:dyDescent="0.2"/>
    <row r="31787" s="197" customFormat="1" ht="12.75" x14ac:dyDescent="0.2"/>
    <row r="31788" s="197" customFormat="1" ht="12.75" x14ac:dyDescent="0.2"/>
    <row r="31789" s="197" customFormat="1" ht="12.75" x14ac:dyDescent="0.2"/>
    <row r="31790" s="197" customFormat="1" ht="12.75" x14ac:dyDescent="0.2"/>
    <row r="31791" s="197" customFormat="1" ht="12.75" x14ac:dyDescent="0.2"/>
    <row r="31792" s="197" customFormat="1" ht="12.75" x14ac:dyDescent="0.2"/>
    <row r="31793" s="197" customFormat="1" ht="12.75" x14ac:dyDescent="0.2"/>
    <row r="31794" s="197" customFormat="1" ht="12.75" x14ac:dyDescent="0.2"/>
    <row r="31795" s="197" customFormat="1" ht="12.75" x14ac:dyDescent="0.2"/>
    <row r="31796" s="197" customFormat="1" ht="12.75" x14ac:dyDescent="0.2"/>
    <row r="31797" s="197" customFormat="1" ht="12.75" x14ac:dyDescent="0.2"/>
    <row r="31798" s="197" customFormat="1" ht="12.75" x14ac:dyDescent="0.2"/>
    <row r="31799" s="197" customFormat="1" ht="12.75" x14ac:dyDescent="0.2"/>
    <row r="31800" s="197" customFormat="1" ht="12.75" x14ac:dyDescent="0.2"/>
    <row r="31801" s="197" customFormat="1" ht="12.75" x14ac:dyDescent="0.2"/>
    <row r="31802" s="197" customFormat="1" ht="12.75" x14ac:dyDescent="0.2"/>
    <row r="31803" s="197" customFormat="1" ht="12.75" x14ac:dyDescent="0.2"/>
    <row r="31804" s="197" customFormat="1" ht="12.75" x14ac:dyDescent="0.2"/>
    <row r="31805" s="197" customFormat="1" ht="12.75" x14ac:dyDescent="0.2"/>
    <row r="31806" s="197" customFormat="1" ht="12.75" x14ac:dyDescent="0.2"/>
    <row r="31807" s="197" customFormat="1" ht="12.75" x14ac:dyDescent="0.2"/>
    <row r="31808" s="197" customFormat="1" ht="12.75" x14ac:dyDescent="0.2"/>
    <row r="31809" s="197" customFormat="1" ht="12.75" x14ac:dyDescent="0.2"/>
    <row r="31810" s="197" customFormat="1" ht="12.75" x14ac:dyDescent="0.2"/>
    <row r="31811" s="197" customFormat="1" ht="12.75" x14ac:dyDescent="0.2"/>
    <row r="31812" s="197" customFormat="1" ht="12.75" x14ac:dyDescent="0.2"/>
    <row r="31813" s="197" customFormat="1" ht="12.75" x14ac:dyDescent="0.2"/>
    <row r="31814" s="197" customFormat="1" ht="12.75" x14ac:dyDescent="0.2"/>
    <row r="31815" s="197" customFormat="1" ht="12.75" x14ac:dyDescent="0.2"/>
    <row r="31816" s="197" customFormat="1" ht="12.75" x14ac:dyDescent="0.2"/>
    <row r="31817" s="197" customFormat="1" ht="12.75" x14ac:dyDescent="0.2"/>
    <row r="31818" s="197" customFormat="1" ht="12.75" x14ac:dyDescent="0.2"/>
    <row r="31819" s="197" customFormat="1" ht="12.75" x14ac:dyDescent="0.2"/>
    <row r="31820" s="197" customFormat="1" ht="12.75" x14ac:dyDescent="0.2"/>
    <row r="31821" s="197" customFormat="1" ht="12.75" x14ac:dyDescent="0.2"/>
    <row r="31822" s="197" customFormat="1" ht="12.75" x14ac:dyDescent="0.2"/>
    <row r="31823" s="197" customFormat="1" ht="12.75" x14ac:dyDescent="0.2"/>
    <row r="31824" s="197" customFormat="1" ht="12.75" x14ac:dyDescent="0.2"/>
    <row r="31825" s="197" customFormat="1" ht="12.75" x14ac:dyDescent="0.2"/>
    <row r="31826" s="197" customFormat="1" ht="12.75" x14ac:dyDescent="0.2"/>
    <row r="31827" s="197" customFormat="1" ht="12.75" x14ac:dyDescent="0.2"/>
    <row r="31828" s="197" customFormat="1" ht="12.75" x14ac:dyDescent="0.2"/>
    <row r="31829" s="197" customFormat="1" ht="12.75" x14ac:dyDescent="0.2"/>
    <row r="31830" s="197" customFormat="1" ht="12.75" x14ac:dyDescent="0.2"/>
    <row r="31831" s="197" customFormat="1" ht="12.75" x14ac:dyDescent="0.2"/>
    <row r="31832" s="197" customFormat="1" ht="12.75" x14ac:dyDescent="0.2"/>
    <row r="31833" s="197" customFormat="1" ht="12.75" x14ac:dyDescent="0.2"/>
    <row r="31834" s="197" customFormat="1" ht="12.75" x14ac:dyDescent="0.2"/>
    <row r="31835" s="197" customFormat="1" ht="12.75" x14ac:dyDescent="0.2"/>
    <row r="31836" s="197" customFormat="1" ht="12.75" x14ac:dyDescent="0.2"/>
    <row r="31837" s="197" customFormat="1" ht="12.75" x14ac:dyDescent="0.2"/>
    <row r="31838" s="197" customFormat="1" ht="12.75" x14ac:dyDescent="0.2"/>
    <row r="31839" s="197" customFormat="1" ht="12.75" x14ac:dyDescent="0.2"/>
    <row r="31840" s="197" customFormat="1" ht="12.75" x14ac:dyDescent="0.2"/>
    <row r="31841" s="197" customFormat="1" ht="12.75" x14ac:dyDescent="0.2"/>
    <row r="31842" s="197" customFormat="1" ht="12.75" x14ac:dyDescent="0.2"/>
    <row r="31843" s="197" customFormat="1" ht="12.75" x14ac:dyDescent="0.2"/>
    <row r="31844" s="197" customFormat="1" ht="12.75" x14ac:dyDescent="0.2"/>
    <row r="31845" s="197" customFormat="1" ht="12.75" x14ac:dyDescent="0.2"/>
    <row r="31846" s="197" customFormat="1" ht="12.75" x14ac:dyDescent="0.2"/>
    <row r="31847" s="197" customFormat="1" ht="12.75" x14ac:dyDescent="0.2"/>
    <row r="31848" s="197" customFormat="1" ht="12.75" x14ac:dyDescent="0.2"/>
    <row r="31849" s="197" customFormat="1" ht="12.75" x14ac:dyDescent="0.2"/>
    <row r="31850" s="197" customFormat="1" ht="12.75" x14ac:dyDescent="0.2"/>
    <row r="31851" s="197" customFormat="1" ht="12.75" x14ac:dyDescent="0.2"/>
    <row r="31852" s="197" customFormat="1" ht="12.75" x14ac:dyDescent="0.2"/>
    <row r="31853" s="197" customFormat="1" ht="12.75" x14ac:dyDescent="0.2"/>
    <row r="31854" s="197" customFormat="1" ht="12.75" x14ac:dyDescent="0.2"/>
    <row r="31855" s="197" customFormat="1" ht="12.75" x14ac:dyDescent="0.2"/>
    <row r="31856" s="197" customFormat="1" ht="12.75" x14ac:dyDescent="0.2"/>
    <row r="31857" s="197" customFormat="1" ht="12.75" x14ac:dyDescent="0.2"/>
    <row r="31858" s="197" customFormat="1" ht="12.75" x14ac:dyDescent="0.2"/>
    <row r="31859" s="197" customFormat="1" ht="12.75" x14ac:dyDescent="0.2"/>
    <row r="31860" s="197" customFormat="1" ht="12.75" x14ac:dyDescent="0.2"/>
    <row r="31861" s="197" customFormat="1" ht="12.75" x14ac:dyDescent="0.2"/>
    <row r="31862" s="197" customFormat="1" ht="12.75" x14ac:dyDescent="0.2"/>
    <row r="31863" s="197" customFormat="1" ht="12.75" x14ac:dyDescent="0.2"/>
    <row r="31864" s="197" customFormat="1" ht="12.75" x14ac:dyDescent="0.2"/>
    <row r="31865" s="197" customFormat="1" ht="12.75" x14ac:dyDescent="0.2"/>
    <row r="31866" s="197" customFormat="1" ht="12.75" x14ac:dyDescent="0.2"/>
    <row r="31867" s="197" customFormat="1" ht="12.75" x14ac:dyDescent="0.2"/>
    <row r="31868" s="197" customFormat="1" ht="12.75" x14ac:dyDescent="0.2"/>
    <row r="31869" s="197" customFormat="1" ht="12.75" x14ac:dyDescent="0.2"/>
    <row r="31870" s="197" customFormat="1" ht="12.75" x14ac:dyDescent="0.2"/>
    <row r="31871" s="197" customFormat="1" ht="12.75" x14ac:dyDescent="0.2"/>
    <row r="31872" s="197" customFormat="1" ht="12.75" x14ac:dyDescent="0.2"/>
    <row r="31873" s="197" customFormat="1" ht="12.75" x14ac:dyDescent="0.2"/>
    <row r="31874" s="197" customFormat="1" ht="12.75" x14ac:dyDescent="0.2"/>
    <row r="31875" s="197" customFormat="1" ht="12.75" x14ac:dyDescent="0.2"/>
    <row r="31876" s="197" customFormat="1" ht="12.75" x14ac:dyDescent="0.2"/>
    <row r="31877" s="197" customFormat="1" ht="12.75" x14ac:dyDescent="0.2"/>
    <row r="31878" s="197" customFormat="1" ht="12.75" x14ac:dyDescent="0.2"/>
    <row r="31879" s="197" customFormat="1" ht="12.75" x14ac:dyDescent="0.2"/>
    <row r="31880" s="197" customFormat="1" ht="12.75" x14ac:dyDescent="0.2"/>
    <row r="31881" s="197" customFormat="1" ht="12.75" x14ac:dyDescent="0.2"/>
    <row r="31882" s="197" customFormat="1" ht="12.75" x14ac:dyDescent="0.2"/>
    <row r="31883" s="197" customFormat="1" ht="12.75" x14ac:dyDescent="0.2"/>
    <row r="31884" s="197" customFormat="1" ht="12.75" x14ac:dyDescent="0.2"/>
    <row r="31885" s="197" customFormat="1" ht="12.75" x14ac:dyDescent="0.2"/>
    <row r="31886" s="197" customFormat="1" ht="12.75" x14ac:dyDescent="0.2"/>
    <row r="31887" s="197" customFormat="1" ht="12.75" x14ac:dyDescent="0.2"/>
    <row r="31888" s="197" customFormat="1" ht="12.75" x14ac:dyDescent="0.2"/>
    <row r="31889" s="197" customFormat="1" ht="12.75" x14ac:dyDescent="0.2"/>
    <row r="31890" s="197" customFormat="1" ht="12.75" x14ac:dyDescent="0.2"/>
    <row r="31891" s="197" customFormat="1" ht="12.75" x14ac:dyDescent="0.2"/>
    <row r="31892" s="197" customFormat="1" ht="12.75" x14ac:dyDescent="0.2"/>
    <row r="31893" s="197" customFormat="1" ht="12.75" x14ac:dyDescent="0.2"/>
    <row r="31894" s="197" customFormat="1" ht="12.75" x14ac:dyDescent="0.2"/>
    <row r="31895" s="197" customFormat="1" ht="12.75" x14ac:dyDescent="0.2"/>
    <row r="31896" s="197" customFormat="1" ht="12.75" x14ac:dyDescent="0.2"/>
    <row r="31897" s="197" customFormat="1" ht="12.75" x14ac:dyDescent="0.2"/>
    <row r="31898" s="197" customFormat="1" ht="12.75" x14ac:dyDescent="0.2"/>
    <row r="31899" s="197" customFormat="1" ht="12.75" x14ac:dyDescent="0.2"/>
    <row r="31900" s="197" customFormat="1" ht="12.75" x14ac:dyDescent="0.2"/>
    <row r="31901" s="197" customFormat="1" ht="12.75" x14ac:dyDescent="0.2"/>
    <row r="31902" s="197" customFormat="1" ht="12.75" x14ac:dyDescent="0.2"/>
    <row r="31903" s="197" customFormat="1" ht="12.75" x14ac:dyDescent="0.2"/>
    <row r="31904" s="197" customFormat="1" ht="12.75" x14ac:dyDescent="0.2"/>
    <row r="31905" s="197" customFormat="1" ht="12.75" x14ac:dyDescent="0.2"/>
    <row r="31906" s="197" customFormat="1" ht="12.75" x14ac:dyDescent="0.2"/>
    <row r="31907" s="197" customFormat="1" ht="12.75" x14ac:dyDescent="0.2"/>
    <row r="31908" s="197" customFormat="1" ht="12.75" x14ac:dyDescent="0.2"/>
    <row r="31909" s="197" customFormat="1" ht="12.75" x14ac:dyDescent="0.2"/>
    <row r="31910" s="197" customFormat="1" ht="12.75" x14ac:dyDescent="0.2"/>
    <row r="31911" s="197" customFormat="1" ht="12.75" x14ac:dyDescent="0.2"/>
    <row r="31912" s="197" customFormat="1" ht="12.75" x14ac:dyDescent="0.2"/>
    <row r="31913" s="197" customFormat="1" ht="12.75" x14ac:dyDescent="0.2"/>
    <row r="31914" s="197" customFormat="1" ht="12.75" x14ac:dyDescent="0.2"/>
    <row r="31915" s="197" customFormat="1" ht="12.75" x14ac:dyDescent="0.2"/>
    <row r="31916" s="197" customFormat="1" ht="12.75" x14ac:dyDescent="0.2"/>
    <row r="31917" s="197" customFormat="1" ht="12.75" x14ac:dyDescent="0.2"/>
    <row r="31918" s="197" customFormat="1" ht="12.75" x14ac:dyDescent="0.2"/>
    <row r="31919" s="197" customFormat="1" ht="12.75" x14ac:dyDescent="0.2"/>
    <row r="31920" s="197" customFormat="1" ht="12.75" x14ac:dyDescent="0.2"/>
    <row r="31921" s="197" customFormat="1" ht="12.75" x14ac:dyDescent="0.2"/>
    <row r="31922" s="197" customFormat="1" ht="12.75" x14ac:dyDescent="0.2"/>
    <row r="31923" s="197" customFormat="1" ht="12.75" x14ac:dyDescent="0.2"/>
    <row r="31924" s="197" customFormat="1" ht="12.75" x14ac:dyDescent="0.2"/>
    <row r="31925" s="197" customFormat="1" ht="12.75" x14ac:dyDescent="0.2"/>
    <row r="31926" s="197" customFormat="1" ht="12.75" x14ac:dyDescent="0.2"/>
    <row r="31927" s="197" customFormat="1" ht="12.75" x14ac:dyDescent="0.2"/>
    <row r="31928" s="197" customFormat="1" ht="12.75" x14ac:dyDescent="0.2"/>
    <row r="31929" s="197" customFormat="1" ht="12.75" x14ac:dyDescent="0.2"/>
    <row r="31930" s="197" customFormat="1" ht="12.75" x14ac:dyDescent="0.2"/>
    <row r="31931" s="197" customFormat="1" ht="12.75" x14ac:dyDescent="0.2"/>
    <row r="31932" s="197" customFormat="1" ht="12.75" x14ac:dyDescent="0.2"/>
    <row r="31933" s="197" customFormat="1" ht="12.75" x14ac:dyDescent="0.2"/>
    <row r="31934" s="197" customFormat="1" ht="12.75" x14ac:dyDescent="0.2"/>
    <row r="31935" s="197" customFormat="1" ht="12.75" x14ac:dyDescent="0.2"/>
    <row r="31936" s="197" customFormat="1" ht="12.75" x14ac:dyDescent="0.2"/>
    <row r="31937" s="197" customFormat="1" ht="12.75" x14ac:dyDescent="0.2"/>
    <row r="31938" s="197" customFormat="1" ht="12.75" x14ac:dyDescent="0.2"/>
    <row r="31939" s="197" customFormat="1" ht="12.75" x14ac:dyDescent="0.2"/>
    <row r="31940" s="197" customFormat="1" ht="12.75" x14ac:dyDescent="0.2"/>
    <row r="31941" s="197" customFormat="1" ht="12.75" x14ac:dyDescent="0.2"/>
    <row r="31942" s="197" customFormat="1" ht="12.75" x14ac:dyDescent="0.2"/>
    <row r="31943" s="197" customFormat="1" ht="12.75" x14ac:dyDescent="0.2"/>
    <row r="31944" s="197" customFormat="1" ht="12.75" x14ac:dyDescent="0.2"/>
    <row r="31945" s="197" customFormat="1" ht="12.75" x14ac:dyDescent="0.2"/>
    <row r="31946" s="197" customFormat="1" ht="12.75" x14ac:dyDescent="0.2"/>
    <row r="31947" s="197" customFormat="1" ht="12.75" x14ac:dyDescent="0.2"/>
    <row r="31948" s="197" customFormat="1" ht="12.75" x14ac:dyDescent="0.2"/>
    <row r="31949" s="197" customFormat="1" ht="12.75" x14ac:dyDescent="0.2"/>
    <row r="31950" s="197" customFormat="1" ht="12.75" x14ac:dyDescent="0.2"/>
    <row r="31951" s="197" customFormat="1" ht="12.75" x14ac:dyDescent="0.2"/>
    <row r="31952" s="197" customFormat="1" ht="12.75" x14ac:dyDescent="0.2"/>
    <row r="31953" s="197" customFormat="1" ht="12.75" x14ac:dyDescent="0.2"/>
    <row r="31954" s="197" customFormat="1" ht="12.75" x14ac:dyDescent="0.2"/>
    <row r="31955" s="197" customFormat="1" ht="12.75" x14ac:dyDescent="0.2"/>
    <row r="31956" s="197" customFormat="1" ht="12.75" x14ac:dyDescent="0.2"/>
    <row r="31957" s="197" customFormat="1" ht="12.75" x14ac:dyDescent="0.2"/>
    <row r="31958" s="197" customFormat="1" ht="12.75" x14ac:dyDescent="0.2"/>
    <row r="31959" s="197" customFormat="1" ht="12.75" x14ac:dyDescent="0.2"/>
    <row r="31960" s="197" customFormat="1" ht="12.75" x14ac:dyDescent="0.2"/>
    <row r="31961" s="197" customFormat="1" ht="12.75" x14ac:dyDescent="0.2"/>
    <row r="31962" s="197" customFormat="1" ht="12.75" x14ac:dyDescent="0.2"/>
    <row r="31963" s="197" customFormat="1" ht="12.75" x14ac:dyDescent="0.2"/>
    <row r="31964" s="197" customFormat="1" ht="12.75" x14ac:dyDescent="0.2"/>
    <row r="31965" s="197" customFormat="1" ht="12.75" x14ac:dyDescent="0.2"/>
    <row r="31966" s="197" customFormat="1" ht="12.75" x14ac:dyDescent="0.2"/>
    <row r="31967" s="197" customFormat="1" ht="12.75" x14ac:dyDescent="0.2"/>
    <row r="31968" s="197" customFormat="1" ht="12.75" x14ac:dyDescent="0.2"/>
    <row r="31969" s="197" customFormat="1" ht="12.75" x14ac:dyDescent="0.2"/>
    <row r="31970" s="197" customFormat="1" ht="12.75" x14ac:dyDescent="0.2"/>
    <row r="31971" s="197" customFormat="1" ht="12.75" x14ac:dyDescent="0.2"/>
    <row r="31972" s="197" customFormat="1" ht="12.75" x14ac:dyDescent="0.2"/>
    <row r="31973" s="197" customFormat="1" ht="12.75" x14ac:dyDescent="0.2"/>
    <row r="31974" s="197" customFormat="1" ht="12.75" x14ac:dyDescent="0.2"/>
    <row r="31975" s="197" customFormat="1" ht="12.75" x14ac:dyDescent="0.2"/>
    <row r="31976" s="197" customFormat="1" ht="12.75" x14ac:dyDescent="0.2"/>
    <row r="31977" s="197" customFormat="1" ht="12.75" x14ac:dyDescent="0.2"/>
    <row r="31978" s="197" customFormat="1" ht="12.75" x14ac:dyDescent="0.2"/>
    <row r="31979" s="197" customFormat="1" ht="12.75" x14ac:dyDescent="0.2"/>
    <row r="31980" s="197" customFormat="1" ht="12.75" x14ac:dyDescent="0.2"/>
    <row r="31981" s="197" customFormat="1" ht="12.75" x14ac:dyDescent="0.2"/>
    <row r="31982" s="197" customFormat="1" ht="12.75" x14ac:dyDescent="0.2"/>
    <row r="31983" s="197" customFormat="1" ht="12.75" x14ac:dyDescent="0.2"/>
    <row r="31984" s="197" customFormat="1" ht="12.75" x14ac:dyDescent="0.2"/>
    <row r="31985" s="197" customFormat="1" ht="12.75" x14ac:dyDescent="0.2"/>
    <row r="31986" s="197" customFormat="1" ht="12.75" x14ac:dyDescent="0.2"/>
    <row r="31987" s="197" customFormat="1" ht="12.75" x14ac:dyDescent="0.2"/>
    <row r="31988" s="197" customFormat="1" ht="12.75" x14ac:dyDescent="0.2"/>
    <row r="31989" s="197" customFormat="1" ht="12.75" x14ac:dyDescent="0.2"/>
    <row r="31990" s="197" customFormat="1" ht="12.75" x14ac:dyDescent="0.2"/>
    <row r="31991" s="197" customFormat="1" ht="12.75" x14ac:dyDescent="0.2"/>
    <row r="31992" s="197" customFormat="1" ht="12.75" x14ac:dyDescent="0.2"/>
    <row r="31993" s="197" customFormat="1" ht="12.75" x14ac:dyDescent="0.2"/>
    <row r="31994" s="197" customFormat="1" ht="12.75" x14ac:dyDescent="0.2"/>
    <row r="31995" s="197" customFormat="1" ht="12.75" x14ac:dyDescent="0.2"/>
    <row r="31996" s="197" customFormat="1" ht="12.75" x14ac:dyDescent="0.2"/>
    <row r="31997" s="197" customFormat="1" ht="12.75" x14ac:dyDescent="0.2"/>
    <row r="31998" s="197" customFormat="1" ht="12.75" x14ac:dyDescent="0.2"/>
    <row r="31999" s="197" customFormat="1" ht="12.75" x14ac:dyDescent="0.2"/>
    <row r="32000" s="197" customFormat="1" ht="12.75" x14ac:dyDescent="0.2"/>
    <row r="32001" s="197" customFormat="1" ht="12.75" x14ac:dyDescent="0.2"/>
    <row r="32002" s="197" customFormat="1" ht="12.75" x14ac:dyDescent="0.2"/>
    <row r="32003" s="197" customFormat="1" ht="12.75" x14ac:dyDescent="0.2"/>
    <row r="32004" s="197" customFormat="1" ht="12.75" x14ac:dyDescent="0.2"/>
    <row r="32005" s="197" customFormat="1" ht="12.75" x14ac:dyDescent="0.2"/>
    <row r="32006" s="197" customFormat="1" ht="12.75" x14ac:dyDescent="0.2"/>
    <row r="32007" s="197" customFormat="1" ht="12.75" x14ac:dyDescent="0.2"/>
    <row r="32008" s="197" customFormat="1" ht="12.75" x14ac:dyDescent="0.2"/>
    <row r="32009" s="197" customFormat="1" ht="12.75" x14ac:dyDescent="0.2"/>
    <row r="32010" s="197" customFormat="1" ht="12.75" x14ac:dyDescent="0.2"/>
    <row r="32011" s="197" customFormat="1" ht="12.75" x14ac:dyDescent="0.2"/>
    <row r="32012" s="197" customFormat="1" ht="12.75" x14ac:dyDescent="0.2"/>
    <row r="32013" s="197" customFormat="1" ht="12.75" x14ac:dyDescent="0.2"/>
    <row r="32014" s="197" customFormat="1" ht="12.75" x14ac:dyDescent="0.2"/>
    <row r="32015" s="197" customFormat="1" ht="12.75" x14ac:dyDescent="0.2"/>
    <row r="32016" s="197" customFormat="1" ht="12.75" x14ac:dyDescent="0.2"/>
    <row r="32017" s="197" customFormat="1" ht="12.75" x14ac:dyDescent="0.2"/>
    <row r="32018" s="197" customFormat="1" ht="12.75" x14ac:dyDescent="0.2"/>
    <row r="32019" s="197" customFormat="1" ht="12.75" x14ac:dyDescent="0.2"/>
    <row r="32020" s="197" customFormat="1" ht="12.75" x14ac:dyDescent="0.2"/>
    <row r="32021" s="197" customFormat="1" ht="12.75" x14ac:dyDescent="0.2"/>
    <row r="32022" s="197" customFormat="1" ht="12.75" x14ac:dyDescent="0.2"/>
    <row r="32023" s="197" customFormat="1" ht="12.75" x14ac:dyDescent="0.2"/>
    <row r="32024" s="197" customFormat="1" ht="12.75" x14ac:dyDescent="0.2"/>
    <row r="32025" s="197" customFormat="1" ht="12.75" x14ac:dyDescent="0.2"/>
    <row r="32026" s="197" customFormat="1" ht="12.75" x14ac:dyDescent="0.2"/>
    <row r="32027" s="197" customFormat="1" ht="12.75" x14ac:dyDescent="0.2"/>
    <row r="32028" s="197" customFormat="1" ht="12.75" x14ac:dyDescent="0.2"/>
    <row r="32029" s="197" customFormat="1" ht="12.75" x14ac:dyDescent="0.2"/>
    <row r="32030" s="197" customFormat="1" ht="12.75" x14ac:dyDescent="0.2"/>
    <row r="32031" s="197" customFormat="1" ht="12.75" x14ac:dyDescent="0.2"/>
    <row r="32032" s="197" customFormat="1" ht="12.75" x14ac:dyDescent="0.2"/>
    <row r="32033" s="197" customFormat="1" ht="12.75" x14ac:dyDescent="0.2"/>
    <row r="32034" s="197" customFormat="1" ht="12.75" x14ac:dyDescent="0.2"/>
    <row r="32035" s="197" customFormat="1" ht="12.75" x14ac:dyDescent="0.2"/>
    <row r="32036" s="197" customFormat="1" ht="12.75" x14ac:dyDescent="0.2"/>
    <row r="32037" s="197" customFormat="1" ht="12.75" x14ac:dyDescent="0.2"/>
    <row r="32038" s="197" customFormat="1" ht="12.75" x14ac:dyDescent="0.2"/>
    <row r="32039" s="197" customFormat="1" ht="12.75" x14ac:dyDescent="0.2"/>
    <row r="32040" s="197" customFormat="1" ht="12.75" x14ac:dyDescent="0.2"/>
    <row r="32041" s="197" customFormat="1" ht="12.75" x14ac:dyDescent="0.2"/>
    <row r="32042" s="197" customFormat="1" ht="12.75" x14ac:dyDescent="0.2"/>
    <row r="32043" s="197" customFormat="1" ht="12.75" x14ac:dyDescent="0.2"/>
    <row r="32044" s="197" customFormat="1" ht="12.75" x14ac:dyDescent="0.2"/>
    <row r="32045" s="197" customFormat="1" ht="12.75" x14ac:dyDescent="0.2"/>
    <row r="32046" s="197" customFormat="1" ht="12.75" x14ac:dyDescent="0.2"/>
    <row r="32047" s="197" customFormat="1" ht="12.75" x14ac:dyDescent="0.2"/>
    <row r="32048" s="197" customFormat="1" ht="12.75" x14ac:dyDescent="0.2"/>
    <row r="32049" s="197" customFormat="1" ht="12.75" x14ac:dyDescent="0.2"/>
    <row r="32050" s="197" customFormat="1" ht="12.75" x14ac:dyDescent="0.2"/>
    <row r="32051" s="197" customFormat="1" ht="12.75" x14ac:dyDescent="0.2"/>
    <row r="32052" s="197" customFormat="1" ht="12.75" x14ac:dyDescent="0.2"/>
    <row r="32053" s="197" customFormat="1" ht="12.75" x14ac:dyDescent="0.2"/>
    <row r="32054" s="197" customFormat="1" ht="12.75" x14ac:dyDescent="0.2"/>
    <row r="32055" s="197" customFormat="1" ht="12.75" x14ac:dyDescent="0.2"/>
    <row r="32056" s="197" customFormat="1" ht="12.75" x14ac:dyDescent="0.2"/>
    <row r="32057" s="197" customFormat="1" ht="12.75" x14ac:dyDescent="0.2"/>
    <row r="32058" s="197" customFormat="1" ht="12.75" x14ac:dyDescent="0.2"/>
    <row r="32059" s="197" customFormat="1" ht="12.75" x14ac:dyDescent="0.2"/>
    <row r="32060" s="197" customFormat="1" ht="12.75" x14ac:dyDescent="0.2"/>
    <row r="32061" s="197" customFormat="1" ht="12.75" x14ac:dyDescent="0.2"/>
    <row r="32062" s="197" customFormat="1" ht="12.75" x14ac:dyDescent="0.2"/>
    <row r="32063" s="197" customFormat="1" ht="12.75" x14ac:dyDescent="0.2"/>
    <row r="32064" s="197" customFormat="1" ht="12.75" x14ac:dyDescent="0.2"/>
    <row r="32065" s="197" customFormat="1" ht="12.75" x14ac:dyDescent="0.2"/>
    <row r="32066" s="197" customFormat="1" ht="12.75" x14ac:dyDescent="0.2"/>
    <row r="32067" s="197" customFormat="1" ht="12.75" x14ac:dyDescent="0.2"/>
    <row r="32068" s="197" customFormat="1" ht="12.75" x14ac:dyDescent="0.2"/>
    <row r="32069" s="197" customFormat="1" ht="12.75" x14ac:dyDescent="0.2"/>
    <row r="32070" s="197" customFormat="1" ht="12.75" x14ac:dyDescent="0.2"/>
    <row r="32071" s="197" customFormat="1" ht="12.75" x14ac:dyDescent="0.2"/>
    <row r="32072" s="197" customFormat="1" ht="12.75" x14ac:dyDescent="0.2"/>
    <row r="32073" s="197" customFormat="1" ht="12.75" x14ac:dyDescent="0.2"/>
    <row r="32074" s="197" customFormat="1" ht="12.75" x14ac:dyDescent="0.2"/>
    <row r="32075" s="197" customFormat="1" ht="12.75" x14ac:dyDescent="0.2"/>
    <row r="32076" s="197" customFormat="1" ht="12.75" x14ac:dyDescent="0.2"/>
    <row r="32077" s="197" customFormat="1" ht="12.75" x14ac:dyDescent="0.2"/>
    <row r="32078" s="197" customFormat="1" ht="12.75" x14ac:dyDescent="0.2"/>
    <row r="32079" s="197" customFormat="1" ht="12.75" x14ac:dyDescent="0.2"/>
    <row r="32080" s="197" customFormat="1" ht="12.75" x14ac:dyDescent="0.2"/>
    <row r="32081" s="197" customFormat="1" ht="12.75" x14ac:dyDescent="0.2"/>
    <row r="32082" s="197" customFormat="1" ht="12.75" x14ac:dyDescent="0.2"/>
    <row r="32083" s="197" customFormat="1" ht="12.75" x14ac:dyDescent="0.2"/>
    <row r="32084" s="197" customFormat="1" ht="12.75" x14ac:dyDescent="0.2"/>
    <row r="32085" s="197" customFormat="1" ht="12.75" x14ac:dyDescent="0.2"/>
    <row r="32086" s="197" customFormat="1" ht="12.75" x14ac:dyDescent="0.2"/>
    <row r="32087" s="197" customFormat="1" ht="12.75" x14ac:dyDescent="0.2"/>
    <row r="32088" s="197" customFormat="1" ht="12.75" x14ac:dyDescent="0.2"/>
    <row r="32089" s="197" customFormat="1" ht="12.75" x14ac:dyDescent="0.2"/>
    <row r="32090" s="197" customFormat="1" ht="12.75" x14ac:dyDescent="0.2"/>
    <row r="32091" s="197" customFormat="1" ht="12.75" x14ac:dyDescent="0.2"/>
    <row r="32092" s="197" customFormat="1" ht="12.75" x14ac:dyDescent="0.2"/>
    <row r="32093" s="197" customFormat="1" ht="12.75" x14ac:dyDescent="0.2"/>
    <row r="32094" s="197" customFormat="1" ht="12.75" x14ac:dyDescent="0.2"/>
    <row r="32095" s="197" customFormat="1" ht="12.75" x14ac:dyDescent="0.2"/>
    <row r="32096" s="197" customFormat="1" ht="12.75" x14ac:dyDescent="0.2"/>
    <row r="32097" s="197" customFormat="1" ht="12.75" x14ac:dyDescent="0.2"/>
    <row r="32098" s="197" customFormat="1" ht="12.75" x14ac:dyDescent="0.2"/>
    <row r="32099" s="197" customFormat="1" ht="12.75" x14ac:dyDescent="0.2"/>
    <row r="32100" s="197" customFormat="1" ht="12.75" x14ac:dyDescent="0.2"/>
    <row r="32101" s="197" customFormat="1" ht="12.75" x14ac:dyDescent="0.2"/>
    <row r="32102" s="197" customFormat="1" ht="12.75" x14ac:dyDescent="0.2"/>
    <row r="32103" s="197" customFormat="1" ht="12.75" x14ac:dyDescent="0.2"/>
    <row r="32104" s="197" customFormat="1" ht="12.75" x14ac:dyDescent="0.2"/>
    <row r="32105" s="197" customFormat="1" ht="12.75" x14ac:dyDescent="0.2"/>
    <row r="32106" s="197" customFormat="1" ht="12.75" x14ac:dyDescent="0.2"/>
    <row r="32107" s="197" customFormat="1" ht="12.75" x14ac:dyDescent="0.2"/>
    <row r="32108" s="197" customFormat="1" ht="12.75" x14ac:dyDescent="0.2"/>
    <row r="32109" s="197" customFormat="1" ht="12.75" x14ac:dyDescent="0.2"/>
    <row r="32110" s="197" customFormat="1" ht="12.75" x14ac:dyDescent="0.2"/>
    <row r="32111" s="197" customFormat="1" ht="12.75" x14ac:dyDescent="0.2"/>
    <row r="32112" s="197" customFormat="1" ht="12.75" x14ac:dyDescent="0.2"/>
    <row r="32113" s="197" customFormat="1" ht="12.75" x14ac:dyDescent="0.2"/>
    <row r="32114" s="197" customFormat="1" ht="12.75" x14ac:dyDescent="0.2"/>
    <row r="32115" s="197" customFormat="1" ht="12.75" x14ac:dyDescent="0.2"/>
    <row r="32116" s="197" customFormat="1" ht="12.75" x14ac:dyDescent="0.2"/>
    <row r="32117" s="197" customFormat="1" ht="12.75" x14ac:dyDescent="0.2"/>
    <row r="32118" s="197" customFormat="1" ht="12.75" x14ac:dyDescent="0.2"/>
    <row r="32119" s="197" customFormat="1" ht="12.75" x14ac:dyDescent="0.2"/>
    <row r="32120" s="197" customFormat="1" ht="12.75" x14ac:dyDescent="0.2"/>
    <row r="32121" s="197" customFormat="1" ht="12.75" x14ac:dyDescent="0.2"/>
    <row r="32122" s="197" customFormat="1" ht="12.75" x14ac:dyDescent="0.2"/>
    <row r="32123" s="197" customFormat="1" ht="12.75" x14ac:dyDescent="0.2"/>
    <row r="32124" s="197" customFormat="1" ht="12.75" x14ac:dyDescent="0.2"/>
    <row r="32125" s="197" customFormat="1" ht="12.75" x14ac:dyDescent="0.2"/>
    <row r="32126" s="197" customFormat="1" ht="12.75" x14ac:dyDescent="0.2"/>
    <row r="32127" s="197" customFormat="1" ht="12.75" x14ac:dyDescent="0.2"/>
    <row r="32128" s="197" customFormat="1" ht="12.75" x14ac:dyDescent="0.2"/>
    <row r="32129" s="197" customFormat="1" ht="12.75" x14ac:dyDescent="0.2"/>
    <row r="32130" s="197" customFormat="1" ht="12.75" x14ac:dyDescent="0.2"/>
    <row r="32131" s="197" customFormat="1" ht="12.75" x14ac:dyDescent="0.2"/>
    <row r="32132" s="197" customFormat="1" ht="12.75" x14ac:dyDescent="0.2"/>
    <row r="32133" s="197" customFormat="1" ht="12.75" x14ac:dyDescent="0.2"/>
    <row r="32134" s="197" customFormat="1" ht="12.75" x14ac:dyDescent="0.2"/>
    <row r="32135" s="197" customFormat="1" ht="12.75" x14ac:dyDescent="0.2"/>
    <row r="32136" s="197" customFormat="1" ht="12.75" x14ac:dyDescent="0.2"/>
    <row r="32137" s="197" customFormat="1" ht="12.75" x14ac:dyDescent="0.2"/>
    <row r="32138" s="197" customFormat="1" ht="12.75" x14ac:dyDescent="0.2"/>
    <row r="32139" s="197" customFormat="1" ht="12.75" x14ac:dyDescent="0.2"/>
    <row r="32140" s="197" customFormat="1" ht="12.75" x14ac:dyDescent="0.2"/>
    <row r="32141" s="197" customFormat="1" ht="12.75" x14ac:dyDescent="0.2"/>
    <row r="32142" s="197" customFormat="1" ht="12.75" x14ac:dyDescent="0.2"/>
    <row r="32143" s="197" customFormat="1" ht="12.75" x14ac:dyDescent="0.2"/>
    <row r="32144" s="197" customFormat="1" ht="12.75" x14ac:dyDescent="0.2"/>
    <row r="32145" s="197" customFormat="1" ht="12.75" x14ac:dyDescent="0.2"/>
    <row r="32146" s="197" customFormat="1" ht="12.75" x14ac:dyDescent="0.2"/>
    <row r="32147" s="197" customFormat="1" ht="12.75" x14ac:dyDescent="0.2"/>
    <row r="32148" s="197" customFormat="1" ht="12.75" x14ac:dyDescent="0.2"/>
    <row r="32149" s="197" customFormat="1" ht="12.75" x14ac:dyDescent="0.2"/>
    <row r="32150" s="197" customFormat="1" ht="12.75" x14ac:dyDescent="0.2"/>
    <row r="32151" s="197" customFormat="1" ht="12.75" x14ac:dyDescent="0.2"/>
    <row r="32152" s="197" customFormat="1" ht="12.75" x14ac:dyDescent="0.2"/>
    <row r="32153" s="197" customFormat="1" ht="12.75" x14ac:dyDescent="0.2"/>
    <row r="32154" s="197" customFormat="1" ht="12.75" x14ac:dyDescent="0.2"/>
    <row r="32155" s="197" customFormat="1" ht="12.75" x14ac:dyDescent="0.2"/>
    <row r="32156" s="197" customFormat="1" ht="12.75" x14ac:dyDescent="0.2"/>
    <row r="32157" s="197" customFormat="1" ht="12.75" x14ac:dyDescent="0.2"/>
    <row r="32158" s="197" customFormat="1" ht="12.75" x14ac:dyDescent="0.2"/>
    <row r="32159" s="197" customFormat="1" ht="12.75" x14ac:dyDescent="0.2"/>
    <row r="32160" s="197" customFormat="1" ht="12.75" x14ac:dyDescent="0.2"/>
    <row r="32161" s="197" customFormat="1" ht="12.75" x14ac:dyDescent="0.2"/>
    <row r="32162" s="197" customFormat="1" ht="12.75" x14ac:dyDescent="0.2"/>
    <row r="32163" s="197" customFormat="1" ht="12.75" x14ac:dyDescent="0.2"/>
    <row r="32164" s="197" customFormat="1" ht="12.75" x14ac:dyDescent="0.2"/>
    <row r="32165" s="197" customFormat="1" ht="12.75" x14ac:dyDescent="0.2"/>
    <row r="32166" s="197" customFormat="1" ht="12.75" x14ac:dyDescent="0.2"/>
    <row r="32167" s="197" customFormat="1" ht="12.75" x14ac:dyDescent="0.2"/>
    <row r="32168" s="197" customFormat="1" ht="12.75" x14ac:dyDescent="0.2"/>
    <row r="32169" s="197" customFormat="1" ht="12.75" x14ac:dyDescent="0.2"/>
    <row r="32170" s="197" customFormat="1" ht="12.75" x14ac:dyDescent="0.2"/>
    <row r="32171" s="197" customFormat="1" ht="12.75" x14ac:dyDescent="0.2"/>
    <row r="32172" s="197" customFormat="1" ht="12.75" x14ac:dyDescent="0.2"/>
    <row r="32173" s="197" customFormat="1" ht="12.75" x14ac:dyDescent="0.2"/>
    <row r="32174" s="197" customFormat="1" ht="12.75" x14ac:dyDescent="0.2"/>
    <row r="32175" s="197" customFormat="1" ht="12.75" x14ac:dyDescent="0.2"/>
    <row r="32176" s="197" customFormat="1" ht="12.75" x14ac:dyDescent="0.2"/>
    <row r="32177" s="197" customFormat="1" ht="12.75" x14ac:dyDescent="0.2"/>
    <row r="32178" s="197" customFormat="1" ht="12.75" x14ac:dyDescent="0.2"/>
    <row r="32179" s="197" customFormat="1" ht="12.75" x14ac:dyDescent="0.2"/>
    <row r="32180" s="197" customFormat="1" ht="12.75" x14ac:dyDescent="0.2"/>
    <row r="32181" s="197" customFormat="1" ht="12.75" x14ac:dyDescent="0.2"/>
    <row r="32182" s="197" customFormat="1" ht="12.75" x14ac:dyDescent="0.2"/>
    <row r="32183" s="197" customFormat="1" ht="12.75" x14ac:dyDescent="0.2"/>
    <row r="32184" s="197" customFormat="1" ht="12.75" x14ac:dyDescent="0.2"/>
    <row r="32185" s="197" customFormat="1" ht="12.75" x14ac:dyDescent="0.2"/>
    <row r="32186" s="197" customFormat="1" ht="12.75" x14ac:dyDescent="0.2"/>
    <row r="32187" s="197" customFormat="1" ht="12.75" x14ac:dyDescent="0.2"/>
    <row r="32188" s="197" customFormat="1" ht="12.75" x14ac:dyDescent="0.2"/>
    <row r="32189" s="197" customFormat="1" ht="12.75" x14ac:dyDescent="0.2"/>
    <row r="32190" s="197" customFormat="1" ht="12.75" x14ac:dyDescent="0.2"/>
    <row r="32191" s="197" customFormat="1" ht="12.75" x14ac:dyDescent="0.2"/>
    <row r="32192" s="197" customFormat="1" ht="12.75" x14ac:dyDescent="0.2"/>
    <row r="32193" s="197" customFormat="1" ht="12.75" x14ac:dyDescent="0.2"/>
    <row r="32194" s="197" customFormat="1" ht="12.75" x14ac:dyDescent="0.2"/>
    <row r="32195" s="197" customFormat="1" ht="12.75" x14ac:dyDescent="0.2"/>
    <row r="32196" s="197" customFormat="1" ht="12.75" x14ac:dyDescent="0.2"/>
    <row r="32197" s="197" customFormat="1" ht="12.75" x14ac:dyDescent="0.2"/>
    <row r="32198" s="197" customFormat="1" ht="12.75" x14ac:dyDescent="0.2"/>
    <row r="32199" s="197" customFormat="1" ht="12.75" x14ac:dyDescent="0.2"/>
    <row r="32200" s="197" customFormat="1" ht="12.75" x14ac:dyDescent="0.2"/>
    <row r="32201" s="197" customFormat="1" ht="12.75" x14ac:dyDescent="0.2"/>
    <row r="32202" s="197" customFormat="1" ht="12.75" x14ac:dyDescent="0.2"/>
    <row r="32203" s="197" customFormat="1" ht="12.75" x14ac:dyDescent="0.2"/>
    <row r="32204" s="197" customFormat="1" ht="12.75" x14ac:dyDescent="0.2"/>
    <row r="32205" s="197" customFormat="1" ht="12.75" x14ac:dyDescent="0.2"/>
    <row r="32206" s="197" customFormat="1" ht="12.75" x14ac:dyDescent="0.2"/>
    <row r="32207" s="197" customFormat="1" ht="12.75" x14ac:dyDescent="0.2"/>
    <row r="32208" s="197" customFormat="1" ht="12.75" x14ac:dyDescent="0.2"/>
    <row r="32209" s="197" customFormat="1" ht="12.75" x14ac:dyDescent="0.2"/>
    <row r="32210" s="197" customFormat="1" ht="12.75" x14ac:dyDescent="0.2"/>
    <row r="32211" s="197" customFormat="1" ht="12.75" x14ac:dyDescent="0.2"/>
    <row r="32212" s="197" customFormat="1" ht="12.75" x14ac:dyDescent="0.2"/>
    <row r="32213" s="197" customFormat="1" ht="12.75" x14ac:dyDescent="0.2"/>
    <row r="32214" s="197" customFormat="1" ht="12.75" x14ac:dyDescent="0.2"/>
    <row r="32215" s="197" customFormat="1" ht="12.75" x14ac:dyDescent="0.2"/>
    <row r="32216" s="197" customFormat="1" ht="12.75" x14ac:dyDescent="0.2"/>
    <row r="32217" s="197" customFormat="1" ht="12.75" x14ac:dyDescent="0.2"/>
    <row r="32218" s="197" customFormat="1" ht="12.75" x14ac:dyDescent="0.2"/>
    <row r="32219" s="197" customFormat="1" ht="12.75" x14ac:dyDescent="0.2"/>
    <row r="32220" s="197" customFormat="1" ht="12.75" x14ac:dyDescent="0.2"/>
    <row r="32221" s="197" customFormat="1" ht="12.75" x14ac:dyDescent="0.2"/>
    <row r="32222" s="197" customFormat="1" ht="12.75" x14ac:dyDescent="0.2"/>
    <row r="32223" s="197" customFormat="1" ht="12.75" x14ac:dyDescent="0.2"/>
    <row r="32224" s="197" customFormat="1" ht="12.75" x14ac:dyDescent="0.2"/>
    <row r="32225" s="197" customFormat="1" ht="12.75" x14ac:dyDescent="0.2"/>
    <row r="32226" s="197" customFormat="1" ht="12.75" x14ac:dyDescent="0.2"/>
    <row r="32227" s="197" customFormat="1" ht="12.75" x14ac:dyDescent="0.2"/>
    <row r="32228" s="197" customFormat="1" ht="12.75" x14ac:dyDescent="0.2"/>
    <row r="32229" s="197" customFormat="1" ht="12.75" x14ac:dyDescent="0.2"/>
    <row r="32230" s="197" customFormat="1" ht="12.75" x14ac:dyDescent="0.2"/>
    <row r="32231" s="197" customFormat="1" ht="12.75" x14ac:dyDescent="0.2"/>
    <row r="32232" s="197" customFormat="1" ht="12.75" x14ac:dyDescent="0.2"/>
    <row r="32233" s="197" customFormat="1" ht="12.75" x14ac:dyDescent="0.2"/>
    <row r="32234" s="197" customFormat="1" ht="12.75" x14ac:dyDescent="0.2"/>
    <row r="32235" s="197" customFormat="1" ht="12.75" x14ac:dyDescent="0.2"/>
    <row r="32236" s="197" customFormat="1" ht="12.75" x14ac:dyDescent="0.2"/>
    <row r="32237" s="197" customFormat="1" ht="12.75" x14ac:dyDescent="0.2"/>
    <row r="32238" s="197" customFormat="1" ht="12.75" x14ac:dyDescent="0.2"/>
    <row r="32239" s="197" customFormat="1" ht="12.75" x14ac:dyDescent="0.2"/>
    <row r="32240" s="197" customFormat="1" ht="12.75" x14ac:dyDescent="0.2"/>
    <row r="32241" s="197" customFormat="1" ht="12.75" x14ac:dyDescent="0.2"/>
    <row r="32242" s="197" customFormat="1" ht="12.75" x14ac:dyDescent="0.2"/>
    <row r="32243" s="197" customFormat="1" ht="12.75" x14ac:dyDescent="0.2"/>
    <row r="32244" s="197" customFormat="1" ht="12.75" x14ac:dyDescent="0.2"/>
    <row r="32245" s="197" customFormat="1" ht="12.75" x14ac:dyDescent="0.2"/>
    <row r="32246" s="197" customFormat="1" ht="12.75" x14ac:dyDescent="0.2"/>
    <row r="32247" s="197" customFormat="1" ht="12.75" x14ac:dyDescent="0.2"/>
    <row r="32248" s="197" customFormat="1" ht="12.75" x14ac:dyDescent="0.2"/>
    <row r="32249" s="197" customFormat="1" ht="12.75" x14ac:dyDescent="0.2"/>
    <row r="32250" s="197" customFormat="1" ht="12.75" x14ac:dyDescent="0.2"/>
    <row r="32251" s="197" customFormat="1" ht="12.75" x14ac:dyDescent="0.2"/>
    <row r="32252" s="197" customFormat="1" ht="12.75" x14ac:dyDescent="0.2"/>
    <row r="32253" s="197" customFormat="1" ht="12.75" x14ac:dyDescent="0.2"/>
    <row r="32254" s="197" customFormat="1" ht="12.75" x14ac:dyDescent="0.2"/>
    <row r="32255" s="197" customFormat="1" ht="12.75" x14ac:dyDescent="0.2"/>
    <row r="32256" s="197" customFormat="1" ht="12.75" x14ac:dyDescent="0.2"/>
    <row r="32257" s="197" customFormat="1" ht="12.75" x14ac:dyDescent="0.2"/>
    <row r="32258" s="197" customFormat="1" ht="12.75" x14ac:dyDescent="0.2"/>
    <row r="32259" s="197" customFormat="1" ht="12.75" x14ac:dyDescent="0.2"/>
    <row r="32260" s="197" customFormat="1" ht="12.75" x14ac:dyDescent="0.2"/>
    <row r="32261" s="197" customFormat="1" ht="12.75" x14ac:dyDescent="0.2"/>
    <row r="32262" s="197" customFormat="1" ht="12.75" x14ac:dyDescent="0.2"/>
    <row r="32263" s="197" customFormat="1" ht="12.75" x14ac:dyDescent="0.2"/>
    <row r="32264" s="197" customFormat="1" ht="12.75" x14ac:dyDescent="0.2"/>
    <row r="32265" s="197" customFormat="1" ht="12.75" x14ac:dyDescent="0.2"/>
    <row r="32266" s="197" customFormat="1" ht="12.75" x14ac:dyDescent="0.2"/>
    <row r="32267" s="197" customFormat="1" ht="12.75" x14ac:dyDescent="0.2"/>
    <row r="32268" s="197" customFormat="1" ht="12.75" x14ac:dyDescent="0.2"/>
    <row r="32269" s="197" customFormat="1" ht="12.75" x14ac:dyDescent="0.2"/>
    <row r="32270" s="197" customFormat="1" ht="12.75" x14ac:dyDescent="0.2"/>
    <row r="32271" s="197" customFormat="1" ht="12.75" x14ac:dyDescent="0.2"/>
    <row r="32272" s="197" customFormat="1" ht="12.75" x14ac:dyDescent="0.2"/>
    <row r="32273" s="197" customFormat="1" ht="12.75" x14ac:dyDescent="0.2"/>
    <row r="32274" s="197" customFormat="1" ht="12.75" x14ac:dyDescent="0.2"/>
    <row r="32275" s="197" customFormat="1" ht="12.75" x14ac:dyDescent="0.2"/>
    <row r="32276" s="197" customFormat="1" ht="12.75" x14ac:dyDescent="0.2"/>
    <row r="32277" s="197" customFormat="1" ht="12.75" x14ac:dyDescent="0.2"/>
    <row r="32278" s="197" customFormat="1" ht="12.75" x14ac:dyDescent="0.2"/>
    <row r="32279" s="197" customFormat="1" ht="12.75" x14ac:dyDescent="0.2"/>
    <row r="32280" s="197" customFormat="1" ht="12.75" x14ac:dyDescent="0.2"/>
    <row r="32281" s="197" customFormat="1" ht="12.75" x14ac:dyDescent="0.2"/>
    <row r="32282" s="197" customFormat="1" ht="12.75" x14ac:dyDescent="0.2"/>
    <row r="32283" s="197" customFormat="1" ht="12.75" x14ac:dyDescent="0.2"/>
    <row r="32284" s="197" customFormat="1" ht="12.75" x14ac:dyDescent="0.2"/>
    <row r="32285" s="197" customFormat="1" ht="12.75" x14ac:dyDescent="0.2"/>
    <row r="32286" s="197" customFormat="1" ht="12.75" x14ac:dyDescent="0.2"/>
    <row r="32287" s="197" customFormat="1" ht="12.75" x14ac:dyDescent="0.2"/>
    <row r="32288" s="197" customFormat="1" ht="12.75" x14ac:dyDescent="0.2"/>
    <row r="32289" s="197" customFormat="1" ht="12.75" x14ac:dyDescent="0.2"/>
    <row r="32290" s="197" customFormat="1" ht="12.75" x14ac:dyDescent="0.2"/>
    <row r="32291" s="197" customFormat="1" ht="12.75" x14ac:dyDescent="0.2"/>
    <row r="32292" s="197" customFormat="1" ht="12.75" x14ac:dyDescent="0.2"/>
    <row r="32293" s="197" customFormat="1" ht="12.75" x14ac:dyDescent="0.2"/>
    <row r="32294" s="197" customFormat="1" ht="12.75" x14ac:dyDescent="0.2"/>
    <row r="32295" s="197" customFormat="1" ht="12.75" x14ac:dyDescent="0.2"/>
    <row r="32296" s="197" customFormat="1" ht="12.75" x14ac:dyDescent="0.2"/>
    <row r="32297" s="197" customFormat="1" ht="12.75" x14ac:dyDescent="0.2"/>
    <row r="32298" s="197" customFormat="1" ht="12.75" x14ac:dyDescent="0.2"/>
    <row r="32299" s="197" customFormat="1" ht="12.75" x14ac:dyDescent="0.2"/>
    <row r="32300" s="197" customFormat="1" ht="12.75" x14ac:dyDescent="0.2"/>
    <row r="32301" s="197" customFormat="1" ht="12.75" x14ac:dyDescent="0.2"/>
    <row r="32302" s="197" customFormat="1" ht="12.75" x14ac:dyDescent="0.2"/>
    <row r="32303" s="197" customFormat="1" ht="12.75" x14ac:dyDescent="0.2"/>
    <row r="32304" s="197" customFormat="1" ht="12.75" x14ac:dyDescent="0.2"/>
    <row r="32305" s="197" customFormat="1" ht="12.75" x14ac:dyDescent="0.2"/>
    <row r="32306" s="197" customFormat="1" ht="12.75" x14ac:dyDescent="0.2"/>
    <row r="32307" s="197" customFormat="1" ht="12.75" x14ac:dyDescent="0.2"/>
    <row r="32308" s="197" customFormat="1" ht="12.75" x14ac:dyDescent="0.2"/>
    <row r="32309" s="197" customFormat="1" ht="12.75" x14ac:dyDescent="0.2"/>
    <row r="32310" s="197" customFormat="1" ht="12.75" x14ac:dyDescent="0.2"/>
    <row r="32311" s="197" customFormat="1" ht="12.75" x14ac:dyDescent="0.2"/>
    <row r="32312" s="197" customFormat="1" ht="12.75" x14ac:dyDescent="0.2"/>
    <row r="32313" s="197" customFormat="1" ht="12.75" x14ac:dyDescent="0.2"/>
    <row r="32314" s="197" customFormat="1" ht="12.75" x14ac:dyDescent="0.2"/>
    <row r="32315" s="197" customFormat="1" ht="12.75" x14ac:dyDescent="0.2"/>
    <row r="32316" s="197" customFormat="1" ht="12.75" x14ac:dyDescent="0.2"/>
    <row r="32317" s="197" customFormat="1" ht="12.75" x14ac:dyDescent="0.2"/>
    <row r="32318" s="197" customFormat="1" ht="12.75" x14ac:dyDescent="0.2"/>
    <row r="32319" s="197" customFormat="1" ht="12.75" x14ac:dyDescent="0.2"/>
    <row r="32320" s="197" customFormat="1" ht="12.75" x14ac:dyDescent="0.2"/>
    <row r="32321" s="197" customFormat="1" ht="12.75" x14ac:dyDescent="0.2"/>
    <row r="32322" s="197" customFormat="1" ht="12.75" x14ac:dyDescent="0.2"/>
    <row r="32323" s="197" customFormat="1" ht="12.75" x14ac:dyDescent="0.2"/>
    <row r="32324" s="197" customFormat="1" ht="12.75" x14ac:dyDescent="0.2"/>
    <row r="32325" s="197" customFormat="1" ht="12.75" x14ac:dyDescent="0.2"/>
    <row r="32326" s="197" customFormat="1" ht="12.75" x14ac:dyDescent="0.2"/>
    <row r="32327" s="197" customFormat="1" ht="12.75" x14ac:dyDescent="0.2"/>
    <row r="32328" s="197" customFormat="1" ht="12.75" x14ac:dyDescent="0.2"/>
    <row r="32329" s="197" customFormat="1" ht="12.75" x14ac:dyDescent="0.2"/>
    <row r="32330" s="197" customFormat="1" ht="12.75" x14ac:dyDescent="0.2"/>
    <row r="32331" s="197" customFormat="1" ht="12.75" x14ac:dyDescent="0.2"/>
    <row r="32332" s="197" customFormat="1" ht="12.75" x14ac:dyDescent="0.2"/>
    <row r="32333" s="197" customFormat="1" ht="12.75" x14ac:dyDescent="0.2"/>
    <row r="32334" s="197" customFormat="1" ht="12.75" x14ac:dyDescent="0.2"/>
    <row r="32335" s="197" customFormat="1" ht="12.75" x14ac:dyDescent="0.2"/>
    <row r="32336" s="197" customFormat="1" ht="12.75" x14ac:dyDescent="0.2"/>
    <row r="32337" s="197" customFormat="1" ht="12.75" x14ac:dyDescent="0.2"/>
    <row r="32338" s="197" customFormat="1" ht="12.75" x14ac:dyDescent="0.2"/>
    <row r="32339" s="197" customFormat="1" ht="12.75" x14ac:dyDescent="0.2"/>
    <row r="32340" s="197" customFormat="1" ht="12.75" x14ac:dyDescent="0.2"/>
    <row r="32341" s="197" customFormat="1" ht="12.75" x14ac:dyDescent="0.2"/>
    <row r="32342" s="197" customFormat="1" ht="12.75" x14ac:dyDescent="0.2"/>
    <row r="32343" s="197" customFormat="1" ht="12.75" x14ac:dyDescent="0.2"/>
    <row r="32344" s="197" customFormat="1" ht="12.75" x14ac:dyDescent="0.2"/>
    <row r="32345" s="197" customFormat="1" ht="12.75" x14ac:dyDescent="0.2"/>
    <row r="32346" s="197" customFormat="1" ht="12.75" x14ac:dyDescent="0.2"/>
    <row r="32347" s="197" customFormat="1" ht="12.75" x14ac:dyDescent="0.2"/>
    <row r="32348" s="197" customFormat="1" ht="12.75" x14ac:dyDescent="0.2"/>
    <row r="32349" s="197" customFormat="1" ht="12.75" x14ac:dyDescent="0.2"/>
    <row r="32350" s="197" customFormat="1" ht="12.75" x14ac:dyDescent="0.2"/>
    <row r="32351" s="197" customFormat="1" ht="12.75" x14ac:dyDescent="0.2"/>
    <row r="32352" s="197" customFormat="1" ht="12.75" x14ac:dyDescent="0.2"/>
    <row r="32353" s="197" customFormat="1" ht="12.75" x14ac:dyDescent="0.2"/>
    <row r="32354" s="197" customFormat="1" ht="12.75" x14ac:dyDescent="0.2"/>
    <row r="32355" s="197" customFormat="1" ht="12.75" x14ac:dyDescent="0.2"/>
    <row r="32356" s="197" customFormat="1" ht="12.75" x14ac:dyDescent="0.2"/>
    <row r="32357" s="197" customFormat="1" ht="12.75" x14ac:dyDescent="0.2"/>
    <row r="32358" s="197" customFormat="1" ht="12.75" x14ac:dyDescent="0.2"/>
    <row r="32359" s="197" customFormat="1" ht="12.75" x14ac:dyDescent="0.2"/>
    <row r="32360" s="197" customFormat="1" ht="12.75" x14ac:dyDescent="0.2"/>
    <row r="32361" s="197" customFormat="1" ht="12.75" x14ac:dyDescent="0.2"/>
    <row r="32362" s="197" customFormat="1" ht="12.75" x14ac:dyDescent="0.2"/>
    <row r="32363" s="197" customFormat="1" ht="12.75" x14ac:dyDescent="0.2"/>
    <row r="32364" s="197" customFormat="1" ht="12.75" x14ac:dyDescent="0.2"/>
    <row r="32365" s="197" customFormat="1" ht="12.75" x14ac:dyDescent="0.2"/>
    <row r="32366" s="197" customFormat="1" ht="12.75" x14ac:dyDescent="0.2"/>
    <row r="32367" s="197" customFormat="1" ht="12.75" x14ac:dyDescent="0.2"/>
    <row r="32368" s="197" customFormat="1" ht="12.75" x14ac:dyDescent="0.2"/>
    <row r="32369" s="197" customFormat="1" ht="12.75" x14ac:dyDescent="0.2"/>
    <row r="32370" s="197" customFormat="1" ht="12.75" x14ac:dyDescent="0.2"/>
    <row r="32371" s="197" customFormat="1" ht="12.75" x14ac:dyDescent="0.2"/>
    <row r="32372" s="197" customFormat="1" ht="12.75" x14ac:dyDescent="0.2"/>
    <row r="32373" s="197" customFormat="1" ht="12.75" x14ac:dyDescent="0.2"/>
    <row r="32374" s="197" customFormat="1" ht="12.75" x14ac:dyDescent="0.2"/>
    <row r="32375" s="197" customFormat="1" ht="12.75" x14ac:dyDescent="0.2"/>
    <row r="32376" s="197" customFormat="1" ht="12.75" x14ac:dyDescent="0.2"/>
    <row r="32377" s="197" customFormat="1" ht="12.75" x14ac:dyDescent="0.2"/>
    <row r="32378" s="197" customFormat="1" ht="12.75" x14ac:dyDescent="0.2"/>
    <row r="32379" s="197" customFormat="1" ht="12.75" x14ac:dyDescent="0.2"/>
    <row r="32380" s="197" customFormat="1" ht="12.75" x14ac:dyDescent="0.2"/>
    <row r="32381" s="197" customFormat="1" ht="12.75" x14ac:dyDescent="0.2"/>
    <row r="32382" s="197" customFormat="1" ht="12.75" x14ac:dyDescent="0.2"/>
    <row r="32383" s="197" customFormat="1" ht="12.75" x14ac:dyDescent="0.2"/>
    <row r="32384" s="197" customFormat="1" ht="12.75" x14ac:dyDescent="0.2"/>
    <row r="32385" s="197" customFormat="1" ht="12.75" x14ac:dyDescent="0.2"/>
    <row r="32386" s="197" customFormat="1" ht="12.75" x14ac:dyDescent="0.2"/>
    <row r="32387" s="197" customFormat="1" ht="12.75" x14ac:dyDescent="0.2"/>
    <row r="32388" s="197" customFormat="1" ht="12.75" x14ac:dyDescent="0.2"/>
    <row r="32389" s="197" customFormat="1" ht="12.75" x14ac:dyDescent="0.2"/>
    <row r="32390" s="197" customFormat="1" ht="12.75" x14ac:dyDescent="0.2"/>
    <row r="32391" s="197" customFormat="1" ht="12.75" x14ac:dyDescent="0.2"/>
    <row r="32392" s="197" customFormat="1" ht="12.75" x14ac:dyDescent="0.2"/>
    <row r="32393" s="197" customFormat="1" ht="12.75" x14ac:dyDescent="0.2"/>
    <row r="32394" s="197" customFormat="1" ht="12.75" x14ac:dyDescent="0.2"/>
    <row r="32395" s="197" customFormat="1" ht="12.75" x14ac:dyDescent="0.2"/>
    <row r="32396" s="197" customFormat="1" ht="12.75" x14ac:dyDescent="0.2"/>
    <row r="32397" s="197" customFormat="1" ht="12.75" x14ac:dyDescent="0.2"/>
    <row r="32398" s="197" customFormat="1" ht="12.75" x14ac:dyDescent="0.2"/>
    <row r="32399" s="197" customFormat="1" ht="12.75" x14ac:dyDescent="0.2"/>
    <row r="32400" s="197" customFormat="1" ht="12.75" x14ac:dyDescent="0.2"/>
    <row r="32401" s="197" customFormat="1" ht="12.75" x14ac:dyDescent="0.2"/>
    <row r="32402" s="197" customFormat="1" ht="12.75" x14ac:dyDescent="0.2"/>
    <row r="32403" s="197" customFormat="1" ht="12.75" x14ac:dyDescent="0.2"/>
    <row r="32404" s="197" customFormat="1" ht="12.75" x14ac:dyDescent="0.2"/>
    <row r="32405" s="197" customFormat="1" ht="12.75" x14ac:dyDescent="0.2"/>
    <row r="32406" s="197" customFormat="1" ht="12.75" x14ac:dyDescent="0.2"/>
    <row r="32407" s="197" customFormat="1" ht="12.75" x14ac:dyDescent="0.2"/>
    <row r="32408" s="197" customFormat="1" ht="12.75" x14ac:dyDescent="0.2"/>
    <row r="32409" s="197" customFormat="1" ht="12.75" x14ac:dyDescent="0.2"/>
    <row r="32410" s="197" customFormat="1" ht="12.75" x14ac:dyDescent="0.2"/>
    <row r="32411" s="197" customFormat="1" ht="12.75" x14ac:dyDescent="0.2"/>
    <row r="32412" s="197" customFormat="1" ht="12.75" x14ac:dyDescent="0.2"/>
    <row r="32413" s="197" customFormat="1" ht="12.75" x14ac:dyDescent="0.2"/>
    <row r="32414" s="197" customFormat="1" ht="12.75" x14ac:dyDescent="0.2"/>
    <row r="32415" s="197" customFormat="1" ht="12.75" x14ac:dyDescent="0.2"/>
    <row r="32416" s="197" customFormat="1" ht="12.75" x14ac:dyDescent="0.2"/>
    <row r="32417" s="197" customFormat="1" ht="12.75" x14ac:dyDescent="0.2"/>
    <row r="32418" s="197" customFormat="1" ht="12.75" x14ac:dyDescent="0.2"/>
    <row r="32419" s="197" customFormat="1" ht="12.75" x14ac:dyDescent="0.2"/>
    <row r="32420" s="197" customFormat="1" ht="12.75" x14ac:dyDescent="0.2"/>
    <row r="32421" s="197" customFormat="1" ht="12.75" x14ac:dyDescent="0.2"/>
    <row r="32422" s="197" customFormat="1" ht="12.75" x14ac:dyDescent="0.2"/>
    <row r="32423" s="197" customFormat="1" ht="12.75" x14ac:dyDescent="0.2"/>
    <row r="32424" s="197" customFormat="1" ht="12.75" x14ac:dyDescent="0.2"/>
    <row r="32425" s="197" customFormat="1" ht="12.75" x14ac:dyDescent="0.2"/>
    <row r="32426" s="197" customFormat="1" ht="12.75" x14ac:dyDescent="0.2"/>
    <row r="32427" s="197" customFormat="1" ht="12.75" x14ac:dyDescent="0.2"/>
    <row r="32428" s="197" customFormat="1" ht="12.75" x14ac:dyDescent="0.2"/>
    <row r="32429" s="197" customFormat="1" ht="12.75" x14ac:dyDescent="0.2"/>
    <row r="32430" s="197" customFormat="1" ht="12.75" x14ac:dyDescent="0.2"/>
    <row r="32431" s="197" customFormat="1" ht="12.75" x14ac:dyDescent="0.2"/>
    <row r="32432" s="197" customFormat="1" ht="12.75" x14ac:dyDescent="0.2"/>
    <row r="32433" s="197" customFormat="1" ht="12.75" x14ac:dyDescent="0.2"/>
    <row r="32434" s="197" customFormat="1" ht="12.75" x14ac:dyDescent="0.2"/>
    <row r="32435" s="197" customFormat="1" ht="12.75" x14ac:dyDescent="0.2"/>
    <row r="32436" s="197" customFormat="1" ht="12.75" x14ac:dyDescent="0.2"/>
    <row r="32437" s="197" customFormat="1" ht="12.75" x14ac:dyDescent="0.2"/>
    <row r="32438" s="197" customFormat="1" ht="12.75" x14ac:dyDescent="0.2"/>
    <row r="32439" s="197" customFormat="1" ht="12.75" x14ac:dyDescent="0.2"/>
    <row r="32440" s="197" customFormat="1" ht="12.75" x14ac:dyDescent="0.2"/>
    <row r="32441" s="197" customFormat="1" ht="12.75" x14ac:dyDescent="0.2"/>
    <row r="32442" s="197" customFormat="1" ht="12.75" x14ac:dyDescent="0.2"/>
    <row r="32443" s="197" customFormat="1" ht="12.75" x14ac:dyDescent="0.2"/>
    <row r="32444" s="197" customFormat="1" ht="12.75" x14ac:dyDescent="0.2"/>
    <row r="32445" s="197" customFormat="1" ht="12.75" x14ac:dyDescent="0.2"/>
    <row r="32446" s="197" customFormat="1" ht="12.75" x14ac:dyDescent="0.2"/>
    <row r="32447" s="197" customFormat="1" ht="12.75" x14ac:dyDescent="0.2"/>
    <row r="32448" s="197" customFormat="1" ht="12.75" x14ac:dyDescent="0.2"/>
    <row r="32449" s="197" customFormat="1" ht="12.75" x14ac:dyDescent="0.2"/>
    <row r="32450" s="197" customFormat="1" ht="12.75" x14ac:dyDescent="0.2"/>
    <row r="32451" s="197" customFormat="1" ht="12.75" x14ac:dyDescent="0.2"/>
    <row r="32452" s="197" customFormat="1" ht="12.75" x14ac:dyDescent="0.2"/>
    <row r="32453" s="197" customFormat="1" ht="12.75" x14ac:dyDescent="0.2"/>
    <row r="32454" s="197" customFormat="1" ht="12.75" x14ac:dyDescent="0.2"/>
    <row r="32455" s="197" customFormat="1" ht="12.75" x14ac:dyDescent="0.2"/>
    <row r="32456" s="197" customFormat="1" ht="12.75" x14ac:dyDescent="0.2"/>
    <row r="32457" s="197" customFormat="1" ht="12.75" x14ac:dyDescent="0.2"/>
    <row r="32458" s="197" customFormat="1" ht="12.75" x14ac:dyDescent="0.2"/>
    <row r="32459" s="197" customFormat="1" ht="12.75" x14ac:dyDescent="0.2"/>
    <row r="32460" s="197" customFormat="1" ht="12.75" x14ac:dyDescent="0.2"/>
    <row r="32461" s="197" customFormat="1" ht="12.75" x14ac:dyDescent="0.2"/>
    <row r="32462" s="197" customFormat="1" ht="12.75" x14ac:dyDescent="0.2"/>
    <row r="32463" s="197" customFormat="1" ht="12.75" x14ac:dyDescent="0.2"/>
    <row r="32464" s="197" customFormat="1" ht="12.75" x14ac:dyDescent="0.2"/>
    <row r="32465" s="197" customFormat="1" ht="12.75" x14ac:dyDescent="0.2"/>
    <row r="32466" s="197" customFormat="1" ht="12.75" x14ac:dyDescent="0.2"/>
    <row r="32467" s="197" customFormat="1" ht="12.75" x14ac:dyDescent="0.2"/>
    <row r="32468" s="197" customFormat="1" ht="12.75" x14ac:dyDescent="0.2"/>
    <row r="32469" s="197" customFormat="1" ht="12.75" x14ac:dyDescent="0.2"/>
    <row r="32470" s="197" customFormat="1" ht="12.75" x14ac:dyDescent="0.2"/>
    <row r="32471" s="197" customFormat="1" ht="12.75" x14ac:dyDescent="0.2"/>
    <row r="32472" s="197" customFormat="1" ht="12.75" x14ac:dyDescent="0.2"/>
    <row r="32473" s="197" customFormat="1" ht="12.75" x14ac:dyDescent="0.2"/>
    <row r="32474" s="197" customFormat="1" ht="12.75" x14ac:dyDescent="0.2"/>
    <row r="32475" s="197" customFormat="1" ht="12.75" x14ac:dyDescent="0.2"/>
    <row r="32476" s="197" customFormat="1" ht="12.75" x14ac:dyDescent="0.2"/>
    <row r="32477" s="197" customFormat="1" ht="12.75" x14ac:dyDescent="0.2"/>
    <row r="32478" s="197" customFormat="1" ht="12.75" x14ac:dyDescent="0.2"/>
    <row r="32479" s="197" customFormat="1" ht="12.75" x14ac:dyDescent="0.2"/>
    <row r="32480" s="197" customFormat="1" ht="12.75" x14ac:dyDescent="0.2"/>
    <row r="32481" s="197" customFormat="1" ht="12.75" x14ac:dyDescent="0.2"/>
    <row r="32482" s="197" customFormat="1" ht="12.75" x14ac:dyDescent="0.2"/>
    <row r="32483" s="197" customFormat="1" ht="12.75" x14ac:dyDescent="0.2"/>
    <row r="32484" s="197" customFormat="1" ht="12.75" x14ac:dyDescent="0.2"/>
    <row r="32485" s="197" customFormat="1" ht="12.75" x14ac:dyDescent="0.2"/>
    <row r="32486" s="197" customFormat="1" ht="12.75" x14ac:dyDescent="0.2"/>
    <row r="32487" s="197" customFormat="1" ht="12.75" x14ac:dyDescent="0.2"/>
    <row r="32488" s="197" customFormat="1" ht="12.75" x14ac:dyDescent="0.2"/>
    <row r="32489" s="197" customFormat="1" ht="12.75" x14ac:dyDescent="0.2"/>
    <row r="32490" s="197" customFormat="1" ht="12.75" x14ac:dyDescent="0.2"/>
    <row r="32491" s="197" customFormat="1" ht="12.75" x14ac:dyDescent="0.2"/>
    <row r="32492" s="197" customFormat="1" ht="12.75" x14ac:dyDescent="0.2"/>
    <row r="32493" s="197" customFormat="1" ht="12.75" x14ac:dyDescent="0.2"/>
    <row r="32494" s="197" customFormat="1" ht="12.75" x14ac:dyDescent="0.2"/>
    <row r="32495" s="197" customFormat="1" ht="12.75" x14ac:dyDescent="0.2"/>
    <row r="32496" s="197" customFormat="1" ht="12.75" x14ac:dyDescent="0.2"/>
    <row r="32497" s="197" customFormat="1" ht="12.75" x14ac:dyDescent="0.2"/>
    <row r="32498" s="197" customFormat="1" ht="12.75" x14ac:dyDescent="0.2"/>
    <row r="32499" s="197" customFormat="1" ht="12.75" x14ac:dyDescent="0.2"/>
    <row r="32500" s="197" customFormat="1" ht="12.75" x14ac:dyDescent="0.2"/>
    <row r="32501" s="197" customFormat="1" ht="12.75" x14ac:dyDescent="0.2"/>
    <row r="32502" s="197" customFormat="1" ht="12.75" x14ac:dyDescent="0.2"/>
    <row r="32503" s="197" customFormat="1" ht="12.75" x14ac:dyDescent="0.2"/>
    <row r="32504" s="197" customFormat="1" ht="12.75" x14ac:dyDescent="0.2"/>
    <row r="32505" s="197" customFormat="1" ht="12.75" x14ac:dyDescent="0.2"/>
    <row r="32506" s="197" customFormat="1" ht="12.75" x14ac:dyDescent="0.2"/>
    <row r="32507" s="197" customFormat="1" ht="12.75" x14ac:dyDescent="0.2"/>
    <row r="32508" s="197" customFormat="1" ht="12.75" x14ac:dyDescent="0.2"/>
    <row r="32509" s="197" customFormat="1" ht="12.75" x14ac:dyDescent="0.2"/>
    <row r="32510" s="197" customFormat="1" ht="12.75" x14ac:dyDescent="0.2"/>
    <row r="32511" s="197" customFormat="1" ht="12.75" x14ac:dyDescent="0.2"/>
    <row r="32512" s="197" customFormat="1" ht="12.75" x14ac:dyDescent="0.2"/>
    <row r="32513" s="197" customFormat="1" ht="12.75" x14ac:dyDescent="0.2"/>
    <row r="32514" s="197" customFormat="1" ht="12.75" x14ac:dyDescent="0.2"/>
    <row r="32515" s="197" customFormat="1" ht="12.75" x14ac:dyDescent="0.2"/>
    <row r="32516" s="197" customFormat="1" ht="12.75" x14ac:dyDescent="0.2"/>
    <row r="32517" s="197" customFormat="1" ht="12.75" x14ac:dyDescent="0.2"/>
    <row r="32518" s="197" customFormat="1" ht="12.75" x14ac:dyDescent="0.2"/>
    <row r="32519" s="197" customFormat="1" ht="12.75" x14ac:dyDescent="0.2"/>
    <row r="32520" s="197" customFormat="1" ht="12.75" x14ac:dyDescent="0.2"/>
    <row r="32521" s="197" customFormat="1" ht="12.75" x14ac:dyDescent="0.2"/>
    <row r="32522" s="197" customFormat="1" ht="12.75" x14ac:dyDescent="0.2"/>
    <row r="32523" s="197" customFormat="1" ht="12.75" x14ac:dyDescent="0.2"/>
    <row r="32524" s="197" customFormat="1" ht="12.75" x14ac:dyDescent="0.2"/>
    <row r="32525" s="197" customFormat="1" ht="12.75" x14ac:dyDescent="0.2"/>
    <row r="32526" s="197" customFormat="1" ht="12.75" x14ac:dyDescent="0.2"/>
    <row r="32527" s="197" customFormat="1" ht="12.75" x14ac:dyDescent="0.2"/>
    <row r="32528" s="197" customFormat="1" ht="12.75" x14ac:dyDescent="0.2"/>
    <row r="32529" s="197" customFormat="1" ht="12.75" x14ac:dyDescent="0.2"/>
    <row r="32530" s="197" customFormat="1" ht="12.75" x14ac:dyDescent="0.2"/>
    <row r="32531" s="197" customFormat="1" ht="12.75" x14ac:dyDescent="0.2"/>
    <row r="32532" s="197" customFormat="1" ht="12.75" x14ac:dyDescent="0.2"/>
    <row r="32533" s="197" customFormat="1" ht="12.75" x14ac:dyDescent="0.2"/>
    <row r="32534" s="197" customFormat="1" ht="12.75" x14ac:dyDescent="0.2"/>
    <row r="32535" s="197" customFormat="1" ht="12.75" x14ac:dyDescent="0.2"/>
    <row r="32536" s="197" customFormat="1" ht="12.75" x14ac:dyDescent="0.2"/>
    <row r="32537" s="197" customFormat="1" ht="12.75" x14ac:dyDescent="0.2"/>
    <row r="32538" s="197" customFormat="1" ht="12.75" x14ac:dyDescent="0.2"/>
    <row r="32539" s="197" customFormat="1" ht="12.75" x14ac:dyDescent="0.2"/>
    <row r="32540" s="197" customFormat="1" ht="12.75" x14ac:dyDescent="0.2"/>
    <row r="32541" s="197" customFormat="1" ht="12.75" x14ac:dyDescent="0.2"/>
    <row r="32542" s="197" customFormat="1" ht="12.75" x14ac:dyDescent="0.2"/>
    <row r="32543" s="197" customFormat="1" ht="12.75" x14ac:dyDescent="0.2"/>
    <row r="32544" s="197" customFormat="1" ht="12.75" x14ac:dyDescent="0.2"/>
    <row r="32545" s="197" customFormat="1" ht="12.75" x14ac:dyDescent="0.2"/>
    <row r="32546" s="197" customFormat="1" ht="12.75" x14ac:dyDescent="0.2"/>
    <row r="32547" s="197" customFormat="1" ht="12.75" x14ac:dyDescent="0.2"/>
    <row r="32548" s="197" customFormat="1" ht="12.75" x14ac:dyDescent="0.2"/>
    <row r="32549" s="197" customFormat="1" ht="12.75" x14ac:dyDescent="0.2"/>
    <row r="32550" s="197" customFormat="1" ht="12.75" x14ac:dyDescent="0.2"/>
    <row r="32551" s="197" customFormat="1" ht="12.75" x14ac:dyDescent="0.2"/>
    <row r="32552" s="197" customFormat="1" ht="12.75" x14ac:dyDescent="0.2"/>
    <row r="32553" s="197" customFormat="1" ht="12.75" x14ac:dyDescent="0.2"/>
    <row r="32554" s="197" customFormat="1" ht="12.75" x14ac:dyDescent="0.2"/>
    <row r="32555" s="197" customFormat="1" ht="12.75" x14ac:dyDescent="0.2"/>
    <row r="32556" s="197" customFormat="1" ht="12.75" x14ac:dyDescent="0.2"/>
    <row r="32557" s="197" customFormat="1" ht="12.75" x14ac:dyDescent="0.2"/>
    <row r="32558" s="197" customFormat="1" ht="12.75" x14ac:dyDescent="0.2"/>
    <row r="32559" s="197" customFormat="1" ht="12.75" x14ac:dyDescent="0.2"/>
    <row r="32560" s="197" customFormat="1" ht="12.75" x14ac:dyDescent="0.2"/>
    <row r="32561" s="197" customFormat="1" ht="12.75" x14ac:dyDescent="0.2"/>
    <row r="32562" s="197" customFormat="1" ht="12.75" x14ac:dyDescent="0.2"/>
    <row r="32563" s="197" customFormat="1" ht="12.75" x14ac:dyDescent="0.2"/>
    <row r="32564" s="197" customFormat="1" ht="12.75" x14ac:dyDescent="0.2"/>
    <row r="32565" s="197" customFormat="1" ht="12.75" x14ac:dyDescent="0.2"/>
    <row r="32566" s="197" customFormat="1" ht="12.75" x14ac:dyDescent="0.2"/>
    <row r="32567" s="197" customFormat="1" ht="12.75" x14ac:dyDescent="0.2"/>
    <row r="32568" s="197" customFormat="1" ht="12.75" x14ac:dyDescent="0.2"/>
    <row r="32569" s="197" customFormat="1" ht="12.75" x14ac:dyDescent="0.2"/>
    <row r="32570" s="197" customFormat="1" ht="12.75" x14ac:dyDescent="0.2"/>
    <row r="32571" s="197" customFormat="1" ht="12.75" x14ac:dyDescent="0.2"/>
    <row r="32572" s="197" customFormat="1" ht="12.75" x14ac:dyDescent="0.2"/>
    <row r="32573" s="197" customFormat="1" ht="12.75" x14ac:dyDescent="0.2"/>
    <row r="32574" s="197" customFormat="1" ht="12.75" x14ac:dyDescent="0.2"/>
    <row r="32575" s="197" customFormat="1" ht="12.75" x14ac:dyDescent="0.2"/>
    <row r="32576" s="197" customFormat="1" ht="12.75" x14ac:dyDescent="0.2"/>
    <row r="32577" s="197" customFormat="1" ht="12.75" x14ac:dyDescent="0.2"/>
    <row r="32578" s="197" customFormat="1" ht="12.75" x14ac:dyDescent="0.2"/>
    <row r="32579" s="197" customFormat="1" ht="12.75" x14ac:dyDescent="0.2"/>
    <row r="32580" s="197" customFormat="1" ht="12.75" x14ac:dyDescent="0.2"/>
    <row r="32581" s="197" customFormat="1" ht="12.75" x14ac:dyDescent="0.2"/>
    <row r="32582" s="197" customFormat="1" ht="12.75" x14ac:dyDescent="0.2"/>
    <row r="32583" s="197" customFormat="1" ht="12.75" x14ac:dyDescent="0.2"/>
    <row r="32584" s="197" customFormat="1" ht="12.75" x14ac:dyDescent="0.2"/>
    <row r="32585" s="197" customFormat="1" ht="12.75" x14ac:dyDescent="0.2"/>
    <row r="32586" s="197" customFormat="1" ht="12.75" x14ac:dyDescent="0.2"/>
    <row r="32587" s="197" customFormat="1" ht="12.75" x14ac:dyDescent="0.2"/>
    <row r="32588" s="197" customFormat="1" ht="12.75" x14ac:dyDescent="0.2"/>
    <row r="32589" s="197" customFormat="1" ht="12.75" x14ac:dyDescent="0.2"/>
    <row r="32590" s="197" customFormat="1" ht="12.75" x14ac:dyDescent="0.2"/>
    <row r="32591" s="197" customFormat="1" ht="12.75" x14ac:dyDescent="0.2"/>
    <row r="32592" s="197" customFormat="1" ht="12.75" x14ac:dyDescent="0.2"/>
    <row r="32593" s="197" customFormat="1" ht="12.75" x14ac:dyDescent="0.2"/>
    <row r="32594" s="197" customFormat="1" ht="12.75" x14ac:dyDescent="0.2"/>
    <row r="32595" s="197" customFormat="1" ht="12.75" x14ac:dyDescent="0.2"/>
    <row r="32596" s="197" customFormat="1" ht="12.75" x14ac:dyDescent="0.2"/>
    <row r="32597" s="197" customFormat="1" ht="12.75" x14ac:dyDescent="0.2"/>
    <row r="32598" s="197" customFormat="1" ht="12.75" x14ac:dyDescent="0.2"/>
    <row r="32599" s="197" customFormat="1" ht="12.75" x14ac:dyDescent="0.2"/>
    <row r="32600" s="197" customFormat="1" ht="12.75" x14ac:dyDescent="0.2"/>
    <row r="32601" s="197" customFormat="1" ht="12.75" x14ac:dyDescent="0.2"/>
    <row r="32602" s="197" customFormat="1" ht="12.75" x14ac:dyDescent="0.2"/>
    <row r="32603" s="197" customFormat="1" ht="12.75" x14ac:dyDescent="0.2"/>
    <row r="32604" s="197" customFormat="1" ht="12.75" x14ac:dyDescent="0.2"/>
    <row r="32605" s="197" customFormat="1" ht="12.75" x14ac:dyDescent="0.2"/>
    <row r="32606" s="197" customFormat="1" ht="12.75" x14ac:dyDescent="0.2"/>
    <row r="32607" s="197" customFormat="1" ht="12.75" x14ac:dyDescent="0.2"/>
    <row r="32608" s="197" customFormat="1" ht="12.75" x14ac:dyDescent="0.2"/>
    <row r="32609" s="197" customFormat="1" ht="12.75" x14ac:dyDescent="0.2"/>
    <row r="32610" s="197" customFormat="1" ht="12.75" x14ac:dyDescent="0.2"/>
    <row r="32611" s="197" customFormat="1" ht="12.75" x14ac:dyDescent="0.2"/>
    <row r="32612" s="197" customFormat="1" ht="12.75" x14ac:dyDescent="0.2"/>
    <row r="32613" s="197" customFormat="1" ht="12.75" x14ac:dyDescent="0.2"/>
    <row r="32614" s="197" customFormat="1" ht="12.75" x14ac:dyDescent="0.2"/>
    <row r="32615" s="197" customFormat="1" ht="12.75" x14ac:dyDescent="0.2"/>
    <row r="32616" s="197" customFormat="1" ht="12.75" x14ac:dyDescent="0.2"/>
    <row r="32617" s="197" customFormat="1" ht="12.75" x14ac:dyDescent="0.2"/>
    <row r="32618" s="197" customFormat="1" ht="12.75" x14ac:dyDescent="0.2"/>
    <row r="32619" s="197" customFormat="1" ht="12.75" x14ac:dyDescent="0.2"/>
    <row r="32620" s="197" customFormat="1" ht="12.75" x14ac:dyDescent="0.2"/>
    <row r="32621" s="197" customFormat="1" ht="12.75" x14ac:dyDescent="0.2"/>
    <row r="32622" s="197" customFormat="1" ht="12.75" x14ac:dyDescent="0.2"/>
    <row r="32623" s="197" customFormat="1" ht="12.75" x14ac:dyDescent="0.2"/>
    <row r="32624" s="197" customFormat="1" ht="12.75" x14ac:dyDescent="0.2"/>
    <row r="32625" s="197" customFormat="1" ht="12.75" x14ac:dyDescent="0.2"/>
    <row r="32626" s="197" customFormat="1" ht="12.75" x14ac:dyDescent="0.2"/>
    <row r="32627" s="197" customFormat="1" ht="12.75" x14ac:dyDescent="0.2"/>
    <row r="32628" s="197" customFormat="1" ht="12.75" x14ac:dyDescent="0.2"/>
    <row r="32629" s="197" customFormat="1" ht="12.75" x14ac:dyDescent="0.2"/>
    <row r="32630" s="197" customFormat="1" ht="12.75" x14ac:dyDescent="0.2"/>
    <row r="32631" s="197" customFormat="1" ht="12.75" x14ac:dyDescent="0.2"/>
    <row r="32632" s="197" customFormat="1" ht="12.75" x14ac:dyDescent="0.2"/>
    <row r="32633" s="197" customFormat="1" ht="12.75" x14ac:dyDescent="0.2"/>
    <row r="32634" s="197" customFormat="1" ht="12.75" x14ac:dyDescent="0.2"/>
    <row r="32635" s="197" customFormat="1" ht="12.75" x14ac:dyDescent="0.2"/>
    <row r="32636" s="197" customFormat="1" ht="12.75" x14ac:dyDescent="0.2"/>
    <row r="32637" s="197" customFormat="1" ht="12.75" x14ac:dyDescent="0.2"/>
    <row r="32638" s="197" customFormat="1" ht="12.75" x14ac:dyDescent="0.2"/>
    <row r="32639" s="197" customFormat="1" ht="12.75" x14ac:dyDescent="0.2"/>
    <row r="32640" s="197" customFormat="1" ht="12.75" x14ac:dyDescent="0.2"/>
    <row r="32641" s="197" customFormat="1" ht="12.75" x14ac:dyDescent="0.2"/>
    <row r="32642" s="197" customFormat="1" ht="12.75" x14ac:dyDescent="0.2"/>
    <row r="32643" s="197" customFormat="1" ht="12.75" x14ac:dyDescent="0.2"/>
    <row r="32644" s="197" customFormat="1" ht="12.75" x14ac:dyDescent="0.2"/>
    <row r="32645" s="197" customFormat="1" ht="12.75" x14ac:dyDescent="0.2"/>
    <row r="32646" s="197" customFormat="1" ht="12.75" x14ac:dyDescent="0.2"/>
    <row r="32647" s="197" customFormat="1" ht="12.75" x14ac:dyDescent="0.2"/>
    <row r="32648" s="197" customFormat="1" ht="12.75" x14ac:dyDescent="0.2"/>
    <row r="32649" s="197" customFormat="1" ht="12.75" x14ac:dyDescent="0.2"/>
    <row r="32650" s="197" customFormat="1" ht="12.75" x14ac:dyDescent="0.2"/>
    <row r="32651" s="197" customFormat="1" ht="12.75" x14ac:dyDescent="0.2"/>
    <row r="32652" s="197" customFormat="1" ht="12.75" x14ac:dyDescent="0.2"/>
    <row r="32653" s="197" customFormat="1" ht="12.75" x14ac:dyDescent="0.2"/>
    <row r="32654" s="197" customFormat="1" ht="12.75" x14ac:dyDescent="0.2"/>
    <row r="32655" s="197" customFormat="1" ht="12.75" x14ac:dyDescent="0.2"/>
    <row r="32656" s="197" customFormat="1" ht="12.75" x14ac:dyDescent="0.2"/>
    <row r="32657" s="197" customFormat="1" ht="12.75" x14ac:dyDescent="0.2"/>
    <row r="32658" s="197" customFormat="1" ht="12.75" x14ac:dyDescent="0.2"/>
    <row r="32659" s="197" customFormat="1" ht="12.75" x14ac:dyDescent="0.2"/>
    <row r="32660" s="197" customFormat="1" ht="12.75" x14ac:dyDescent="0.2"/>
    <row r="32661" s="197" customFormat="1" ht="12.75" x14ac:dyDescent="0.2"/>
    <row r="32662" s="197" customFormat="1" ht="12.75" x14ac:dyDescent="0.2"/>
    <row r="32663" s="197" customFormat="1" ht="12.75" x14ac:dyDescent="0.2"/>
    <row r="32664" s="197" customFormat="1" ht="12.75" x14ac:dyDescent="0.2"/>
    <row r="32665" s="197" customFormat="1" ht="12.75" x14ac:dyDescent="0.2"/>
    <row r="32666" s="197" customFormat="1" ht="12.75" x14ac:dyDescent="0.2"/>
    <row r="32667" s="197" customFormat="1" ht="12.75" x14ac:dyDescent="0.2"/>
    <row r="32668" s="197" customFormat="1" ht="12.75" x14ac:dyDescent="0.2"/>
    <row r="32669" s="197" customFormat="1" ht="12.75" x14ac:dyDescent="0.2"/>
    <row r="32670" s="197" customFormat="1" ht="12.75" x14ac:dyDescent="0.2"/>
    <row r="32671" s="197" customFormat="1" ht="12.75" x14ac:dyDescent="0.2"/>
    <row r="32672" s="197" customFormat="1" ht="12.75" x14ac:dyDescent="0.2"/>
    <row r="32673" s="197" customFormat="1" ht="12.75" x14ac:dyDescent="0.2"/>
    <row r="32674" s="197" customFormat="1" ht="12.75" x14ac:dyDescent="0.2"/>
    <row r="32675" s="197" customFormat="1" ht="12.75" x14ac:dyDescent="0.2"/>
    <row r="32676" s="197" customFormat="1" ht="12.75" x14ac:dyDescent="0.2"/>
    <row r="32677" s="197" customFormat="1" ht="12.75" x14ac:dyDescent="0.2"/>
    <row r="32678" s="197" customFormat="1" ht="12.75" x14ac:dyDescent="0.2"/>
    <row r="32679" s="197" customFormat="1" ht="12.75" x14ac:dyDescent="0.2"/>
    <row r="32680" s="197" customFormat="1" ht="12.75" x14ac:dyDescent="0.2"/>
    <row r="32681" s="197" customFormat="1" ht="12.75" x14ac:dyDescent="0.2"/>
    <row r="32682" s="197" customFormat="1" ht="12.75" x14ac:dyDescent="0.2"/>
    <row r="32683" s="197" customFormat="1" ht="12.75" x14ac:dyDescent="0.2"/>
    <row r="32684" s="197" customFormat="1" ht="12.75" x14ac:dyDescent="0.2"/>
    <row r="32685" s="197" customFormat="1" ht="12.75" x14ac:dyDescent="0.2"/>
    <row r="32686" s="197" customFormat="1" ht="12.75" x14ac:dyDescent="0.2"/>
    <row r="32687" s="197" customFormat="1" ht="12.75" x14ac:dyDescent="0.2"/>
    <row r="32688" s="197" customFormat="1" ht="12.75" x14ac:dyDescent="0.2"/>
    <row r="32689" s="197" customFormat="1" ht="12.75" x14ac:dyDescent="0.2"/>
    <row r="32690" s="197" customFormat="1" ht="12.75" x14ac:dyDescent="0.2"/>
    <row r="32691" s="197" customFormat="1" ht="12.75" x14ac:dyDescent="0.2"/>
    <row r="32692" s="197" customFormat="1" ht="12.75" x14ac:dyDescent="0.2"/>
    <row r="32693" s="197" customFormat="1" ht="12.75" x14ac:dyDescent="0.2"/>
    <row r="32694" s="197" customFormat="1" ht="12.75" x14ac:dyDescent="0.2"/>
    <row r="32695" s="197" customFormat="1" ht="12.75" x14ac:dyDescent="0.2"/>
    <row r="32696" s="197" customFormat="1" ht="12.75" x14ac:dyDescent="0.2"/>
    <row r="32697" s="197" customFormat="1" ht="12.75" x14ac:dyDescent="0.2"/>
    <row r="32698" s="197" customFormat="1" ht="12.75" x14ac:dyDescent="0.2"/>
    <row r="32699" s="197" customFormat="1" ht="12.75" x14ac:dyDescent="0.2"/>
    <row r="32700" s="197" customFormat="1" ht="12.75" x14ac:dyDescent="0.2"/>
    <row r="32701" s="197" customFormat="1" ht="12.75" x14ac:dyDescent="0.2"/>
    <row r="32702" s="197" customFormat="1" ht="12.75" x14ac:dyDescent="0.2"/>
    <row r="32703" s="197" customFormat="1" ht="12.75" x14ac:dyDescent="0.2"/>
    <row r="32704" s="197" customFormat="1" ht="12.75" x14ac:dyDescent="0.2"/>
    <row r="32705" s="197" customFormat="1" ht="12.75" x14ac:dyDescent="0.2"/>
    <row r="32706" s="197" customFormat="1" ht="12.75" x14ac:dyDescent="0.2"/>
    <row r="32707" s="197" customFormat="1" ht="12.75" x14ac:dyDescent="0.2"/>
    <row r="32708" s="197" customFormat="1" ht="12.75" x14ac:dyDescent="0.2"/>
    <row r="32709" s="197" customFormat="1" ht="12.75" x14ac:dyDescent="0.2"/>
    <row r="32710" s="197" customFormat="1" ht="12.75" x14ac:dyDescent="0.2"/>
    <row r="32711" s="197" customFormat="1" ht="12.75" x14ac:dyDescent="0.2"/>
    <row r="32712" s="197" customFormat="1" ht="12.75" x14ac:dyDescent="0.2"/>
    <row r="32713" s="197" customFormat="1" ht="12.75" x14ac:dyDescent="0.2"/>
    <row r="32714" s="197" customFormat="1" ht="12.75" x14ac:dyDescent="0.2"/>
    <row r="32715" s="197" customFormat="1" ht="12.75" x14ac:dyDescent="0.2"/>
    <row r="32716" s="197" customFormat="1" ht="12.75" x14ac:dyDescent="0.2"/>
    <row r="32717" s="197" customFormat="1" ht="12.75" x14ac:dyDescent="0.2"/>
    <row r="32718" s="197" customFormat="1" ht="12.75" x14ac:dyDescent="0.2"/>
    <row r="32719" s="197" customFormat="1" ht="12.75" x14ac:dyDescent="0.2"/>
    <row r="32720" s="197" customFormat="1" ht="12.75" x14ac:dyDescent="0.2"/>
    <row r="32721" s="197" customFormat="1" ht="12.75" x14ac:dyDescent="0.2"/>
    <row r="32722" s="197" customFormat="1" ht="12.75" x14ac:dyDescent="0.2"/>
    <row r="32723" s="197" customFormat="1" ht="12.75" x14ac:dyDescent="0.2"/>
    <row r="32724" s="197" customFormat="1" ht="12.75" x14ac:dyDescent="0.2"/>
    <row r="32725" s="197" customFormat="1" ht="12.75" x14ac:dyDescent="0.2"/>
    <row r="32726" s="197" customFormat="1" ht="12.75" x14ac:dyDescent="0.2"/>
    <row r="32727" s="197" customFormat="1" ht="12.75" x14ac:dyDescent="0.2"/>
    <row r="32728" s="197" customFormat="1" ht="12.75" x14ac:dyDescent="0.2"/>
    <row r="32729" s="197" customFormat="1" ht="12.75" x14ac:dyDescent="0.2"/>
    <row r="32730" s="197" customFormat="1" ht="12.75" x14ac:dyDescent="0.2"/>
    <row r="32731" s="197" customFormat="1" ht="12.75" x14ac:dyDescent="0.2"/>
    <row r="32732" s="197" customFormat="1" ht="12.75" x14ac:dyDescent="0.2"/>
    <row r="32733" s="197" customFormat="1" ht="12.75" x14ac:dyDescent="0.2"/>
    <row r="32734" s="197" customFormat="1" ht="12.75" x14ac:dyDescent="0.2"/>
    <row r="32735" s="197" customFormat="1" ht="12.75" x14ac:dyDescent="0.2"/>
    <row r="32736" s="197" customFormat="1" ht="12.75" x14ac:dyDescent="0.2"/>
    <row r="32737" s="197" customFormat="1" ht="12.75" x14ac:dyDescent="0.2"/>
    <row r="32738" s="197" customFormat="1" ht="12.75" x14ac:dyDescent="0.2"/>
    <row r="32739" s="197" customFormat="1" ht="12.75" x14ac:dyDescent="0.2"/>
    <row r="32740" s="197" customFormat="1" ht="12.75" x14ac:dyDescent="0.2"/>
    <row r="32741" s="197" customFormat="1" ht="12.75" x14ac:dyDescent="0.2"/>
    <row r="32742" s="197" customFormat="1" ht="12.75" x14ac:dyDescent="0.2"/>
    <row r="32743" s="197" customFormat="1" ht="12.75" x14ac:dyDescent="0.2"/>
    <row r="32744" s="197" customFormat="1" ht="12.75" x14ac:dyDescent="0.2"/>
    <row r="32745" s="197" customFormat="1" ht="12.75" x14ac:dyDescent="0.2"/>
    <row r="32746" s="197" customFormat="1" ht="12.75" x14ac:dyDescent="0.2"/>
    <row r="32747" s="197" customFormat="1" ht="12.75" x14ac:dyDescent="0.2"/>
    <row r="32748" s="197" customFormat="1" ht="12.75" x14ac:dyDescent="0.2"/>
    <row r="32749" s="197" customFormat="1" ht="12.75" x14ac:dyDescent="0.2"/>
    <row r="32750" s="197" customFormat="1" ht="12.75" x14ac:dyDescent="0.2"/>
    <row r="32751" s="197" customFormat="1" ht="12.75" x14ac:dyDescent="0.2"/>
    <row r="32752" s="197" customFormat="1" ht="12.75" x14ac:dyDescent="0.2"/>
    <row r="32753" s="197" customFormat="1" ht="12.75" x14ac:dyDescent="0.2"/>
    <row r="32754" s="197" customFormat="1" ht="12.75" x14ac:dyDescent="0.2"/>
    <row r="32755" s="197" customFormat="1" ht="12.75" x14ac:dyDescent="0.2"/>
    <row r="32756" s="197" customFormat="1" ht="12.75" x14ac:dyDescent="0.2"/>
    <row r="32757" s="197" customFormat="1" ht="12.75" x14ac:dyDescent="0.2"/>
    <row r="32758" s="197" customFormat="1" ht="12.75" x14ac:dyDescent="0.2"/>
    <row r="32759" s="197" customFormat="1" ht="12.75" x14ac:dyDescent="0.2"/>
    <row r="32760" s="197" customFormat="1" ht="12.75" x14ac:dyDescent="0.2"/>
    <row r="32761" s="197" customFormat="1" ht="12.75" x14ac:dyDescent="0.2"/>
    <row r="32762" s="197" customFormat="1" ht="12.75" x14ac:dyDescent="0.2"/>
    <row r="32763" s="197" customFormat="1" ht="12.75" x14ac:dyDescent="0.2"/>
    <row r="32764" s="197" customFormat="1" ht="12.75" x14ac:dyDescent="0.2"/>
    <row r="32765" s="197" customFormat="1" ht="12.75" x14ac:dyDescent="0.2"/>
    <row r="32766" s="197" customFormat="1" ht="12.75" x14ac:dyDescent="0.2"/>
    <row r="32767" s="197" customFormat="1" ht="12.75" x14ac:dyDescent="0.2"/>
    <row r="32768" s="197" customFormat="1" ht="12.75" x14ac:dyDescent="0.2"/>
    <row r="32769" s="197" customFormat="1" ht="12.75" x14ac:dyDescent="0.2"/>
    <row r="32770" s="197" customFormat="1" ht="12.75" x14ac:dyDescent="0.2"/>
    <row r="32771" s="197" customFormat="1" ht="12.75" x14ac:dyDescent="0.2"/>
    <row r="32772" s="197" customFormat="1" ht="12.75" x14ac:dyDescent="0.2"/>
    <row r="32773" s="197" customFormat="1" ht="12.75" x14ac:dyDescent="0.2"/>
    <row r="32774" s="197" customFormat="1" ht="12.75" x14ac:dyDescent="0.2"/>
    <row r="32775" s="197" customFormat="1" ht="12.75" x14ac:dyDescent="0.2"/>
    <row r="32776" s="197" customFormat="1" ht="12.75" x14ac:dyDescent="0.2"/>
    <row r="32777" s="197" customFormat="1" ht="12.75" x14ac:dyDescent="0.2"/>
    <row r="32778" s="197" customFormat="1" ht="12.75" x14ac:dyDescent="0.2"/>
    <row r="32779" s="197" customFormat="1" ht="12.75" x14ac:dyDescent="0.2"/>
    <row r="32780" s="197" customFormat="1" ht="12.75" x14ac:dyDescent="0.2"/>
    <row r="32781" s="197" customFormat="1" ht="12.75" x14ac:dyDescent="0.2"/>
    <row r="32782" s="197" customFormat="1" ht="12.75" x14ac:dyDescent="0.2"/>
    <row r="32783" s="197" customFormat="1" ht="12.75" x14ac:dyDescent="0.2"/>
    <row r="32784" s="197" customFormat="1" ht="12.75" x14ac:dyDescent="0.2"/>
    <row r="32785" s="197" customFormat="1" ht="12.75" x14ac:dyDescent="0.2"/>
    <row r="32786" s="197" customFormat="1" ht="12.75" x14ac:dyDescent="0.2"/>
    <row r="32787" s="197" customFormat="1" ht="12.75" x14ac:dyDescent="0.2"/>
    <row r="32788" s="197" customFormat="1" ht="12.75" x14ac:dyDescent="0.2"/>
    <row r="32789" s="197" customFormat="1" ht="12.75" x14ac:dyDescent="0.2"/>
    <row r="32790" s="197" customFormat="1" ht="12.75" x14ac:dyDescent="0.2"/>
    <row r="32791" s="197" customFormat="1" ht="12.75" x14ac:dyDescent="0.2"/>
    <row r="32792" s="197" customFormat="1" ht="12.75" x14ac:dyDescent="0.2"/>
    <row r="32793" s="197" customFormat="1" ht="12.75" x14ac:dyDescent="0.2"/>
    <row r="32794" s="197" customFormat="1" ht="12.75" x14ac:dyDescent="0.2"/>
    <row r="32795" s="197" customFormat="1" ht="12.75" x14ac:dyDescent="0.2"/>
    <row r="32796" s="197" customFormat="1" ht="12.75" x14ac:dyDescent="0.2"/>
    <row r="32797" s="197" customFormat="1" ht="12.75" x14ac:dyDescent="0.2"/>
    <row r="32798" s="197" customFormat="1" ht="12.75" x14ac:dyDescent="0.2"/>
    <row r="32799" s="197" customFormat="1" ht="12.75" x14ac:dyDescent="0.2"/>
    <row r="32800" s="197" customFormat="1" ht="12.75" x14ac:dyDescent="0.2"/>
    <row r="32801" s="197" customFormat="1" ht="12.75" x14ac:dyDescent="0.2"/>
    <row r="32802" s="197" customFormat="1" ht="12.75" x14ac:dyDescent="0.2"/>
    <row r="32803" s="197" customFormat="1" ht="12.75" x14ac:dyDescent="0.2"/>
    <row r="32804" s="197" customFormat="1" ht="12.75" x14ac:dyDescent="0.2"/>
    <row r="32805" s="197" customFormat="1" ht="12.75" x14ac:dyDescent="0.2"/>
    <row r="32806" s="197" customFormat="1" ht="12.75" x14ac:dyDescent="0.2"/>
    <row r="32807" s="197" customFormat="1" ht="12.75" x14ac:dyDescent="0.2"/>
    <row r="32808" s="197" customFormat="1" ht="12.75" x14ac:dyDescent="0.2"/>
    <row r="32809" s="197" customFormat="1" ht="12.75" x14ac:dyDescent="0.2"/>
    <row r="32810" s="197" customFormat="1" ht="12.75" x14ac:dyDescent="0.2"/>
    <row r="32811" s="197" customFormat="1" ht="12.75" x14ac:dyDescent="0.2"/>
    <row r="32812" s="197" customFormat="1" ht="12.75" x14ac:dyDescent="0.2"/>
    <row r="32813" s="197" customFormat="1" ht="12.75" x14ac:dyDescent="0.2"/>
    <row r="32814" s="197" customFormat="1" ht="12.75" x14ac:dyDescent="0.2"/>
    <row r="32815" s="197" customFormat="1" ht="12.75" x14ac:dyDescent="0.2"/>
    <row r="32816" s="197" customFormat="1" ht="12.75" x14ac:dyDescent="0.2"/>
    <row r="32817" s="197" customFormat="1" ht="12.75" x14ac:dyDescent="0.2"/>
    <row r="32818" s="197" customFormat="1" ht="12.75" x14ac:dyDescent="0.2"/>
    <row r="32819" s="197" customFormat="1" ht="12.75" x14ac:dyDescent="0.2"/>
    <row r="32820" s="197" customFormat="1" ht="12.75" x14ac:dyDescent="0.2"/>
    <row r="32821" s="197" customFormat="1" ht="12.75" x14ac:dyDescent="0.2"/>
    <row r="32822" s="197" customFormat="1" ht="12.75" x14ac:dyDescent="0.2"/>
    <row r="32823" s="197" customFormat="1" ht="12.75" x14ac:dyDescent="0.2"/>
    <row r="32824" s="197" customFormat="1" ht="12.75" x14ac:dyDescent="0.2"/>
    <row r="32825" s="197" customFormat="1" ht="12.75" x14ac:dyDescent="0.2"/>
    <row r="32826" s="197" customFormat="1" ht="12.75" x14ac:dyDescent="0.2"/>
    <row r="32827" s="197" customFormat="1" ht="12.75" x14ac:dyDescent="0.2"/>
    <row r="32828" s="197" customFormat="1" ht="12.75" x14ac:dyDescent="0.2"/>
    <row r="32829" s="197" customFormat="1" ht="12.75" x14ac:dyDescent="0.2"/>
    <row r="32830" s="197" customFormat="1" ht="12.75" x14ac:dyDescent="0.2"/>
    <row r="32831" s="197" customFormat="1" ht="12.75" x14ac:dyDescent="0.2"/>
    <row r="32832" s="197" customFormat="1" ht="12.75" x14ac:dyDescent="0.2"/>
    <row r="32833" s="197" customFormat="1" ht="12.75" x14ac:dyDescent="0.2"/>
    <row r="32834" s="197" customFormat="1" ht="12.75" x14ac:dyDescent="0.2"/>
    <row r="32835" s="197" customFormat="1" ht="12.75" x14ac:dyDescent="0.2"/>
    <row r="32836" s="197" customFormat="1" ht="12.75" x14ac:dyDescent="0.2"/>
    <row r="32837" s="197" customFormat="1" ht="12.75" x14ac:dyDescent="0.2"/>
    <row r="32838" s="197" customFormat="1" ht="12.75" x14ac:dyDescent="0.2"/>
    <row r="32839" s="197" customFormat="1" ht="12.75" x14ac:dyDescent="0.2"/>
    <row r="32840" s="197" customFormat="1" ht="12.75" x14ac:dyDescent="0.2"/>
    <row r="32841" s="197" customFormat="1" ht="12.75" x14ac:dyDescent="0.2"/>
    <row r="32842" s="197" customFormat="1" ht="12.75" x14ac:dyDescent="0.2"/>
    <row r="32843" s="197" customFormat="1" ht="12.75" x14ac:dyDescent="0.2"/>
    <row r="32844" s="197" customFormat="1" ht="12.75" x14ac:dyDescent="0.2"/>
    <row r="32845" s="197" customFormat="1" ht="12.75" x14ac:dyDescent="0.2"/>
    <row r="32846" s="197" customFormat="1" ht="12.75" x14ac:dyDescent="0.2"/>
    <row r="32847" s="197" customFormat="1" ht="12.75" x14ac:dyDescent="0.2"/>
    <row r="32848" s="197" customFormat="1" ht="12.75" x14ac:dyDescent="0.2"/>
    <row r="32849" s="197" customFormat="1" ht="12.75" x14ac:dyDescent="0.2"/>
    <row r="32850" s="197" customFormat="1" ht="12.75" x14ac:dyDescent="0.2"/>
    <row r="32851" s="197" customFormat="1" ht="12.75" x14ac:dyDescent="0.2"/>
    <row r="32852" s="197" customFormat="1" ht="12.75" x14ac:dyDescent="0.2"/>
    <row r="32853" s="197" customFormat="1" ht="12.75" x14ac:dyDescent="0.2"/>
    <row r="32854" s="197" customFormat="1" ht="12.75" x14ac:dyDescent="0.2"/>
    <row r="32855" s="197" customFormat="1" ht="12.75" x14ac:dyDescent="0.2"/>
    <row r="32856" s="197" customFormat="1" ht="12.75" x14ac:dyDescent="0.2"/>
    <row r="32857" s="197" customFormat="1" ht="12.75" x14ac:dyDescent="0.2"/>
    <row r="32858" s="197" customFormat="1" ht="12.75" x14ac:dyDescent="0.2"/>
    <row r="32859" s="197" customFormat="1" ht="12.75" x14ac:dyDescent="0.2"/>
    <row r="32860" s="197" customFormat="1" ht="12.75" x14ac:dyDescent="0.2"/>
    <row r="32861" s="197" customFormat="1" ht="12.75" x14ac:dyDescent="0.2"/>
    <row r="32862" s="197" customFormat="1" ht="12.75" x14ac:dyDescent="0.2"/>
    <row r="32863" s="197" customFormat="1" ht="12.75" x14ac:dyDescent="0.2"/>
    <row r="32864" s="197" customFormat="1" ht="12.75" x14ac:dyDescent="0.2"/>
    <row r="32865" s="197" customFormat="1" ht="12.75" x14ac:dyDescent="0.2"/>
    <row r="32866" s="197" customFormat="1" ht="12.75" x14ac:dyDescent="0.2"/>
    <row r="32867" s="197" customFormat="1" ht="12.75" x14ac:dyDescent="0.2"/>
    <row r="32868" s="197" customFormat="1" ht="12.75" x14ac:dyDescent="0.2"/>
    <row r="32869" s="197" customFormat="1" ht="12.75" x14ac:dyDescent="0.2"/>
    <row r="32870" s="197" customFormat="1" ht="12.75" x14ac:dyDescent="0.2"/>
    <row r="32871" s="197" customFormat="1" ht="12.75" x14ac:dyDescent="0.2"/>
    <row r="32872" s="197" customFormat="1" ht="12.75" x14ac:dyDescent="0.2"/>
    <row r="32873" s="197" customFormat="1" ht="12.75" x14ac:dyDescent="0.2"/>
    <row r="32874" s="197" customFormat="1" ht="12.75" x14ac:dyDescent="0.2"/>
    <row r="32875" s="197" customFormat="1" ht="12.75" x14ac:dyDescent="0.2"/>
    <row r="32876" s="197" customFormat="1" ht="12.75" x14ac:dyDescent="0.2"/>
    <row r="32877" s="197" customFormat="1" ht="12.75" x14ac:dyDescent="0.2"/>
    <row r="32878" s="197" customFormat="1" ht="12.75" x14ac:dyDescent="0.2"/>
    <row r="32879" s="197" customFormat="1" ht="12.75" x14ac:dyDescent="0.2"/>
    <row r="32880" s="197" customFormat="1" ht="12.75" x14ac:dyDescent="0.2"/>
    <row r="32881" s="197" customFormat="1" ht="12.75" x14ac:dyDescent="0.2"/>
    <row r="32882" s="197" customFormat="1" ht="12.75" x14ac:dyDescent="0.2"/>
    <row r="32883" s="197" customFormat="1" ht="12.75" x14ac:dyDescent="0.2"/>
    <row r="32884" s="197" customFormat="1" ht="12.75" x14ac:dyDescent="0.2"/>
    <row r="32885" s="197" customFormat="1" ht="12.75" x14ac:dyDescent="0.2"/>
    <row r="32886" s="197" customFormat="1" ht="12.75" x14ac:dyDescent="0.2"/>
    <row r="32887" s="197" customFormat="1" ht="12.75" x14ac:dyDescent="0.2"/>
    <row r="32888" s="197" customFormat="1" ht="12.75" x14ac:dyDescent="0.2"/>
    <row r="32889" s="197" customFormat="1" ht="12.75" x14ac:dyDescent="0.2"/>
    <row r="32890" s="197" customFormat="1" ht="12.75" x14ac:dyDescent="0.2"/>
    <row r="32891" s="197" customFormat="1" ht="12.75" x14ac:dyDescent="0.2"/>
    <row r="32892" s="197" customFormat="1" ht="12.75" x14ac:dyDescent="0.2"/>
    <row r="32893" s="197" customFormat="1" ht="12.75" x14ac:dyDescent="0.2"/>
    <row r="32894" s="197" customFormat="1" ht="12.75" x14ac:dyDescent="0.2"/>
    <row r="32895" s="197" customFormat="1" ht="12.75" x14ac:dyDescent="0.2"/>
    <row r="32896" s="197" customFormat="1" ht="12.75" x14ac:dyDescent="0.2"/>
    <row r="32897" s="197" customFormat="1" ht="12.75" x14ac:dyDescent="0.2"/>
    <row r="32898" s="197" customFormat="1" ht="12.75" x14ac:dyDescent="0.2"/>
    <row r="32899" s="197" customFormat="1" ht="12.75" x14ac:dyDescent="0.2"/>
    <row r="32900" s="197" customFormat="1" ht="12.75" x14ac:dyDescent="0.2"/>
    <row r="32901" s="197" customFormat="1" ht="12.75" x14ac:dyDescent="0.2"/>
    <row r="32902" s="197" customFormat="1" ht="12.75" x14ac:dyDescent="0.2"/>
    <row r="32903" s="197" customFormat="1" ht="12.75" x14ac:dyDescent="0.2"/>
    <row r="32904" s="197" customFormat="1" ht="12.75" x14ac:dyDescent="0.2"/>
    <row r="32905" s="197" customFormat="1" ht="12.75" x14ac:dyDescent="0.2"/>
    <row r="32906" s="197" customFormat="1" ht="12.75" x14ac:dyDescent="0.2"/>
    <row r="32907" s="197" customFormat="1" ht="12.75" x14ac:dyDescent="0.2"/>
    <row r="32908" s="197" customFormat="1" ht="12.75" x14ac:dyDescent="0.2"/>
    <row r="32909" s="197" customFormat="1" ht="12.75" x14ac:dyDescent="0.2"/>
    <row r="32910" s="197" customFormat="1" ht="12.75" x14ac:dyDescent="0.2"/>
    <row r="32911" s="197" customFormat="1" ht="12.75" x14ac:dyDescent="0.2"/>
    <row r="32912" s="197" customFormat="1" ht="12.75" x14ac:dyDescent="0.2"/>
    <row r="32913" s="197" customFormat="1" ht="12.75" x14ac:dyDescent="0.2"/>
    <row r="32914" s="197" customFormat="1" ht="12.75" x14ac:dyDescent="0.2"/>
    <row r="32915" s="197" customFormat="1" ht="12.75" x14ac:dyDescent="0.2"/>
    <row r="32916" s="197" customFormat="1" ht="12.75" x14ac:dyDescent="0.2"/>
    <row r="32917" s="197" customFormat="1" ht="12.75" x14ac:dyDescent="0.2"/>
    <row r="32918" s="197" customFormat="1" ht="12.75" x14ac:dyDescent="0.2"/>
    <row r="32919" s="197" customFormat="1" ht="12.75" x14ac:dyDescent="0.2"/>
    <row r="32920" s="197" customFormat="1" ht="12.75" x14ac:dyDescent="0.2"/>
    <row r="32921" s="197" customFormat="1" ht="12.75" x14ac:dyDescent="0.2"/>
    <row r="32922" s="197" customFormat="1" ht="12.75" x14ac:dyDescent="0.2"/>
    <row r="32923" s="197" customFormat="1" ht="12.75" x14ac:dyDescent="0.2"/>
    <row r="32924" s="197" customFormat="1" ht="12.75" x14ac:dyDescent="0.2"/>
    <row r="32925" s="197" customFormat="1" ht="12.75" x14ac:dyDescent="0.2"/>
    <row r="32926" s="197" customFormat="1" ht="12.75" x14ac:dyDescent="0.2"/>
    <row r="32927" s="197" customFormat="1" ht="12.75" x14ac:dyDescent="0.2"/>
    <row r="32928" s="197" customFormat="1" ht="12.75" x14ac:dyDescent="0.2"/>
    <row r="32929" s="197" customFormat="1" ht="12.75" x14ac:dyDescent="0.2"/>
    <row r="32930" s="197" customFormat="1" ht="12.75" x14ac:dyDescent="0.2"/>
    <row r="32931" s="197" customFormat="1" ht="12.75" x14ac:dyDescent="0.2"/>
    <row r="32932" s="197" customFormat="1" ht="12.75" x14ac:dyDescent="0.2"/>
    <row r="32933" s="197" customFormat="1" ht="12.75" x14ac:dyDescent="0.2"/>
    <row r="32934" s="197" customFormat="1" ht="12.75" x14ac:dyDescent="0.2"/>
    <row r="32935" s="197" customFormat="1" ht="12.75" x14ac:dyDescent="0.2"/>
    <row r="32936" s="197" customFormat="1" ht="12.75" x14ac:dyDescent="0.2"/>
    <row r="32937" s="197" customFormat="1" ht="12.75" x14ac:dyDescent="0.2"/>
    <row r="32938" s="197" customFormat="1" ht="12.75" x14ac:dyDescent="0.2"/>
    <row r="32939" s="197" customFormat="1" ht="12.75" x14ac:dyDescent="0.2"/>
    <row r="32940" s="197" customFormat="1" ht="12.75" x14ac:dyDescent="0.2"/>
    <row r="32941" s="197" customFormat="1" ht="12.75" x14ac:dyDescent="0.2"/>
    <row r="32942" s="197" customFormat="1" ht="12.75" x14ac:dyDescent="0.2"/>
    <row r="32943" s="197" customFormat="1" ht="12.75" x14ac:dyDescent="0.2"/>
    <row r="32944" s="197" customFormat="1" ht="12.75" x14ac:dyDescent="0.2"/>
    <row r="32945" s="197" customFormat="1" ht="12.75" x14ac:dyDescent="0.2"/>
    <row r="32946" s="197" customFormat="1" ht="12.75" x14ac:dyDescent="0.2"/>
    <row r="32947" s="197" customFormat="1" ht="12.75" x14ac:dyDescent="0.2"/>
    <row r="32948" s="197" customFormat="1" ht="12.75" x14ac:dyDescent="0.2"/>
    <row r="32949" s="197" customFormat="1" ht="12.75" x14ac:dyDescent="0.2"/>
    <row r="32950" s="197" customFormat="1" ht="12.75" x14ac:dyDescent="0.2"/>
    <row r="32951" s="197" customFormat="1" ht="12.75" x14ac:dyDescent="0.2"/>
    <row r="32952" s="197" customFormat="1" ht="12.75" x14ac:dyDescent="0.2"/>
    <row r="32953" s="197" customFormat="1" ht="12.75" x14ac:dyDescent="0.2"/>
    <row r="32954" s="197" customFormat="1" ht="12.75" x14ac:dyDescent="0.2"/>
    <row r="32955" s="197" customFormat="1" ht="12.75" x14ac:dyDescent="0.2"/>
    <row r="32956" s="197" customFormat="1" ht="12.75" x14ac:dyDescent="0.2"/>
    <row r="32957" s="197" customFormat="1" ht="12.75" x14ac:dyDescent="0.2"/>
    <row r="32958" s="197" customFormat="1" ht="12.75" x14ac:dyDescent="0.2"/>
    <row r="32959" s="197" customFormat="1" ht="12.75" x14ac:dyDescent="0.2"/>
    <row r="32960" s="197" customFormat="1" ht="12.75" x14ac:dyDescent="0.2"/>
    <row r="32961" s="197" customFormat="1" ht="12.75" x14ac:dyDescent="0.2"/>
    <row r="32962" s="197" customFormat="1" ht="12.75" x14ac:dyDescent="0.2"/>
    <row r="32963" s="197" customFormat="1" ht="12.75" x14ac:dyDescent="0.2"/>
    <row r="32964" s="197" customFormat="1" ht="12.75" x14ac:dyDescent="0.2"/>
    <row r="32965" s="197" customFormat="1" ht="12.75" x14ac:dyDescent="0.2"/>
    <row r="32966" s="197" customFormat="1" ht="12.75" x14ac:dyDescent="0.2"/>
    <row r="32967" s="197" customFormat="1" ht="12.75" x14ac:dyDescent="0.2"/>
    <row r="32968" s="197" customFormat="1" ht="12.75" x14ac:dyDescent="0.2"/>
    <row r="32969" s="197" customFormat="1" ht="12.75" x14ac:dyDescent="0.2"/>
    <row r="32970" s="197" customFormat="1" ht="12.75" x14ac:dyDescent="0.2"/>
    <row r="32971" s="197" customFormat="1" ht="12.75" x14ac:dyDescent="0.2"/>
    <row r="32972" s="197" customFormat="1" ht="12.75" x14ac:dyDescent="0.2"/>
    <row r="32973" s="197" customFormat="1" ht="12.75" x14ac:dyDescent="0.2"/>
    <row r="32974" s="197" customFormat="1" ht="12.75" x14ac:dyDescent="0.2"/>
    <row r="32975" s="197" customFormat="1" ht="12.75" x14ac:dyDescent="0.2"/>
    <row r="32976" s="197" customFormat="1" ht="12.75" x14ac:dyDescent="0.2"/>
    <row r="32977" s="197" customFormat="1" ht="12.75" x14ac:dyDescent="0.2"/>
    <row r="32978" s="197" customFormat="1" ht="12.75" x14ac:dyDescent="0.2"/>
    <row r="32979" s="197" customFormat="1" ht="12.75" x14ac:dyDescent="0.2"/>
    <row r="32980" s="197" customFormat="1" ht="12.75" x14ac:dyDescent="0.2"/>
    <row r="32981" s="197" customFormat="1" ht="12.75" x14ac:dyDescent="0.2"/>
    <row r="32982" s="197" customFormat="1" ht="12.75" x14ac:dyDescent="0.2"/>
    <row r="32983" s="197" customFormat="1" ht="12.75" x14ac:dyDescent="0.2"/>
    <row r="32984" s="197" customFormat="1" ht="12.75" x14ac:dyDescent="0.2"/>
    <row r="32985" s="197" customFormat="1" ht="12.75" x14ac:dyDescent="0.2"/>
    <row r="32986" s="197" customFormat="1" ht="12.75" x14ac:dyDescent="0.2"/>
    <row r="32987" s="197" customFormat="1" ht="12.75" x14ac:dyDescent="0.2"/>
    <row r="32988" s="197" customFormat="1" ht="12.75" x14ac:dyDescent="0.2"/>
    <row r="32989" s="197" customFormat="1" ht="12.75" x14ac:dyDescent="0.2"/>
    <row r="32990" s="197" customFormat="1" ht="12.75" x14ac:dyDescent="0.2"/>
    <row r="32991" s="197" customFormat="1" ht="12.75" x14ac:dyDescent="0.2"/>
    <row r="32992" s="197" customFormat="1" ht="12.75" x14ac:dyDescent="0.2"/>
    <row r="32993" s="197" customFormat="1" ht="12.75" x14ac:dyDescent="0.2"/>
    <row r="32994" s="197" customFormat="1" ht="12.75" x14ac:dyDescent="0.2"/>
    <row r="32995" s="197" customFormat="1" ht="12.75" x14ac:dyDescent="0.2"/>
    <row r="32996" s="197" customFormat="1" ht="12.75" x14ac:dyDescent="0.2"/>
    <row r="32997" s="197" customFormat="1" ht="12.75" x14ac:dyDescent="0.2"/>
    <row r="32998" s="197" customFormat="1" ht="12.75" x14ac:dyDescent="0.2"/>
    <row r="32999" s="197" customFormat="1" ht="12.75" x14ac:dyDescent="0.2"/>
    <row r="33000" s="197" customFormat="1" ht="12.75" x14ac:dyDescent="0.2"/>
    <row r="33001" s="197" customFormat="1" ht="12.75" x14ac:dyDescent="0.2"/>
    <row r="33002" s="197" customFormat="1" ht="12.75" x14ac:dyDescent="0.2"/>
    <row r="33003" s="197" customFormat="1" ht="12.75" x14ac:dyDescent="0.2"/>
    <row r="33004" s="197" customFormat="1" ht="12.75" x14ac:dyDescent="0.2"/>
    <row r="33005" s="197" customFormat="1" ht="12.75" x14ac:dyDescent="0.2"/>
    <row r="33006" s="197" customFormat="1" ht="12.75" x14ac:dyDescent="0.2"/>
    <row r="33007" s="197" customFormat="1" ht="12.75" x14ac:dyDescent="0.2"/>
    <row r="33008" s="197" customFormat="1" ht="12.75" x14ac:dyDescent="0.2"/>
    <row r="33009" s="197" customFormat="1" ht="12.75" x14ac:dyDescent="0.2"/>
    <row r="33010" s="197" customFormat="1" ht="12.75" x14ac:dyDescent="0.2"/>
    <row r="33011" s="197" customFormat="1" ht="12.75" x14ac:dyDescent="0.2"/>
    <row r="33012" s="197" customFormat="1" ht="12.75" x14ac:dyDescent="0.2"/>
    <row r="33013" s="197" customFormat="1" ht="12.75" x14ac:dyDescent="0.2"/>
    <row r="33014" s="197" customFormat="1" ht="12.75" x14ac:dyDescent="0.2"/>
    <row r="33015" s="197" customFormat="1" ht="12.75" x14ac:dyDescent="0.2"/>
    <row r="33016" s="197" customFormat="1" ht="12.75" x14ac:dyDescent="0.2"/>
    <row r="33017" s="197" customFormat="1" ht="12.75" x14ac:dyDescent="0.2"/>
    <row r="33018" s="197" customFormat="1" ht="12.75" x14ac:dyDescent="0.2"/>
    <row r="33019" s="197" customFormat="1" ht="12.75" x14ac:dyDescent="0.2"/>
    <row r="33020" s="197" customFormat="1" ht="12.75" x14ac:dyDescent="0.2"/>
    <row r="33021" s="197" customFormat="1" ht="12.75" x14ac:dyDescent="0.2"/>
    <row r="33022" s="197" customFormat="1" ht="12.75" x14ac:dyDescent="0.2"/>
    <row r="33023" s="197" customFormat="1" ht="12.75" x14ac:dyDescent="0.2"/>
    <row r="33024" s="197" customFormat="1" ht="12.75" x14ac:dyDescent="0.2"/>
    <row r="33025" s="197" customFormat="1" ht="12.75" x14ac:dyDescent="0.2"/>
    <row r="33026" s="197" customFormat="1" ht="12.75" x14ac:dyDescent="0.2"/>
    <row r="33027" s="197" customFormat="1" ht="12.75" x14ac:dyDescent="0.2"/>
    <row r="33028" s="197" customFormat="1" ht="12.75" x14ac:dyDescent="0.2"/>
    <row r="33029" s="197" customFormat="1" ht="12.75" x14ac:dyDescent="0.2"/>
    <row r="33030" s="197" customFormat="1" ht="12.75" x14ac:dyDescent="0.2"/>
    <row r="33031" s="197" customFormat="1" ht="12.75" x14ac:dyDescent="0.2"/>
    <row r="33032" s="197" customFormat="1" ht="12.75" x14ac:dyDescent="0.2"/>
    <row r="33033" s="197" customFormat="1" ht="12.75" x14ac:dyDescent="0.2"/>
    <row r="33034" s="197" customFormat="1" ht="12.75" x14ac:dyDescent="0.2"/>
    <row r="33035" s="197" customFormat="1" ht="12.75" x14ac:dyDescent="0.2"/>
    <row r="33036" s="197" customFormat="1" ht="12.75" x14ac:dyDescent="0.2"/>
    <row r="33037" s="197" customFormat="1" ht="12.75" x14ac:dyDescent="0.2"/>
    <row r="33038" s="197" customFormat="1" ht="12.75" x14ac:dyDescent="0.2"/>
    <row r="33039" s="197" customFormat="1" ht="12.75" x14ac:dyDescent="0.2"/>
    <row r="33040" s="197" customFormat="1" ht="12.75" x14ac:dyDescent="0.2"/>
    <row r="33041" s="197" customFormat="1" ht="12.75" x14ac:dyDescent="0.2"/>
    <row r="33042" s="197" customFormat="1" ht="12.75" x14ac:dyDescent="0.2"/>
    <row r="33043" s="197" customFormat="1" ht="12.75" x14ac:dyDescent="0.2"/>
    <row r="33044" s="197" customFormat="1" ht="12.75" x14ac:dyDescent="0.2"/>
    <row r="33045" s="197" customFormat="1" ht="12.75" x14ac:dyDescent="0.2"/>
    <row r="33046" s="197" customFormat="1" ht="12.75" x14ac:dyDescent="0.2"/>
    <row r="33047" s="197" customFormat="1" ht="12.75" x14ac:dyDescent="0.2"/>
    <row r="33048" s="197" customFormat="1" ht="12.75" x14ac:dyDescent="0.2"/>
    <row r="33049" s="197" customFormat="1" ht="12.75" x14ac:dyDescent="0.2"/>
    <row r="33050" s="197" customFormat="1" ht="12.75" x14ac:dyDescent="0.2"/>
    <row r="33051" s="197" customFormat="1" ht="12.75" x14ac:dyDescent="0.2"/>
    <row r="33052" s="197" customFormat="1" ht="12.75" x14ac:dyDescent="0.2"/>
    <row r="33053" s="197" customFormat="1" ht="12.75" x14ac:dyDescent="0.2"/>
    <row r="33054" s="197" customFormat="1" ht="12.75" x14ac:dyDescent="0.2"/>
    <row r="33055" s="197" customFormat="1" ht="12.75" x14ac:dyDescent="0.2"/>
    <row r="33056" s="197" customFormat="1" ht="12.75" x14ac:dyDescent="0.2"/>
    <row r="33057" s="197" customFormat="1" ht="12.75" x14ac:dyDescent="0.2"/>
    <row r="33058" s="197" customFormat="1" ht="12.75" x14ac:dyDescent="0.2"/>
    <row r="33059" s="197" customFormat="1" ht="12.75" x14ac:dyDescent="0.2"/>
    <row r="33060" s="197" customFormat="1" ht="12.75" x14ac:dyDescent="0.2"/>
    <row r="33061" s="197" customFormat="1" ht="12.75" x14ac:dyDescent="0.2"/>
    <row r="33062" s="197" customFormat="1" ht="12.75" x14ac:dyDescent="0.2"/>
    <row r="33063" s="197" customFormat="1" ht="12.75" x14ac:dyDescent="0.2"/>
    <row r="33064" s="197" customFormat="1" ht="12.75" x14ac:dyDescent="0.2"/>
    <row r="33065" s="197" customFormat="1" ht="12.75" x14ac:dyDescent="0.2"/>
    <row r="33066" s="197" customFormat="1" ht="12.75" x14ac:dyDescent="0.2"/>
    <row r="33067" s="197" customFormat="1" ht="12.75" x14ac:dyDescent="0.2"/>
    <row r="33068" s="197" customFormat="1" ht="12.75" x14ac:dyDescent="0.2"/>
    <row r="33069" s="197" customFormat="1" ht="12.75" x14ac:dyDescent="0.2"/>
    <row r="33070" s="197" customFormat="1" ht="12.75" x14ac:dyDescent="0.2"/>
    <row r="33071" s="197" customFormat="1" ht="12.75" x14ac:dyDescent="0.2"/>
    <row r="33072" s="197" customFormat="1" ht="12.75" x14ac:dyDescent="0.2"/>
    <row r="33073" s="197" customFormat="1" ht="12.75" x14ac:dyDescent="0.2"/>
    <row r="33074" s="197" customFormat="1" ht="12.75" x14ac:dyDescent="0.2"/>
    <row r="33075" s="197" customFormat="1" ht="12.75" x14ac:dyDescent="0.2"/>
    <row r="33076" s="197" customFormat="1" ht="12.75" x14ac:dyDescent="0.2"/>
    <row r="33077" s="197" customFormat="1" ht="12.75" x14ac:dyDescent="0.2"/>
    <row r="33078" s="197" customFormat="1" ht="12.75" x14ac:dyDescent="0.2"/>
    <row r="33079" s="197" customFormat="1" ht="12.75" x14ac:dyDescent="0.2"/>
    <row r="33080" s="197" customFormat="1" ht="12.75" x14ac:dyDescent="0.2"/>
    <row r="33081" s="197" customFormat="1" ht="12.75" x14ac:dyDescent="0.2"/>
    <row r="33082" s="197" customFormat="1" ht="12.75" x14ac:dyDescent="0.2"/>
    <row r="33083" s="197" customFormat="1" ht="12.75" x14ac:dyDescent="0.2"/>
    <row r="33084" s="197" customFormat="1" ht="12.75" x14ac:dyDescent="0.2"/>
    <row r="33085" s="197" customFormat="1" ht="12.75" x14ac:dyDescent="0.2"/>
    <row r="33086" s="197" customFormat="1" ht="12.75" x14ac:dyDescent="0.2"/>
    <row r="33087" s="197" customFormat="1" ht="12.75" x14ac:dyDescent="0.2"/>
    <row r="33088" s="197" customFormat="1" ht="12.75" x14ac:dyDescent="0.2"/>
    <row r="33089" s="197" customFormat="1" ht="12.75" x14ac:dyDescent="0.2"/>
    <row r="33090" s="197" customFormat="1" ht="12.75" x14ac:dyDescent="0.2"/>
    <row r="33091" s="197" customFormat="1" ht="12.75" x14ac:dyDescent="0.2"/>
    <row r="33092" s="197" customFormat="1" ht="12.75" x14ac:dyDescent="0.2"/>
    <row r="33093" s="197" customFormat="1" ht="12.75" x14ac:dyDescent="0.2"/>
    <row r="33094" s="197" customFormat="1" ht="12.75" x14ac:dyDescent="0.2"/>
    <row r="33095" s="197" customFormat="1" ht="12.75" x14ac:dyDescent="0.2"/>
    <row r="33096" s="197" customFormat="1" ht="12.75" x14ac:dyDescent="0.2"/>
    <row r="33097" s="197" customFormat="1" ht="12.75" x14ac:dyDescent="0.2"/>
    <row r="33098" s="197" customFormat="1" ht="12.75" x14ac:dyDescent="0.2"/>
    <row r="33099" s="197" customFormat="1" ht="12.75" x14ac:dyDescent="0.2"/>
    <row r="33100" s="197" customFormat="1" ht="12.75" x14ac:dyDescent="0.2"/>
    <row r="33101" s="197" customFormat="1" ht="12.75" x14ac:dyDescent="0.2"/>
    <row r="33102" s="197" customFormat="1" ht="12.75" x14ac:dyDescent="0.2"/>
    <row r="33103" s="197" customFormat="1" ht="12.75" x14ac:dyDescent="0.2"/>
    <row r="33104" s="197" customFormat="1" ht="12.75" x14ac:dyDescent="0.2"/>
    <row r="33105" s="197" customFormat="1" ht="12.75" x14ac:dyDescent="0.2"/>
    <row r="33106" s="197" customFormat="1" ht="12.75" x14ac:dyDescent="0.2"/>
    <row r="33107" s="197" customFormat="1" ht="12.75" x14ac:dyDescent="0.2"/>
    <row r="33108" s="197" customFormat="1" ht="12.75" x14ac:dyDescent="0.2"/>
    <row r="33109" s="197" customFormat="1" ht="12.75" x14ac:dyDescent="0.2"/>
    <row r="33110" s="197" customFormat="1" ht="12.75" x14ac:dyDescent="0.2"/>
    <row r="33111" s="197" customFormat="1" ht="12.75" x14ac:dyDescent="0.2"/>
    <row r="33112" s="197" customFormat="1" ht="12.75" x14ac:dyDescent="0.2"/>
    <row r="33113" s="197" customFormat="1" ht="12.75" x14ac:dyDescent="0.2"/>
    <row r="33114" s="197" customFormat="1" ht="12.75" x14ac:dyDescent="0.2"/>
    <row r="33115" s="197" customFormat="1" ht="12.75" x14ac:dyDescent="0.2"/>
    <row r="33116" s="197" customFormat="1" ht="12.75" x14ac:dyDescent="0.2"/>
    <row r="33117" s="197" customFormat="1" ht="12.75" x14ac:dyDescent="0.2"/>
    <row r="33118" s="197" customFormat="1" ht="12.75" x14ac:dyDescent="0.2"/>
    <row r="33119" s="197" customFormat="1" ht="12.75" x14ac:dyDescent="0.2"/>
    <row r="33120" s="197" customFormat="1" ht="12.75" x14ac:dyDescent="0.2"/>
    <row r="33121" s="197" customFormat="1" ht="12.75" x14ac:dyDescent="0.2"/>
    <row r="33122" s="197" customFormat="1" ht="12.75" x14ac:dyDescent="0.2"/>
    <row r="33123" s="197" customFormat="1" ht="12.75" x14ac:dyDescent="0.2"/>
    <row r="33124" s="197" customFormat="1" ht="12.75" x14ac:dyDescent="0.2"/>
    <row r="33125" s="197" customFormat="1" ht="12.75" x14ac:dyDescent="0.2"/>
    <row r="33126" s="197" customFormat="1" ht="12.75" x14ac:dyDescent="0.2"/>
    <row r="33127" s="197" customFormat="1" ht="12.75" x14ac:dyDescent="0.2"/>
    <row r="33128" s="197" customFormat="1" ht="12.75" x14ac:dyDescent="0.2"/>
    <row r="33129" s="197" customFormat="1" ht="12.75" x14ac:dyDescent="0.2"/>
    <row r="33130" s="197" customFormat="1" ht="12.75" x14ac:dyDescent="0.2"/>
    <row r="33131" s="197" customFormat="1" ht="12.75" x14ac:dyDescent="0.2"/>
    <row r="33132" s="197" customFormat="1" ht="12.75" x14ac:dyDescent="0.2"/>
    <row r="33133" s="197" customFormat="1" ht="12.75" x14ac:dyDescent="0.2"/>
    <row r="33134" s="197" customFormat="1" ht="12.75" x14ac:dyDescent="0.2"/>
    <row r="33135" s="197" customFormat="1" ht="12.75" x14ac:dyDescent="0.2"/>
    <row r="33136" s="197" customFormat="1" ht="12.75" x14ac:dyDescent="0.2"/>
    <row r="33137" s="197" customFormat="1" ht="12.75" x14ac:dyDescent="0.2"/>
    <row r="33138" s="197" customFormat="1" ht="12.75" x14ac:dyDescent="0.2"/>
    <row r="33139" s="197" customFormat="1" ht="12.75" x14ac:dyDescent="0.2"/>
    <row r="33140" s="197" customFormat="1" ht="12.75" x14ac:dyDescent="0.2"/>
    <row r="33141" s="197" customFormat="1" ht="12.75" x14ac:dyDescent="0.2"/>
    <row r="33142" s="197" customFormat="1" ht="12.75" x14ac:dyDescent="0.2"/>
    <row r="33143" s="197" customFormat="1" ht="12.75" x14ac:dyDescent="0.2"/>
    <row r="33144" s="197" customFormat="1" ht="12.75" x14ac:dyDescent="0.2"/>
    <row r="33145" s="197" customFormat="1" ht="12.75" x14ac:dyDescent="0.2"/>
    <row r="33146" s="197" customFormat="1" ht="12.75" x14ac:dyDescent="0.2"/>
    <row r="33147" s="197" customFormat="1" ht="12.75" x14ac:dyDescent="0.2"/>
    <row r="33148" s="197" customFormat="1" ht="12.75" x14ac:dyDescent="0.2"/>
    <row r="33149" s="197" customFormat="1" ht="12.75" x14ac:dyDescent="0.2"/>
    <row r="33150" s="197" customFormat="1" ht="12.75" x14ac:dyDescent="0.2"/>
    <row r="33151" s="197" customFormat="1" ht="12.75" x14ac:dyDescent="0.2"/>
    <row r="33152" s="197" customFormat="1" ht="12.75" x14ac:dyDescent="0.2"/>
    <row r="33153" s="197" customFormat="1" ht="12.75" x14ac:dyDescent="0.2"/>
    <row r="33154" s="197" customFormat="1" ht="12.75" x14ac:dyDescent="0.2"/>
    <row r="33155" s="197" customFormat="1" ht="12.75" x14ac:dyDescent="0.2"/>
    <row r="33156" s="197" customFormat="1" ht="12.75" x14ac:dyDescent="0.2"/>
    <row r="33157" s="197" customFormat="1" ht="12.75" x14ac:dyDescent="0.2"/>
    <row r="33158" s="197" customFormat="1" ht="12.75" x14ac:dyDescent="0.2"/>
    <row r="33159" s="197" customFormat="1" ht="12.75" x14ac:dyDescent="0.2"/>
    <row r="33160" s="197" customFormat="1" ht="12.75" x14ac:dyDescent="0.2"/>
    <row r="33161" s="197" customFormat="1" ht="12.75" x14ac:dyDescent="0.2"/>
    <row r="33162" s="197" customFormat="1" ht="12.75" x14ac:dyDescent="0.2"/>
    <row r="33163" s="197" customFormat="1" ht="12.75" x14ac:dyDescent="0.2"/>
    <row r="33164" s="197" customFormat="1" ht="12.75" x14ac:dyDescent="0.2"/>
    <row r="33165" s="197" customFormat="1" ht="12.75" x14ac:dyDescent="0.2"/>
    <row r="33166" s="197" customFormat="1" ht="12.75" x14ac:dyDescent="0.2"/>
    <row r="33167" s="197" customFormat="1" ht="12.75" x14ac:dyDescent="0.2"/>
    <row r="33168" s="197" customFormat="1" ht="12.75" x14ac:dyDescent="0.2"/>
    <row r="33169" s="197" customFormat="1" ht="12.75" x14ac:dyDescent="0.2"/>
    <row r="33170" s="197" customFormat="1" ht="12.75" x14ac:dyDescent="0.2"/>
    <row r="33171" s="197" customFormat="1" ht="12.75" x14ac:dyDescent="0.2"/>
    <row r="33172" s="197" customFormat="1" ht="12.75" x14ac:dyDescent="0.2"/>
    <row r="33173" s="197" customFormat="1" ht="12.75" x14ac:dyDescent="0.2"/>
    <row r="33174" s="197" customFormat="1" ht="12.75" x14ac:dyDescent="0.2"/>
    <row r="33175" s="197" customFormat="1" ht="12.75" x14ac:dyDescent="0.2"/>
    <row r="33176" s="197" customFormat="1" ht="12.75" x14ac:dyDescent="0.2"/>
    <row r="33177" s="197" customFormat="1" ht="12.75" x14ac:dyDescent="0.2"/>
    <row r="33178" s="197" customFormat="1" ht="12.75" x14ac:dyDescent="0.2"/>
    <row r="33179" s="197" customFormat="1" ht="12.75" x14ac:dyDescent="0.2"/>
    <row r="33180" s="197" customFormat="1" ht="12.75" x14ac:dyDescent="0.2"/>
    <row r="33181" s="197" customFormat="1" ht="12.75" x14ac:dyDescent="0.2"/>
    <row r="33182" s="197" customFormat="1" ht="12.75" x14ac:dyDescent="0.2"/>
    <row r="33183" s="197" customFormat="1" ht="12.75" x14ac:dyDescent="0.2"/>
    <row r="33184" s="197" customFormat="1" ht="12.75" x14ac:dyDescent="0.2"/>
    <row r="33185" s="197" customFormat="1" ht="12.75" x14ac:dyDescent="0.2"/>
    <row r="33186" s="197" customFormat="1" ht="12.75" x14ac:dyDescent="0.2"/>
    <row r="33187" s="197" customFormat="1" ht="12.75" x14ac:dyDescent="0.2"/>
    <row r="33188" s="197" customFormat="1" ht="12.75" x14ac:dyDescent="0.2"/>
    <row r="33189" s="197" customFormat="1" ht="12.75" x14ac:dyDescent="0.2"/>
    <row r="33190" s="197" customFormat="1" ht="12.75" x14ac:dyDescent="0.2"/>
    <row r="33191" s="197" customFormat="1" ht="12.75" x14ac:dyDescent="0.2"/>
    <row r="33192" s="197" customFormat="1" ht="12.75" x14ac:dyDescent="0.2"/>
    <row r="33193" s="197" customFormat="1" ht="12.75" x14ac:dyDescent="0.2"/>
    <row r="33194" s="197" customFormat="1" ht="12.75" x14ac:dyDescent="0.2"/>
    <row r="33195" s="197" customFormat="1" ht="12.75" x14ac:dyDescent="0.2"/>
    <row r="33196" s="197" customFormat="1" ht="12.75" x14ac:dyDescent="0.2"/>
    <row r="33197" s="197" customFormat="1" ht="12.75" x14ac:dyDescent="0.2"/>
    <row r="33198" s="197" customFormat="1" ht="12.75" x14ac:dyDescent="0.2"/>
    <row r="33199" s="197" customFormat="1" ht="12.75" x14ac:dyDescent="0.2"/>
    <row r="33200" s="197" customFormat="1" ht="12.75" x14ac:dyDescent="0.2"/>
    <row r="33201" s="197" customFormat="1" ht="12.75" x14ac:dyDescent="0.2"/>
    <row r="33202" s="197" customFormat="1" ht="12.75" x14ac:dyDescent="0.2"/>
    <row r="33203" s="197" customFormat="1" ht="12.75" x14ac:dyDescent="0.2"/>
    <row r="33204" s="197" customFormat="1" ht="12.75" x14ac:dyDescent="0.2"/>
    <row r="33205" s="197" customFormat="1" ht="12.75" x14ac:dyDescent="0.2"/>
    <row r="33206" s="197" customFormat="1" ht="12.75" x14ac:dyDescent="0.2"/>
    <row r="33207" s="197" customFormat="1" ht="12.75" x14ac:dyDescent="0.2"/>
    <row r="33208" s="197" customFormat="1" ht="12.75" x14ac:dyDescent="0.2"/>
    <row r="33209" s="197" customFormat="1" ht="12.75" x14ac:dyDescent="0.2"/>
    <row r="33210" s="197" customFormat="1" ht="12.75" x14ac:dyDescent="0.2"/>
    <row r="33211" s="197" customFormat="1" ht="12.75" x14ac:dyDescent="0.2"/>
    <row r="33212" s="197" customFormat="1" ht="12.75" x14ac:dyDescent="0.2"/>
    <row r="33213" s="197" customFormat="1" ht="12.75" x14ac:dyDescent="0.2"/>
    <row r="33214" s="197" customFormat="1" ht="12.75" x14ac:dyDescent="0.2"/>
    <row r="33215" s="197" customFormat="1" ht="12.75" x14ac:dyDescent="0.2"/>
    <row r="33216" s="197" customFormat="1" ht="12.75" x14ac:dyDescent="0.2"/>
    <row r="33217" s="197" customFormat="1" ht="12.75" x14ac:dyDescent="0.2"/>
    <row r="33218" s="197" customFormat="1" ht="12.75" x14ac:dyDescent="0.2"/>
    <row r="33219" s="197" customFormat="1" ht="12.75" x14ac:dyDescent="0.2"/>
    <row r="33220" s="197" customFormat="1" ht="12.75" x14ac:dyDescent="0.2"/>
    <row r="33221" s="197" customFormat="1" ht="12.75" x14ac:dyDescent="0.2"/>
    <row r="33222" s="197" customFormat="1" ht="12.75" x14ac:dyDescent="0.2"/>
    <row r="33223" s="197" customFormat="1" ht="12.75" x14ac:dyDescent="0.2"/>
    <row r="33224" s="197" customFormat="1" ht="12.75" x14ac:dyDescent="0.2"/>
    <row r="33225" s="197" customFormat="1" ht="12.75" x14ac:dyDescent="0.2"/>
    <row r="33226" s="197" customFormat="1" ht="12.75" x14ac:dyDescent="0.2"/>
    <row r="33227" s="197" customFormat="1" ht="12.75" x14ac:dyDescent="0.2"/>
    <row r="33228" s="197" customFormat="1" ht="12.75" x14ac:dyDescent="0.2"/>
    <row r="33229" s="197" customFormat="1" ht="12.75" x14ac:dyDescent="0.2"/>
    <row r="33230" s="197" customFormat="1" ht="12.75" x14ac:dyDescent="0.2"/>
    <row r="33231" s="197" customFormat="1" ht="12.75" x14ac:dyDescent="0.2"/>
    <row r="33232" s="197" customFormat="1" ht="12.75" x14ac:dyDescent="0.2"/>
    <row r="33233" s="197" customFormat="1" ht="12.75" x14ac:dyDescent="0.2"/>
    <row r="33234" s="197" customFormat="1" ht="12.75" x14ac:dyDescent="0.2"/>
    <row r="33235" s="197" customFormat="1" ht="12.75" x14ac:dyDescent="0.2"/>
    <row r="33236" s="197" customFormat="1" ht="12.75" x14ac:dyDescent="0.2"/>
    <row r="33237" s="197" customFormat="1" ht="12.75" x14ac:dyDescent="0.2"/>
    <row r="33238" s="197" customFormat="1" ht="12.75" x14ac:dyDescent="0.2"/>
    <row r="33239" s="197" customFormat="1" ht="12.75" x14ac:dyDescent="0.2"/>
    <row r="33240" s="197" customFormat="1" ht="12.75" x14ac:dyDescent="0.2"/>
    <row r="33241" s="197" customFormat="1" ht="12.75" x14ac:dyDescent="0.2"/>
    <row r="33242" s="197" customFormat="1" ht="12.75" x14ac:dyDescent="0.2"/>
    <row r="33243" s="197" customFormat="1" ht="12.75" x14ac:dyDescent="0.2"/>
    <row r="33244" s="197" customFormat="1" ht="12.75" x14ac:dyDescent="0.2"/>
    <row r="33245" s="197" customFormat="1" ht="12.75" x14ac:dyDescent="0.2"/>
    <row r="33246" s="197" customFormat="1" ht="12.75" x14ac:dyDescent="0.2"/>
    <row r="33247" s="197" customFormat="1" ht="12.75" x14ac:dyDescent="0.2"/>
    <row r="33248" s="197" customFormat="1" ht="12.75" x14ac:dyDescent="0.2"/>
    <row r="33249" s="197" customFormat="1" ht="12.75" x14ac:dyDescent="0.2"/>
    <row r="33250" s="197" customFormat="1" ht="12.75" x14ac:dyDescent="0.2"/>
    <row r="33251" s="197" customFormat="1" ht="12.75" x14ac:dyDescent="0.2"/>
    <row r="33252" s="197" customFormat="1" ht="12.75" x14ac:dyDescent="0.2"/>
    <row r="33253" s="197" customFormat="1" ht="12.75" x14ac:dyDescent="0.2"/>
    <row r="33254" s="197" customFormat="1" ht="12.75" x14ac:dyDescent="0.2"/>
    <row r="33255" s="197" customFormat="1" ht="12.75" x14ac:dyDescent="0.2"/>
    <row r="33256" s="197" customFormat="1" ht="12.75" x14ac:dyDescent="0.2"/>
    <row r="33257" s="197" customFormat="1" ht="12.75" x14ac:dyDescent="0.2"/>
    <row r="33258" s="197" customFormat="1" ht="12.75" x14ac:dyDescent="0.2"/>
    <row r="33259" s="197" customFormat="1" ht="12.75" x14ac:dyDescent="0.2"/>
    <row r="33260" s="197" customFormat="1" ht="12.75" x14ac:dyDescent="0.2"/>
    <row r="33261" s="197" customFormat="1" ht="12.75" x14ac:dyDescent="0.2"/>
    <row r="33262" s="197" customFormat="1" ht="12.75" x14ac:dyDescent="0.2"/>
    <row r="33263" s="197" customFormat="1" ht="12.75" x14ac:dyDescent="0.2"/>
    <row r="33264" s="197" customFormat="1" ht="12.75" x14ac:dyDescent="0.2"/>
    <row r="33265" s="197" customFormat="1" ht="12.75" x14ac:dyDescent="0.2"/>
    <row r="33266" s="197" customFormat="1" ht="12.75" x14ac:dyDescent="0.2"/>
    <row r="33267" s="197" customFormat="1" ht="12.75" x14ac:dyDescent="0.2"/>
    <row r="33268" s="197" customFormat="1" ht="12.75" x14ac:dyDescent="0.2"/>
    <row r="33269" s="197" customFormat="1" ht="12.75" x14ac:dyDescent="0.2"/>
    <row r="33270" s="197" customFormat="1" ht="12.75" x14ac:dyDescent="0.2"/>
    <row r="33271" s="197" customFormat="1" ht="12.75" x14ac:dyDescent="0.2"/>
    <row r="33272" s="197" customFormat="1" ht="12.75" x14ac:dyDescent="0.2"/>
    <row r="33273" s="197" customFormat="1" ht="12.75" x14ac:dyDescent="0.2"/>
    <row r="33274" s="197" customFormat="1" ht="12.75" x14ac:dyDescent="0.2"/>
    <row r="33275" s="197" customFormat="1" ht="12.75" x14ac:dyDescent="0.2"/>
    <row r="33276" s="197" customFormat="1" ht="12.75" x14ac:dyDescent="0.2"/>
    <row r="33277" s="197" customFormat="1" ht="12.75" x14ac:dyDescent="0.2"/>
    <row r="33278" s="197" customFormat="1" ht="12.75" x14ac:dyDescent="0.2"/>
    <row r="33279" s="197" customFormat="1" ht="12.75" x14ac:dyDescent="0.2"/>
    <row r="33280" s="197" customFormat="1" ht="12.75" x14ac:dyDescent="0.2"/>
    <row r="33281" s="197" customFormat="1" ht="12.75" x14ac:dyDescent="0.2"/>
    <row r="33282" s="197" customFormat="1" ht="12.75" x14ac:dyDescent="0.2"/>
    <row r="33283" s="197" customFormat="1" ht="12.75" x14ac:dyDescent="0.2"/>
    <row r="33284" s="197" customFormat="1" ht="12.75" x14ac:dyDescent="0.2"/>
    <row r="33285" s="197" customFormat="1" ht="12.75" x14ac:dyDescent="0.2"/>
    <row r="33286" s="197" customFormat="1" ht="12.75" x14ac:dyDescent="0.2"/>
    <row r="33287" s="197" customFormat="1" ht="12.75" x14ac:dyDescent="0.2"/>
    <row r="33288" s="197" customFormat="1" ht="12.75" x14ac:dyDescent="0.2"/>
    <row r="33289" s="197" customFormat="1" ht="12.75" x14ac:dyDescent="0.2"/>
    <row r="33290" s="197" customFormat="1" ht="12.75" x14ac:dyDescent="0.2"/>
    <row r="33291" s="197" customFormat="1" ht="12.75" x14ac:dyDescent="0.2"/>
    <row r="33292" s="197" customFormat="1" ht="12.75" x14ac:dyDescent="0.2"/>
    <row r="33293" s="197" customFormat="1" ht="12.75" x14ac:dyDescent="0.2"/>
    <row r="33294" s="197" customFormat="1" ht="12.75" x14ac:dyDescent="0.2"/>
    <row r="33295" s="197" customFormat="1" ht="12.75" x14ac:dyDescent="0.2"/>
    <row r="33296" s="197" customFormat="1" ht="12.75" x14ac:dyDescent="0.2"/>
    <row r="33297" s="197" customFormat="1" ht="12.75" x14ac:dyDescent="0.2"/>
    <row r="33298" s="197" customFormat="1" ht="12.75" x14ac:dyDescent="0.2"/>
    <row r="33299" s="197" customFormat="1" ht="12.75" x14ac:dyDescent="0.2"/>
    <row r="33300" s="197" customFormat="1" ht="12.75" x14ac:dyDescent="0.2"/>
    <row r="33301" s="197" customFormat="1" ht="12.75" x14ac:dyDescent="0.2"/>
    <row r="33302" s="197" customFormat="1" ht="12.75" x14ac:dyDescent="0.2"/>
    <row r="33303" s="197" customFormat="1" ht="12.75" x14ac:dyDescent="0.2"/>
    <row r="33304" s="197" customFormat="1" ht="12.75" x14ac:dyDescent="0.2"/>
    <row r="33305" s="197" customFormat="1" ht="12.75" x14ac:dyDescent="0.2"/>
    <row r="33306" s="197" customFormat="1" ht="12.75" x14ac:dyDescent="0.2"/>
    <row r="33307" s="197" customFormat="1" ht="12.75" x14ac:dyDescent="0.2"/>
    <row r="33308" s="197" customFormat="1" ht="12.75" x14ac:dyDescent="0.2"/>
    <row r="33309" s="197" customFormat="1" ht="12.75" x14ac:dyDescent="0.2"/>
    <row r="33310" s="197" customFormat="1" ht="12.75" x14ac:dyDescent="0.2"/>
    <row r="33311" s="197" customFormat="1" ht="12.75" x14ac:dyDescent="0.2"/>
    <row r="33312" s="197" customFormat="1" ht="12.75" x14ac:dyDescent="0.2"/>
    <row r="33313" s="197" customFormat="1" ht="12.75" x14ac:dyDescent="0.2"/>
    <row r="33314" s="197" customFormat="1" ht="12.75" x14ac:dyDescent="0.2"/>
    <row r="33315" s="197" customFormat="1" ht="12.75" x14ac:dyDescent="0.2"/>
    <row r="33316" s="197" customFormat="1" ht="12.75" x14ac:dyDescent="0.2"/>
    <row r="33317" s="197" customFormat="1" ht="12.75" x14ac:dyDescent="0.2"/>
    <row r="33318" s="197" customFormat="1" ht="12.75" x14ac:dyDescent="0.2"/>
    <row r="33319" s="197" customFormat="1" ht="12.75" x14ac:dyDescent="0.2"/>
    <row r="33320" s="197" customFormat="1" ht="12.75" x14ac:dyDescent="0.2"/>
    <row r="33321" s="197" customFormat="1" ht="12.75" x14ac:dyDescent="0.2"/>
    <row r="33322" s="197" customFormat="1" ht="12.75" x14ac:dyDescent="0.2"/>
    <row r="33323" s="197" customFormat="1" ht="12.75" x14ac:dyDescent="0.2"/>
    <row r="33324" s="197" customFormat="1" ht="12.75" x14ac:dyDescent="0.2"/>
    <row r="33325" s="197" customFormat="1" ht="12.75" x14ac:dyDescent="0.2"/>
    <row r="33326" s="197" customFormat="1" ht="12.75" x14ac:dyDescent="0.2"/>
    <row r="33327" s="197" customFormat="1" ht="12.75" x14ac:dyDescent="0.2"/>
    <row r="33328" s="197" customFormat="1" ht="12.75" x14ac:dyDescent="0.2"/>
    <row r="33329" s="197" customFormat="1" ht="12.75" x14ac:dyDescent="0.2"/>
    <row r="33330" s="197" customFormat="1" ht="12.75" x14ac:dyDescent="0.2"/>
    <row r="33331" s="197" customFormat="1" ht="12.75" x14ac:dyDescent="0.2"/>
    <row r="33332" s="197" customFormat="1" ht="12.75" x14ac:dyDescent="0.2"/>
    <row r="33333" s="197" customFormat="1" ht="12.75" x14ac:dyDescent="0.2"/>
    <row r="33334" s="197" customFormat="1" ht="12.75" x14ac:dyDescent="0.2"/>
    <row r="33335" s="197" customFormat="1" ht="12.75" x14ac:dyDescent="0.2"/>
    <row r="33336" s="197" customFormat="1" ht="12.75" x14ac:dyDescent="0.2"/>
    <row r="33337" s="197" customFormat="1" ht="12.75" x14ac:dyDescent="0.2"/>
    <row r="33338" s="197" customFormat="1" ht="12.75" x14ac:dyDescent="0.2"/>
    <row r="33339" s="197" customFormat="1" ht="12.75" x14ac:dyDescent="0.2"/>
    <row r="33340" s="197" customFormat="1" ht="12.75" x14ac:dyDescent="0.2"/>
    <row r="33341" s="197" customFormat="1" ht="12.75" x14ac:dyDescent="0.2"/>
    <row r="33342" s="197" customFormat="1" ht="12.75" x14ac:dyDescent="0.2"/>
    <row r="33343" s="197" customFormat="1" ht="12.75" x14ac:dyDescent="0.2"/>
    <row r="33344" s="197" customFormat="1" ht="12.75" x14ac:dyDescent="0.2"/>
    <row r="33345" s="197" customFormat="1" ht="12.75" x14ac:dyDescent="0.2"/>
    <row r="33346" s="197" customFormat="1" ht="12.75" x14ac:dyDescent="0.2"/>
    <row r="33347" s="197" customFormat="1" ht="12.75" x14ac:dyDescent="0.2"/>
    <row r="33348" s="197" customFormat="1" ht="12.75" x14ac:dyDescent="0.2"/>
    <row r="33349" s="197" customFormat="1" ht="12.75" x14ac:dyDescent="0.2"/>
    <row r="33350" s="197" customFormat="1" ht="12.75" x14ac:dyDescent="0.2"/>
    <row r="33351" s="197" customFormat="1" ht="12.75" x14ac:dyDescent="0.2"/>
    <row r="33352" s="197" customFormat="1" ht="12.75" x14ac:dyDescent="0.2"/>
    <row r="33353" s="197" customFormat="1" ht="12.75" x14ac:dyDescent="0.2"/>
    <row r="33354" s="197" customFormat="1" ht="12.75" x14ac:dyDescent="0.2"/>
    <row r="33355" s="197" customFormat="1" ht="12.75" x14ac:dyDescent="0.2"/>
    <row r="33356" s="197" customFormat="1" ht="12.75" x14ac:dyDescent="0.2"/>
    <row r="33357" s="197" customFormat="1" ht="12.75" x14ac:dyDescent="0.2"/>
    <row r="33358" s="197" customFormat="1" ht="12.75" x14ac:dyDescent="0.2"/>
    <row r="33359" s="197" customFormat="1" ht="12.75" x14ac:dyDescent="0.2"/>
    <row r="33360" s="197" customFormat="1" ht="12.75" x14ac:dyDescent="0.2"/>
    <row r="33361" s="197" customFormat="1" ht="12.75" x14ac:dyDescent="0.2"/>
    <row r="33362" s="197" customFormat="1" ht="12.75" x14ac:dyDescent="0.2"/>
    <row r="33363" s="197" customFormat="1" ht="12.75" x14ac:dyDescent="0.2"/>
    <row r="33364" s="197" customFormat="1" ht="12.75" x14ac:dyDescent="0.2"/>
    <row r="33365" s="197" customFormat="1" ht="12.75" x14ac:dyDescent="0.2"/>
    <row r="33366" s="197" customFormat="1" ht="12.75" x14ac:dyDescent="0.2"/>
    <row r="33367" s="197" customFormat="1" ht="12.75" x14ac:dyDescent="0.2"/>
    <row r="33368" s="197" customFormat="1" ht="12.75" x14ac:dyDescent="0.2"/>
    <row r="33369" s="197" customFormat="1" ht="12.75" x14ac:dyDescent="0.2"/>
    <row r="33370" s="197" customFormat="1" ht="12.75" x14ac:dyDescent="0.2"/>
    <row r="33371" s="197" customFormat="1" ht="12.75" x14ac:dyDescent="0.2"/>
    <row r="33372" s="197" customFormat="1" ht="12.75" x14ac:dyDescent="0.2"/>
    <row r="33373" s="197" customFormat="1" ht="12.75" x14ac:dyDescent="0.2"/>
    <row r="33374" s="197" customFormat="1" ht="12.75" x14ac:dyDescent="0.2"/>
    <row r="33375" s="197" customFormat="1" ht="12.75" x14ac:dyDescent="0.2"/>
    <row r="33376" s="197" customFormat="1" ht="12.75" x14ac:dyDescent="0.2"/>
    <row r="33377" s="197" customFormat="1" ht="12.75" x14ac:dyDescent="0.2"/>
    <row r="33378" s="197" customFormat="1" ht="12.75" x14ac:dyDescent="0.2"/>
    <row r="33379" s="197" customFormat="1" ht="12.75" x14ac:dyDescent="0.2"/>
    <row r="33380" s="197" customFormat="1" ht="12.75" x14ac:dyDescent="0.2"/>
    <row r="33381" s="197" customFormat="1" ht="12.75" x14ac:dyDescent="0.2"/>
    <row r="33382" s="197" customFormat="1" ht="12.75" x14ac:dyDescent="0.2"/>
    <row r="33383" s="197" customFormat="1" ht="12.75" x14ac:dyDescent="0.2"/>
    <row r="33384" s="197" customFormat="1" ht="12.75" x14ac:dyDescent="0.2"/>
    <row r="33385" s="197" customFormat="1" ht="12.75" x14ac:dyDescent="0.2"/>
    <row r="33386" s="197" customFormat="1" ht="12.75" x14ac:dyDescent="0.2"/>
    <row r="33387" s="197" customFormat="1" ht="12.75" x14ac:dyDescent="0.2"/>
    <row r="33388" s="197" customFormat="1" ht="12.75" x14ac:dyDescent="0.2"/>
    <row r="33389" s="197" customFormat="1" ht="12.75" x14ac:dyDescent="0.2"/>
    <row r="33390" s="197" customFormat="1" ht="12.75" x14ac:dyDescent="0.2"/>
    <row r="33391" s="197" customFormat="1" ht="12.75" x14ac:dyDescent="0.2"/>
    <row r="33392" s="197" customFormat="1" ht="12.75" x14ac:dyDescent="0.2"/>
    <row r="33393" s="197" customFormat="1" ht="12.75" x14ac:dyDescent="0.2"/>
    <row r="33394" s="197" customFormat="1" ht="12.75" x14ac:dyDescent="0.2"/>
    <row r="33395" s="197" customFormat="1" ht="12.75" x14ac:dyDescent="0.2"/>
    <row r="33396" s="197" customFormat="1" ht="12.75" x14ac:dyDescent="0.2"/>
    <row r="33397" s="197" customFormat="1" ht="12.75" x14ac:dyDescent="0.2"/>
    <row r="33398" s="197" customFormat="1" ht="12.75" x14ac:dyDescent="0.2"/>
    <row r="33399" s="197" customFormat="1" ht="12.75" x14ac:dyDescent="0.2"/>
    <row r="33400" s="197" customFormat="1" ht="12.75" x14ac:dyDescent="0.2"/>
    <row r="33401" s="197" customFormat="1" ht="12.75" x14ac:dyDescent="0.2"/>
    <row r="33402" s="197" customFormat="1" ht="12.75" x14ac:dyDescent="0.2"/>
    <row r="33403" s="197" customFormat="1" ht="12.75" x14ac:dyDescent="0.2"/>
    <row r="33404" s="197" customFormat="1" ht="12.75" x14ac:dyDescent="0.2"/>
    <row r="33405" s="197" customFormat="1" ht="12.75" x14ac:dyDescent="0.2"/>
    <row r="33406" s="197" customFormat="1" ht="12.75" x14ac:dyDescent="0.2"/>
    <row r="33407" s="197" customFormat="1" ht="12.75" x14ac:dyDescent="0.2"/>
    <row r="33408" s="197" customFormat="1" ht="12.75" x14ac:dyDescent="0.2"/>
    <row r="33409" s="197" customFormat="1" ht="12.75" x14ac:dyDescent="0.2"/>
    <row r="33410" s="197" customFormat="1" ht="12.75" x14ac:dyDescent="0.2"/>
    <row r="33411" s="197" customFormat="1" ht="12.75" x14ac:dyDescent="0.2"/>
    <row r="33412" s="197" customFormat="1" ht="12.75" x14ac:dyDescent="0.2"/>
    <row r="33413" s="197" customFormat="1" ht="12.75" x14ac:dyDescent="0.2"/>
    <row r="33414" s="197" customFormat="1" ht="12.75" x14ac:dyDescent="0.2"/>
    <row r="33415" s="197" customFormat="1" ht="12.75" x14ac:dyDescent="0.2"/>
    <row r="33416" s="197" customFormat="1" ht="12.75" x14ac:dyDescent="0.2"/>
    <row r="33417" s="197" customFormat="1" ht="12.75" x14ac:dyDescent="0.2"/>
    <row r="33418" s="197" customFormat="1" ht="12.75" x14ac:dyDescent="0.2"/>
    <row r="33419" s="197" customFormat="1" ht="12.75" x14ac:dyDescent="0.2"/>
    <row r="33420" s="197" customFormat="1" ht="12.75" x14ac:dyDescent="0.2"/>
    <row r="33421" s="197" customFormat="1" ht="12.75" x14ac:dyDescent="0.2"/>
    <row r="33422" s="197" customFormat="1" ht="12.75" x14ac:dyDescent="0.2"/>
    <row r="33423" s="197" customFormat="1" ht="12.75" x14ac:dyDescent="0.2"/>
    <row r="33424" s="197" customFormat="1" ht="12.75" x14ac:dyDescent="0.2"/>
    <row r="33425" s="197" customFormat="1" ht="12.75" x14ac:dyDescent="0.2"/>
    <row r="33426" s="197" customFormat="1" ht="12.75" x14ac:dyDescent="0.2"/>
    <row r="33427" s="197" customFormat="1" ht="12.75" x14ac:dyDescent="0.2"/>
    <row r="33428" s="197" customFormat="1" ht="12.75" x14ac:dyDescent="0.2"/>
    <row r="33429" s="197" customFormat="1" ht="12.75" x14ac:dyDescent="0.2"/>
    <row r="33430" s="197" customFormat="1" ht="12.75" x14ac:dyDescent="0.2"/>
    <row r="33431" s="197" customFormat="1" ht="12.75" x14ac:dyDescent="0.2"/>
    <row r="33432" s="197" customFormat="1" ht="12.75" x14ac:dyDescent="0.2"/>
    <row r="33433" s="197" customFormat="1" ht="12.75" x14ac:dyDescent="0.2"/>
    <row r="33434" s="197" customFormat="1" ht="12.75" x14ac:dyDescent="0.2"/>
    <row r="33435" s="197" customFormat="1" ht="12.75" x14ac:dyDescent="0.2"/>
    <row r="33436" s="197" customFormat="1" ht="12.75" x14ac:dyDescent="0.2"/>
    <row r="33437" s="197" customFormat="1" ht="12.75" x14ac:dyDescent="0.2"/>
    <row r="33438" s="197" customFormat="1" ht="12.75" x14ac:dyDescent="0.2"/>
    <row r="33439" s="197" customFormat="1" ht="12.75" x14ac:dyDescent="0.2"/>
    <row r="33440" s="197" customFormat="1" ht="12.75" x14ac:dyDescent="0.2"/>
    <row r="33441" s="197" customFormat="1" ht="12.75" x14ac:dyDescent="0.2"/>
    <row r="33442" s="197" customFormat="1" ht="12.75" x14ac:dyDescent="0.2"/>
    <row r="33443" s="197" customFormat="1" ht="12.75" x14ac:dyDescent="0.2"/>
    <row r="33444" s="197" customFormat="1" ht="12.75" x14ac:dyDescent="0.2"/>
    <row r="33445" s="197" customFormat="1" ht="12.75" x14ac:dyDescent="0.2"/>
    <row r="33446" s="197" customFormat="1" ht="12.75" x14ac:dyDescent="0.2"/>
    <row r="33447" s="197" customFormat="1" ht="12.75" x14ac:dyDescent="0.2"/>
    <row r="33448" s="197" customFormat="1" ht="12.75" x14ac:dyDescent="0.2"/>
    <row r="33449" s="197" customFormat="1" ht="12.75" x14ac:dyDescent="0.2"/>
    <row r="33450" s="197" customFormat="1" ht="12.75" x14ac:dyDescent="0.2"/>
    <row r="33451" s="197" customFormat="1" ht="12.75" x14ac:dyDescent="0.2"/>
    <row r="33452" s="197" customFormat="1" ht="12.75" x14ac:dyDescent="0.2"/>
    <row r="33453" s="197" customFormat="1" ht="12.75" x14ac:dyDescent="0.2"/>
    <row r="33454" s="197" customFormat="1" ht="12.75" x14ac:dyDescent="0.2"/>
    <row r="33455" s="197" customFormat="1" ht="12.75" x14ac:dyDescent="0.2"/>
    <row r="33456" s="197" customFormat="1" ht="12.75" x14ac:dyDescent="0.2"/>
    <row r="33457" s="197" customFormat="1" ht="12.75" x14ac:dyDescent="0.2"/>
    <row r="33458" s="197" customFormat="1" ht="12.75" x14ac:dyDescent="0.2"/>
    <row r="33459" s="197" customFormat="1" ht="12.75" x14ac:dyDescent="0.2"/>
    <row r="33460" s="197" customFormat="1" ht="12.75" x14ac:dyDescent="0.2"/>
    <row r="33461" s="197" customFormat="1" ht="12.75" x14ac:dyDescent="0.2"/>
    <row r="33462" s="197" customFormat="1" ht="12.75" x14ac:dyDescent="0.2"/>
    <row r="33463" s="197" customFormat="1" ht="12.75" x14ac:dyDescent="0.2"/>
    <row r="33464" s="197" customFormat="1" ht="12.75" x14ac:dyDescent="0.2"/>
    <row r="33465" s="197" customFormat="1" ht="12.75" x14ac:dyDescent="0.2"/>
    <row r="33466" s="197" customFormat="1" ht="12.75" x14ac:dyDescent="0.2"/>
    <row r="33467" s="197" customFormat="1" ht="12.75" x14ac:dyDescent="0.2"/>
    <row r="33468" s="197" customFormat="1" ht="12.75" x14ac:dyDescent="0.2"/>
    <row r="33469" s="197" customFormat="1" ht="12.75" x14ac:dyDescent="0.2"/>
    <row r="33470" s="197" customFormat="1" ht="12.75" x14ac:dyDescent="0.2"/>
    <row r="33471" s="197" customFormat="1" ht="12.75" x14ac:dyDescent="0.2"/>
    <row r="33472" s="197" customFormat="1" ht="12.75" x14ac:dyDescent="0.2"/>
    <row r="33473" s="197" customFormat="1" ht="12.75" x14ac:dyDescent="0.2"/>
    <row r="33474" s="197" customFormat="1" ht="12.75" x14ac:dyDescent="0.2"/>
    <row r="33475" s="197" customFormat="1" ht="12.75" x14ac:dyDescent="0.2"/>
    <row r="33476" s="197" customFormat="1" ht="12.75" x14ac:dyDescent="0.2"/>
    <row r="33477" s="197" customFormat="1" ht="12.75" x14ac:dyDescent="0.2"/>
    <row r="33478" s="197" customFormat="1" ht="12.75" x14ac:dyDescent="0.2"/>
    <row r="33479" s="197" customFormat="1" ht="12.75" x14ac:dyDescent="0.2"/>
    <row r="33480" s="197" customFormat="1" ht="12.75" x14ac:dyDescent="0.2"/>
    <row r="33481" s="197" customFormat="1" ht="12.75" x14ac:dyDescent="0.2"/>
    <row r="33482" s="197" customFormat="1" ht="12.75" x14ac:dyDescent="0.2"/>
    <row r="33483" s="197" customFormat="1" ht="12.75" x14ac:dyDescent="0.2"/>
    <row r="33484" s="197" customFormat="1" ht="12.75" x14ac:dyDescent="0.2"/>
    <row r="33485" s="197" customFormat="1" ht="12.75" x14ac:dyDescent="0.2"/>
    <row r="33486" s="197" customFormat="1" ht="12.75" x14ac:dyDescent="0.2"/>
    <row r="33487" s="197" customFormat="1" ht="12.75" x14ac:dyDescent="0.2"/>
    <row r="33488" s="197" customFormat="1" ht="12.75" x14ac:dyDescent="0.2"/>
    <row r="33489" s="197" customFormat="1" ht="12.75" x14ac:dyDescent="0.2"/>
    <row r="33490" s="197" customFormat="1" ht="12.75" x14ac:dyDescent="0.2"/>
    <row r="33491" s="197" customFormat="1" ht="12.75" x14ac:dyDescent="0.2"/>
    <row r="33492" s="197" customFormat="1" ht="12.75" x14ac:dyDescent="0.2"/>
    <row r="33493" s="197" customFormat="1" ht="12.75" x14ac:dyDescent="0.2"/>
    <row r="33494" s="197" customFormat="1" ht="12.75" x14ac:dyDescent="0.2"/>
    <row r="33495" s="197" customFormat="1" ht="12.75" x14ac:dyDescent="0.2"/>
    <row r="33496" s="197" customFormat="1" ht="12.75" x14ac:dyDescent="0.2"/>
    <row r="33497" s="197" customFormat="1" ht="12.75" x14ac:dyDescent="0.2"/>
    <row r="33498" s="197" customFormat="1" ht="12.75" x14ac:dyDescent="0.2"/>
    <row r="33499" s="197" customFormat="1" ht="12.75" x14ac:dyDescent="0.2"/>
    <row r="33500" s="197" customFormat="1" ht="12.75" x14ac:dyDescent="0.2"/>
    <row r="33501" s="197" customFormat="1" ht="12.75" x14ac:dyDescent="0.2"/>
    <row r="33502" s="197" customFormat="1" ht="12.75" x14ac:dyDescent="0.2"/>
    <row r="33503" s="197" customFormat="1" ht="12.75" x14ac:dyDescent="0.2"/>
    <row r="33504" s="197" customFormat="1" ht="12.75" x14ac:dyDescent="0.2"/>
    <row r="33505" s="197" customFormat="1" ht="12.75" x14ac:dyDescent="0.2"/>
    <row r="33506" s="197" customFormat="1" ht="12.75" x14ac:dyDescent="0.2"/>
    <row r="33507" s="197" customFormat="1" ht="12.75" x14ac:dyDescent="0.2"/>
    <row r="33508" s="197" customFormat="1" ht="12.75" x14ac:dyDescent="0.2"/>
    <row r="33509" s="197" customFormat="1" ht="12.75" x14ac:dyDescent="0.2"/>
    <row r="33510" s="197" customFormat="1" ht="12.75" x14ac:dyDescent="0.2"/>
    <row r="33511" s="197" customFormat="1" ht="12.75" x14ac:dyDescent="0.2"/>
    <row r="33512" s="197" customFormat="1" ht="12.75" x14ac:dyDescent="0.2"/>
    <row r="33513" s="197" customFormat="1" ht="12.75" x14ac:dyDescent="0.2"/>
    <row r="33514" s="197" customFormat="1" ht="12.75" x14ac:dyDescent="0.2"/>
    <row r="33515" s="197" customFormat="1" ht="12.75" x14ac:dyDescent="0.2"/>
    <row r="33516" s="197" customFormat="1" ht="12.75" x14ac:dyDescent="0.2"/>
    <row r="33517" s="197" customFormat="1" ht="12.75" x14ac:dyDescent="0.2"/>
    <row r="33518" s="197" customFormat="1" ht="12.75" x14ac:dyDescent="0.2"/>
    <row r="33519" s="197" customFormat="1" ht="12.75" x14ac:dyDescent="0.2"/>
    <row r="33520" s="197" customFormat="1" ht="12.75" x14ac:dyDescent="0.2"/>
    <row r="33521" s="197" customFormat="1" ht="12.75" x14ac:dyDescent="0.2"/>
    <row r="33522" s="197" customFormat="1" ht="12.75" x14ac:dyDescent="0.2"/>
    <row r="33523" s="197" customFormat="1" ht="12.75" x14ac:dyDescent="0.2"/>
    <row r="33524" s="197" customFormat="1" ht="12.75" x14ac:dyDescent="0.2"/>
    <row r="33525" s="197" customFormat="1" ht="12.75" x14ac:dyDescent="0.2"/>
    <row r="33526" s="197" customFormat="1" ht="12.75" x14ac:dyDescent="0.2"/>
    <row r="33527" s="197" customFormat="1" ht="12.75" x14ac:dyDescent="0.2"/>
    <row r="33528" s="197" customFormat="1" ht="12.75" x14ac:dyDescent="0.2"/>
    <row r="33529" s="197" customFormat="1" ht="12.75" x14ac:dyDescent="0.2"/>
    <row r="33530" s="197" customFormat="1" ht="12.75" x14ac:dyDescent="0.2"/>
    <row r="33531" s="197" customFormat="1" ht="12.75" x14ac:dyDescent="0.2"/>
    <row r="33532" s="197" customFormat="1" ht="12.75" x14ac:dyDescent="0.2"/>
    <row r="33533" s="197" customFormat="1" ht="12.75" x14ac:dyDescent="0.2"/>
    <row r="33534" s="197" customFormat="1" ht="12.75" x14ac:dyDescent="0.2"/>
    <row r="33535" s="197" customFormat="1" ht="12.75" x14ac:dyDescent="0.2"/>
    <row r="33536" s="197" customFormat="1" ht="12.75" x14ac:dyDescent="0.2"/>
    <row r="33537" s="197" customFormat="1" ht="12.75" x14ac:dyDescent="0.2"/>
    <row r="33538" s="197" customFormat="1" ht="12.75" x14ac:dyDescent="0.2"/>
    <row r="33539" s="197" customFormat="1" ht="12.75" x14ac:dyDescent="0.2"/>
    <row r="33540" s="197" customFormat="1" ht="12.75" x14ac:dyDescent="0.2"/>
    <row r="33541" s="197" customFormat="1" ht="12.75" x14ac:dyDescent="0.2"/>
    <row r="33542" s="197" customFormat="1" ht="12.75" x14ac:dyDescent="0.2"/>
    <row r="33543" s="197" customFormat="1" ht="12.75" x14ac:dyDescent="0.2"/>
    <row r="33544" s="197" customFormat="1" ht="12.75" x14ac:dyDescent="0.2"/>
    <row r="33545" s="197" customFormat="1" ht="12.75" x14ac:dyDescent="0.2"/>
    <row r="33546" s="197" customFormat="1" ht="12.75" x14ac:dyDescent="0.2"/>
    <row r="33547" s="197" customFormat="1" ht="12.75" x14ac:dyDescent="0.2"/>
    <row r="33548" s="197" customFormat="1" ht="12.75" x14ac:dyDescent="0.2"/>
    <row r="33549" s="197" customFormat="1" ht="12.75" x14ac:dyDescent="0.2"/>
    <row r="33550" s="197" customFormat="1" ht="12.75" x14ac:dyDescent="0.2"/>
    <row r="33551" s="197" customFormat="1" ht="12.75" x14ac:dyDescent="0.2"/>
    <row r="33552" s="197" customFormat="1" ht="12.75" x14ac:dyDescent="0.2"/>
    <row r="33553" s="197" customFormat="1" ht="12.75" x14ac:dyDescent="0.2"/>
    <row r="33554" s="197" customFormat="1" ht="12.75" x14ac:dyDescent="0.2"/>
    <row r="33555" s="197" customFormat="1" ht="12.75" x14ac:dyDescent="0.2"/>
    <row r="33556" s="197" customFormat="1" ht="12.75" x14ac:dyDescent="0.2"/>
    <row r="33557" s="197" customFormat="1" ht="12.75" x14ac:dyDescent="0.2"/>
    <row r="33558" s="197" customFormat="1" ht="12.75" x14ac:dyDescent="0.2"/>
    <row r="33559" s="197" customFormat="1" ht="12.75" x14ac:dyDescent="0.2"/>
    <row r="33560" s="197" customFormat="1" ht="12.75" x14ac:dyDescent="0.2"/>
    <row r="33561" s="197" customFormat="1" ht="12.75" x14ac:dyDescent="0.2"/>
    <row r="33562" s="197" customFormat="1" ht="12.75" x14ac:dyDescent="0.2"/>
    <row r="33563" s="197" customFormat="1" ht="12.75" x14ac:dyDescent="0.2"/>
    <row r="33564" s="197" customFormat="1" ht="12.75" x14ac:dyDescent="0.2"/>
    <row r="33565" s="197" customFormat="1" ht="12.75" x14ac:dyDescent="0.2"/>
    <row r="33566" s="197" customFormat="1" ht="12.75" x14ac:dyDescent="0.2"/>
    <row r="33567" s="197" customFormat="1" ht="12.75" x14ac:dyDescent="0.2"/>
    <row r="33568" s="197" customFormat="1" ht="12.75" x14ac:dyDescent="0.2"/>
    <row r="33569" s="197" customFormat="1" ht="12.75" x14ac:dyDescent="0.2"/>
    <row r="33570" s="197" customFormat="1" ht="12.75" x14ac:dyDescent="0.2"/>
    <row r="33571" s="197" customFormat="1" ht="12.75" x14ac:dyDescent="0.2"/>
    <row r="33572" s="197" customFormat="1" ht="12.75" x14ac:dyDescent="0.2"/>
    <row r="33573" s="197" customFormat="1" ht="12.75" x14ac:dyDescent="0.2"/>
    <row r="33574" s="197" customFormat="1" ht="12.75" x14ac:dyDescent="0.2"/>
    <row r="33575" s="197" customFormat="1" ht="12.75" x14ac:dyDescent="0.2"/>
    <row r="33576" s="197" customFormat="1" ht="12.75" x14ac:dyDescent="0.2"/>
    <row r="33577" s="197" customFormat="1" ht="12.75" x14ac:dyDescent="0.2"/>
    <row r="33578" s="197" customFormat="1" ht="12.75" x14ac:dyDescent="0.2"/>
    <row r="33579" s="197" customFormat="1" ht="12.75" x14ac:dyDescent="0.2"/>
    <row r="33580" s="197" customFormat="1" ht="12.75" x14ac:dyDescent="0.2"/>
    <row r="33581" s="197" customFormat="1" ht="12.75" x14ac:dyDescent="0.2"/>
    <row r="33582" s="197" customFormat="1" ht="12.75" x14ac:dyDescent="0.2"/>
    <row r="33583" s="197" customFormat="1" ht="12.75" x14ac:dyDescent="0.2"/>
    <row r="33584" s="197" customFormat="1" ht="12.75" x14ac:dyDescent="0.2"/>
    <row r="33585" s="197" customFormat="1" ht="12.75" x14ac:dyDescent="0.2"/>
    <row r="33586" s="197" customFormat="1" ht="12.75" x14ac:dyDescent="0.2"/>
    <row r="33587" s="197" customFormat="1" ht="12.75" x14ac:dyDescent="0.2"/>
    <row r="33588" s="197" customFormat="1" ht="12.75" x14ac:dyDescent="0.2"/>
    <row r="33589" s="197" customFormat="1" ht="12.75" x14ac:dyDescent="0.2"/>
    <row r="33590" s="197" customFormat="1" ht="12.75" x14ac:dyDescent="0.2"/>
    <row r="33591" s="197" customFormat="1" ht="12.75" x14ac:dyDescent="0.2"/>
    <row r="33592" s="197" customFormat="1" ht="12.75" x14ac:dyDescent="0.2"/>
    <row r="33593" s="197" customFormat="1" ht="12.75" x14ac:dyDescent="0.2"/>
    <row r="33594" s="197" customFormat="1" ht="12.75" x14ac:dyDescent="0.2"/>
    <row r="33595" s="197" customFormat="1" ht="12.75" x14ac:dyDescent="0.2"/>
    <row r="33596" s="197" customFormat="1" ht="12.75" x14ac:dyDescent="0.2"/>
    <row r="33597" s="197" customFormat="1" ht="12.75" x14ac:dyDescent="0.2"/>
    <row r="33598" s="197" customFormat="1" ht="12.75" x14ac:dyDescent="0.2"/>
    <row r="33599" s="197" customFormat="1" ht="12.75" x14ac:dyDescent="0.2"/>
    <row r="33600" s="197" customFormat="1" ht="12.75" x14ac:dyDescent="0.2"/>
    <row r="33601" s="197" customFormat="1" ht="12.75" x14ac:dyDescent="0.2"/>
    <row r="33602" s="197" customFormat="1" ht="12.75" x14ac:dyDescent="0.2"/>
    <row r="33603" s="197" customFormat="1" ht="12.75" x14ac:dyDescent="0.2"/>
    <row r="33604" s="197" customFormat="1" ht="12.75" x14ac:dyDescent="0.2"/>
    <row r="33605" s="197" customFormat="1" ht="12.75" x14ac:dyDescent="0.2"/>
    <row r="33606" s="197" customFormat="1" ht="12.75" x14ac:dyDescent="0.2"/>
    <row r="33607" s="197" customFormat="1" ht="12.75" x14ac:dyDescent="0.2"/>
    <row r="33608" s="197" customFormat="1" ht="12.75" x14ac:dyDescent="0.2"/>
    <row r="33609" s="197" customFormat="1" ht="12.75" x14ac:dyDescent="0.2"/>
    <row r="33610" s="197" customFormat="1" ht="12.75" x14ac:dyDescent="0.2"/>
    <row r="33611" s="197" customFormat="1" ht="12.75" x14ac:dyDescent="0.2"/>
    <row r="33612" s="197" customFormat="1" ht="12.75" x14ac:dyDescent="0.2"/>
    <row r="33613" s="197" customFormat="1" ht="12.75" x14ac:dyDescent="0.2"/>
    <row r="33614" s="197" customFormat="1" ht="12.75" x14ac:dyDescent="0.2"/>
    <row r="33615" s="197" customFormat="1" ht="12.75" x14ac:dyDescent="0.2"/>
    <row r="33616" s="197" customFormat="1" ht="12.75" x14ac:dyDescent="0.2"/>
    <row r="33617" s="197" customFormat="1" ht="12.75" x14ac:dyDescent="0.2"/>
    <row r="33618" s="197" customFormat="1" ht="12.75" x14ac:dyDescent="0.2"/>
    <row r="33619" s="197" customFormat="1" ht="12.75" x14ac:dyDescent="0.2"/>
    <row r="33620" s="197" customFormat="1" ht="12.75" x14ac:dyDescent="0.2"/>
    <row r="33621" s="197" customFormat="1" ht="12.75" x14ac:dyDescent="0.2"/>
    <row r="33622" s="197" customFormat="1" ht="12.75" x14ac:dyDescent="0.2"/>
    <row r="33623" s="197" customFormat="1" ht="12.75" x14ac:dyDescent="0.2"/>
    <row r="33624" s="197" customFormat="1" ht="12.75" x14ac:dyDescent="0.2"/>
    <row r="33625" s="197" customFormat="1" ht="12.75" x14ac:dyDescent="0.2"/>
    <row r="33626" s="197" customFormat="1" ht="12.75" x14ac:dyDescent="0.2"/>
    <row r="33627" s="197" customFormat="1" ht="12.75" x14ac:dyDescent="0.2"/>
    <row r="33628" s="197" customFormat="1" ht="12.75" x14ac:dyDescent="0.2"/>
    <row r="33629" s="197" customFormat="1" ht="12.75" x14ac:dyDescent="0.2"/>
    <row r="33630" s="197" customFormat="1" ht="12.75" x14ac:dyDescent="0.2"/>
    <row r="33631" s="197" customFormat="1" ht="12.75" x14ac:dyDescent="0.2"/>
    <row r="33632" s="197" customFormat="1" ht="12.75" x14ac:dyDescent="0.2"/>
    <row r="33633" s="197" customFormat="1" ht="12.75" x14ac:dyDescent="0.2"/>
    <row r="33634" s="197" customFormat="1" ht="12.75" x14ac:dyDescent="0.2"/>
    <row r="33635" s="197" customFormat="1" ht="12.75" x14ac:dyDescent="0.2"/>
    <row r="33636" s="197" customFormat="1" ht="12.75" x14ac:dyDescent="0.2"/>
    <row r="33637" s="197" customFormat="1" ht="12.75" x14ac:dyDescent="0.2"/>
    <row r="33638" s="197" customFormat="1" ht="12.75" x14ac:dyDescent="0.2"/>
    <row r="33639" s="197" customFormat="1" ht="12.75" x14ac:dyDescent="0.2"/>
    <row r="33640" s="197" customFormat="1" ht="12.75" x14ac:dyDescent="0.2"/>
    <row r="33641" s="197" customFormat="1" ht="12.75" x14ac:dyDescent="0.2"/>
    <row r="33642" s="197" customFormat="1" ht="12.75" x14ac:dyDescent="0.2"/>
    <row r="33643" s="197" customFormat="1" ht="12.75" x14ac:dyDescent="0.2"/>
    <row r="33644" s="197" customFormat="1" ht="12.75" x14ac:dyDescent="0.2"/>
    <row r="33645" s="197" customFormat="1" ht="12.75" x14ac:dyDescent="0.2"/>
    <row r="33646" s="197" customFormat="1" ht="12.75" x14ac:dyDescent="0.2"/>
    <row r="33647" s="197" customFormat="1" ht="12.75" x14ac:dyDescent="0.2"/>
    <row r="33648" s="197" customFormat="1" ht="12.75" x14ac:dyDescent="0.2"/>
    <row r="33649" s="197" customFormat="1" ht="12.75" x14ac:dyDescent="0.2"/>
    <row r="33650" s="197" customFormat="1" ht="12.75" x14ac:dyDescent="0.2"/>
    <row r="33651" s="197" customFormat="1" ht="12.75" x14ac:dyDescent="0.2"/>
    <row r="33652" s="197" customFormat="1" ht="12.75" x14ac:dyDescent="0.2"/>
    <row r="33653" s="197" customFormat="1" ht="12.75" x14ac:dyDescent="0.2"/>
    <row r="33654" s="197" customFormat="1" ht="12.75" x14ac:dyDescent="0.2"/>
    <row r="33655" s="197" customFormat="1" ht="12.75" x14ac:dyDescent="0.2"/>
    <row r="33656" s="197" customFormat="1" ht="12.75" x14ac:dyDescent="0.2"/>
    <row r="33657" s="197" customFormat="1" ht="12.75" x14ac:dyDescent="0.2"/>
    <row r="33658" s="197" customFormat="1" ht="12.75" x14ac:dyDescent="0.2"/>
    <row r="33659" s="197" customFormat="1" ht="12.75" x14ac:dyDescent="0.2"/>
    <row r="33660" s="197" customFormat="1" ht="12.75" x14ac:dyDescent="0.2"/>
    <row r="33661" s="197" customFormat="1" ht="12.75" x14ac:dyDescent="0.2"/>
    <row r="33662" s="197" customFormat="1" ht="12.75" x14ac:dyDescent="0.2"/>
    <row r="33663" s="197" customFormat="1" ht="12.75" x14ac:dyDescent="0.2"/>
    <row r="33664" s="197" customFormat="1" ht="12.75" x14ac:dyDescent="0.2"/>
    <row r="33665" s="197" customFormat="1" ht="12.75" x14ac:dyDescent="0.2"/>
    <row r="33666" s="197" customFormat="1" ht="12.75" x14ac:dyDescent="0.2"/>
    <row r="33667" s="197" customFormat="1" ht="12.75" x14ac:dyDescent="0.2"/>
    <row r="33668" s="197" customFormat="1" ht="12.75" x14ac:dyDescent="0.2"/>
    <row r="33669" s="197" customFormat="1" ht="12.75" x14ac:dyDescent="0.2"/>
    <row r="33670" s="197" customFormat="1" ht="12.75" x14ac:dyDescent="0.2"/>
    <row r="33671" s="197" customFormat="1" ht="12.75" x14ac:dyDescent="0.2"/>
    <row r="33672" s="197" customFormat="1" ht="12.75" x14ac:dyDescent="0.2"/>
    <row r="33673" s="197" customFormat="1" ht="12.75" x14ac:dyDescent="0.2"/>
    <row r="33674" s="197" customFormat="1" ht="12.75" x14ac:dyDescent="0.2"/>
    <row r="33675" s="197" customFormat="1" ht="12.75" x14ac:dyDescent="0.2"/>
    <row r="33676" s="197" customFormat="1" ht="12.75" x14ac:dyDescent="0.2"/>
    <row r="33677" s="197" customFormat="1" ht="12.75" x14ac:dyDescent="0.2"/>
    <row r="33678" s="197" customFormat="1" ht="12.75" x14ac:dyDescent="0.2"/>
    <row r="33679" s="197" customFormat="1" ht="12.75" x14ac:dyDescent="0.2"/>
    <row r="33680" s="197" customFormat="1" ht="12.75" x14ac:dyDescent="0.2"/>
    <row r="33681" s="197" customFormat="1" ht="12.75" x14ac:dyDescent="0.2"/>
    <row r="33682" s="197" customFormat="1" ht="12.75" x14ac:dyDescent="0.2"/>
    <row r="33683" s="197" customFormat="1" ht="12.75" x14ac:dyDescent="0.2"/>
    <row r="33684" s="197" customFormat="1" ht="12.75" x14ac:dyDescent="0.2"/>
    <row r="33685" s="197" customFormat="1" ht="12.75" x14ac:dyDescent="0.2"/>
    <row r="33686" s="197" customFormat="1" ht="12.75" x14ac:dyDescent="0.2"/>
    <row r="33687" s="197" customFormat="1" ht="12.75" x14ac:dyDescent="0.2"/>
    <row r="33688" s="197" customFormat="1" ht="12.75" x14ac:dyDescent="0.2"/>
    <row r="33689" s="197" customFormat="1" ht="12.75" x14ac:dyDescent="0.2"/>
    <row r="33690" s="197" customFormat="1" ht="12.75" x14ac:dyDescent="0.2"/>
    <row r="33691" s="197" customFormat="1" ht="12.75" x14ac:dyDescent="0.2"/>
    <row r="33692" s="197" customFormat="1" ht="12.75" x14ac:dyDescent="0.2"/>
    <row r="33693" s="197" customFormat="1" ht="12.75" x14ac:dyDescent="0.2"/>
    <row r="33694" s="197" customFormat="1" ht="12.75" x14ac:dyDescent="0.2"/>
    <row r="33695" s="197" customFormat="1" ht="12.75" x14ac:dyDescent="0.2"/>
    <row r="33696" s="197" customFormat="1" ht="12.75" x14ac:dyDescent="0.2"/>
    <row r="33697" s="197" customFormat="1" ht="12.75" x14ac:dyDescent="0.2"/>
    <row r="33698" s="197" customFormat="1" ht="12.75" x14ac:dyDescent="0.2"/>
    <row r="33699" s="197" customFormat="1" ht="12.75" x14ac:dyDescent="0.2"/>
    <row r="33700" s="197" customFormat="1" ht="12.75" x14ac:dyDescent="0.2"/>
    <row r="33701" s="197" customFormat="1" ht="12.75" x14ac:dyDescent="0.2"/>
    <row r="33702" s="197" customFormat="1" ht="12.75" x14ac:dyDescent="0.2"/>
    <row r="33703" s="197" customFormat="1" ht="12.75" x14ac:dyDescent="0.2"/>
    <row r="33704" s="197" customFormat="1" ht="12.75" x14ac:dyDescent="0.2"/>
    <row r="33705" s="197" customFormat="1" ht="12.75" x14ac:dyDescent="0.2"/>
    <row r="33706" s="197" customFormat="1" ht="12.75" x14ac:dyDescent="0.2"/>
    <row r="33707" s="197" customFormat="1" ht="12.75" x14ac:dyDescent="0.2"/>
    <row r="33708" s="197" customFormat="1" ht="12.75" x14ac:dyDescent="0.2"/>
    <row r="33709" s="197" customFormat="1" ht="12.75" x14ac:dyDescent="0.2"/>
    <row r="33710" s="197" customFormat="1" ht="12.75" x14ac:dyDescent="0.2"/>
    <row r="33711" s="197" customFormat="1" ht="12.75" x14ac:dyDescent="0.2"/>
    <row r="33712" s="197" customFormat="1" ht="12.75" x14ac:dyDescent="0.2"/>
    <row r="33713" s="197" customFormat="1" ht="12.75" x14ac:dyDescent="0.2"/>
    <row r="33714" s="197" customFormat="1" ht="12.75" x14ac:dyDescent="0.2"/>
    <row r="33715" s="197" customFormat="1" ht="12.75" x14ac:dyDescent="0.2"/>
    <row r="33716" s="197" customFormat="1" ht="12.75" x14ac:dyDescent="0.2"/>
    <row r="33717" s="197" customFormat="1" ht="12.75" x14ac:dyDescent="0.2"/>
    <row r="33718" s="197" customFormat="1" ht="12.75" x14ac:dyDescent="0.2"/>
    <row r="33719" s="197" customFormat="1" ht="12.75" x14ac:dyDescent="0.2"/>
    <row r="33720" s="197" customFormat="1" ht="12.75" x14ac:dyDescent="0.2"/>
    <row r="33721" s="197" customFormat="1" ht="12.75" x14ac:dyDescent="0.2"/>
    <row r="33722" s="197" customFormat="1" ht="12.75" x14ac:dyDescent="0.2"/>
    <row r="33723" s="197" customFormat="1" ht="12.75" x14ac:dyDescent="0.2"/>
    <row r="33724" s="197" customFormat="1" ht="12.75" x14ac:dyDescent="0.2"/>
    <row r="33725" s="197" customFormat="1" ht="12.75" x14ac:dyDescent="0.2"/>
    <row r="33726" s="197" customFormat="1" ht="12.75" x14ac:dyDescent="0.2"/>
    <row r="33727" s="197" customFormat="1" ht="12.75" x14ac:dyDescent="0.2"/>
    <row r="33728" s="197" customFormat="1" ht="12.75" x14ac:dyDescent="0.2"/>
    <row r="33729" s="197" customFormat="1" ht="12.75" x14ac:dyDescent="0.2"/>
    <row r="33730" s="197" customFormat="1" ht="12.75" x14ac:dyDescent="0.2"/>
    <row r="33731" s="197" customFormat="1" ht="12.75" x14ac:dyDescent="0.2"/>
    <row r="33732" s="197" customFormat="1" ht="12.75" x14ac:dyDescent="0.2"/>
    <row r="33733" s="197" customFormat="1" ht="12.75" x14ac:dyDescent="0.2"/>
    <row r="33734" s="197" customFormat="1" ht="12.75" x14ac:dyDescent="0.2"/>
    <row r="33735" s="197" customFormat="1" ht="12.75" x14ac:dyDescent="0.2"/>
    <row r="33736" s="197" customFormat="1" ht="12.75" x14ac:dyDescent="0.2"/>
    <row r="33737" s="197" customFormat="1" ht="12.75" x14ac:dyDescent="0.2"/>
    <row r="33738" s="197" customFormat="1" ht="12.75" x14ac:dyDescent="0.2"/>
    <row r="33739" s="197" customFormat="1" ht="12.75" x14ac:dyDescent="0.2"/>
    <row r="33740" s="197" customFormat="1" ht="12.75" x14ac:dyDescent="0.2"/>
    <row r="33741" s="197" customFormat="1" ht="12.75" x14ac:dyDescent="0.2"/>
    <row r="33742" s="197" customFormat="1" ht="12.75" x14ac:dyDescent="0.2"/>
    <row r="33743" s="197" customFormat="1" ht="12.75" x14ac:dyDescent="0.2"/>
    <row r="33744" s="197" customFormat="1" ht="12.75" x14ac:dyDescent="0.2"/>
    <row r="33745" s="197" customFormat="1" ht="12.75" x14ac:dyDescent="0.2"/>
    <row r="33746" s="197" customFormat="1" ht="12.75" x14ac:dyDescent="0.2"/>
    <row r="33747" s="197" customFormat="1" ht="12.75" x14ac:dyDescent="0.2"/>
    <row r="33748" s="197" customFormat="1" ht="12.75" x14ac:dyDescent="0.2"/>
    <row r="33749" s="197" customFormat="1" ht="12.75" x14ac:dyDescent="0.2"/>
    <row r="33750" s="197" customFormat="1" ht="12.75" x14ac:dyDescent="0.2"/>
    <row r="33751" s="197" customFormat="1" ht="12.75" x14ac:dyDescent="0.2"/>
    <row r="33752" s="197" customFormat="1" ht="12.75" x14ac:dyDescent="0.2"/>
    <row r="33753" s="197" customFormat="1" ht="12.75" x14ac:dyDescent="0.2"/>
    <row r="33754" s="197" customFormat="1" ht="12.75" x14ac:dyDescent="0.2"/>
    <row r="33755" s="197" customFormat="1" ht="12.75" x14ac:dyDescent="0.2"/>
    <row r="33756" s="197" customFormat="1" ht="12.75" x14ac:dyDescent="0.2"/>
    <row r="33757" s="197" customFormat="1" ht="12.75" x14ac:dyDescent="0.2"/>
    <row r="33758" s="197" customFormat="1" ht="12.75" x14ac:dyDescent="0.2"/>
    <row r="33759" s="197" customFormat="1" ht="12.75" x14ac:dyDescent="0.2"/>
    <row r="33760" s="197" customFormat="1" ht="12.75" x14ac:dyDescent="0.2"/>
    <row r="33761" s="197" customFormat="1" ht="12.75" x14ac:dyDescent="0.2"/>
    <row r="33762" s="197" customFormat="1" ht="12.75" x14ac:dyDescent="0.2"/>
    <row r="33763" s="197" customFormat="1" ht="12.75" x14ac:dyDescent="0.2"/>
    <row r="33764" s="197" customFormat="1" ht="12.75" x14ac:dyDescent="0.2"/>
    <row r="33765" s="197" customFormat="1" ht="12.75" x14ac:dyDescent="0.2"/>
    <row r="33766" s="197" customFormat="1" ht="12.75" x14ac:dyDescent="0.2"/>
    <row r="33767" s="197" customFormat="1" ht="12.75" x14ac:dyDescent="0.2"/>
    <row r="33768" s="197" customFormat="1" ht="12.75" x14ac:dyDescent="0.2"/>
    <row r="33769" s="197" customFormat="1" ht="12.75" x14ac:dyDescent="0.2"/>
    <row r="33770" s="197" customFormat="1" ht="12.75" x14ac:dyDescent="0.2"/>
    <row r="33771" s="197" customFormat="1" ht="12.75" x14ac:dyDescent="0.2"/>
    <row r="33772" s="197" customFormat="1" ht="12.75" x14ac:dyDescent="0.2"/>
    <row r="33773" s="197" customFormat="1" ht="12.75" x14ac:dyDescent="0.2"/>
    <row r="33774" s="197" customFormat="1" ht="12.75" x14ac:dyDescent="0.2"/>
    <row r="33775" s="197" customFormat="1" ht="12.75" x14ac:dyDescent="0.2"/>
    <row r="33776" s="197" customFormat="1" ht="12.75" x14ac:dyDescent="0.2"/>
    <row r="33777" s="197" customFormat="1" ht="12.75" x14ac:dyDescent="0.2"/>
    <row r="33778" s="197" customFormat="1" ht="12.75" x14ac:dyDescent="0.2"/>
    <row r="33779" s="197" customFormat="1" ht="12.75" x14ac:dyDescent="0.2"/>
    <row r="33780" s="197" customFormat="1" ht="12.75" x14ac:dyDescent="0.2"/>
    <row r="33781" s="197" customFormat="1" ht="12.75" x14ac:dyDescent="0.2"/>
    <row r="33782" s="197" customFormat="1" ht="12.75" x14ac:dyDescent="0.2"/>
    <row r="33783" s="197" customFormat="1" ht="12.75" x14ac:dyDescent="0.2"/>
    <row r="33784" s="197" customFormat="1" ht="12.75" x14ac:dyDescent="0.2"/>
    <row r="33785" s="197" customFormat="1" ht="12.75" x14ac:dyDescent="0.2"/>
    <row r="33786" s="197" customFormat="1" ht="12.75" x14ac:dyDescent="0.2"/>
    <row r="33787" s="197" customFormat="1" ht="12.75" x14ac:dyDescent="0.2"/>
    <row r="33788" s="197" customFormat="1" ht="12.75" x14ac:dyDescent="0.2"/>
    <row r="33789" s="197" customFormat="1" ht="12.75" x14ac:dyDescent="0.2"/>
    <row r="33790" s="197" customFormat="1" ht="12.75" x14ac:dyDescent="0.2"/>
    <row r="33791" s="197" customFormat="1" ht="12.75" x14ac:dyDescent="0.2"/>
    <row r="33792" s="197" customFormat="1" ht="12.75" x14ac:dyDescent="0.2"/>
    <row r="33793" s="197" customFormat="1" ht="12.75" x14ac:dyDescent="0.2"/>
    <row r="33794" s="197" customFormat="1" ht="12.75" x14ac:dyDescent="0.2"/>
    <row r="33795" s="197" customFormat="1" ht="12.75" x14ac:dyDescent="0.2"/>
    <row r="33796" s="197" customFormat="1" ht="12.75" x14ac:dyDescent="0.2"/>
    <row r="33797" s="197" customFormat="1" ht="12.75" x14ac:dyDescent="0.2"/>
    <row r="33798" s="197" customFormat="1" ht="12.75" x14ac:dyDescent="0.2"/>
    <row r="33799" s="197" customFormat="1" ht="12.75" x14ac:dyDescent="0.2"/>
    <row r="33800" s="197" customFormat="1" ht="12.75" x14ac:dyDescent="0.2"/>
    <row r="33801" s="197" customFormat="1" ht="12.75" x14ac:dyDescent="0.2"/>
    <row r="33802" s="197" customFormat="1" ht="12.75" x14ac:dyDescent="0.2"/>
    <row r="33803" s="197" customFormat="1" ht="12.75" x14ac:dyDescent="0.2"/>
    <row r="33804" s="197" customFormat="1" ht="12.75" x14ac:dyDescent="0.2"/>
    <row r="33805" s="197" customFormat="1" ht="12.75" x14ac:dyDescent="0.2"/>
    <row r="33806" s="197" customFormat="1" ht="12.75" x14ac:dyDescent="0.2"/>
    <row r="33807" s="197" customFormat="1" ht="12.75" x14ac:dyDescent="0.2"/>
    <row r="33808" s="197" customFormat="1" ht="12.75" x14ac:dyDescent="0.2"/>
    <row r="33809" s="197" customFormat="1" ht="12.75" x14ac:dyDescent="0.2"/>
    <row r="33810" s="197" customFormat="1" ht="12.75" x14ac:dyDescent="0.2"/>
    <row r="33811" s="197" customFormat="1" ht="12.75" x14ac:dyDescent="0.2"/>
    <row r="33812" s="197" customFormat="1" ht="12.75" x14ac:dyDescent="0.2"/>
    <row r="33813" s="197" customFormat="1" ht="12.75" x14ac:dyDescent="0.2"/>
    <row r="33814" s="197" customFormat="1" ht="12.75" x14ac:dyDescent="0.2"/>
    <row r="33815" s="197" customFormat="1" ht="12.75" x14ac:dyDescent="0.2"/>
    <row r="33816" s="197" customFormat="1" ht="12.75" x14ac:dyDescent="0.2"/>
    <row r="33817" s="197" customFormat="1" ht="12.75" x14ac:dyDescent="0.2"/>
    <row r="33818" s="197" customFormat="1" ht="12.75" x14ac:dyDescent="0.2"/>
    <row r="33819" s="197" customFormat="1" ht="12.75" x14ac:dyDescent="0.2"/>
    <row r="33820" s="197" customFormat="1" ht="12.75" x14ac:dyDescent="0.2"/>
    <row r="33821" s="197" customFormat="1" ht="12.75" x14ac:dyDescent="0.2"/>
    <row r="33822" s="197" customFormat="1" ht="12.75" x14ac:dyDescent="0.2"/>
    <row r="33823" s="197" customFormat="1" ht="12.75" x14ac:dyDescent="0.2"/>
    <row r="33824" s="197" customFormat="1" ht="12.75" x14ac:dyDescent="0.2"/>
    <row r="33825" s="197" customFormat="1" ht="12.75" x14ac:dyDescent="0.2"/>
    <row r="33826" s="197" customFormat="1" ht="12.75" x14ac:dyDescent="0.2"/>
    <row r="33827" s="197" customFormat="1" ht="12.75" x14ac:dyDescent="0.2"/>
    <row r="33828" s="197" customFormat="1" ht="12.75" x14ac:dyDescent="0.2"/>
    <row r="33829" s="197" customFormat="1" ht="12.75" x14ac:dyDescent="0.2"/>
    <row r="33830" s="197" customFormat="1" ht="12.75" x14ac:dyDescent="0.2"/>
    <row r="33831" s="197" customFormat="1" ht="12.75" x14ac:dyDescent="0.2"/>
    <row r="33832" s="197" customFormat="1" ht="12.75" x14ac:dyDescent="0.2"/>
    <row r="33833" s="197" customFormat="1" ht="12.75" x14ac:dyDescent="0.2"/>
    <row r="33834" s="197" customFormat="1" ht="12.75" x14ac:dyDescent="0.2"/>
    <row r="33835" s="197" customFormat="1" ht="12.75" x14ac:dyDescent="0.2"/>
    <row r="33836" s="197" customFormat="1" ht="12.75" x14ac:dyDescent="0.2"/>
    <row r="33837" s="197" customFormat="1" ht="12.75" x14ac:dyDescent="0.2"/>
    <row r="33838" s="197" customFormat="1" ht="12.75" x14ac:dyDescent="0.2"/>
    <row r="33839" s="197" customFormat="1" ht="12.75" x14ac:dyDescent="0.2"/>
    <row r="33840" s="197" customFormat="1" ht="12.75" x14ac:dyDescent="0.2"/>
    <row r="33841" s="197" customFormat="1" ht="12.75" x14ac:dyDescent="0.2"/>
    <row r="33842" s="197" customFormat="1" ht="12.75" x14ac:dyDescent="0.2"/>
    <row r="33843" s="197" customFormat="1" ht="12.75" x14ac:dyDescent="0.2"/>
    <row r="33844" s="197" customFormat="1" ht="12.75" x14ac:dyDescent="0.2"/>
    <row r="33845" s="197" customFormat="1" ht="12.75" x14ac:dyDescent="0.2"/>
    <row r="33846" s="197" customFormat="1" ht="12.75" x14ac:dyDescent="0.2"/>
    <row r="33847" s="197" customFormat="1" ht="12.75" x14ac:dyDescent="0.2"/>
    <row r="33848" s="197" customFormat="1" ht="12.75" x14ac:dyDescent="0.2"/>
    <row r="33849" s="197" customFormat="1" ht="12.75" x14ac:dyDescent="0.2"/>
    <row r="33850" s="197" customFormat="1" ht="12.75" x14ac:dyDescent="0.2"/>
    <row r="33851" s="197" customFormat="1" ht="12.75" x14ac:dyDescent="0.2"/>
    <row r="33852" s="197" customFormat="1" ht="12.75" x14ac:dyDescent="0.2"/>
    <row r="33853" s="197" customFormat="1" ht="12.75" x14ac:dyDescent="0.2"/>
    <row r="33854" s="197" customFormat="1" ht="12.75" x14ac:dyDescent="0.2"/>
    <row r="33855" s="197" customFormat="1" ht="12.75" x14ac:dyDescent="0.2"/>
    <row r="33856" s="197" customFormat="1" ht="12.75" x14ac:dyDescent="0.2"/>
    <row r="33857" s="197" customFormat="1" ht="12.75" x14ac:dyDescent="0.2"/>
    <row r="33858" s="197" customFormat="1" ht="12.75" x14ac:dyDescent="0.2"/>
    <row r="33859" s="197" customFormat="1" ht="12.75" x14ac:dyDescent="0.2"/>
    <row r="33860" s="197" customFormat="1" ht="12.75" x14ac:dyDescent="0.2"/>
    <row r="33861" s="197" customFormat="1" ht="12.75" x14ac:dyDescent="0.2"/>
    <row r="33862" s="197" customFormat="1" ht="12.75" x14ac:dyDescent="0.2"/>
    <row r="33863" s="197" customFormat="1" ht="12.75" x14ac:dyDescent="0.2"/>
    <row r="33864" s="197" customFormat="1" ht="12.75" x14ac:dyDescent="0.2"/>
    <row r="33865" s="197" customFormat="1" ht="12.75" x14ac:dyDescent="0.2"/>
    <row r="33866" s="197" customFormat="1" ht="12.75" x14ac:dyDescent="0.2"/>
    <row r="33867" s="197" customFormat="1" ht="12.75" x14ac:dyDescent="0.2"/>
    <row r="33868" s="197" customFormat="1" ht="12.75" x14ac:dyDescent="0.2"/>
    <row r="33869" s="197" customFormat="1" ht="12.75" x14ac:dyDescent="0.2"/>
    <row r="33870" s="197" customFormat="1" ht="12.75" x14ac:dyDescent="0.2"/>
    <row r="33871" s="197" customFormat="1" ht="12.75" x14ac:dyDescent="0.2"/>
    <row r="33872" s="197" customFormat="1" ht="12.75" x14ac:dyDescent="0.2"/>
    <row r="33873" s="197" customFormat="1" ht="12.75" x14ac:dyDescent="0.2"/>
    <row r="33874" s="197" customFormat="1" ht="12.75" x14ac:dyDescent="0.2"/>
    <row r="33875" s="197" customFormat="1" ht="12.75" x14ac:dyDescent="0.2"/>
    <row r="33876" s="197" customFormat="1" ht="12.75" x14ac:dyDescent="0.2"/>
    <row r="33877" s="197" customFormat="1" ht="12.75" x14ac:dyDescent="0.2"/>
    <row r="33878" s="197" customFormat="1" ht="12.75" x14ac:dyDescent="0.2"/>
    <row r="33879" s="197" customFormat="1" ht="12.75" x14ac:dyDescent="0.2"/>
    <row r="33880" s="197" customFormat="1" ht="12.75" x14ac:dyDescent="0.2"/>
    <row r="33881" s="197" customFormat="1" ht="12.75" x14ac:dyDescent="0.2"/>
    <row r="33882" s="197" customFormat="1" ht="12.75" x14ac:dyDescent="0.2"/>
    <row r="33883" s="197" customFormat="1" ht="12.75" x14ac:dyDescent="0.2"/>
    <row r="33884" s="197" customFormat="1" ht="12.75" x14ac:dyDescent="0.2"/>
    <row r="33885" s="197" customFormat="1" ht="12.75" x14ac:dyDescent="0.2"/>
    <row r="33886" s="197" customFormat="1" ht="12.75" x14ac:dyDescent="0.2"/>
    <row r="33887" s="197" customFormat="1" ht="12.75" x14ac:dyDescent="0.2"/>
    <row r="33888" s="197" customFormat="1" ht="12.75" x14ac:dyDescent="0.2"/>
    <row r="33889" s="197" customFormat="1" ht="12.75" x14ac:dyDescent="0.2"/>
    <row r="33890" s="197" customFormat="1" ht="12.75" x14ac:dyDescent="0.2"/>
    <row r="33891" s="197" customFormat="1" ht="12.75" x14ac:dyDescent="0.2"/>
    <row r="33892" s="197" customFormat="1" ht="12.75" x14ac:dyDescent="0.2"/>
    <row r="33893" s="197" customFormat="1" ht="12.75" x14ac:dyDescent="0.2"/>
    <row r="33894" s="197" customFormat="1" ht="12.75" x14ac:dyDescent="0.2"/>
    <row r="33895" s="197" customFormat="1" ht="12.75" x14ac:dyDescent="0.2"/>
    <row r="33896" s="197" customFormat="1" ht="12.75" x14ac:dyDescent="0.2"/>
    <row r="33897" s="197" customFormat="1" ht="12.75" x14ac:dyDescent="0.2"/>
    <row r="33898" s="197" customFormat="1" ht="12.75" x14ac:dyDescent="0.2"/>
    <row r="33899" s="197" customFormat="1" ht="12.75" x14ac:dyDescent="0.2"/>
    <row r="33900" s="197" customFormat="1" ht="12.75" x14ac:dyDescent="0.2"/>
    <row r="33901" s="197" customFormat="1" ht="12.75" x14ac:dyDescent="0.2"/>
    <row r="33902" s="197" customFormat="1" ht="12.75" x14ac:dyDescent="0.2"/>
    <row r="33903" s="197" customFormat="1" ht="12.75" x14ac:dyDescent="0.2"/>
    <row r="33904" s="197" customFormat="1" ht="12.75" x14ac:dyDescent="0.2"/>
    <row r="33905" s="197" customFormat="1" ht="12.75" x14ac:dyDescent="0.2"/>
    <row r="33906" s="197" customFormat="1" ht="12.75" x14ac:dyDescent="0.2"/>
    <row r="33907" s="197" customFormat="1" ht="12.75" x14ac:dyDescent="0.2"/>
    <row r="33908" s="197" customFormat="1" ht="12.75" x14ac:dyDescent="0.2"/>
    <row r="33909" s="197" customFormat="1" ht="12.75" x14ac:dyDescent="0.2"/>
    <row r="33910" s="197" customFormat="1" ht="12.75" x14ac:dyDescent="0.2"/>
    <row r="33911" s="197" customFormat="1" ht="12.75" x14ac:dyDescent="0.2"/>
    <row r="33912" s="197" customFormat="1" ht="12.75" x14ac:dyDescent="0.2"/>
    <row r="33913" s="197" customFormat="1" ht="12.75" x14ac:dyDescent="0.2"/>
    <row r="33914" s="197" customFormat="1" ht="12.75" x14ac:dyDescent="0.2"/>
    <row r="33915" s="197" customFormat="1" ht="12.75" x14ac:dyDescent="0.2"/>
    <row r="33916" s="197" customFormat="1" ht="12.75" x14ac:dyDescent="0.2"/>
    <row r="33917" s="197" customFormat="1" ht="12.75" x14ac:dyDescent="0.2"/>
    <row r="33918" s="197" customFormat="1" ht="12.75" x14ac:dyDescent="0.2"/>
    <row r="33919" s="197" customFormat="1" ht="12.75" x14ac:dyDescent="0.2"/>
    <row r="33920" s="197" customFormat="1" ht="12.75" x14ac:dyDescent="0.2"/>
    <row r="33921" s="197" customFormat="1" ht="12.75" x14ac:dyDescent="0.2"/>
    <row r="33922" s="197" customFormat="1" ht="12.75" x14ac:dyDescent="0.2"/>
    <row r="33923" s="197" customFormat="1" ht="12.75" x14ac:dyDescent="0.2"/>
    <row r="33924" s="197" customFormat="1" ht="12.75" x14ac:dyDescent="0.2"/>
    <row r="33925" s="197" customFormat="1" ht="12.75" x14ac:dyDescent="0.2"/>
    <row r="33926" s="197" customFormat="1" ht="12.75" x14ac:dyDescent="0.2"/>
    <row r="33927" s="197" customFormat="1" ht="12.75" x14ac:dyDescent="0.2"/>
    <row r="33928" s="197" customFormat="1" ht="12.75" x14ac:dyDescent="0.2"/>
    <row r="33929" s="197" customFormat="1" ht="12.75" x14ac:dyDescent="0.2"/>
    <row r="33930" s="197" customFormat="1" ht="12.75" x14ac:dyDescent="0.2"/>
    <row r="33931" s="197" customFormat="1" ht="12.75" x14ac:dyDescent="0.2"/>
    <row r="33932" s="197" customFormat="1" ht="12.75" x14ac:dyDescent="0.2"/>
    <row r="33933" s="197" customFormat="1" ht="12.75" x14ac:dyDescent="0.2"/>
    <row r="33934" s="197" customFormat="1" ht="12.75" x14ac:dyDescent="0.2"/>
    <row r="33935" s="197" customFormat="1" ht="12.75" x14ac:dyDescent="0.2"/>
    <row r="33936" s="197" customFormat="1" ht="12.75" x14ac:dyDescent="0.2"/>
    <row r="33937" s="197" customFormat="1" ht="12.75" x14ac:dyDescent="0.2"/>
    <row r="33938" s="197" customFormat="1" ht="12.75" x14ac:dyDescent="0.2"/>
    <row r="33939" s="197" customFormat="1" ht="12.75" x14ac:dyDescent="0.2"/>
    <row r="33940" s="197" customFormat="1" ht="12.75" x14ac:dyDescent="0.2"/>
    <row r="33941" s="197" customFormat="1" ht="12.75" x14ac:dyDescent="0.2"/>
    <row r="33942" s="197" customFormat="1" ht="12.75" x14ac:dyDescent="0.2"/>
    <row r="33943" s="197" customFormat="1" ht="12.75" x14ac:dyDescent="0.2"/>
    <row r="33944" s="197" customFormat="1" ht="12.75" x14ac:dyDescent="0.2"/>
    <row r="33945" s="197" customFormat="1" ht="12.75" x14ac:dyDescent="0.2"/>
    <row r="33946" s="197" customFormat="1" ht="12.75" x14ac:dyDescent="0.2"/>
    <row r="33947" s="197" customFormat="1" ht="12.75" x14ac:dyDescent="0.2"/>
    <row r="33948" s="197" customFormat="1" ht="12.75" x14ac:dyDescent="0.2"/>
    <row r="33949" s="197" customFormat="1" ht="12.75" x14ac:dyDescent="0.2"/>
    <row r="33950" s="197" customFormat="1" ht="12.75" x14ac:dyDescent="0.2"/>
    <row r="33951" s="197" customFormat="1" ht="12.75" x14ac:dyDescent="0.2"/>
    <row r="33952" s="197" customFormat="1" ht="12.75" x14ac:dyDescent="0.2"/>
    <row r="33953" s="197" customFormat="1" ht="12.75" x14ac:dyDescent="0.2"/>
    <row r="33954" s="197" customFormat="1" ht="12.75" x14ac:dyDescent="0.2"/>
    <row r="33955" s="197" customFormat="1" ht="12.75" x14ac:dyDescent="0.2"/>
    <row r="33956" s="197" customFormat="1" ht="12.75" x14ac:dyDescent="0.2"/>
    <row r="33957" s="197" customFormat="1" ht="12.75" x14ac:dyDescent="0.2"/>
    <row r="33958" s="197" customFormat="1" ht="12.75" x14ac:dyDescent="0.2"/>
    <row r="33959" s="197" customFormat="1" ht="12.75" x14ac:dyDescent="0.2"/>
    <row r="33960" s="197" customFormat="1" ht="12.75" x14ac:dyDescent="0.2"/>
    <row r="33961" s="197" customFormat="1" ht="12.75" x14ac:dyDescent="0.2"/>
    <row r="33962" s="197" customFormat="1" ht="12.75" x14ac:dyDescent="0.2"/>
    <row r="33963" s="197" customFormat="1" ht="12.75" x14ac:dyDescent="0.2"/>
    <row r="33964" s="197" customFormat="1" ht="12.75" x14ac:dyDescent="0.2"/>
    <row r="33965" s="197" customFormat="1" ht="12.75" x14ac:dyDescent="0.2"/>
    <row r="33966" s="197" customFormat="1" ht="12.75" x14ac:dyDescent="0.2"/>
    <row r="33967" s="197" customFormat="1" ht="12.75" x14ac:dyDescent="0.2"/>
    <row r="33968" s="197" customFormat="1" ht="12.75" x14ac:dyDescent="0.2"/>
    <row r="33969" s="197" customFormat="1" ht="12.75" x14ac:dyDescent="0.2"/>
    <row r="33970" s="197" customFormat="1" ht="12.75" x14ac:dyDescent="0.2"/>
    <row r="33971" s="197" customFormat="1" ht="12.75" x14ac:dyDescent="0.2"/>
    <row r="33972" s="197" customFormat="1" ht="12.75" x14ac:dyDescent="0.2"/>
    <row r="33973" s="197" customFormat="1" ht="12.75" x14ac:dyDescent="0.2"/>
    <row r="33974" s="197" customFormat="1" ht="12.75" x14ac:dyDescent="0.2"/>
    <row r="33975" s="197" customFormat="1" ht="12.75" x14ac:dyDescent="0.2"/>
    <row r="33976" s="197" customFormat="1" ht="12.75" x14ac:dyDescent="0.2"/>
    <row r="33977" s="197" customFormat="1" ht="12.75" x14ac:dyDescent="0.2"/>
    <row r="33978" s="197" customFormat="1" ht="12.75" x14ac:dyDescent="0.2"/>
    <row r="33979" s="197" customFormat="1" ht="12.75" x14ac:dyDescent="0.2"/>
    <row r="33980" s="197" customFormat="1" ht="12.75" x14ac:dyDescent="0.2"/>
    <row r="33981" s="197" customFormat="1" ht="12.75" x14ac:dyDescent="0.2"/>
    <row r="33982" s="197" customFormat="1" ht="12.75" x14ac:dyDescent="0.2"/>
    <row r="33983" s="197" customFormat="1" ht="12.75" x14ac:dyDescent="0.2"/>
    <row r="33984" s="197" customFormat="1" ht="12.75" x14ac:dyDescent="0.2"/>
    <row r="33985" s="197" customFormat="1" ht="12.75" x14ac:dyDescent="0.2"/>
    <row r="33986" s="197" customFormat="1" ht="12.75" x14ac:dyDescent="0.2"/>
    <row r="33987" s="197" customFormat="1" ht="12.75" x14ac:dyDescent="0.2"/>
    <row r="33988" s="197" customFormat="1" ht="12.75" x14ac:dyDescent="0.2"/>
    <row r="33989" s="197" customFormat="1" ht="12.75" x14ac:dyDescent="0.2"/>
    <row r="33990" s="197" customFormat="1" ht="12.75" x14ac:dyDescent="0.2"/>
    <row r="33991" s="197" customFormat="1" ht="12.75" x14ac:dyDescent="0.2"/>
    <row r="33992" s="197" customFormat="1" ht="12.75" x14ac:dyDescent="0.2"/>
    <row r="33993" s="197" customFormat="1" ht="12.75" x14ac:dyDescent="0.2"/>
    <row r="33994" s="197" customFormat="1" ht="12.75" x14ac:dyDescent="0.2"/>
    <row r="33995" s="197" customFormat="1" ht="12.75" x14ac:dyDescent="0.2"/>
    <row r="33996" s="197" customFormat="1" ht="12.75" x14ac:dyDescent="0.2"/>
    <row r="33997" s="197" customFormat="1" ht="12.75" x14ac:dyDescent="0.2"/>
    <row r="33998" s="197" customFormat="1" ht="12.75" x14ac:dyDescent="0.2"/>
    <row r="33999" s="197" customFormat="1" ht="12.75" x14ac:dyDescent="0.2"/>
    <row r="34000" s="197" customFormat="1" ht="12.75" x14ac:dyDescent="0.2"/>
    <row r="34001" s="197" customFormat="1" ht="12.75" x14ac:dyDescent="0.2"/>
    <row r="34002" s="197" customFormat="1" ht="12.75" x14ac:dyDescent="0.2"/>
    <row r="34003" s="197" customFormat="1" ht="12.75" x14ac:dyDescent="0.2"/>
    <row r="34004" s="197" customFormat="1" ht="12.75" x14ac:dyDescent="0.2"/>
    <row r="34005" s="197" customFormat="1" ht="12.75" x14ac:dyDescent="0.2"/>
    <row r="34006" s="197" customFormat="1" ht="12.75" x14ac:dyDescent="0.2"/>
    <row r="34007" s="197" customFormat="1" ht="12.75" x14ac:dyDescent="0.2"/>
    <row r="34008" s="197" customFormat="1" ht="12.75" x14ac:dyDescent="0.2"/>
    <row r="34009" s="197" customFormat="1" ht="12.75" x14ac:dyDescent="0.2"/>
    <row r="34010" s="197" customFormat="1" ht="12.75" x14ac:dyDescent="0.2"/>
    <row r="34011" s="197" customFormat="1" ht="12.75" x14ac:dyDescent="0.2"/>
    <row r="34012" s="197" customFormat="1" ht="12.75" x14ac:dyDescent="0.2"/>
    <row r="34013" s="197" customFormat="1" ht="12.75" x14ac:dyDescent="0.2"/>
    <row r="34014" s="197" customFormat="1" ht="12.75" x14ac:dyDescent="0.2"/>
    <row r="34015" s="197" customFormat="1" ht="12.75" x14ac:dyDescent="0.2"/>
    <row r="34016" s="197" customFormat="1" ht="12.75" x14ac:dyDescent="0.2"/>
    <row r="34017" s="197" customFormat="1" ht="12.75" x14ac:dyDescent="0.2"/>
    <row r="34018" s="197" customFormat="1" ht="12.75" x14ac:dyDescent="0.2"/>
    <row r="34019" s="197" customFormat="1" ht="12.75" x14ac:dyDescent="0.2"/>
    <row r="34020" s="197" customFormat="1" ht="12.75" x14ac:dyDescent="0.2"/>
    <row r="34021" s="197" customFormat="1" ht="12.75" x14ac:dyDescent="0.2"/>
    <row r="34022" s="197" customFormat="1" ht="12.75" x14ac:dyDescent="0.2"/>
    <row r="34023" s="197" customFormat="1" ht="12.75" x14ac:dyDescent="0.2"/>
    <row r="34024" s="197" customFormat="1" ht="12.75" x14ac:dyDescent="0.2"/>
    <row r="34025" s="197" customFormat="1" ht="12.75" x14ac:dyDescent="0.2"/>
    <row r="34026" s="197" customFormat="1" ht="12.75" x14ac:dyDescent="0.2"/>
    <row r="34027" s="197" customFormat="1" ht="12.75" x14ac:dyDescent="0.2"/>
    <row r="34028" s="197" customFormat="1" ht="12.75" x14ac:dyDescent="0.2"/>
    <row r="34029" s="197" customFormat="1" ht="12.75" x14ac:dyDescent="0.2"/>
    <row r="34030" s="197" customFormat="1" ht="12.75" x14ac:dyDescent="0.2"/>
    <row r="34031" s="197" customFormat="1" ht="12.75" x14ac:dyDescent="0.2"/>
    <row r="34032" s="197" customFormat="1" ht="12.75" x14ac:dyDescent="0.2"/>
    <row r="34033" s="197" customFormat="1" ht="12.75" x14ac:dyDescent="0.2"/>
    <row r="34034" s="197" customFormat="1" ht="12.75" x14ac:dyDescent="0.2"/>
    <row r="34035" s="197" customFormat="1" ht="12.75" x14ac:dyDescent="0.2"/>
    <row r="34036" s="197" customFormat="1" ht="12.75" x14ac:dyDescent="0.2"/>
    <row r="34037" s="197" customFormat="1" ht="12.75" x14ac:dyDescent="0.2"/>
    <row r="34038" s="197" customFormat="1" ht="12.75" x14ac:dyDescent="0.2"/>
    <row r="34039" s="197" customFormat="1" ht="12.75" x14ac:dyDescent="0.2"/>
    <row r="34040" s="197" customFormat="1" ht="12.75" x14ac:dyDescent="0.2"/>
    <row r="34041" s="197" customFormat="1" ht="12.75" x14ac:dyDescent="0.2"/>
    <row r="34042" s="197" customFormat="1" ht="12.75" x14ac:dyDescent="0.2"/>
    <row r="34043" s="197" customFormat="1" ht="12.75" x14ac:dyDescent="0.2"/>
    <row r="34044" s="197" customFormat="1" ht="12.75" x14ac:dyDescent="0.2"/>
    <row r="34045" s="197" customFormat="1" ht="12.75" x14ac:dyDescent="0.2"/>
    <row r="34046" s="197" customFormat="1" ht="12.75" x14ac:dyDescent="0.2"/>
    <row r="34047" s="197" customFormat="1" ht="12.75" x14ac:dyDescent="0.2"/>
    <row r="34048" s="197" customFormat="1" ht="12.75" x14ac:dyDescent="0.2"/>
    <row r="34049" s="197" customFormat="1" ht="12.75" x14ac:dyDescent="0.2"/>
    <row r="34050" s="197" customFormat="1" ht="12.75" x14ac:dyDescent="0.2"/>
    <row r="34051" s="197" customFormat="1" ht="12.75" x14ac:dyDescent="0.2"/>
    <row r="34052" s="197" customFormat="1" ht="12.75" x14ac:dyDescent="0.2"/>
    <row r="34053" s="197" customFormat="1" ht="12.75" x14ac:dyDescent="0.2"/>
    <row r="34054" s="197" customFormat="1" ht="12.75" x14ac:dyDescent="0.2"/>
    <row r="34055" s="197" customFormat="1" ht="12.75" x14ac:dyDescent="0.2"/>
    <row r="34056" s="197" customFormat="1" ht="12.75" x14ac:dyDescent="0.2"/>
    <row r="34057" s="197" customFormat="1" ht="12.75" x14ac:dyDescent="0.2"/>
    <row r="34058" s="197" customFormat="1" ht="12.75" x14ac:dyDescent="0.2"/>
    <row r="34059" s="197" customFormat="1" ht="12.75" x14ac:dyDescent="0.2"/>
    <row r="34060" s="197" customFormat="1" ht="12.75" x14ac:dyDescent="0.2"/>
    <row r="34061" s="197" customFormat="1" ht="12.75" x14ac:dyDescent="0.2"/>
    <row r="34062" s="197" customFormat="1" ht="12.75" x14ac:dyDescent="0.2"/>
    <row r="34063" s="197" customFormat="1" ht="12.75" x14ac:dyDescent="0.2"/>
    <row r="34064" s="197" customFormat="1" ht="12.75" x14ac:dyDescent="0.2"/>
    <row r="34065" s="197" customFormat="1" ht="12.75" x14ac:dyDescent="0.2"/>
    <row r="34066" s="197" customFormat="1" ht="12.75" x14ac:dyDescent="0.2"/>
    <row r="34067" s="197" customFormat="1" ht="12.75" x14ac:dyDescent="0.2"/>
    <row r="34068" s="197" customFormat="1" ht="12.75" x14ac:dyDescent="0.2"/>
    <row r="34069" s="197" customFormat="1" ht="12.75" x14ac:dyDescent="0.2"/>
    <row r="34070" s="197" customFormat="1" ht="12.75" x14ac:dyDescent="0.2"/>
    <row r="34071" s="197" customFormat="1" ht="12.75" x14ac:dyDescent="0.2"/>
    <row r="34072" s="197" customFormat="1" ht="12.75" x14ac:dyDescent="0.2"/>
    <row r="34073" s="197" customFormat="1" ht="12.75" x14ac:dyDescent="0.2"/>
    <row r="34074" s="197" customFormat="1" ht="12.75" x14ac:dyDescent="0.2"/>
    <row r="34075" s="197" customFormat="1" ht="12.75" x14ac:dyDescent="0.2"/>
    <row r="34076" s="197" customFormat="1" ht="12.75" x14ac:dyDescent="0.2"/>
    <row r="34077" s="197" customFormat="1" ht="12.75" x14ac:dyDescent="0.2"/>
    <row r="34078" s="197" customFormat="1" ht="12.75" x14ac:dyDescent="0.2"/>
    <row r="34079" s="197" customFormat="1" ht="12.75" x14ac:dyDescent="0.2"/>
    <row r="34080" s="197" customFormat="1" ht="12.75" x14ac:dyDescent="0.2"/>
    <row r="34081" s="197" customFormat="1" ht="12.75" x14ac:dyDescent="0.2"/>
    <row r="34082" s="197" customFormat="1" ht="12.75" x14ac:dyDescent="0.2"/>
    <row r="34083" s="197" customFormat="1" ht="12.75" x14ac:dyDescent="0.2"/>
    <row r="34084" s="197" customFormat="1" ht="12.75" x14ac:dyDescent="0.2"/>
    <row r="34085" s="197" customFormat="1" ht="12.75" x14ac:dyDescent="0.2"/>
    <row r="34086" s="197" customFormat="1" ht="12.75" x14ac:dyDescent="0.2"/>
    <row r="34087" s="197" customFormat="1" ht="12.75" x14ac:dyDescent="0.2"/>
    <row r="34088" s="197" customFormat="1" ht="12.75" x14ac:dyDescent="0.2"/>
    <row r="34089" s="197" customFormat="1" ht="12.75" x14ac:dyDescent="0.2"/>
    <row r="34090" s="197" customFormat="1" ht="12.75" x14ac:dyDescent="0.2"/>
    <row r="34091" s="197" customFormat="1" ht="12.75" x14ac:dyDescent="0.2"/>
    <row r="34092" s="197" customFormat="1" ht="12.75" x14ac:dyDescent="0.2"/>
    <row r="34093" s="197" customFormat="1" ht="12.75" x14ac:dyDescent="0.2"/>
    <row r="34094" s="197" customFormat="1" ht="12.75" x14ac:dyDescent="0.2"/>
    <row r="34095" s="197" customFormat="1" ht="12.75" x14ac:dyDescent="0.2"/>
    <row r="34096" s="197" customFormat="1" ht="12.75" x14ac:dyDescent="0.2"/>
    <row r="34097" s="197" customFormat="1" ht="12.75" x14ac:dyDescent="0.2"/>
    <row r="34098" s="197" customFormat="1" ht="12.75" x14ac:dyDescent="0.2"/>
    <row r="34099" s="197" customFormat="1" ht="12.75" x14ac:dyDescent="0.2"/>
    <row r="34100" s="197" customFormat="1" ht="12.75" x14ac:dyDescent="0.2"/>
    <row r="34101" s="197" customFormat="1" ht="12.75" x14ac:dyDescent="0.2"/>
    <row r="34102" s="197" customFormat="1" ht="12.75" x14ac:dyDescent="0.2"/>
    <row r="34103" s="197" customFormat="1" ht="12.75" x14ac:dyDescent="0.2"/>
    <row r="34104" s="197" customFormat="1" ht="12.75" x14ac:dyDescent="0.2"/>
    <row r="34105" s="197" customFormat="1" ht="12.75" x14ac:dyDescent="0.2"/>
    <row r="34106" s="197" customFormat="1" ht="12.75" x14ac:dyDescent="0.2"/>
    <row r="34107" s="197" customFormat="1" ht="12.75" x14ac:dyDescent="0.2"/>
    <row r="34108" s="197" customFormat="1" ht="12.75" x14ac:dyDescent="0.2"/>
    <row r="34109" s="197" customFormat="1" ht="12.75" x14ac:dyDescent="0.2"/>
    <row r="34110" s="197" customFormat="1" ht="12.75" x14ac:dyDescent="0.2"/>
    <row r="34111" s="197" customFormat="1" ht="12.75" x14ac:dyDescent="0.2"/>
    <row r="34112" s="197" customFormat="1" ht="12.75" x14ac:dyDescent="0.2"/>
    <row r="34113" s="197" customFormat="1" ht="12.75" x14ac:dyDescent="0.2"/>
    <row r="34114" s="197" customFormat="1" ht="12.75" x14ac:dyDescent="0.2"/>
    <row r="34115" s="197" customFormat="1" ht="12.75" x14ac:dyDescent="0.2"/>
    <row r="34116" s="197" customFormat="1" ht="12.75" x14ac:dyDescent="0.2"/>
    <row r="34117" s="197" customFormat="1" ht="12.75" x14ac:dyDescent="0.2"/>
    <row r="34118" s="197" customFormat="1" ht="12.75" x14ac:dyDescent="0.2"/>
    <row r="34119" s="197" customFormat="1" ht="12.75" x14ac:dyDescent="0.2"/>
    <row r="34120" s="197" customFormat="1" ht="12.75" x14ac:dyDescent="0.2"/>
    <row r="34121" s="197" customFormat="1" ht="12.75" x14ac:dyDescent="0.2"/>
    <row r="34122" s="197" customFormat="1" ht="12.75" x14ac:dyDescent="0.2"/>
    <row r="34123" s="197" customFormat="1" ht="12.75" x14ac:dyDescent="0.2"/>
    <row r="34124" s="197" customFormat="1" ht="12.75" x14ac:dyDescent="0.2"/>
    <row r="34125" s="197" customFormat="1" ht="12.75" x14ac:dyDescent="0.2"/>
    <row r="34126" s="197" customFormat="1" ht="12.75" x14ac:dyDescent="0.2"/>
    <row r="34127" s="197" customFormat="1" ht="12.75" x14ac:dyDescent="0.2"/>
    <row r="34128" s="197" customFormat="1" ht="12.75" x14ac:dyDescent="0.2"/>
    <row r="34129" s="197" customFormat="1" ht="12.75" x14ac:dyDescent="0.2"/>
    <row r="34130" s="197" customFormat="1" ht="12.75" x14ac:dyDescent="0.2"/>
    <row r="34131" s="197" customFormat="1" ht="12.75" x14ac:dyDescent="0.2"/>
    <row r="34132" s="197" customFormat="1" ht="12.75" x14ac:dyDescent="0.2"/>
    <row r="34133" s="197" customFormat="1" ht="12.75" x14ac:dyDescent="0.2"/>
    <row r="34134" s="197" customFormat="1" ht="12.75" x14ac:dyDescent="0.2"/>
    <row r="34135" s="197" customFormat="1" ht="12.75" x14ac:dyDescent="0.2"/>
    <row r="34136" s="197" customFormat="1" ht="12.75" x14ac:dyDescent="0.2"/>
    <row r="34137" s="197" customFormat="1" ht="12.75" x14ac:dyDescent="0.2"/>
    <row r="34138" s="197" customFormat="1" ht="12.75" x14ac:dyDescent="0.2"/>
    <row r="34139" s="197" customFormat="1" ht="12.75" x14ac:dyDescent="0.2"/>
    <row r="34140" s="197" customFormat="1" ht="12.75" x14ac:dyDescent="0.2"/>
    <row r="34141" s="197" customFormat="1" ht="12.75" x14ac:dyDescent="0.2"/>
    <row r="34142" s="197" customFormat="1" ht="12.75" x14ac:dyDescent="0.2"/>
    <row r="34143" s="197" customFormat="1" ht="12.75" x14ac:dyDescent="0.2"/>
    <row r="34144" s="197" customFormat="1" ht="12.75" x14ac:dyDescent="0.2"/>
    <row r="34145" s="197" customFormat="1" ht="12.75" x14ac:dyDescent="0.2"/>
    <row r="34146" s="197" customFormat="1" ht="12.75" x14ac:dyDescent="0.2"/>
    <row r="34147" s="197" customFormat="1" ht="12.75" x14ac:dyDescent="0.2"/>
    <row r="34148" s="197" customFormat="1" ht="12.75" x14ac:dyDescent="0.2"/>
    <row r="34149" s="197" customFormat="1" ht="12.75" x14ac:dyDescent="0.2"/>
    <row r="34150" s="197" customFormat="1" ht="12.75" x14ac:dyDescent="0.2"/>
    <row r="34151" s="197" customFormat="1" ht="12.75" x14ac:dyDescent="0.2"/>
    <row r="34152" s="197" customFormat="1" ht="12.75" x14ac:dyDescent="0.2"/>
    <row r="34153" s="197" customFormat="1" ht="12.75" x14ac:dyDescent="0.2"/>
    <row r="34154" s="197" customFormat="1" ht="12.75" x14ac:dyDescent="0.2"/>
    <row r="34155" s="197" customFormat="1" ht="12.75" x14ac:dyDescent="0.2"/>
    <row r="34156" s="197" customFormat="1" ht="12.75" x14ac:dyDescent="0.2"/>
    <row r="34157" s="197" customFormat="1" ht="12.75" x14ac:dyDescent="0.2"/>
    <row r="34158" s="197" customFormat="1" ht="12.75" x14ac:dyDescent="0.2"/>
    <row r="34159" s="197" customFormat="1" ht="12.75" x14ac:dyDescent="0.2"/>
    <row r="34160" s="197" customFormat="1" ht="12.75" x14ac:dyDescent="0.2"/>
    <row r="34161" s="197" customFormat="1" ht="12.75" x14ac:dyDescent="0.2"/>
    <row r="34162" s="197" customFormat="1" ht="12.75" x14ac:dyDescent="0.2"/>
    <row r="34163" s="197" customFormat="1" ht="12.75" x14ac:dyDescent="0.2"/>
    <row r="34164" s="197" customFormat="1" ht="12.75" x14ac:dyDescent="0.2"/>
    <row r="34165" s="197" customFormat="1" ht="12.75" x14ac:dyDescent="0.2"/>
    <row r="34166" s="197" customFormat="1" ht="12.75" x14ac:dyDescent="0.2"/>
    <row r="34167" s="197" customFormat="1" ht="12.75" x14ac:dyDescent="0.2"/>
    <row r="34168" s="197" customFormat="1" ht="12.75" x14ac:dyDescent="0.2"/>
    <row r="34169" s="197" customFormat="1" ht="12.75" x14ac:dyDescent="0.2"/>
    <row r="34170" s="197" customFormat="1" ht="12.75" x14ac:dyDescent="0.2"/>
    <row r="34171" s="197" customFormat="1" ht="12.75" x14ac:dyDescent="0.2"/>
    <row r="34172" s="197" customFormat="1" ht="12.75" x14ac:dyDescent="0.2"/>
    <row r="34173" s="197" customFormat="1" ht="12.75" x14ac:dyDescent="0.2"/>
    <row r="34174" s="197" customFormat="1" ht="12.75" x14ac:dyDescent="0.2"/>
    <row r="34175" s="197" customFormat="1" ht="12.75" x14ac:dyDescent="0.2"/>
    <row r="34176" s="197" customFormat="1" ht="12.75" x14ac:dyDescent="0.2"/>
    <row r="34177" s="197" customFormat="1" ht="12.75" x14ac:dyDescent="0.2"/>
    <row r="34178" s="197" customFormat="1" ht="12.75" x14ac:dyDescent="0.2"/>
    <row r="34179" s="197" customFormat="1" ht="12.75" x14ac:dyDescent="0.2"/>
    <row r="34180" s="197" customFormat="1" ht="12.75" x14ac:dyDescent="0.2"/>
    <row r="34181" s="197" customFormat="1" ht="12.75" x14ac:dyDescent="0.2"/>
    <row r="34182" s="197" customFormat="1" ht="12.75" x14ac:dyDescent="0.2"/>
    <row r="34183" s="197" customFormat="1" ht="12.75" x14ac:dyDescent="0.2"/>
    <row r="34184" s="197" customFormat="1" ht="12.75" x14ac:dyDescent="0.2"/>
    <row r="34185" s="197" customFormat="1" ht="12.75" x14ac:dyDescent="0.2"/>
    <row r="34186" s="197" customFormat="1" ht="12.75" x14ac:dyDescent="0.2"/>
    <row r="34187" s="197" customFormat="1" ht="12.75" x14ac:dyDescent="0.2"/>
    <row r="34188" s="197" customFormat="1" ht="12.75" x14ac:dyDescent="0.2"/>
    <row r="34189" s="197" customFormat="1" ht="12.75" x14ac:dyDescent="0.2"/>
    <row r="34190" s="197" customFormat="1" ht="12.75" x14ac:dyDescent="0.2"/>
    <row r="34191" s="197" customFormat="1" ht="12.75" x14ac:dyDescent="0.2"/>
    <row r="34192" s="197" customFormat="1" ht="12.75" x14ac:dyDescent="0.2"/>
    <row r="34193" s="197" customFormat="1" ht="12.75" x14ac:dyDescent="0.2"/>
    <row r="34194" s="197" customFormat="1" ht="12.75" x14ac:dyDescent="0.2"/>
    <row r="34195" s="197" customFormat="1" ht="12.75" x14ac:dyDescent="0.2"/>
    <row r="34196" s="197" customFormat="1" ht="12.75" x14ac:dyDescent="0.2"/>
    <row r="34197" s="197" customFormat="1" ht="12.75" x14ac:dyDescent="0.2"/>
    <row r="34198" s="197" customFormat="1" ht="12.75" x14ac:dyDescent="0.2"/>
    <row r="34199" s="197" customFormat="1" ht="12.75" x14ac:dyDescent="0.2"/>
    <row r="34200" s="197" customFormat="1" ht="12.75" x14ac:dyDescent="0.2"/>
    <row r="34201" s="197" customFormat="1" ht="12.75" x14ac:dyDescent="0.2"/>
    <row r="34202" s="197" customFormat="1" ht="12.75" x14ac:dyDescent="0.2"/>
    <row r="34203" s="197" customFormat="1" ht="12.75" x14ac:dyDescent="0.2"/>
    <row r="34204" s="197" customFormat="1" ht="12.75" x14ac:dyDescent="0.2"/>
    <row r="34205" s="197" customFormat="1" ht="12.75" x14ac:dyDescent="0.2"/>
    <row r="34206" s="197" customFormat="1" ht="12.75" x14ac:dyDescent="0.2"/>
    <row r="34207" s="197" customFormat="1" ht="12.75" x14ac:dyDescent="0.2"/>
    <row r="34208" s="197" customFormat="1" ht="12.75" x14ac:dyDescent="0.2"/>
    <row r="34209" s="197" customFormat="1" ht="12.75" x14ac:dyDescent="0.2"/>
    <row r="34210" s="197" customFormat="1" ht="12.75" x14ac:dyDescent="0.2"/>
    <row r="34211" s="197" customFormat="1" ht="12.75" x14ac:dyDescent="0.2"/>
    <row r="34212" s="197" customFormat="1" ht="12.75" x14ac:dyDescent="0.2"/>
    <row r="34213" s="197" customFormat="1" ht="12.75" x14ac:dyDescent="0.2"/>
    <row r="34214" s="197" customFormat="1" ht="12.75" x14ac:dyDescent="0.2"/>
    <row r="34215" s="197" customFormat="1" ht="12.75" x14ac:dyDescent="0.2"/>
    <row r="34216" s="197" customFormat="1" ht="12.75" x14ac:dyDescent="0.2"/>
    <row r="34217" s="197" customFormat="1" ht="12.75" x14ac:dyDescent="0.2"/>
    <row r="34218" s="197" customFormat="1" ht="12.75" x14ac:dyDescent="0.2"/>
    <row r="34219" s="197" customFormat="1" ht="12.75" x14ac:dyDescent="0.2"/>
    <row r="34220" s="197" customFormat="1" ht="12.75" x14ac:dyDescent="0.2"/>
    <row r="34221" s="197" customFormat="1" ht="12.75" x14ac:dyDescent="0.2"/>
    <row r="34222" s="197" customFormat="1" ht="12.75" x14ac:dyDescent="0.2"/>
    <row r="34223" s="197" customFormat="1" ht="12.75" x14ac:dyDescent="0.2"/>
    <row r="34224" s="197" customFormat="1" ht="12.75" x14ac:dyDescent="0.2"/>
    <row r="34225" s="197" customFormat="1" ht="12.75" x14ac:dyDescent="0.2"/>
    <row r="34226" s="197" customFormat="1" ht="12.75" x14ac:dyDescent="0.2"/>
    <row r="34227" s="197" customFormat="1" ht="12.75" x14ac:dyDescent="0.2"/>
    <row r="34228" s="197" customFormat="1" ht="12.75" x14ac:dyDescent="0.2"/>
    <row r="34229" s="197" customFormat="1" ht="12.75" x14ac:dyDescent="0.2"/>
    <row r="34230" s="197" customFormat="1" ht="12.75" x14ac:dyDescent="0.2"/>
    <row r="34231" s="197" customFormat="1" ht="12.75" x14ac:dyDescent="0.2"/>
    <row r="34232" s="197" customFormat="1" ht="12.75" x14ac:dyDescent="0.2"/>
    <row r="34233" s="197" customFormat="1" ht="12.75" x14ac:dyDescent="0.2"/>
    <row r="34234" s="197" customFormat="1" ht="12.75" x14ac:dyDescent="0.2"/>
    <row r="34235" s="197" customFormat="1" ht="12.75" x14ac:dyDescent="0.2"/>
    <row r="34236" s="197" customFormat="1" ht="12.75" x14ac:dyDescent="0.2"/>
    <row r="34237" s="197" customFormat="1" ht="12.75" x14ac:dyDescent="0.2"/>
    <row r="34238" s="197" customFormat="1" ht="12.75" x14ac:dyDescent="0.2"/>
    <row r="34239" s="197" customFormat="1" ht="12.75" x14ac:dyDescent="0.2"/>
    <row r="34240" s="197" customFormat="1" ht="12.75" x14ac:dyDescent="0.2"/>
    <row r="34241" s="197" customFormat="1" ht="12.75" x14ac:dyDescent="0.2"/>
    <row r="34242" s="197" customFormat="1" ht="12.75" x14ac:dyDescent="0.2"/>
    <row r="34243" s="197" customFormat="1" ht="12.75" x14ac:dyDescent="0.2"/>
    <row r="34244" s="197" customFormat="1" ht="12.75" x14ac:dyDescent="0.2"/>
    <row r="34245" s="197" customFormat="1" ht="12.75" x14ac:dyDescent="0.2"/>
    <row r="34246" s="197" customFormat="1" ht="12.75" x14ac:dyDescent="0.2"/>
    <row r="34247" s="197" customFormat="1" ht="12.75" x14ac:dyDescent="0.2"/>
    <row r="34248" s="197" customFormat="1" ht="12.75" x14ac:dyDescent="0.2"/>
    <row r="34249" s="197" customFormat="1" ht="12.75" x14ac:dyDescent="0.2"/>
    <row r="34250" s="197" customFormat="1" ht="12.75" x14ac:dyDescent="0.2"/>
    <row r="34251" s="197" customFormat="1" ht="12.75" x14ac:dyDescent="0.2"/>
    <row r="34252" s="197" customFormat="1" ht="12.75" x14ac:dyDescent="0.2"/>
    <row r="34253" s="197" customFormat="1" ht="12.75" x14ac:dyDescent="0.2"/>
    <row r="34254" s="197" customFormat="1" ht="12.75" x14ac:dyDescent="0.2"/>
    <row r="34255" s="197" customFormat="1" ht="12.75" x14ac:dyDescent="0.2"/>
    <row r="34256" s="197" customFormat="1" ht="12.75" x14ac:dyDescent="0.2"/>
    <row r="34257" s="197" customFormat="1" ht="12.75" x14ac:dyDescent="0.2"/>
    <row r="34258" s="197" customFormat="1" ht="12.75" x14ac:dyDescent="0.2"/>
    <row r="34259" s="197" customFormat="1" ht="12.75" x14ac:dyDescent="0.2"/>
    <row r="34260" s="197" customFormat="1" ht="12.75" x14ac:dyDescent="0.2"/>
    <row r="34261" s="197" customFormat="1" ht="12.75" x14ac:dyDescent="0.2"/>
    <row r="34262" s="197" customFormat="1" ht="12.75" x14ac:dyDescent="0.2"/>
    <row r="34263" s="197" customFormat="1" ht="12.75" x14ac:dyDescent="0.2"/>
    <row r="34264" s="197" customFormat="1" ht="12.75" x14ac:dyDescent="0.2"/>
    <row r="34265" s="197" customFormat="1" ht="12.75" x14ac:dyDescent="0.2"/>
    <row r="34266" s="197" customFormat="1" ht="12.75" x14ac:dyDescent="0.2"/>
    <row r="34267" s="197" customFormat="1" ht="12.75" x14ac:dyDescent="0.2"/>
    <row r="34268" s="197" customFormat="1" ht="12.75" x14ac:dyDescent="0.2"/>
    <row r="34269" s="197" customFormat="1" ht="12.75" x14ac:dyDescent="0.2"/>
    <row r="34270" s="197" customFormat="1" ht="12.75" x14ac:dyDescent="0.2"/>
    <row r="34271" s="197" customFormat="1" ht="12.75" x14ac:dyDescent="0.2"/>
    <row r="34272" s="197" customFormat="1" ht="12.75" x14ac:dyDescent="0.2"/>
    <row r="34273" s="197" customFormat="1" ht="12.75" x14ac:dyDescent="0.2"/>
    <row r="34274" s="197" customFormat="1" ht="12.75" x14ac:dyDescent="0.2"/>
    <row r="34275" s="197" customFormat="1" ht="12.75" x14ac:dyDescent="0.2"/>
    <row r="34276" s="197" customFormat="1" ht="12.75" x14ac:dyDescent="0.2"/>
    <row r="34277" s="197" customFormat="1" ht="12.75" x14ac:dyDescent="0.2"/>
    <row r="34278" s="197" customFormat="1" ht="12.75" x14ac:dyDescent="0.2"/>
    <row r="34279" s="197" customFormat="1" ht="12.75" x14ac:dyDescent="0.2"/>
    <row r="34280" s="197" customFormat="1" ht="12.75" x14ac:dyDescent="0.2"/>
    <row r="34281" s="197" customFormat="1" ht="12.75" x14ac:dyDescent="0.2"/>
    <row r="34282" s="197" customFormat="1" ht="12.75" x14ac:dyDescent="0.2"/>
    <row r="34283" s="197" customFormat="1" ht="12.75" x14ac:dyDescent="0.2"/>
    <row r="34284" s="197" customFormat="1" ht="12.75" x14ac:dyDescent="0.2"/>
    <row r="34285" s="197" customFormat="1" ht="12.75" x14ac:dyDescent="0.2"/>
    <row r="34286" s="197" customFormat="1" ht="12.75" x14ac:dyDescent="0.2"/>
    <row r="34287" s="197" customFormat="1" ht="12.75" x14ac:dyDescent="0.2"/>
    <row r="34288" s="197" customFormat="1" ht="12.75" x14ac:dyDescent="0.2"/>
    <row r="34289" s="197" customFormat="1" ht="12.75" x14ac:dyDescent="0.2"/>
    <row r="34290" s="197" customFormat="1" ht="12.75" x14ac:dyDescent="0.2"/>
    <row r="34291" s="197" customFormat="1" ht="12.75" x14ac:dyDescent="0.2"/>
    <row r="34292" s="197" customFormat="1" ht="12.75" x14ac:dyDescent="0.2"/>
    <row r="34293" s="197" customFormat="1" ht="12.75" x14ac:dyDescent="0.2"/>
    <row r="34294" s="197" customFormat="1" ht="12.75" x14ac:dyDescent="0.2"/>
    <row r="34295" s="197" customFormat="1" ht="12.75" x14ac:dyDescent="0.2"/>
    <row r="34296" s="197" customFormat="1" ht="12.75" x14ac:dyDescent="0.2"/>
    <row r="34297" s="197" customFormat="1" ht="12.75" x14ac:dyDescent="0.2"/>
    <row r="34298" s="197" customFormat="1" ht="12.75" x14ac:dyDescent="0.2"/>
    <row r="34299" s="197" customFormat="1" ht="12.75" x14ac:dyDescent="0.2"/>
    <row r="34300" s="197" customFormat="1" ht="12.75" x14ac:dyDescent="0.2"/>
    <row r="34301" s="197" customFormat="1" ht="12.75" x14ac:dyDescent="0.2"/>
    <row r="34302" s="197" customFormat="1" ht="12.75" x14ac:dyDescent="0.2"/>
    <row r="34303" s="197" customFormat="1" ht="12.75" x14ac:dyDescent="0.2"/>
    <row r="34304" s="197" customFormat="1" ht="12.75" x14ac:dyDescent="0.2"/>
    <row r="34305" s="197" customFormat="1" ht="12.75" x14ac:dyDescent="0.2"/>
    <row r="34306" s="197" customFormat="1" ht="12.75" x14ac:dyDescent="0.2"/>
    <row r="34307" s="197" customFormat="1" ht="12.75" x14ac:dyDescent="0.2"/>
    <row r="34308" s="197" customFormat="1" ht="12.75" x14ac:dyDescent="0.2"/>
    <row r="34309" s="197" customFormat="1" ht="12.75" x14ac:dyDescent="0.2"/>
    <row r="34310" s="197" customFormat="1" ht="12.75" x14ac:dyDescent="0.2"/>
    <row r="34311" s="197" customFormat="1" ht="12.75" x14ac:dyDescent="0.2"/>
    <row r="34312" s="197" customFormat="1" ht="12.75" x14ac:dyDescent="0.2"/>
    <row r="34313" s="197" customFormat="1" ht="12.75" x14ac:dyDescent="0.2"/>
    <row r="34314" s="197" customFormat="1" ht="12.75" x14ac:dyDescent="0.2"/>
    <row r="34315" s="197" customFormat="1" ht="12.75" x14ac:dyDescent="0.2"/>
    <row r="34316" s="197" customFormat="1" ht="12.75" x14ac:dyDescent="0.2"/>
    <row r="34317" s="197" customFormat="1" ht="12.75" x14ac:dyDescent="0.2"/>
    <row r="34318" s="197" customFormat="1" ht="12.75" x14ac:dyDescent="0.2"/>
    <row r="34319" s="197" customFormat="1" ht="12.75" x14ac:dyDescent="0.2"/>
    <row r="34320" s="197" customFormat="1" ht="12.75" x14ac:dyDescent="0.2"/>
    <row r="34321" s="197" customFormat="1" ht="12.75" x14ac:dyDescent="0.2"/>
    <row r="34322" s="197" customFormat="1" ht="12.75" x14ac:dyDescent="0.2"/>
    <row r="34323" s="197" customFormat="1" ht="12.75" x14ac:dyDescent="0.2"/>
    <row r="34324" s="197" customFormat="1" ht="12.75" x14ac:dyDescent="0.2"/>
    <row r="34325" s="197" customFormat="1" ht="12.75" x14ac:dyDescent="0.2"/>
    <row r="34326" s="197" customFormat="1" ht="12.75" x14ac:dyDescent="0.2"/>
    <row r="34327" s="197" customFormat="1" ht="12.75" x14ac:dyDescent="0.2"/>
    <row r="34328" s="197" customFormat="1" ht="12.75" x14ac:dyDescent="0.2"/>
    <row r="34329" s="197" customFormat="1" ht="12.75" x14ac:dyDescent="0.2"/>
    <row r="34330" s="197" customFormat="1" ht="12.75" x14ac:dyDescent="0.2"/>
    <row r="34331" s="197" customFormat="1" ht="12.75" x14ac:dyDescent="0.2"/>
    <row r="34332" s="197" customFormat="1" ht="12.75" x14ac:dyDescent="0.2"/>
    <row r="34333" s="197" customFormat="1" ht="12.75" x14ac:dyDescent="0.2"/>
    <row r="34334" s="197" customFormat="1" ht="12.75" x14ac:dyDescent="0.2"/>
    <row r="34335" s="197" customFormat="1" ht="12.75" x14ac:dyDescent="0.2"/>
    <row r="34336" s="197" customFormat="1" ht="12.75" x14ac:dyDescent="0.2"/>
    <row r="34337" s="197" customFormat="1" ht="12.75" x14ac:dyDescent="0.2"/>
    <row r="34338" s="197" customFormat="1" ht="12.75" x14ac:dyDescent="0.2"/>
    <row r="34339" s="197" customFormat="1" ht="12.75" x14ac:dyDescent="0.2"/>
    <row r="34340" s="197" customFormat="1" ht="12.75" x14ac:dyDescent="0.2"/>
    <row r="34341" s="197" customFormat="1" ht="12.75" x14ac:dyDescent="0.2"/>
    <row r="34342" s="197" customFormat="1" ht="12.75" x14ac:dyDescent="0.2"/>
    <row r="34343" s="197" customFormat="1" ht="12.75" x14ac:dyDescent="0.2"/>
    <row r="34344" s="197" customFormat="1" ht="12.75" x14ac:dyDescent="0.2"/>
    <row r="34345" s="197" customFormat="1" ht="12.75" x14ac:dyDescent="0.2"/>
    <row r="34346" s="197" customFormat="1" ht="12.75" x14ac:dyDescent="0.2"/>
    <row r="34347" s="197" customFormat="1" ht="12.75" x14ac:dyDescent="0.2"/>
    <row r="34348" s="197" customFormat="1" ht="12.75" x14ac:dyDescent="0.2"/>
    <row r="34349" s="197" customFormat="1" ht="12.75" x14ac:dyDescent="0.2"/>
    <row r="34350" s="197" customFormat="1" ht="12.75" x14ac:dyDescent="0.2"/>
    <row r="34351" s="197" customFormat="1" ht="12.75" x14ac:dyDescent="0.2"/>
    <row r="34352" s="197" customFormat="1" ht="12.75" x14ac:dyDescent="0.2"/>
    <row r="34353" s="197" customFormat="1" ht="12.75" x14ac:dyDescent="0.2"/>
    <row r="34354" s="197" customFormat="1" ht="12.75" x14ac:dyDescent="0.2"/>
    <row r="34355" s="197" customFormat="1" ht="12.75" x14ac:dyDescent="0.2"/>
    <row r="34356" s="197" customFormat="1" ht="12.75" x14ac:dyDescent="0.2"/>
    <row r="34357" s="197" customFormat="1" ht="12.75" x14ac:dyDescent="0.2"/>
    <row r="34358" s="197" customFormat="1" ht="12.75" x14ac:dyDescent="0.2"/>
    <row r="34359" s="197" customFormat="1" ht="12.75" x14ac:dyDescent="0.2"/>
    <row r="34360" s="197" customFormat="1" ht="12.75" x14ac:dyDescent="0.2"/>
    <row r="34361" s="197" customFormat="1" ht="12.75" x14ac:dyDescent="0.2"/>
    <row r="34362" s="197" customFormat="1" ht="12.75" x14ac:dyDescent="0.2"/>
    <row r="34363" s="197" customFormat="1" ht="12.75" x14ac:dyDescent="0.2"/>
    <row r="34364" s="197" customFormat="1" ht="12.75" x14ac:dyDescent="0.2"/>
    <row r="34365" s="197" customFormat="1" ht="12.75" x14ac:dyDescent="0.2"/>
    <row r="34366" s="197" customFormat="1" ht="12.75" x14ac:dyDescent="0.2"/>
    <row r="34367" s="197" customFormat="1" ht="12.75" x14ac:dyDescent="0.2"/>
    <row r="34368" s="197" customFormat="1" ht="12.75" x14ac:dyDescent="0.2"/>
    <row r="34369" s="197" customFormat="1" ht="12.75" x14ac:dyDescent="0.2"/>
    <row r="34370" s="197" customFormat="1" ht="12.75" x14ac:dyDescent="0.2"/>
    <row r="34371" s="197" customFormat="1" ht="12.75" x14ac:dyDescent="0.2"/>
    <row r="34372" s="197" customFormat="1" ht="12.75" x14ac:dyDescent="0.2"/>
    <row r="34373" s="197" customFormat="1" ht="12.75" x14ac:dyDescent="0.2"/>
    <row r="34374" s="197" customFormat="1" ht="12.75" x14ac:dyDescent="0.2"/>
    <row r="34375" s="197" customFormat="1" ht="12.75" x14ac:dyDescent="0.2"/>
    <row r="34376" s="197" customFormat="1" ht="12.75" x14ac:dyDescent="0.2"/>
    <row r="34377" s="197" customFormat="1" ht="12.75" x14ac:dyDescent="0.2"/>
    <row r="34378" s="197" customFormat="1" ht="12.75" x14ac:dyDescent="0.2"/>
    <row r="34379" s="197" customFormat="1" ht="12.75" x14ac:dyDescent="0.2"/>
    <row r="34380" s="197" customFormat="1" ht="12.75" x14ac:dyDescent="0.2"/>
    <row r="34381" s="197" customFormat="1" ht="12.75" x14ac:dyDescent="0.2"/>
    <row r="34382" s="197" customFormat="1" ht="12.75" x14ac:dyDescent="0.2"/>
    <row r="34383" s="197" customFormat="1" ht="12.75" x14ac:dyDescent="0.2"/>
    <row r="34384" s="197" customFormat="1" ht="12.75" x14ac:dyDescent="0.2"/>
    <row r="34385" s="197" customFormat="1" ht="12.75" x14ac:dyDescent="0.2"/>
    <row r="34386" s="197" customFormat="1" ht="12.75" x14ac:dyDescent="0.2"/>
    <row r="34387" s="197" customFormat="1" ht="12.75" x14ac:dyDescent="0.2"/>
    <row r="34388" s="197" customFormat="1" ht="12.75" x14ac:dyDescent="0.2"/>
    <row r="34389" s="197" customFormat="1" ht="12.75" x14ac:dyDescent="0.2"/>
    <row r="34390" s="197" customFormat="1" ht="12.75" x14ac:dyDescent="0.2"/>
    <row r="34391" s="197" customFormat="1" ht="12.75" x14ac:dyDescent="0.2"/>
    <row r="34392" s="197" customFormat="1" ht="12.75" x14ac:dyDescent="0.2"/>
    <row r="34393" s="197" customFormat="1" ht="12.75" x14ac:dyDescent="0.2"/>
    <row r="34394" s="197" customFormat="1" ht="12.75" x14ac:dyDescent="0.2"/>
    <row r="34395" s="197" customFormat="1" ht="12.75" x14ac:dyDescent="0.2"/>
    <row r="34396" s="197" customFormat="1" ht="12.75" x14ac:dyDescent="0.2"/>
    <row r="34397" s="197" customFormat="1" ht="12.75" x14ac:dyDescent="0.2"/>
    <row r="34398" s="197" customFormat="1" ht="12.75" x14ac:dyDescent="0.2"/>
    <row r="34399" s="197" customFormat="1" ht="12.75" x14ac:dyDescent="0.2"/>
    <row r="34400" s="197" customFormat="1" ht="12.75" x14ac:dyDescent="0.2"/>
    <row r="34401" s="197" customFormat="1" ht="12.75" x14ac:dyDescent="0.2"/>
    <row r="34402" s="197" customFormat="1" ht="12.75" x14ac:dyDescent="0.2"/>
    <row r="34403" s="197" customFormat="1" ht="12.75" x14ac:dyDescent="0.2"/>
    <row r="34404" s="197" customFormat="1" ht="12.75" x14ac:dyDescent="0.2"/>
    <row r="34405" s="197" customFormat="1" ht="12.75" x14ac:dyDescent="0.2"/>
    <row r="34406" s="197" customFormat="1" ht="12.75" x14ac:dyDescent="0.2"/>
    <row r="34407" s="197" customFormat="1" ht="12.75" x14ac:dyDescent="0.2"/>
    <row r="34408" s="197" customFormat="1" ht="12.75" x14ac:dyDescent="0.2"/>
    <row r="34409" s="197" customFormat="1" ht="12.75" x14ac:dyDescent="0.2"/>
    <row r="34410" s="197" customFormat="1" ht="12.75" x14ac:dyDescent="0.2"/>
    <row r="34411" s="197" customFormat="1" ht="12.75" x14ac:dyDescent="0.2"/>
    <row r="34412" s="197" customFormat="1" ht="12.75" x14ac:dyDescent="0.2"/>
    <row r="34413" s="197" customFormat="1" ht="12.75" x14ac:dyDescent="0.2"/>
    <row r="34414" s="197" customFormat="1" ht="12.75" x14ac:dyDescent="0.2"/>
    <row r="34415" s="197" customFormat="1" ht="12.75" x14ac:dyDescent="0.2"/>
    <row r="34416" s="197" customFormat="1" ht="12.75" x14ac:dyDescent="0.2"/>
    <row r="34417" s="197" customFormat="1" ht="12.75" x14ac:dyDescent="0.2"/>
    <row r="34418" s="197" customFormat="1" ht="12.75" x14ac:dyDescent="0.2"/>
    <row r="34419" s="197" customFormat="1" ht="12.75" x14ac:dyDescent="0.2"/>
    <row r="34420" s="197" customFormat="1" ht="12.75" x14ac:dyDescent="0.2"/>
    <row r="34421" s="197" customFormat="1" ht="12.75" x14ac:dyDescent="0.2"/>
    <row r="34422" s="197" customFormat="1" ht="12.75" x14ac:dyDescent="0.2"/>
    <row r="34423" s="197" customFormat="1" ht="12.75" x14ac:dyDescent="0.2"/>
    <row r="34424" s="197" customFormat="1" ht="12.75" x14ac:dyDescent="0.2"/>
    <row r="34425" s="197" customFormat="1" ht="12.75" x14ac:dyDescent="0.2"/>
    <row r="34426" s="197" customFormat="1" ht="12.75" x14ac:dyDescent="0.2"/>
    <row r="34427" s="197" customFormat="1" ht="12.75" x14ac:dyDescent="0.2"/>
    <row r="34428" s="197" customFormat="1" ht="12.75" x14ac:dyDescent="0.2"/>
    <row r="34429" s="197" customFormat="1" ht="12.75" x14ac:dyDescent="0.2"/>
    <row r="34430" s="197" customFormat="1" ht="12.75" x14ac:dyDescent="0.2"/>
    <row r="34431" s="197" customFormat="1" ht="12.75" x14ac:dyDescent="0.2"/>
    <row r="34432" s="197" customFormat="1" ht="12.75" x14ac:dyDescent="0.2"/>
    <row r="34433" s="197" customFormat="1" ht="12.75" x14ac:dyDescent="0.2"/>
    <row r="34434" s="197" customFormat="1" ht="12.75" x14ac:dyDescent="0.2"/>
    <row r="34435" s="197" customFormat="1" ht="12.75" x14ac:dyDescent="0.2"/>
    <row r="34436" s="197" customFormat="1" ht="12.75" x14ac:dyDescent="0.2"/>
    <row r="34437" s="197" customFormat="1" ht="12.75" x14ac:dyDescent="0.2"/>
    <row r="34438" s="197" customFormat="1" ht="12.75" x14ac:dyDescent="0.2"/>
    <row r="34439" s="197" customFormat="1" ht="12.75" x14ac:dyDescent="0.2"/>
    <row r="34440" s="197" customFormat="1" ht="12.75" x14ac:dyDescent="0.2"/>
    <row r="34441" s="197" customFormat="1" ht="12.75" x14ac:dyDescent="0.2"/>
    <row r="34442" s="197" customFormat="1" ht="12.75" x14ac:dyDescent="0.2"/>
    <row r="34443" s="197" customFormat="1" ht="12.75" x14ac:dyDescent="0.2"/>
    <row r="34444" s="197" customFormat="1" ht="12.75" x14ac:dyDescent="0.2"/>
    <row r="34445" s="197" customFormat="1" ht="12.75" x14ac:dyDescent="0.2"/>
    <row r="34446" s="197" customFormat="1" ht="12.75" x14ac:dyDescent="0.2"/>
    <row r="34447" s="197" customFormat="1" ht="12.75" x14ac:dyDescent="0.2"/>
    <row r="34448" s="197" customFormat="1" ht="12.75" x14ac:dyDescent="0.2"/>
    <row r="34449" s="197" customFormat="1" ht="12.75" x14ac:dyDescent="0.2"/>
    <row r="34450" s="197" customFormat="1" ht="12.75" x14ac:dyDescent="0.2"/>
    <row r="34451" s="197" customFormat="1" ht="12.75" x14ac:dyDescent="0.2"/>
    <row r="34452" s="197" customFormat="1" ht="12.75" x14ac:dyDescent="0.2"/>
    <row r="34453" s="197" customFormat="1" ht="12.75" x14ac:dyDescent="0.2"/>
    <row r="34454" s="197" customFormat="1" ht="12.75" x14ac:dyDescent="0.2"/>
    <row r="34455" s="197" customFormat="1" ht="12.75" x14ac:dyDescent="0.2"/>
    <row r="34456" s="197" customFormat="1" ht="12.75" x14ac:dyDescent="0.2"/>
    <row r="34457" s="197" customFormat="1" ht="12.75" x14ac:dyDescent="0.2"/>
    <row r="34458" s="197" customFormat="1" ht="12.75" x14ac:dyDescent="0.2"/>
    <row r="34459" s="197" customFormat="1" ht="12.75" x14ac:dyDescent="0.2"/>
    <row r="34460" s="197" customFormat="1" ht="12.75" x14ac:dyDescent="0.2"/>
    <row r="34461" s="197" customFormat="1" ht="12.75" x14ac:dyDescent="0.2"/>
    <row r="34462" s="197" customFormat="1" ht="12.75" x14ac:dyDescent="0.2"/>
    <row r="34463" s="197" customFormat="1" ht="12.75" x14ac:dyDescent="0.2"/>
    <row r="34464" s="197" customFormat="1" ht="12.75" x14ac:dyDescent="0.2"/>
    <row r="34465" s="197" customFormat="1" ht="12.75" x14ac:dyDescent="0.2"/>
    <row r="34466" s="197" customFormat="1" ht="12.75" x14ac:dyDescent="0.2"/>
    <row r="34467" s="197" customFormat="1" ht="12.75" x14ac:dyDescent="0.2"/>
    <row r="34468" s="197" customFormat="1" ht="12.75" x14ac:dyDescent="0.2"/>
    <row r="34469" s="197" customFormat="1" ht="12.75" x14ac:dyDescent="0.2"/>
    <row r="34470" s="197" customFormat="1" ht="12.75" x14ac:dyDescent="0.2"/>
    <row r="34471" s="197" customFormat="1" ht="12.75" x14ac:dyDescent="0.2"/>
    <row r="34472" s="197" customFormat="1" ht="12.75" x14ac:dyDescent="0.2"/>
    <row r="34473" s="197" customFormat="1" ht="12.75" x14ac:dyDescent="0.2"/>
    <row r="34474" s="197" customFormat="1" ht="12.75" x14ac:dyDescent="0.2"/>
    <row r="34475" s="197" customFormat="1" ht="12.75" x14ac:dyDescent="0.2"/>
    <row r="34476" s="197" customFormat="1" ht="12.75" x14ac:dyDescent="0.2"/>
    <row r="34477" s="197" customFormat="1" ht="12.75" x14ac:dyDescent="0.2"/>
    <row r="34478" s="197" customFormat="1" ht="12.75" x14ac:dyDescent="0.2"/>
    <row r="34479" s="197" customFormat="1" ht="12.75" x14ac:dyDescent="0.2"/>
    <row r="34480" s="197" customFormat="1" ht="12.75" x14ac:dyDescent="0.2"/>
    <row r="34481" s="197" customFormat="1" ht="12.75" x14ac:dyDescent="0.2"/>
    <row r="34482" s="197" customFormat="1" ht="12.75" x14ac:dyDescent="0.2"/>
    <row r="34483" s="197" customFormat="1" ht="12.75" x14ac:dyDescent="0.2"/>
    <row r="34484" s="197" customFormat="1" ht="12.75" x14ac:dyDescent="0.2"/>
    <row r="34485" s="197" customFormat="1" ht="12.75" x14ac:dyDescent="0.2"/>
    <row r="34486" s="197" customFormat="1" ht="12.75" x14ac:dyDescent="0.2"/>
    <row r="34487" s="197" customFormat="1" ht="12.75" x14ac:dyDescent="0.2"/>
    <row r="34488" s="197" customFormat="1" ht="12.75" x14ac:dyDescent="0.2"/>
    <row r="34489" s="197" customFormat="1" ht="12.75" x14ac:dyDescent="0.2"/>
    <row r="34490" s="197" customFormat="1" ht="12.75" x14ac:dyDescent="0.2"/>
    <row r="34491" s="197" customFormat="1" ht="12.75" x14ac:dyDescent="0.2"/>
    <row r="34492" s="197" customFormat="1" ht="12.75" x14ac:dyDescent="0.2"/>
    <row r="34493" s="197" customFormat="1" ht="12.75" x14ac:dyDescent="0.2"/>
    <row r="34494" s="197" customFormat="1" ht="12.75" x14ac:dyDescent="0.2"/>
    <row r="34495" s="197" customFormat="1" ht="12.75" x14ac:dyDescent="0.2"/>
    <row r="34496" s="197" customFormat="1" ht="12.75" x14ac:dyDescent="0.2"/>
    <row r="34497" s="197" customFormat="1" ht="12.75" x14ac:dyDescent="0.2"/>
    <row r="34498" s="197" customFormat="1" ht="12.75" x14ac:dyDescent="0.2"/>
    <row r="34499" s="197" customFormat="1" ht="12.75" x14ac:dyDescent="0.2"/>
    <row r="34500" s="197" customFormat="1" ht="12.75" x14ac:dyDescent="0.2"/>
    <row r="34501" s="197" customFormat="1" ht="12.75" x14ac:dyDescent="0.2"/>
    <row r="34502" s="197" customFormat="1" ht="12.75" x14ac:dyDescent="0.2"/>
    <row r="34503" s="197" customFormat="1" ht="12.75" x14ac:dyDescent="0.2"/>
    <row r="34504" s="197" customFormat="1" ht="12.75" x14ac:dyDescent="0.2"/>
    <row r="34505" s="197" customFormat="1" ht="12.75" x14ac:dyDescent="0.2"/>
    <row r="34506" s="197" customFormat="1" ht="12.75" x14ac:dyDescent="0.2"/>
    <row r="34507" s="197" customFormat="1" ht="12.75" x14ac:dyDescent="0.2"/>
    <row r="34508" s="197" customFormat="1" ht="12.75" x14ac:dyDescent="0.2"/>
    <row r="34509" s="197" customFormat="1" ht="12.75" x14ac:dyDescent="0.2"/>
    <row r="34510" s="197" customFormat="1" ht="12.75" x14ac:dyDescent="0.2"/>
    <row r="34511" s="197" customFormat="1" ht="12.75" x14ac:dyDescent="0.2"/>
    <row r="34512" s="197" customFormat="1" ht="12.75" x14ac:dyDescent="0.2"/>
    <row r="34513" s="197" customFormat="1" ht="12.75" x14ac:dyDescent="0.2"/>
    <row r="34514" s="197" customFormat="1" ht="12.75" x14ac:dyDescent="0.2"/>
    <row r="34515" s="197" customFormat="1" ht="12.75" x14ac:dyDescent="0.2"/>
    <row r="34516" s="197" customFormat="1" ht="12.75" x14ac:dyDescent="0.2"/>
    <row r="34517" s="197" customFormat="1" ht="12.75" x14ac:dyDescent="0.2"/>
    <row r="34518" s="197" customFormat="1" ht="12.75" x14ac:dyDescent="0.2"/>
    <row r="34519" s="197" customFormat="1" ht="12.75" x14ac:dyDescent="0.2"/>
    <row r="34520" s="197" customFormat="1" ht="12.75" x14ac:dyDescent="0.2"/>
    <row r="34521" s="197" customFormat="1" ht="12.75" x14ac:dyDescent="0.2"/>
    <row r="34522" s="197" customFormat="1" ht="12.75" x14ac:dyDescent="0.2"/>
    <row r="34523" s="197" customFormat="1" ht="12.75" x14ac:dyDescent="0.2"/>
    <row r="34524" s="197" customFormat="1" ht="12.75" x14ac:dyDescent="0.2"/>
    <row r="34525" s="197" customFormat="1" ht="12.75" x14ac:dyDescent="0.2"/>
    <row r="34526" s="197" customFormat="1" ht="12.75" x14ac:dyDescent="0.2"/>
    <row r="34527" s="197" customFormat="1" ht="12.75" x14ac:dyDescent="0.2"/>
    <row r="34528" s="197" customFormat="1" ht="12.75" x14ac:dyDescent="0.2"/>
    <row r="34529" s="197" customFormat="1" ht="12.75" x14ac:dyDescent="0.2"/>
    <row r="34530" s="197" customFormat="1" ht="12.75" x14ac:dyDescent="0.2"/>
    <row r="34531" s="197" customFormat="1" ht="12.75" x14ac:dyDescent="0.2"/>
    <row r="34532" s="197" customFormat="1" ht="12.75" x14ac:dyDescent="0.2"/>
    <row r="34533" s="197" customFormat="1" ht="12.75" x14ac:dyDescent="0.2"/>
    <row r="34534" s="197" customFormat="1" ht="12.75" x14ac:dyDescent="0.2"/>
    <row r="34535" s="197" customFormat="1" ht="12.75" x14ac:dyDescent="0.2"/>
    <row r="34536" s="197" customFormat="1" ht="12.75" x14ac:dyDescent="0.2"/>
    <row r="34537" s="197" customFormat="1" ht="12.75" x14ac:dyDescent="0.2"/>
    <row r="34538" s="197" customFormat="1" ht="12.75" x14ac:dyDescent="0.2"/>
    <row r="34539" s="197" customFormat="1" ht="12.75" x14ac:dyDescent="0.2"/>
    <row r="34540" s="197" customFormat="1" ht="12.75" x14ac:dyDescent="0.2"/>
    <row r="34541" s="197" customFormat="1" ht="12.75" x14ac:dyDescent="0.2"/>
    <row r="34542" s="197" customFormat="1" ht="12.75" x14ac:dyDescent="0.2"/>
    <row r="34543" s="197" customFormat="1" ht="12.75" x14ac:dyDescent="0.2"/>
    <row r="34544" s="197" customFormat="1" ht="12.75" x14ac:dyDescent="0.2"/>
    <row r="34545" s="197" customFormat="1" ht="12.75" x14ac:dyDescent="0.2"/>
    <row r="34546" s="197" customFormat="1" ht="12.75" x14ac:dyDescent="0.2"/>
    <row r="34547" s="197" customFormat="1" ht="12.75" x14ac:dyDescent="0.2"/>
    <row r="34548" s="197" customFormat="1" ht="12.75" x14ac:dyDescent="0.2"/>
    <row r="34549" s="197" customFormat="1" ht="12.75" x14ac:dyDescent="0.2"/>
    <row r="34550" s="197" customFormat="1" ht="12.75" x14ac:dyDescent="0.2"/>
    <row r="34551" s="197" customFormat="1" ht="12.75" x14ac:dyDescent="0.2"/>
    <row r="34552" s="197" customFormat="1" ht="12.75" x14ac:dyDescent="0.2"/>
    <row r="34553" s="197" customFormat="1" ht="12.75" x14ac:dyDescent="0.2"/>
    <row r="34554" s="197" customFormat="1" ht="12.75" x14ac:dyDescent="0.2"/>
    <row r="34555" s="197" customFormat="1" ht="12.75" x14ac:dyDescent="0.2"/>
    <row r="34556" s="197" customFormat="1" ht="12.75" x14ac:dyDescent="0.2"/>
    <row r="34557" s="197" customFormat="1" ht="12.75" x14ac:dyDescent="0.2"/>
    <row r="34558" s="197" customFormat="1" ht="12.75" x14ac:dyDescent="0.2"/>
    <row r="34559" s="197" customFormat="1" ht="12.75" x14ac:dyDescent="0.2"/>
    <row r="34560" s="197" customFormat="1" ht="12.75" x14ac:dyDescent="0.2"/>
    <row r="34561" s="197" customFormat="1" ht="12.75" x14ac:dyDescent="0.2"/>
    <row r="34562" s="197" customFormat="1" ht="12.75" x14ac:dyDescent="0.2"/>
    <row r="34563" s="197" customFormat="1" ht="12.75" x14ac:dyDescent="0.2"/>
    <row r="34564" s="197" customFormat="1" ht="12.75" x14ac:dyDescent="0.2"/>
    <row r="34565" s="197" customFormat="1" ht="12.75" x14ac:dyDescent="0.2"/>
    <row r="34566" s="197" customFormat="1" ht="12.75" x14ac:dyDescent="0.2"/>
    <row r="34567" s="197" customFormat="1" ht="12.75" x14ac:dyDescent="0.2"/>
    <row r="34568" s="197" customFormat="1" ht="12.75" x14ac:dyDescent="0.2"/>
    <row r="34569" s="197" customFormat="1" ht="12.75" x14ac:dyDescent="0.2"/>
    <row r="34570" s="197" customFormat="1" ht="12.75" x14ac:dyDescent="0.2"/>
    <row r="34571" s="197" customFormat="1" ht="12.75" x14ac:dyDescent="0.2"/>
    <row r="34572" s="197" customFormat="1" ht="12.75" x14ac:dyDescent="0.2"/>
    <row r="34573" s="197" customFormat="1" ht="12.75" x14ac:dyDescent="0.2"/>
    <row r="34574" s="197" customFormat="1" ht="12.75" x14ac:dyDescent="0.2"/>
    <row r="34575" s="197" customFormat="1" ht="12.75" x14ac:dyDescent="0.2"/>
    <row r="34576" s="197" customFormat="1" ht="12.75" x14ac:dyDescent="0.2"/>
    <row r="34577" s="197" customFormat="1" ht="12.75" x14ac:dyDescent="0.2"/>
    <row r="34578" s="197" customFormat="1" ht="12.75" x14ac:dyDescent="0.2"/>
    <row r="34579" s="197" customFormat="1" ht="12.75" x14ac:dyDescent="0.2"/>
    <row r="34580" s="197" customFormat="1" ht="12.75" x14ac:dyDescent="0.2"/>
    <row r="34581" s="197" customFormat="1" ht="12.75" x14ac:dyDescent="0.2"/>
    <row r="34582" s="197" customFormat="1" ht="12.75" x14ac:dyDescent="0.2"/>
    <row r="34583" s="197" customFormat="1" ht="12.75" x14ac:dyDescent="0.2"/>
    <row r="34584" s="197" customFormat="1" ht="12.75" x14ac:dyDescent="0.2"/>
    <row r="34585" s="197" customFormat="1" ht="12.75" x14ac:dyDescent="0.2"/>
    <row r="34586" s="197" customFormat="1" ht="12.75" x14ac:dyDescent="0.2"/>
    <row r="34587" s="197" customFormat="1" ht="12.75" x14ac:dyDescent="0.2"/>
    <row r="34588" s="197" customFormat="1" ht="12.75" x14ac:dyDescent="0.2"/>
    <row r="34589" s="197" customFormat="1" ht="12.75" x14ac:dyDescent="0.2"/>
    <row r="34590" s="197" customFormat="1" ht="12.75" x14ac:dyDescent="0.2"/>
    <row r="34591" s="197" customFormat="1" ht="12.75" x14ac:dyDescent="0.2"/>
    <row r="34592" s="197" customFormat="1" ht="12.75" x14ac:dyDescent="0.2"/>
    <row r="34593" s="197" customFormat="1" ht="12.75" x14ac:dyDescent="0.2"/>
    <row r="34594" s="197" customFormat="1" ht="12.75" x14ac:dyDescent="0.2"/>
    <row r="34595" s="197" customFormat="1" ht="12.75" x14ac:dyDescent="0.2"/>
    <row r="34596" s="197" customFormat="1" ht="12.75" x14ac:dyDescent="0.2"/>
    <row r="34597" s="197" customFormat="1" ht="12.75" x14ac:dyDescent="0.2"/>
    <row r="34598" s="197" customFormat="1" ht="12.75" x14ac:dyDescent="0.2"/>
    <row r="34599" s="197" customFormat="1" ht="12.75" x14ac:dyDescent="0.2"/>
    <row r="34600" s="197" customFormat="1" ht="12.75" x14ac:dyDescent="0.2"/>
    <row r="34601" s="197" customFormat="1" ht="12.75" x14ac:dyDescent="0.2"/>
    <row r="34602" s="197" customFormat="1" ht="12.75" x14ac:dyDescent="0.2"/>
    <row r="34603" s="197" customFormat="1" ht="12.75" x14ac:dyDescent="0.2"/>
    <row r="34604" s="197" customFormat="1" ht="12.75" x14ac:dyDescent="0.2"/>
    <row r="34605" s="197" customFormat="1" ht="12.75" x14ac:dyDescent="0.2"/>
    <row r="34606" s="197" customFormat="1" ht="12.75" x14ac:dyDescent="0.2"/>
    <row r="34607" s="197" customFormat="1" ht="12.75" x14ac:dyDescent="0.2"/>
    <row r="34608" s="197" customFormat="1" ht="12.75" x14ac:dyDescent="0.2"/>
    <row r="34609" s="197" customFormat="1" ht="12.75" x14ac:dyDescent="0.2"/>
    <row r="34610" s="197" customFormat="1" ht="12.75" x14ac:dyDescent="0.2"/>
    <row r="34611" s="197" customFormat="1" ht="12.75" x14ac:dyDescent="0.2"/>
    <row r="34612" s="197" customFormat="1" ht="12.75" x14ac:dyDescent="0.2"/>
    <row r="34613" s="197" customFormat="1" ht="12.75" x14ac:dyDescent="0.2"/>
    <row r="34614" s="197" customFormat="1" ht="12.75" x14ac:dyDescent="0.2"/>
    <row r="34615" s="197" customFormat="1" ht="12.75" x14ac:dyDescent="0.2"/>
    <row r="34616" s="197" customFormat="1" ht="12.75" x14ac:dyDescent="0.2"/>
    <row r="34617" s="197" customFormat="1" ht="12.75" x14ac:dyDescent="0.2"/>
    <row r="34618" s="197" customFormat="1" ht="12.75" x14ac:dyDescent="0.2"/>
    <row r="34619" s="197" customFormat="1" ht="12.75" x14ac:dyDescent="0.2"/>
    <row r="34620" s="197" customFormat="1" ht="12.75" x14ac:dyDescent="0.2"/>
    <row r="34621" s="197" customFormat="1" ht="12.75" x14ac:dyDescent="0.2"/>
    <row r="34622" s="197" customFormat="1" ht="12.75" x14ac:dyDescent="0.2"/>
    <row r="34623" s="197" customFormat="1" ht="12.75" x14ac:dyDescent="0.2"/>
    <row r="34624" s="197" customFormat="1" ht="12.75" x14ac:dyDescent="0.2"/>
    <row r="34625" s="197" customFormat="1" ht="12.75" x14ac:dyDescent="0.2"/>
    <row r="34626" s="197" customFormat="1" ht="12.75" x14ac:dyDescent="0.2"/>
    <row r="34627" s="197" customFormat="1" ht="12.75" x14ac:dyDescent="0.2"/>
    <row r="34628" s="197" customFormat="1" ht="12.75" x14ac:dyDescent="0.2"/>
    <row r="34629" s="197" customFormat="1" ht="12.75" x14ac:dyDescent="0.2"/>
    <row r="34630" s="197" customFormat="1" ht="12.75" x14ac:dyDescent="0.2"/>
    <row r="34631" s="197" customFormat="1" ht="12.75" x14ac:dyDescent="0.2"/>
    <row r="34632" s="197" customFormat="1" ht="12.75" x14ac:dyDescent="0.2"/>
    <row r="34633" s="197" customFormat="1" ht="12.75" x14ac:dyDescent="0.2"/>
    <row r="34634" s="197" customFormat="1" ht="12.75" x14ac:dyDescent="0.2"/>
    <row r="34635" s="197" customFormat="1" ht="12.75" x14ac:dyDescent="0.2"/>
    <row r="34636" s="197" customFormat="1" ht="12.75" x14ac:dyDescent="0.2"/>
    <row r="34637" s="197" customFormat="1" ht="12.75" x14ac:dyDescent="0.2"/>
    <row r="34638" s="197" customFormat="1" ht="12.75" x14ac:dyDescent="0.2"/>
    <row r="34639" s="197" customFormat="1" ht="12.75" x14ac:dyDescent="0.2"/>
    <row r="34640" s="197" customFormat="1" ht="12.75" x14ac:dyDescent="0.2"/>
    <row r="34641" s="197" customFormat="1" ht="12.75" x14ac:dyDescent="0.2"/>
    <row r="34642" s="197" customFormat="1" ht="12.75" x14ac:dyDescent="0.2"/>
    <row r="34643" s="197" customFormat="1" ht="12.75" x14ac:dyDescent="0.2"/>
    <row r="34644" s="197" customFormat="1" ht="12.75" x14ac:dyDescent="0.2"/>
    <row r="34645" s="197" customFormat="1" ht="12.75" x14ac:dyDescent="0.2"/>
    <row r="34646" s="197" customFormat="1" ht="12.75" x14ac:dyDescent="0.2"/>
    <row r="34647" s="197" customFormat="1" ht="12.75" x14ac:dyDescent="0.2"/>
    <row r="34648" s="197" customFormat="1" ht="12.75" x14ac:dyDescent="0.2"/>
    <row r="34649" s="197" customFormat="1" ht="12.75" x14ac:dyDescent="0.2"/>
    <row r="34650" s="197" customFormat="1" ht="12.75" x14ac:dyDescent="0.2"/>
    <row r="34651" s="197" customFormat="1" ht="12.75" x14ac:dyDescent="0.2"/>
    <row r="34652" s="197" customFormat="1" ht="12.75" x14ac:dyDescent="0.2"/>
    <row r="34653" s="197" customFormat="1" ht="12.75" x14ac:dyDescent="0.2"/>
    <row r="34654" s="197" customFormat="1" ht="12.75" x14ac:dyDescent="0.2"/>
    <row r="34655" s="197" customFormat="1" ht="12.75" x14ac:dyDescent="0.2"/>
    <row r="34656" s="197" customFormat="1" ht="12.75" x14ac:dyDescent="0.2"/>
    <row r="34657" s="197" customFormat="1" ht="12.75" x14ac:dyDescent="0.2"/>
    <row r="34658" s="197" customFormat="1" ht="12.75" x14ac:dyDescent="0.2"/>
    <row r="34659" s="197" customFormat="1" ht="12.75" x14ac:dyDescent="0.2"/>
    <row r="34660" s="197" customFormat="1" ht="12.75" x14ac:dyDescent="0.2"/>
    <row r="34661" s="197" customFormat="1" ht="12.75" x14ac:dyDescent="0.2"/>
    <row r="34662" s="197" customFormat="1" ht="12.75" x14ac:dyDescent="0.2"/>
    <row r="34663" s="197" customFormat="1" ht="12.75" x14ac:dyDescent="0.2"/>
    <row r="34664" s="197" customFormat="1" ht="12.75" x14ac:dyDescent="0.2"/>
    <row r="34665" s="197" customFormat="1" ht="12.75" x14ac:dyDescent="0.2"/>
    <row r="34666" s="197" customFormat="1" ht="12.75" x14ac:dyDescent="0.2"/>
    <row r="34667" s="197" customFormat="1" ht="12.75" x14ac:dyDescent="0.2"/>
    <row r="34668" s="197" customFormat="1" ht="12.75" x14ac:dyDescent="0.2"/>
    <row r="34669" s="197" customFormat="1" ht="12.75" x14ac:dyDescent="0.2"/>
    <row r="34670" s="197" customFormat="1" ht="12.75" x14ac:dyDescent="0.2"/>
    <row r="34671" s="197" customFormat="1" ht="12.75" x14ac:dyDescent="0.2"/>
    <row r="34672" s="197" customFormat="1" ht="12.75" x14ac:dyDescent="0.2"/>
    <row r="34673" s="197" customFormat="1" ht="12.75" x14ac:dyDescent="0.2"/>
    <row r="34674" s="197" customFormat="1" ht="12.75" x14ac:dyDescent="0.2"/>
    <row r="34675" s="197" customFormat="1" ht="12.75" x14ac:dyDescent="0.2"/>
    <row r="34676" s="197" customFormat="1" ht="12.75" x14ac:dyDescent="0.2"/>
    <row r="34677" s="197" customFormat="1" ht="12.75" x14ac:dyDescent="0.2"/>
    <row r="34678" s="197" customFormat="1" ht="12.75" x14ac:dyDescent="0.2"/>
    <row r="34679" s="197" customFormat="1" ht="12.75" x14ac:dyDescent="0.2"/>
    <row r="34680" s="197" customFormat="1" ht="12.75" x14ac:dyDescent="0.2"/>
    <row r="34681" s="197" customFormat="1" ht="12.75" x14ac:dyDescent="0.2"/>
    <row r="34682" s="197" customFormat="1" ht="12.75" x14ac:dyDescent="0.2"/>
    <row r="34683" s="197" customFormat="1" ht="12.75" x14ac:dyDescent="0.2"/>
    <row r="34684" s="197" customFormat="1" ht="12.75" x14ac:dyDescent="0.2"/>
    <row r="34685" s="197" customFormat="1" ht="12.75" x14ac:dyDescent="0.2"/>
    <row r="34686" s="197" customFormat="1" ht="12.75" x14ac:dyDescent="0.2"/>
    <row r="34687" s="197" customFormat="1" ht="12.75" x14ac:dyDescent="0.2"/>
    <row r="34688" s="197" customFormat="1" ht="12.75" x14ac:dyDescent="0.2"/>
    <row r="34689" s="197" customFormat="1" ht="12.75" x14ac:dyDescent="0.2"/>
    <row r="34690" s="197" customFormat="1" ht="12.75" x14ac:dyDescent="0.2"/>
    <row r="34691" s="197" customFormat="1" ht="12.75" x14ac:dyDescent="0.2"/>
    <row r="34692" s="197" customFormat="1" ht="12.75" x14ac:dyDescent="0.2"/>
    <row r="34693" s="197" customFormat="1" ht="12.75" x14ac:dyDescent="0.2"/>
    <row r="34694" s="197" customFormat="1" ht="12.75" x14ac:dyDescent="0.2"/>
    <row r="34695" s="197" customFormat="1" ht="12.75" x14ac:dyDescent="0.2"/>
    <row r="34696" s="197" customFormat="1" ht="12.75" x14ac:dyDescent="0.2"/>
    <row r="34697" s="197" customFormat="1" ht="12.75" x14ac:dyDescent="0.2"/>
    <row r="34698" s="197" customFormat="1" ht="12.75" x14ac:dyDescent="0.2"/>
    <row r="34699" s="197" customFormat="1" ht="12.75" x14ac:dyDescent="0.2"/>
    <row r="34700" s="197" customFormat="1" ht="12.75" x14ac:dyDescent="0.2"/>
    <row r="34701" s="197" customFormat="1" ht="12.75" x14ac:dyDescent="0.2"/>
    <row r="34702" s="197" customFormat="1" ht="12.75" x14ac:dyDescent="0.2"/>
    <row r="34703" s="197" customFormat="1" ht="12.75" x14ac:dyDescent="0.2"/>
    <row r="34704" s="197" customFormat="1" ht="12.75" x14ac:dyDescent="0.2"/>
    <row r="34705" s="197" customFormat="1" ht="12.75" x14ac:dyDescent="0.2"/>
    <row r="34706" s="197" customFormat="1" ht="12.75" x14ac:dyDescent="0.2"/>
    <row r="34707" s="197" customFormat="1" ht="12.75" x14ac:dyDescent="0.2"/>
    <row r="34708" s="197" customFormat="1" ht="12.75" x14ac:dyDescent="0.2"/>
    <row r="34709" s="197" customFormat="1" ht="12.75" x14ac:dyDescent="0.2"/>
    <row r="34710" s="197" customFormat="1" ht="12.75" x14ac:dyDescent="0.2"/>
    <row r="34711" s="197" customFormat="1" ht="12.75" x14ac:dyDescent="0.2"/>
    <row r="34712" s="197" customFormat="1" ht="12.75" x14ac:dyDescent="0.2"/>
    <row r="34713" s="197" customFormat="1" ht="12.75" x14ac:dyDescent="0.2"/>
    <row r="34714" s="197" customFormat="1" ht="12.75" x14ac:dyDescent="0.2"/>
    <row r="34715" s="197" customFormat="1" ht="12.75" x14ac:dyDescent="0.2"/>
    <row r="34716" s="197" customFormat="1" ht="12.75" x14ac:dyDescent="0.2"/>
    <row r="34717" s="197" customFormat="1" ht="12.75" x14ac:dyDescent="0.2"/>
    <row r="34718" s="197" customFormat="1" ht="12.75" x14ac:dyDescent="0.2"/>
    <row r="34719" s="197" customFormat="1" ht="12.75" x14ac:dyDescent="0.2"/>
    <row r="34720" s="197" customFormat="1" ht="12.75" x14ac:dyDescent="0.2"/>
    <row r="34721" s="197" customFormat="1" ht="12.75" x14ac:dyDescent="0.2"/>
    <row r="34722" s="197" customFormat="1" ht="12.75" x14ac:dyDescent="0.2"/>
    <row r="34723" s="197" customFormat="1" ht="12.75" x14ac:dyDescent="0.2"/>
    <row r="34724" s="197" customFormat="1" ht="12.75" x14ac:dyDescent="0.2"/>
    <row r="34725" s="197" customFormat="1" ht="12.75" x14ac:dyDescent="0.2"/>
    <row r="34726" s="197" customFormat="1" ht="12.75" x14ac:dyDescent="0.2"/>
    <row r="34727" s="197" customFormat="1" ht="12.75" x14ac:dyDescent="0.2"/>
    <row r="34728" s="197" customFormat="1" ht="12.75" x14ac:dyDescent="0.2"/>
    <row r="34729" s="197" customFormat="1" ht="12.75" x14ac:dyDescent="0.2"/>
    <row r="34730" s="197" customFormat="1" ht="12.75" x14ac:dyDescent="0.2"/>
    <row r="34731" s="197" customFormat="1" ht="12.75" x14ac:dyDescent="0.2"/>
    <row r="34732" s="197" customFormat="1" ht="12.75" x14ac:dyDescent="0.2"/>
    <row r="34733" s="197" customFormat="1" ht="12.75" x14ac:dyDescent="0.2"/>
    <row r="34734" s="197" customFormat="1" ht="12.75" x14ac:dyDescent="0.2"/>
    <row r="34735" s="197" customFormat="1" ht="12.75" x14ac:dyDescent="0.2"/>
    <row r="34736" s="197" customFormat="1" ht="12.75" x14ac:dyDescent="0.2"/>
    <row r="34737" s="197" customFormat="1" ht="12.75" x14ac:dyDescent="0.2"/>
    <row r="34738" s="197" customFormat="1" ht="12.75" x14ac:dyDescent="0.2"/>
    <row r="34739" s="197" customFormat="1" ht="12.75" x14ac:dyDescent="0.2"/>
    <row r="34740" s="197" customFormat="1" ht="12.75" x14ac:dyDescent="0.2"/>
    <row r="34741" s="197" customFormat="1" ht="12.75" x14ac:dyDescent="0.2"/>
    <row r="34742" s="197" customFormat="1" ht="12.75" x14ac:dyDescent="0.2"/>
    <row r="34743" s="197" customFormat="1" ht="12.75" x14ac:dyDescent="0.2"/>
    <row r="34744" s="197" customFormat="1" ht="12.75" x14ac:dyDescent="0.2"/>
    <row r="34745" s="197" customFormat="1" ht="12.75" x14ac:dyDescent="0.2"/>
    <row r="34746" s="197" customFormat="1" ht="12.75" x14ac:dyDescent="0.2"/>
    <row r="34747" s="197" customFormat="1" ht="12.75" x14ac:dyDescent="0.2"/>
    <row r="34748" s="197" customFormat="1" ht="12.75" x14ac:dyDescent="0.2"/>
    <row r="34749" s="197" customFormat="1" ht="12.75" x14ac:dyDescent="0.2"/>
    <row r="34750" s="197" customFormat="1" ht="12.75" x14ac:dyDescent="0.2"/>
    <row r="34751" s="197" customFormat="1" ht="12.75" x14ac:dyDescent="0.2"/>
    <row r="34752" s="197" customFormat="1" ht="12.75" x14ac:dyDescent="0.2"/>
    <row r="34753" s="197" customFormat="1" ht="12.75" x14ac:dyDescent="0.2"/>
    <row r="34754" s="197" customFormat="1" ht="12.75" x14ac:dyDescent="0.2"/>
    <row r="34755" s="197" customFormat="1" ht="12.75" x14ac:dyDescent="0.2"/>
    <row r="34756" s="197" customFormat="1" ht="12.75" x14ac:dyDescent="0.2"/>
    <row r="34757" s="197" customFormat="1" ht="12.75" x14ac:dyDescent="0.2"/>
    <row r="34758" s="197" customFormat="1" ht="12.75" x14ac:dyDescent="0.2"/>
    <row r="34759" s="197" customFormat="1" ht="12.75" x14ac:dyDescent="0.2"/>
    <row r="34760" s="197" customFormat="1" ht="12.75" x14ac:dyDescent="0.2"/>
    <row r="34761" s="197" customFormat="1" ht="12.75" x14ac:dyDescent="0.2"/>
    <row r="34762" s="197" customFormat="1" ht="12.75" x14ac:dyDescent="0.2"/>
    <row r="34763" s="197" customFormat="1" ht="12.75" x14ac:dyDescent="0.2"/>
    <row r="34764" s="197" customFormat="1" ht="12.75" x14ac:dyDescent="0.2"/>
    <row r="34765" s="197" customFormat="1" ht="12.75" x14ac:dyDescent="0.2"/>
    <row r="34766" s="197" customFormat="1" ht="12.75" x14ac:dyDescent="0.2"/>
    <row r="34767" s="197" customFormat="1" ht="12.75" x14ac:dyDescent="0.2"/>
    <row r="34768" s="197" customFormat="1" ht="12.75" x14ac:dyDescent="0.2"/>
    <row r="34769" s="197" customFormat="1" ht="12.75" x14ac:dyDescent="0.2"/>
    <row r="34770" s="197" customFormat="1" ht="12.75" x14ac:dyDescent="0.2"/>
    <row r="34771" s="197" customFormat="1" ht="12.75" x14ac:dyDescent="0.2"/>
    <row r="34772" s="197" customFormat="1" ht="12.75" x14ac:dyDescent="0.2"/>
    <row r="34773" s="197" customFormat="1" ht="12.75" x14ac:dyDescent="0.2"/>
    <row r="34774" s="197" customFormat="1" ht="12.75" x14ac:dyDescent="0.2"/>
    <row r="34775" s="197" customFormat="1" ht="12.75" x14ac:dyDescent="0.2"/>
    <row r="34776" s="197" customFormat="1" ht="12.75" x14ac:dyDescent="0.2"/>
    <row r="34777" s="197" customFormat="1" ht="12.75" x14ac:dyDescent="0.2"/>
    <row r="34778" s="197" customFormat="1" ht="12.75" x14ac:dyDescent="0.2"/>
    <row r="34779" s="197" customFormat="1" ht="12.75" x14ac:dyDescent="0.2"/>
    <row r="34780" s="197" customFormat="1" ht="12.75" x14ac:dyDescent="0.2"/>
    <row r="34781" s="197" customFormat="1" ht="12.75" x14ac:dyDescent="0.2"/>
    <row r="34782" s="197" customFormat="1" ht="12.75" x14ac:dyDescent="0.2"/>
    <row r="34783" s="197" customFormat="1" ht="12.75" x14ac:dyDescent="0.2"/>
    <row r="34784" s="197" customFormat="1" ht="12.75" x14ac:dyDescent="0.2"/>
    <row r="34785" s="197" customFormat="1" ht="12.75" x14ac:dyDescent="0.2"/>
    <row r="34786" s="197" customFormat="1" ht="12.75" x14ac:dyDescent="0.2"/>
    <row r="34787" s="197" customFormat="1" ht="12.75" x14ac:dyDescent="0.2"/>
    <row r="34788" s="197" customFormat="1" ht="12.75" x14ac:dyDescent="0.2"/>
    <row r="34789" s="197" customFormat="1" ht="12.75" x14ac:dyDescent="0.2"/>
    <row r="34790" s="197" customFormat="1" ht="12.75" x14ac:dyDescent="0.2"/>
    <row r="34791" s="197" customFormat="1" ht="12.75" x14ac:dyDescent="0.2"/>
    <row r="34792" s="197" customFormat="1" ht="12.75" x14ac:dyDescent="0.2"/>
    <row r="34793" s="197" customFormat="1" ht="12.75" x14ac:dyDescent="0.2"/>
    <row r="34794" s="197" customFormat="1" ht="12.75" x14ac:dyDescent="0.2"/>
    <row r="34795" s="197" customFormat="1" ht="12.75" x14ac:dyDescent="0.2"/>
    <row r="34796" s="197" customFormat="1" ht="12.75" x14ac:dyDescent="0.2"/>
    <row r="34797" s="197" customFormat="1" ht="12.75" x14ac:dyDescent="0.2"/>
    <row r="34798" s="197" customFormat="1" ht="12.75" x14ac:dyDescent="0.2"/>
    <row r="34799" s="197" customFormat="1" ht="12.75" x14ac:dyDescent="0.2"/>
    <row r="34800" s="197" customFormat="1" ht="12.75" x14ac:dyDescent="0.2"/>
    <row r="34801" s="197" customFormat="1" ht="12.75" x14ac:dyDescent="0.2"/>
    <row r="34802" s="197" customFormat="1" ht="12.75" x14ac:dyDescent="0.2"/>
    <row r="34803" s="197" customFormat="1" ht="12.75" x14ac:dyDescent="0.2"/>
    <row r="34804" s="197" customFormat="1" ht="12.75" x14ac:dyDescent="0.2"/>
    <row r="34805" s="197" customFormat="1" ht="12.75" x14ac:dyDescent="0.2"/>
    <row r="34806" s="197" customFormat="1" ht="12.75" x14ac:dyDescent="0.2"/>
    <row r="34807" s="197" customFormat="1" ht="12.75" x14ac:dyDescent="0.2"/>
    <row r="34808" s="197" customFormat="1" ht="12.75" x14ac:dyDescent="0.2"/>
    <row r="34809" s="197" customFormat="1" ht="12.75" x14ac:dyDescent="0.2"/>
    <row r="34810" s="197" customFormat="1" ht="12.75" x14ac:dyDescent="0.2"/>
    <row r="34811" s="197" customFormat="1" ht="12.75" x14ac:dyDescent="0.2"/>
    <row r="34812" s="197" customFormat="1" ht="12.75" x14ac:dyDescent="0.2"/>
    <row r="34813" s="197" customFormat="1" ht="12.75" x14ac:dyDescent="0.2"/>
    <row r="34814" s="197" customFormat="1" ht="12.75" x14ac:dyDescent="0.2"/>
    <row r="34815" s="197" customFormat="1" ht="12.75" x14ac:dyDescent="0.2"/>
    <row r="34816" s="197" customFormat="1" ht="12.75" x14ac:dyDescent="0.2"/>
    <row r="34817" s="197" customFormat="1" ht="12.75" x14ac:dyDescent="0.2"/>
    <row r="34818" s="197" customFormat="1" ht="12.75" x14ac:dyDescent="0.2"/>
    <row r="34819" s="197" customFormat="1" ht="12.75" x14ac:dyDescent="0.2"/>
    <row r="34820" s="197" customFormat="1" ht="12.75" x14ac:dyDescent="0.2"/>
    <row r="34821" s="197" customFormat="1" ht="12.75" x14ac:dyDescent="0.2"/>
    <row r="34822" s="197" customFormat="1" ht="12.75" x14ac:dyDescent="0.2"/>
    <row r="34823" s="197" customFormat="1" ht="12.75" x14ac:dyDescent="0.2"/>
    <row r="34824" s="197" customFormat="1" ht="12.75" x14ac:dyDescent="0.2"/>
    <row r="34825" s="197" customFormat="1" ht="12.75" x14ac:dyDescent="0.2"/>
    <row r="34826" s="197" customFormat="1" ht="12.75" x14ac:dyDescent="0.2"/>
    <row r="34827" s="197" customFormat="1" ht="12.75" x14ac:dyDescent="0.2"/>
    <row r="34828" s="197" customFormat="1" ht="12.75" x14ac:dyDescent="0.2"/>
    <row r="34829" s="197" customFormat="1" ht="12.75" x14ac:dyDescent="0.2"/>
    <row r="34830" s="197" customFormat="1" ht="12.75" x14ac:dyDescent="0.2"/>
    <row r="34831" s="197" customFormat="1" ht="12.75" x14ac:dyDescent="0.2"/>
    <row r="34832" s="197" customFormat="1" ht="12.75" x14ac:dyDescent="0.2"/>
    <row r="34833" s="197" customFormat="1" ht="12.75" x14ac:dyDescent="0.2"/>
    <row r="34834" s="197" customFormat="1" ht="12.75" x14ac:dyDescent="0.2"/>
    <row r="34835" s="197" customFormat="1" ht="12.75" x14ac:dyDescent="0.2"/>
    <row r="34836" s="197" customFormat="1" ht="12.75" x14ac:dyDescent="0.2"/>
    <row r="34837" s="197" customFormat="1" ht="12.75" x14ac:dyDescent="0.2"/>
    <row r="34838" s="197" customFormat="1" ht="12.75" x14ac:dyDescent="0.2"/>
    <row r="34839" s="197" customFormat="1" ht="12.75" x14ac:dyDescent="0.2"/>
    <row r="34840" s="197" customFormat="1" ht="12.75" x14ac:dyDescent="0.2"/>
    <row r="34841" s="197" customFormat="1" ht="12.75" x14ac:dyDescent="0.2"/>
    <row r="34842" s="197" customFormat="1" ht="12.75" x14ac:dyDescent="0.2"/>
    <row r="34843" s="197" customFormat="1" ht="12.75" x14ac:dyDescent="0.2"/>
    <row r="34844" s="197" customFormat="1" ht="12.75" x14ac:dyDescent="0.2"/>
    <row r="34845" s="197" customFormat="1" ht="12.75" x14ac:dyDescent="0.2"/>
    <row r="34846" s="197" customFormat="1" ht="12.75" x14ac:dyDescent="0.2"/>
    <row r="34847" s="197" customFormat="1" ht="12.75" x14ac:dyDescent="0.2"/>
    <row r="34848" s="197" customFormat="1" ht="12.75" x14ac:dyDescent="0.2"/>
    <row r="34849" s="197" customFormat="1" ht="12.75" x14ac:dyDescent="0.2"/>
    <row r="34850" s="197" customFormat="1" ht="12.75" x14ac:dyDescent="0.2"/>
    <row r="34851" s="197" customFormat="1" ht="12.75" x14ac:dyDescent="0.2"/>
    <row r="34852" s="197" customFormat="1" ht="12.75" x14ac:dyDescent="0.2"/>
    <row r="34853" s="197" customFormat="1" ht="12.75" x14ac:dyDescent="0.2"/>
    <row r="34854" s="197" customFormat="1" ht="12.75" x14ac:dyDescent="0.2"/>
    <row r="34855" s="197" customFormat="1" ht="12.75" x14ac:dyDescent="0.2"/>
    <row r="34856" s="197" customFormat="1" ht="12.75" x14ac:dyDescent="0.2"/>
    <row r="34857" s="197" customFormat="1" ht="12.75" x14ac:dyDescent="0.2"/>
    <row r="34858" s="197" customFormat="1" ht="12.75" x14ac:dyDescent="0.2"/>
    <row r="34859" s="197" customFormat="1" ht="12.75" x14ac:dyDescent="0.2"/>
    <row r="34860" s="197" customFormat="1" ht="12.75" x14ac:dyDescent="0.2"/>
    <row r="34861" s="197" customFormat="1" ht="12.75" x14ac:dyDescent="0.2"/>
    <row r="34862" s="197" customFormat="1" ht="12.75" x14ac:dyDescent="0.2"/>
    <row r="34863" s="197" customFormat="1" ht="12.75" x14ac:dyDescent="0.2"/>
    <row r="34864" s="197" customFormat="1" ht="12.75" x14ac:dyDescent="0.2"/>
    <row r="34865" s="197" customFormat="1" ht="12.75" x14ac:dyDescent="0.2"/>
    <row r="34866" s="197" customFormat="1" ht="12.75" x14ac:dyDescent="0.2"/>
    <row r="34867" s="197" customFormat="1" ht="12.75" x14ac:dyDescent="0.2"/>
    <row r="34868" s="197" customFormat="1" ht="12.75" x14ac:dyDescent="0.2"/>
    <row r="34869" s="197" customFormat="1" ht="12.75" x14ac:dyDescent="0.2"/>
    <row r="34870" s="197" customFormat="1" ht="12.75" x14ac:dyDescent="0.2"/>
    <row r="34871" s="197" customFormat="1" ht="12.75" x14ac:dyDescent="0.2"/>
    <row r="34872" s="197" customFormat="1" ht="12.75" x14ac:dyDescent="0.2"/>
    <row r="34873" s="197" customFormat="1" ht="12.75" x14ac:dyDescent="0.2"/>
    <row r="34874" s="197" customFormat="1" ht="12.75" x14ac:dyDescent="0.2"/>
    <row r="34875" s="197" customFormat="1" ht="12.75" x14ac:dyDescent="0.2"/>
    <row r="34876" s="197" customFormat="1" ht="12.75" x14ac:dyDescent="0.2"/>
    <row r="34877" s="197" customFormat="1" ht="12.75" x14ac:dyDescent="0.2"/>
    <row r="34878" s="197" customFormat="1" ht="12.75" x14ac:dyDescent="0.2"/>
    <row r="34879" s="197" customFormat="1" ht="12.75" x14ac:dyDescent="0.2"/>
    <row r="34880" s="197" customFormat="1" ht="12.75" x14ac:dyDescent="0.2"/>
    <row r="34881" s="197" customFormat="1" ht="12.75" x14ac:dyDescent="0.2"/>
    <row r="34882" s="197" customFormat="1" ht="12.75" x14ac:dyDescent="0.2"/>
    <row r="34883" s="197" customFormat="1" ht="12.75" x14ac:dyDescent="0.2"/>
    <row r="34884" s="197" customFormat="1" ht="12.75" x14ac:dyDescent="0.2"/>
    <row r="34885" s="197" customFormat="1" ht="12.75" x14ac:dyDescent="0.2"/>
    <row r="34886" s="197" customFormat="1" ht="12.75" x14ac:dyDescent="0.2"/>
    <row r="34887" s="197" customFormat="1" ht="12.75" x14ac:dyDescent="0.2"/>
    <row r="34888" s="197" customFormat="1" ht="12.75" x14ac:dyDescent="0.2"/>
    <row r="34889" s="197" customFormat="1" ht="12.75" x14ac:dyDescent="0.2"/>
    <row r="34890" s="197" customFormat="1" ht="12.75" x14ac:dyDescent="0.2"/>
    <row r="34891" s="197" customFormat="1" ht="12.75" x14ac:dyDescent="0.2"/>
    <row r="34892" s="197" customFormat="1" ht="12.75" x14ac:dyDescent="0.2"/>
    <row r="34893" s="197" customFormat="1" ht="12.75" x14ac:dyDescent="0.2"/>
    <row r="34894" s="197" customFormat="1" ht="12.75" x14ac:dyDescent="0.2"/>
    <row r="34895" s="197" customFormat="1" ht="12.75" x14ac:dyDescent="0.2"/>
    <row r="34896" s="197" customFormat="1" ht="12.75" x14ac:dyDescent="0.2"/>
    <row r="34897" s="197" customFormat="1" ht="12.75" x14ac:dyDescent="0.2"/>
    <row r="34898" s="197" customFormat="1" ht="12.75" x14ac:dyDescent="0.2"/>
    <row r="34899" s="197" customFormat="1" ht="12.75" x14ac:dyDescent="0.2"/>
    <row r="34900" s="197" customFormat="1" ht="12.75" x14ac:dyDescent="0.2"/>
    <row r="34901" s="197" customFormat="1" ht="12.75" x14ac:dyDescent="0.2"/>
    <row r="34902" s="197" customFormat="1" ht="12.75" x14ac:dyDescent="0.2"/>
    <row r="34903" s="197" customFormat="1" ht="12.75" x14ac:dyDescent="0.2"/>
    <row r="34904" s="197" customFormat="1" ht="12.75" x14ac:dyDescent="0.2"/>
    <row r="34905" s="197" customFormat="1" ht="12.75" x14ac:dyDescent="0.2"/>
    <row r="34906" s="197" customFormat="1" ht="12.75" x14ac:dyDescent="0.2"/>
    <row r="34907" s="197" customFormat="1" ht="12.75" x14ac:dyDescent="0.2"/>
    <row r="34908" s="197" customFormat="1" ht="12.75" x14ac:dyDescent="0.2"/>
    <row r="34909" s="197" customFormat="1" ht="12.75" x14ac:dyDescent="0.2"/>
    <row r="34910" s="197" customFormat="1" ht="12.75" x14ac:dyDescent="0.2"/>
    <row r="34911" s="197" customFormat="1" ht="12.75" x14ac:dyDescent="0.2"/>
    <row r="34912" s="197" customFormat="1" ht="12.75" x14ac:dyDescent="0.2"/>
    <row r="34913" s="197" customFormat="1" ht="12.75" x14ac:dyDescent="0.2"/>
    <row r="34914" s="197" customFormat="1" ht="12.75" x14ac:dyDescent="0.2"/>
    <row r="34915" s="197" customFormat="1" ht="12.75" x14ac:dyDescent="0.2"/>
    <row r="34916" s="197" customFormat="1" ht="12.75" x14ac:dyDescent="0.2"/>
    <row r="34917" s="197" customFormat="1" ht="12.75" x14ac:dyDescent="0.2"/>
    <row r="34918" s="197" customFormat="1" ht="12.75" x14ac:dyDescent="0.2"/>
    <row r="34919" s="197" customFormat="1" ht="12.75" x14ac:dyDescent="0.2"/>
    <row r="34920" s="197" customFormat="1" ht="12.75" x14ac:dyDescent="0.2"/>
    <row r="34921" s="197" customFormat="1" ht="12.75" x14ac:dyDescent="0.2"/>
    <row r="34922" s="197" customFormat="1" ht="12.75" x14ac:dyDescent="0.2"/>
    <row r="34923" s="197" customFormat="1" ht="12.75" x14ac:dyDescent="0.2"/>
    <row r="34924" s="197" customFormat="1" ht="12.75" x14ac:dyDescent="0.2"/>
    <row r="34925" s="197" customFormat="1" ht="12.75" x14ac:dyDescent="0.2"/>
    <row r="34926" s="197" customFormat="1" ht="12.75" x14ac:dyDescent="0.2"/>
    <row r="34927" s="197" customFormat="1" ht="12.75" x14ac:dyDescent="0.2"/>
    <row r="34928" s="197" customFormat="1" ht="12.75" x14ac:dyDescent="0.2"/>
    <row r="34929" s="197" customFormat="1" ht="12.75" x14ac:dyDescent="0.2"/>
    <row r="34930" s="197" customFormat="1" ht="12.75" x14ac:dyDescent="0.2"/>
    <row r="34931" s="197" customFormat="1" ht="12.75" x14ac:dyDescent="0.2"/>
    <row r="34932" s="197" customFormat="1" ht="12.75" x14ac:dyDescent="0.2"/>
    <row r="34933" s="197" customFormat="1" ht="12.75" x14ac:dyDescent="0.2"/>
    <row r="34934" s="197" customFormat="1" ht="12.75" x14ac:dyDescent="0.2"/>
    <row r="34935" s="197" customFormat="1" ht="12.75" x14ac:dyDescent="0.2"/>
    <row r="34936" s="197" customFormat="1" ht="12.75" x14ac:dyDescent="0.2"/>
    <row r="34937" s="197" customFormat="1" ht="12.75" x14ac:dyDescent="0.2"/>
    <row r="34938" s="197" customFormat="1" ht="12.75" x14ac:dyDescent="0.2"/>
    <row r="34939" s="197" customFormat="1" ht="12.75" x14ac:dyDescent="0.2"/>
    <row r="34940" s="197" customFormat="1" ht="12.75" x14ac:dyDescent="0.2"/>
    <row r="34941" s="197" customFormat="1" ht="12.75" x14ac:dyDescent="0.2"/>
    <row r="34942" s="197" customFormat="1" ht="12.75" x14ac:dyDescent="0.2"/>
    <row r="34943" s="197" customFormat="1" ht="12.75" x14ac:dyDescent="0.2"/>
    <row r="34944" s="197" customFormat="1" ht="12.75" x14ac:dyDescent="0.2"/>
    <row r="34945" s="197" customFormat="1" ht="12.75" x14ac:dyDescent="0.2"/>
    <row r="34946" s="197" customFormat="1" ht="12.75" x14ac:dyDescent="0.2"/>
    <row r="34947" s="197" customFormat="1" ht="12.75" x14ac:dyDescent="0.2"/>
    <row r="34948" s="197" customFormat="1" ht="12.75" x14ac:dyDescent="0.2"/>
    <row r="34949" s="197" customFormat="1" ht="12.75" x14ac:dyDescent="0.2"/>
    <row r="34950" s="197" customFormat="1" ht="12.75" x14ac:dyDescent="0.2"/>
    <row r="34951" s="197" customFormat="1" ht="12.75" x14ac:dyDescent="0.2"/>
    <row r="34952" s="197" customFormat="1" ht="12.75" x14ac:dyDescent="0.2"/>
    <row r="34953" s="197" customFormat="1" ht="12.75" x14ac:dyDescent="0.2"/>
    <row r="34954" s="197" customFormat="1" ht="12.75" x14ac:dyDescent="0.2"/>
    <row r="34955" s="197" customFormat="1" ht="12.75" x14ac:dyDescent="0.2"/>
    <row r="34956" s="197" customFormat="1" ht="12.75" x14ac:dyDescent="0.2"/>
    <row r="34957" s="197" customFormat="1" ht="12.75" x14ac:dyDescent="0.2"/>
    <row r="34958" s="197" customFormat="1" ht="12.75" x14ac:dyDescent="0.2"/>
    <row r="34959" s="197" customFormat="1" ht="12.75" x14ac:dyDescent="0.2"/>
    <row r="34960" s="197" customFormat="1" ht="12.75" x14ac:dyDescent="0.2"/>
    <row r="34961" s="197" customFormat="1" ht="12.75" x14ac:dyDescent="0.2"/>
    <row r="34962" s="197" customFormat="1" ht="12.75" x14ac:dyDescent="0.2"/>
    <row r="34963" s="197" customFormat="1" ht="12.75" x14ac:dyDescent="0.2"/>
    <row r="34964" s="197" customFormat="1" ht="12.75" x14ac:dyDescent="0.2"/>
    <row r="34965" s="197" customFormat="1" ht="12.75" x14ac:dyDescent="0.2"/>
    <row r="34966" s="197" customFormat="1" ht="12.75" x14ac:dyDescent="0.2"/>
    <row r="34967" s="197" customFormat="1" ht="12.75" x14ac:dyDescent="0.2"/>
    <row r="34968" s="197" customFormat="1" ht="12.75" x14ac:dyDescent="0.2"/>
    <row r="34969" s="197" customFormat="1" ht="12.75" x14ac:dyDescent="0.2"/>
    <row r="34970" s="197" customFormat="1" ht="12.75" x14ac:dyDescent="0.2"/>
    <row r="34971" s="197" customFormat="1" ht="12.75" x14ac:dyDescent="0.2"/>
    <row r="34972" s="197" customFormat="1" ht="12.75" x14ac:dyDescent="0.2"/>
    <row r="34973" s="197" customFormat="1" ht="12.75" x14ac:dyDescent="0.2"/>
    <row r="34974" s="197" customFormat="1" ht="12.75" x14ac:dyDescent="0.2"/>
    <row r="34975" s="197" customFormat="1" ht="12.75" x14ac:dyDescent="0.2"/>
    <row r="34976" s="197" customFormat="1" ht="12.75" x14ac:dyDescent="0.2"/>
    <row r="34977" s="197" customFormat="1" ht="12.75" x14ac:dyDescent="0.2"/>
    <row r="34978" s="197" customFormat="1" ht="12.75" x14ac:dyDescent="0.2"/>
    <row r="34979" s="197" customFormat="1" ht="12.75" x14ac:dyDescent="0.2"/>
    <row r="34980" s="197" customFormat="1" ht="12.75" x14ac:dyDescent="0.2"/>
    <row r="34981" s="197" customFormat="1" ht="12.75" x14ac:dyDescent="0.2"/>
    <row r="34982" s="197" customFormat="1" ht="12.75" x14ac:dyDescent="0.2"/>
    <row r="34983" s="197" customFormat="1" ht="12.75" x14ac:dyDescent="0.2"/>
    <row r="34984" s="197" customFormat="1" ht="12.75" x14ac:dyDescent="0.2"/>
    <row r="34985" s="197" customFormat="1" ht="12.75" x14ac:dyDescent="0.2"/>
    <row r="34986" s="197" customFormat="1" ht="12.75" x14ac:dyDescent="0.2"/>
    <row r="34987" s="197" customFormat="1" ht="12.75" x14ac:dyDescent="0.2"/>
    <row r="34988" s="197" customFormat="1" ht="12.75" x14ac:dyDescent="0.2"/>
    <row r="34989" s="197" customFormat="1" ht="12.75" x14ac:dyDescent="0.2"/>
    <row r="34990" s="197" customFormat="1" ht="12.75" x14ac:dyDescent="0.2"/>
    <row r="34991" s="197" customFormat="1" ht="12.75" x14ac:dyDescent="0.2"/>
    <row r="34992" s="197" customFormat="1" ht="12.75" x14ac:dyDescent="0.2"/>
    <row r="34993" s="197" customFormat="1" ht="12.75" x14ac:dyDescent="0.2"/>
    <row r="34994" s="197" customFormat="1" ht="12.75" x14ac:dyDescent="0.2"/>
    <row r="34995" s="197" customFormat="1" ht="12.75" x14ac:dyDescent="0.2"/>
    <row r="34996" s="197" customFormat="1" ht="12.75" x14ac:dyDescent="0.2"/>
    <row r="34997" s="197" customFormat="1" ht="12.75" x14ac:dyDescent="0.2"/>
    <row r="34998" s="197" customFormat="1" ht="12.75" x14ac:dyDescent="0.2"/>
    <row r="34999" s="197" customFormat="1" ht="12.75" x14ac:dyDescent="0.2"/>
    <row r="35000" s="197" customFormat="1" ht="12.75" x14ac:dyDescent="0.2"/>
    <row r="35001" s="197" customFormat="1" ht="12.75" x14ac:dyDescent="0.2"/>
    <row r="35002" s="197" customFormat="1" ht="12.75" x14ac:dyDescent="0.2"/>
    <row r="35003" s="197" customFormat="1" ht="12.75" x14ac:dyDescent="0.2"/>
    <row r="35004" s="197" customFormat="1" ht="12.75" x14ac:dyDescent="0.2"/>
    <row r="35005" s="197" customFormat="1" ht="12.75" x14ac:dyDescent="0.2"/>
    <row r="35006" s="197" customFormat="1" ht="12.75" x14ac:dyDescent="0.2"/>
    <row r="35007" s="197" customFormat="1" ht="12.75" x14ac:dyDescent="0.2"/>
    <row r="35008" s="197" customFormat="1" ht="12.75" x14ac:dyDescent="0.2"/>
    <row r="35009" s="197" customFormat="1" ht="12.75" x14ac:dyDescent="0.2"/>
    <row r="35010" s="197" customFormat="1" ht="12.75" x14ac:dyDescent="0.2"/>
    <row r="35011" s="197" customFormat="1" ht="12.75" x14ac:dyDescent="0.2"/>
    <row r="35012" s="197" customFormat="1" ht="12.75" x14ac:dyDescent="0.2"/>
    <row r="35013" s="197" customFormat="1" ht="12.75" x14ac:dyDescent="0.2"/>
    <row r="35014" s="197" customFormat="1" ht="12.75" x14ac:dyDescent="0.2"/>
    <row r="35015" s="197" customFormat="1" ht="12.75" x14ac:dyDescent="0.2"/>
    <row r="35016" s="197" customFormat="1" ht="12.75" x14ac:dyDescent="0.2"/>
    <row r="35017" s="197" customFormat="1" ht="12.75" x14ac:dyDescent="0.2"/>
    <row r="35018" s="197" customFormat="1" ht="12.75" x14ac:dyDescent="0.2"/>
    <row r="35019" s="197" customFormat="1" ht="12.75" x14ac:dyDescent="0.2"/>
    <row r="35020" s="197" customFormat="1" ht="12.75" x14ac:dyDescent="0.2"/>
    <row r="35021" s="197" customFormat="1" ht="12.75" x14ac:dyDescent="0.2"/>
    <row r="35022" s="197" customFormat="1" ht="12.75" x14ac:dyDescent="0.2"/>
    <row r="35023" s="197" customFormat="1" ht="12.75" x14ac:dyDescent="0.2"/>
    <row r="35024" s="197" customFormat="1" ht="12.75" x14ac:dyDescent="0.2"/>
    <row r="35025" s="197" customFormat="1" ht="12.75" x14ac:dyDescent="0.2"/>
    <row r="35026" s="197" customFormat="1" ht="12.75" x14ac:dyDescent="0.2"/>
    <row r="35027" s="197" customFormat="1" ht="12.75" x14ac:dyDescent="0.2"/>
    <row r="35028" s="197" customFormat="1" ht="12.75" x14ac:dyDescent="0.2"/>
    <row r="35029" s="197" customFormat="1" ht="12.75" x14ac:dyDescent="0.2"/>
    <row r="35030" s="197" customFormat="1" ht="12.75" x14ac:dyDescent="0.2"/>
    <row r="35031" s="197" customFormat="1" ht="12.75" x14ac:dyDescent="0.2"/>
    <row r="35032" s="197" customFormat="1" ht="12.75" x14ac:dyDescent="0.2"/>
    <row r="35033" s="197" customFormat="1" ht="12.75" x14ac:dyDescent="0.2"/>
    <row r="35034" s="197" customFormat="1" ht="12.75" x14ac:dyDescent="0.2"/>
    <row r="35035" s="197" customFormat="1" ht="12.75" x14ac:dyDescent="0.2"/>
    <row r="35036" s="197" customFormat="1" ht="12.75" x14ac:dyDescent="0.2"/>
    <row r="35037" s="197" customFormat="1" ht="12.75" x14ac:dyDescent="0.2"/>
    <row r="35038" s="197" customFormat="1" ht="12.75" x14ac:dyDescent="0.2"/>
    <row r="35039" s="197" customFormat="1" ht="12.75" x14ac:dyDescent="0.2"/>
    <row r="35040" s="197" customFormat="1" ht="12.75" x14ac:dyDescent="0.2"/>
    <row r="35041" s="197" customFormat="1" ht="12.75" x14ac:dyDescent="0.2"/>
    <row r="35042" s="197" customFormat="1" ht="12.75" x14ac:dyDescent="0.2"/>
    <row r="35043" s="197" customFormat="1" ht="12.75" x14ac:dyDescent="0.2"/>
    <row r="35044" s="197" customFormat="1" ht="12.75" x14ac:dyDescent="0.2"/>
    <row r="35045" s="197" customFormat="1" ht="12.75" x14ac:dyDescent="0.2"/>
    <row r="35046" s="197" customFormat="1" ht="12.75" x14ac:dyDescent="0.2"/>
    <row r="35047" s="197" customFormat="1" ht="12.75" x14ac:dyDescent="0.2"/>
    <row r="35048" s="197" customFormat="1" ht="12.75" x14ac:dyDescent="0.2"/>
    <row r="35049" s="197" customFormat="1" ht="12.75" x14ac:dyDescent="0.2"/>
    <row r="35050" s="197" customFormat="1" ht="12.75" x14ac:dyDescent="0.2"/>
    <row r="35051" s="197" customFormat="1" ht="12.75" x14ac:dyDescent="0.2"/>
    <row r="35052" s="197" customFormat="1" ht="12.75" x14ac:dyDescent="0.2"/>
    <row r="35053" s="197" customFormat="1" ht="12.75" x14ac:dyDescent="0.2"/>
    <row r="35054" s="197" customFormat="1" ht="12.75" x14ac:dyDescent="0.2"/>
    <row r="35055" s="197" customFormat="1" ht="12.75" x14ac:dyDescent="0.2"/>
    <row r="35056" s="197" customFormat="1" ht="12.75" x14ac:dyDescent="0.2"/>
    <row r="35057" s="197" customFormat="1" ht="12.75" x14ac:dyDescent="0.2"/>
    <row r="35058" s="197" customFormat="1" ht="12.75" x14ac:dyDescent="0.2"/>
    <row r="35059" s="197" customFormat="1" ht="12.75" x14ac:dyDescent="0.2"/>
    <row r="35060" s="197" customFormat="1" ht="12.75" x14ac:dyDescent="0.2"/>
    <row r="35061" s="197" customFormat="1" ht="12.75" x14ac:dyDescent="0.2"/>
    <row r="35062" s="197" customFormat="1" ht="12.75" x14ac:dyDescent="0.2"/>
    <row r="35063" s="197" customFormat="1" ht="12.75" x14ac:dyDescent="0.2"/>
    <row r="35064" s="197" customFormat="1" ht="12.75" x14ac:dyDescent="0.2"/>
    <row r="35065" s="197" customFormat="1" ht="12.75" x14ac:dyDescent="0.2"/>
    <row r="35066" s="197" customFormat="1" ht="12.75" x14ac:dyDescent="0.2"/>
    <row r="35067" s="197" customFormat="1" ht="12.75" x14ac:dyDescent="0.2"/>
    <row r="35068" s="197" customFormat="1" ht="12.75" x14ac:dyDescent="0.2"/>
    <row r="35069" s="197" customFormat="1" ht="12.75" x14ac:dyDescent="0.2"/>
    <row r="35070" s="197" customFormat="1" ht="12.75" x14ac:dyDescent="0.2"/>
    <row r="35071" s="197" customFormat="1" ht="12.75" x14ac:dyDescent="0.2"/>
    <row r="35072" s="197" customFormat="1" ht="12.75" x14ac:dyDescent="0.2"/>
    <row r="35073" s="197" customFormat="1" ht="12.75" x14ac:dyDescent="0.2"/>
    <row r="35074" s="197" customFormat="1" ht="12.75" x14ac:dyDescent="0.2"/>
    <row r="35075" s="197" customFormat="1" ht="12.75" x14ac:dyDescent="0.2"/>
    <row r="35076" s="197" customFormat="1" ht="12.75" x14ac:dyDescent="0.2"/>
    <row r="35077" s="197" customFormat="1" ht="12.75" x14ac:dyDescent="0.2"/>
    <row r="35078" s="197" customFormat="1" ht="12.75" x14ac:dyDescent="0.2"/>
    <row r="35079" s="197" customFormat="1" ht="12.75" x14ac:dyDescent="0.2"/>
    <row r="35080" s="197" customFormat="1" ht="12.75" x14ac:dyDescent="0.2"/>
    <row r="35081" s="197" customFormat="1" ht="12.75" x14ac:dyDescent="0.2"/>
    <row r="35082" s="197" customFormat="1" ht="12.75" x14ac:dyDescent="0.2"/>
    <row r="35083" s="197" customFormat="1" ht="12.75" x14ac:dyDescent="0.2"/>
    <row r="35084" s="197" customFormat="1" ht="12.75" x14ac:dyDescent="0.2"/>
    <row r="35085" s="197" customFormat="1" ht="12.75" x14ac:dyDescent="0.2"/>
    <row r="35086" s="197" customFormat="1" ht="12.75" x14ac:dyDescent="0.2"/>
    <row r="35087" s="197" customFormat="1" ht="12.75" x14ac:dyDescent="0.2"/>
    <row r="35088" s="197" customFormat="1" ht="12.75" x14ac:dyDescent="0.2"/>
    <row r="35089" s="197" customFormat="1" ht="12.75" x14ac:dyDescent="0.2"/>
    <row r="35090" s="197" customFormat="1" ht="12.75" x14ac:dyDescent="0.2"/>
    <row r="35091" s="197" customFormat="1" ht="12.75" x14ac:dyDescent="0.2"/>
    <row r="35092" s="197" customFormat="1" ht="12.75" x14ac:dyDescent="0.2"/>
    <row r="35093" s="197" customFormat="1" ht="12.75" x14ac:dyDescent="0.2"/>
    <row r="35094" s="197" customFormat="1" ht="12.75" x14ac:dyDescent="0.2"/>
    <row r="35095" s="197" customFormat="1" ht="12.75" x14ac:dyDescent="0.2"/>
    <row r="35096" s="197" customFormat="1" ht="12.75" x14ac:dyDescent="0.2"/>
    <row r="35097" s="197" customFormat="1" ht="12.75" x14ac:dyDescent="0.2"/>
    <row r="35098" s="197" customFormat="1" ht="12.75" x14ac:dyDescent="0.2"/>
    <row r="35099" s="197" customFormat="1" ht="12.75" x14ac:dyDescent="0.2"/>
    <row r="35100" s="197" customFormat="1" ht="12.75" x14ac:dyDescent="0.2"/>
    <row r="35101" s="197" customFormat="1" ht="12.75" x14ac:dyDescent="0.2"/>
    <row r="35102" s="197" customFormat="1" ht="12.75" x14ac:dyDescent="0.2"/>
    <row r="35103" s="197" customFormat="1" ht="12.75" x14ac:dyDescent="0.2"/>
    <row r="35104" s="197" customFormat="1" ht="12.75" x14ac:dyDescent="0.2"/>
    <row r="35105" s="197" customFormat="1" ht="12.75" x14ac:dyDescent="0.2"/>
    <row r="35106" s="197" customFormat="1" ht="12.75" x14ac:dyDescent="0.2"/>
    <row r="35107" s="197" customFormat="1" ht="12.75" x14ac:dyDescent="0.2"/>
    <row r="35108" s="197" customFormat="1" ht="12.75" x14ac:dyDescent="0.2"/>
    <row r="35109" s="197" customFormat="1" ht="12.75" x14ac:dyDescent="0.2"/>
    <row r="35110" s="197" customFormat="1" ht="12.75" x14ac:dyDescent="0.2"/>
    <row r="35111" s="197" customFormat="1" ht="12.75" x14ac:dyDescent="0.2"/>
    <row r="35112" s="197" customFormat="1" ht="12.75" x14ac:dyDescent="0.2"/>
    <row r="35113" s="197" customFormat="1" ht="12.75" x14ac:dyDescent="0.2"/>
    <row r="35114" s="197" customFormat="1" ht="12.75" x14ac:dyDescent="0.2"/>
    <row r="35115" s="197" customFormat="1" ht="12.75" x14ac:dyDescent="0.2"/>
    <row r="35116" s="197" customFormat="1" ht="12.75" x14ac:dyDescent="0.2"/>
    <row r="35117" s="197" customFormat="1" ht="12.75" x14ac:dyDescent="0.2"/>
    <row r="35118" s="197" customFormat="1" ht="12.75" x14ac:dyDescent="0.2"/>
    <row r="35119" s="197" customFormat="1" ht="12.75" x14ac:dyDescent="0.2"/>
    <row r="35120" s="197" customFormat="1" ht="12.75" x14ac:dyDescent="0.2"/>
    <row r="35121" s="197" customFormat="1" ht="12.75" x14ac:dyDescent="0.2"/>
    <row r="35122" s="197" customFormat="1" ht="12.75" x14ac:dyDescent="0.2"/>
    <row r="35123" s="197" customFormat="1" ht="12.75" x14ac:dyDescent="0.2"/>
    <row r="35124" s="197" customFormat="1" ht="12.75" x14ac:dyDescent="0.2"/>
    <row r="35125" s="197" customFormat="1" ht="12.75" x14ac:dyDescent="0.2"/>
    <row r="35126" s="197" customFormat="1" ht="12.75" x14ac:dyDescent="0.2"/>
    <row r="35127" s="197" customFormat="1" ht="12.75" x14ac:dyDescent="0.2"/>
    <row r="35128" s="197" customFormat="1" ht="12.75" x14ac:dyDescent="0.2"/>
    <row r="35129" s="197" customFormat="1" ht="12.75" x14ac:dyDescent="0.2"/>
    <row r="35130" s="197" customFormat="1" ht="12.75" x14ac:dyDescent="0.2"/>
    <row r="35131" s="197" customFormat="1" ht="12.75" x14ac:dyDescent="0.2"/>
    <row r="35132" s="197" customFormat="1" ht="12.75" x14ac:dyDescent="0.2"/>
    <row r="35133" s="197" customFormat="1" ht="12.75" x14ac:dyDescent="0.2"/>
    <row r="35134" s="197" customFormat="1" ht="12.75" x14ac:dyDescent="0.2"/>
    <row r="35135" s="197" customFormat="1" ht="12.75" x14ac:dyDescent="0.2"/>
    <row r="35136" s="197" customFormat="1" ht="12.75" x14ac:dyDescent="0.2"/>
    <row r="35137" s="197" customFormat="1" ht="12.75" x14ac:dyDescent="0.2"/>
    <row r="35138" s="197" customFormat="1" ht="12.75" x14ac:dyDescent="0.2"/>
    <row r="35139" s="197" customFormat="1" ht="12.75" x14ac:dyDescent="0.2"/>
    <row r="35140" s="197" customFormat="1" ht="12.75" x14ac:dyDescent="0.2"/>
    <row r="35141" s="197" customFormat="1" ht="12.75" x14ac:dyDescent="0.2"/>
    <row r="35142" s="197" customFormat="1" ht="12.75" x14ac:dyDescent="0.2"/>
    <row r="35143" s="197" customFormat="1" ht="12.75" x14ac:dyDescent="0.2"/>
    <row r="35144" s="197" customFormat="1" ht="12.75" x14ac:dyDescent="0.2"/>
    <row r="35145" s="197" customFormat="1" ht="12.75" x14ac:dyDescent="0.2"/>
    <row r="35146" s="197" customFormat="1" ht="12.75" x14ac:dyDescent="0.2"/>
    <row r="35147" s="197" customFormat="1" ht="12.75" x14ac:dyDescent="0.2"/>
    <row r="35148" s="197" customFormat="1" ht="12.75" x14ac:dyDescent="0.2"/>
    <row r="35149" s="197" customFormat="1" ht="12.75" x14ac:dyDescent="0.2"/>
    <row r="35150" s="197" customFormat="1" ht="12.75" x14ac:dyDescent="0.2"/>
    <row r="35151" s="197" customFormat="1" ht="12.75" x14ac:dyDescent="0.2"/>
    <row r="35152" s="197" customFormat="1" ht="12.75" x14ac:dyDescent="0.2"/>
    <row r="35153" s="197" customFormat="1" ht="12.75" x14ac:dyDescent="0.2"/>
    <row r="35154" s="197" customFormat="1" ht="12.75" x14ac:dyDescent="0.2"/>
    <row r="35155" s="197" customFormat="1" ht="12.75" x14ac:dyDescent="0.2"/>
    <row r="35156" s="197" customFormat="1" ht="12.75" x14ac:dyDescent="0.2"/>
    <row r="35157" s="197" customFormat="1" ht="12.75" x14ac:dyDescent="0.2"/>
    <row r="35158" s="197" customFormat="1" ht="12.75" x14ac:dyDescent="0.2"/>
    <row r="35159" s="197" customFormat="1" ht="12.75" x14ac:dyDescent="0.2"/>
    <row r="35160" s="197" customFormat="1" ht="12.75" x14ac:dyDescent="0.2"/>
    <row r="35161" s="197" customFormat="1" ht="12.75" x14ac:dyDescent="0.2"/>
    <row r="35162" s="197" customFormat="1" ht="12.75" x14ac:dyDescent="0.2"/>
    <row r="35163" s="197" customFormat="1" ht="12.75" x14ac:dyDescent="0.2"/>
    <row r="35164" s="197" customFormat="1" ht="12.75" x14ac:dyDescent="0.2"/>
    <row r="35165" s="197" customFormat="1" ht="12.75" x14ac:dyDescent="0.2"/>
    <row r="35166" s="197" customFormat="1" ht="12.75" x14ac:dyDescent="0.2"/>
    <row r="35167" s="197" customFormat="1" ht="12.75" x14ac:dyDescent="0.2"/>
    <row r="35168" s="197" customFormat="1" ht="12.75" x14ac:dyDescent="0.2"/>
    <row r="35169" s="197" customFormat="1" ht="12.75" x14ac:dyDescent="0.2"/>
    <row r="35170" s="197" customFormat="1" ht="12.75" x14ac:dyDescent="0.2"/>
    <row r="35171" s="197" customFormat="1" ht="12.75" x14ac:dyDescent="0.2"/>
    <row r="35172" s="197" customFormat="1" ht="12.75" x14ac:dyDescent="0.2"/>
    <row r="35173" s="197" customFormat="1" ht="12.75" x14ac:dyDescent="0.2"/>
    <row r="35174" s="197" customFormat="1" ht="12.75" x14ac:dyDescent="0.2"/>
    <row r="35175" s="197" customFormat="1" ht="12.75" x14ac:dyDescent="0.2"/>
    <row r="35176" s="197" customFormat="1" ht="12.75" x14ac:dyDescent="0.2"/>
    <row r="35177" s="197" customFormat="1" ht="12.75" x14ac:dyDescent="0.2"/>
    <row r="35178" s="197" customFormat="1" ht="12.75" x14ac:dyDescent="0.2"/>
    <row r="35179" s="197" customFormat="1" ht="12.75" x14ac:dyDescent="0.2"/>
    <row r="35180" s="197" customFormat="1" ht="12.75" x14ac:dyDescent="0.2"/>
    <row r="35181" s="197" customFormat="1" ht="12.75" x14ac:dyDescent="0.2"/>
    <row r="35182" s="197" customFormat="1" ht="12.75" x14ac:dyDescent="0.2"/>
    <row r="35183" s="197" customFormat="1" ht="12.75" x14ac:dyDescent="0.2"/>
    <row r="35184" s="197" customFormat="1" ht="12.75" x14ac:dyDescent="0.2"/>
    <row r="35185" s="197" customFormat="1" ht="12.75" x14ac:dyDescent="0.2"/>
    <row r="35186" s="197" customFormat="1" ht="12.75" x14ac:dyDescent="0.2"/>
    <row r="35187" s="197" customFormat="1" ht="12.75" x14ac:dyDescent="0.2"/>
    <row r="35188" s="197" customFormat="1" ht="12.75" x14ac:dyDescent="0.2"/>
    <row r="35189" s="197" customFormat="1" ht="12.75" x14ac:dyDescent="0.2"/>
    <row r="35190" s="197" customFormat="1" ht="12.75" x14ac:dyDescent="0.2"/>
    <row r="35191" s="197" customFormat="1" ht="12.75" x14ac:dyDescent="0.2"/>
    <row r="35192" s="197" customFormat="1" ht="12.75" x14ac:dyDescent="0.2"/>
    <row r="35193" s="197" customFormat="1" ht="12.75" x14ac:dyDescent="0.2"/>
    <row r="35194" s="197" customFormat="1" ht="12.75" x14ac:dyDescent="0.2"/>
    <row r="35195" s="197" customFormat="1" ht="12.75" x14ac:dyDescent="0.2"/>
    <row r="35196" s="197" customFormat="1" ht="12.75" x14ac:dyDescent="0.2"/>
    <row r="35197" s="197" customFormat="1" ht="12.75" x14ac:dyDescent="0.2"/>
    <row r="35198" s="197" customFormat="1" ht="12.75" x14ac:dyDescent="0.2"/>
    <row r="35199" s="197" customFormat="1" ht="12.75" x14ac:dyDescent="0.2"/>
    <row r="35200" s="197" customFormat="1" ht="12.75" x14ac:dyDescent="0.2"/>
    <row r="35201" s="197" customFormat="1" ht="12.75" x14ac:dyDescent="0.2"/>
    <row r="35202" s="197" customFormat="1" ht="12.75" x14ac:dyDescent="0.2"/>
    <row r="35203" s="197" customFormat="1" ht="12.75" x14ac:dyDescent="0.2"/>
    <row r="35204" s="197" customFormat="1" ht="12.75" x14ac:dyDescent="0.2"/>
    <row r="35205" s="197" customFormat="1" ht="12.75" x14ac:dyDescent="0.2"/>
    <row r="35206" s="197" customFormat="1" ht="12.75" x14ac:dyDescent="0.2"/>
    <row r="35207" s="197" customFormat="1" ht="12.75" x14ac:dyDescent="0.2"/>
    <row r="35208" s="197" customFormat="1" ht="12.75" x14ac:dyDescent="0.2"/>
    <row r="35209" s="197" customFormat="1" ht="12.75" x14ac:dyDescent="0.2"/>
    <row r="35210" s="197" customFormat="1" ht="12.75" x14ac:dyDescent="0.2"/>
    <row r="35211" s="197" customFormat="1" ht="12.75" x14ac:dyDescent="0.2"/>
    <row r="35212" s="197" customFormat="1" ht="12.75" x14ac:dyDescent="0.2"/>
    <row r="35213" s="197" customFormat="1" ht="12.75" x14ac:dyDescent="0.2"/>
    <row r="35214" s="197" customFormat="1" ht="12.75" x14ac:dyDescent="0.2"/>
    <row r="35215" s="197" customFormat="1" ht="12.75" x14ac:dyDescent="0.2"/>
    <row r="35216" s="197" customFormat="1" ht="12.75" x14ac:dyDescent="0.2"/>
    <row r="35217" s="197" customFormat="1" ht="12.75" x14ac:dyDescent="0.2"/>
    <row r="35218" s="197" customFormat="1" ht="12.75" x14ac:dyDescent="0.2"/>
    <row r="35219" s="197" customFormat="1" ht="12.75" x14ac:dyDescent="0.2"/>
    <row r="35220" s="197" customFormat="1" ht="12.75" x14ac:dyDescent="0.2"/>
    <row r="35221" s="197" customFormat="1" ht="12.75" x14ac:dyDescent="0.2"/>
    <row r="35222" s="197" customFormat="1" ht="12.75" x14ac:dyDescent="0.2"/>
    <row r="35223" s="197" customFormat="1" ht="12.75" x14ac:dyDescent="0.2"/>
    <row r="35224" s="197" customFormat="1" ht="12.75" x14ac:dyDescent="0.2"/>
    <row r="35225" s="197" customFormat="1" ht="12.75" x14ac:dyDescent="0.2"/>
    <row r="35226" s="197" customFormat="1" ht="12.75" x14ac:dyDescent="0.2"/>
    <row r="35227" s="197" customFormat="1" ht="12.75" x14ac:dyDescent="0.2"/>
    <row r="35228" s="197" customFormat="1" ht="12.75" x14ac:dyDescent="0.2"/>
    <row r="35229" s="197" customFormat="1" ht="12.75" x14ac:dyDescent="0.2"/>
    <row r="35230" s="197" customFormat="1" ht="12.75" x14ac:dyDescent="0.2"/>
    <row r="35231" s="197" customFormat="1" ht="12.75" x14ac:dyDescent="0.2"/>
    <row r="35232" s="197" customFormat="1" ht="12.75" x14ac:dyDescent="0.2"/>
    <row r="35233" s="197" customFormat="1" ht="12.75" x14ac:dyDescent="0.2"/>
    <row r="35234" s="197" customFormat="1" ht="12.75" x14ac:dyDescent="0.2"/>
    <row r="35235" s="197" customFormat="1" ht="12.75" x14ac:dyDescent="0.2"/>
    <row r="35236" s="197" customFormat="1" ht="12.75" x14ac:dyDescent="0.2"/>
    <row r="35237" s="197" customFormat="1" ht="12.75" x14ac:dyDescent="0.2"/>
    <row r="35238" s="197" customFormat="1" ht="12.75" x14ac:dyDescent="0.2"/>
    <row r="35239" s="197" customFormat="1" ht="12.75" x14ac:dyDescent="0.2"/>
    <row r="35240" s="197" customFormat="1" ht="12.75" x14ac:dyDescent="0.2"/>
    <row r="35241" s="197" customFormat="1" ht="12.75" x14ac:dyDescent="0.2"/>
    <row r="35242" s="197" customFormat="1" ht="12.75" x14ac:dyDescent="0.2"/>
    <row r="35243" s="197" customFormat="1" ht="12.75" x14ac:dyDescent="0.2"/>
    <row r="35244" s="197" customFormat="1" ht="12.75" x14ac:dyDescent="0.2"/>
    <row r="35245" s="197" customFormat="1" ht="12.75" x14ac:dyDescent="0.2"/>
    <row r="35246" s="197" customFormat="1" ht="12.75" x14ac:dyDescent="0.2"/>
    <row r="35247" s="197" customFormat="1" ht="12.75" x14ac:dyDescent="0.2"/>
    <row r="35248" s="197" customFormat="1" ht="12.75" x14ac:dyDescent="0.2"/>
    <row r="35249" s="197" customFormat="1" ht="12.75" x14ac:dyDescent="0.2"/>
    <row r="35250" s="197" customFormat="1" ht="12.75" x14ac:dyDescent="0.2"/>
    <row r="35251" s="197" customFormat="1" ht="12.75" x14ac:dyDescent="0.2"/>
    <row r="35252" s="197" customFormat="1" ht="12.75" x14ac:dyDescent="0.2"/>
    <row r="35253" s="197" customFormat="1" ht="12.75" x14ac:dyDescent="0.2"/>
    <row r="35254" s="197" customFormat="1" ht="12.75" x14ac:dyDescent="0.2"/>
    <row r="35255" s="197" customFormat="1" ht="12.75" x14ac:dyDescent="0.2"/>
    <row r="35256" s="197" customFormat="1" ht="12.75" x14ac:dyDescent="0.2"/>
    <row r="35257" s="197" customFormat="1" ht="12.75" x14ac:dyDescent="0.2"/>
    <row r="35258" s="197" customFormat="1" ht="12.75" x14ac:dyDescent="0.2"/>
    <row r="35259" s="197" customFormat="1" ht="12.75" x14ac:dyDescent="0.2"/>
    <row r="35260" s="197" customFormat="1" ht="12.75" x14ac:dyDescent="0.2"/>
    <row r="35261" s="197" customFormat="1" ht="12.75" x14ac:dyDescent="0.2"/>
    <row r="35262" s="197" customFormat="1" ht="12.75" x14ac:dyDescent="0.2"/>
    <row r="35263" s="197" customFormat="1" ht="12.75" x14ac:dyDescent="0.2"/>
    <row r="35264" s="197" customFormat="1" ht="12.75" x14ac:dyDescent="0.2"/>
    <row r="35265" s="197" customFormat="1" ht="12.75" x14ac:dyDescent="0.2"/>
    <row r="35266" s="197" customFormat="1" ht="12.75" x14ac:dyDescent="0.2"/>
    <row r="35267" s="197" customFormat="1" ht="12.75" x14ac:dyDescent="0.2"/>
    <row r="35268" s="197" customFormat="1" ht="12.75" x14ac:dyDescent="0.2"/>
    <row r="35269" s="197" customFormat="1" ht="12.75" x14ac:dyDescent="0.2"/>
    <row r="35270" s="197" customFormat="1" ht="12.75" x14ac:dyDescent="0.2"/>
    <row r="35271" s="197" customFormat="1" ht="12.75" x14ac:dyDescent="0.2"/>
    <row r="35272" s="197" customFormat="1" ht="12.75" x14ac:dyDescent="0.2"/>
    <row r="35273" s="197" customFormat="1" ht="12.75" x14ac:dyDescent="0.2"/>
    <row r="35274" s="197" customFormat="1" ht="12.75" x14ac:dyDescent="0.2"/>
    <row r="35275" s="197" customFormat="1" ht="12.75" x14ac:dyDescent="0.2"/>
    <row r="35276" s="197" customFormat="1" ht="12.75" x14ac:dyDescent="0.2"/>
    <row r="35277" s="197" customFormat="1" ht="12.75" x14ac:dyDescent="0.2"/>
    <row r="35278" s="197" customFormat="1" ht="12.75" x14ac:dyDescent="0.2"/>
    <row r="35279" s="197" customFormat="1" ht="12.75" x14ac:dyDescent="0.2"/>
    <row r="35280" s="197" customFormat="1" ht="12.75" x14ac:dyDescent="0.2"/>
    <row r="35281" s="197" customFormat="1" ht="12.75" x14ac:dyDescent="0.2"/>
    <row r="35282" s="197" customFormat="1" ht="12.75" x14ac:dyDescent="0.2"/>
    <row r="35283" s="197" customFormat="1" ht="12.75" x14ac:dyDescent="0.2"/>
    <row r="35284" s="197" customFormat="1" ht="12.75" x14ac:dyDescent="0.2"/>
    <row r="35285" s="197" customFormat="1" ht="12.75" x14ac:dyDescent="0.2"/>
    <row r="35286" s="197" customFormat="1" ht="12.75" x14ac:dyDescent="0.2"/>
    <row r="35287" s="197" customFormat="1" ht="12.75" x14ac:dyDescent="0.2"/>
    <row r="35288" s="197" customFormat="1" ht="12.75" x14ac:dyDescent="0.2"/>
    <row r="35289" s="197" customFormat="1" ht="12.75" x14ac:dyDescent="0.2"/>
    <row r="35290" s="197" customFormat="1" ht="12.75" x14ac:dyDescent="0.2"/>
    <row r="35291" s="197" customFormat="1" ht="12.75" x14ac:dyDescent="0.2"/>
    <row r="35292" s="197" customFormat="1" ht="12.75" x14ac:dyDescent="0.2"/>
    <row r="35293" s="197" customFormat="1" ht="12.75" x14ac:dyDescent="0.2"/>
    <row r="35294" s="197" customFormat="1" ht="12.75" x14ac:dyDescent="0.2"/>
    <row r="35295" s="197" customFormat="1" ht="12.75" x14ac:dyDescent="0.2"/>
    <row r="35296" s="197" customFormat="1" ht="12.75" x14ac:dyDescent="0.2"/>
    <row r="35297" s="197" customFormat="1" ht="12.75" x14ac:dyDescent="0.2"/>
    <row r="35298" s="197" customFormat="1" ht="12.75" x14ac:dyDescent="0.2"/>
    <row r="35299" s="197" customFormat="1" ht="12.75" x14ac:dyDescent="0.2"/>
    <row r="35300" s="197" customFormat="1" ht="12.75" x14ac:dyDescent="0.2"/>
    <row r="35301" s="197" customFormat="1" ht="12.75" x14ac:dyDescent="0.2"/>
    <row r="35302" s="197" customFormat="1" ht="12.75" x14ac:dyDescent="0.2"/>
    <row r="35303" s="197" customFormat="1" ht="12.75" x14ac:dyDescent="0.2"/>
    <row r="35304" s="197" customFormat="1" ht="12.75" x14ac:dyDescent="0.2"/>
    <row r="35305" s="197" customFormat="1" ht="12.75" x14ac:dyDescent="0.2"/>
    <row r="35306" s="197" customFormat="1" ht="12.75" x14ac:dyDescent="0.2"/>
    <row r="35307" s="197" customFormat="1" ht="12.75" x14ac:dyDescent="0.2"/>
    <row r="35308" s="197" customFormat="1" ht="12.75" x14ac:dyDescent="0.2"/>
    <row r="35309" s="197" customFormat="1" ht="12.75" x14ac:dyDescent="0.2"/>
    <row r="35310" s="197" customFormat="1" ht="12.75" x14ac:dyDescent="0.2"/>
    <row r="35311" s="197" customFormat="1" ht="12.75" x14ac:dyDescent="0.2"/>
    <row r="35312" s="197" customFormat="1" ht="12.75" x14ac:dyDescent="0.2"/>
    <row r="35313" s="197" customFormat="1" ht="12.75" x14ac:dyDescent="0.2"/>
    <row r="35314" s="197" customFormat="1" ht="12.75" x14ac:dyDescent="0.2"/>
    <row r="35315" s="197" customFormat="1" ht="12.75" x14ac:dyDescent="0.2"/>
    <row r="35316" s="197" customFormat="1" ht="12.75" x14ac:dyDescent="0.2"/>
    <row r="35317" s="197" customFormat="1" ht="12.75" x14ac:dyDescent="0.2"/>
    <row r="35318" s="197" customFormat="1" ht="12.75" x14ac:dyDescent="0.2"/>
    <row r="35319" s="197" customFormat="1" ht="12.75" x14ac:dyDescent="0.2"/>
    <row r="35320" s="197" customFormat="1" ht="12.75" x14ac:dyDescent="0.2"/>
    <row r="35321" s="197" customFormat="1" ht="12.75" x14ac:dyDescent="0.2"/>
    <row r="35322" s="197" customFormat="1" ht="12.75" x14ac:dyDescent="0.2"/>
    <row r="35323" s="197" customFormat="1" ht="12.75" x14ac:dyDescent="0.2"/>
    <row r="35324" s="197" customFormat="1" ht="12.75" x14ac:dyDescent="0.2"/>
    <row r="35325" s="197" customFormat="1" ht="12.75" x14ac:dyDescent="0.2"/>
    <row r="35326" s="197" customFormat="1" ht="12.75" x14ac:dyDescent="0.2"/>
    <row r="35327" s="197" customFormat="1" ht="12.75" x14ac:dyDescent="0.2"/>
    <row r="35328" s="197" customFormat="1" ht="12.75" x14ac:dyDescent="0.2"/>
    <row r="35329" s="197" customFormat="1" ht="12.75" x14ac:dyDescent="0.2"/>
    <row r="35330" s="197" customFormat="1" ht="12.75" x14ac:dyDescent="0.2"/>
    <row r="35331" s="197" customFormat="1" ht="12.75" x14ac:dyDescent="0.2"/>
    <row r="35332" s="197" customFormat="1" ht="12.75" x14ac:dyDescent="0.2"/>
    <row r="35333" s="197" customFormat="1" ht="12.75" x14ac:dyDescent="0.2"/>
    <row r="35334" s="197" customFormat="1" ht="12.75" x14ac:dyDescent="0.2"/>
    <row r="35335" s="197" customFormat="1" ht="12.75" x14ac:dyDescent="0.2"/>
    <row r="35336" s="197" customFormat="1" ht="12.75" x14ac:dyDescent="0.2"/>
    <row r="35337" s="197" customFormat="1" ht="12.75" x14ac:dyDescent="0.2"/>
    <row r="35338" s="197" customFormat="1" ht="12.75" x14ac:dyDescent="0.2"/>
    <row r="35339" s="197" customFormat="1" ht="12.75" x14ac:dyDescent="0.2"/>
    <row r="35340" s="197" customFormat="1" ht="12.75" x14ac:dyDescent="0.2"/>
    <row r="35341" s="197" customFormat="1" ht="12.75" x14ac:dyDescent="0.2"/>
    <row r="35342" s="197" customFormat="1" ht="12.75" x14ac:dyDescent="0.2"/>
    <row r="35343" s="197" customFormat="1" ht="12.75" x14ac:dyDescent="0.2"/>
    <row r="35344" s="197" customFormat="1" ht="12.75" x14ac:dyDescent="0.2"/>
    <row r="35345" s="197" customFormat="1" ht="12.75" x14ac:dyDescent="0.2"/>
    <row r="35346" s="197" customFormat="1" ht="12.75" x14ac:dyDescent="0.2"/>
    <row r="35347" s="197" customFormat="1" ht="12.75" x14ac:dyDescent="0.2"/>
    <row r="35348" s="197" customFormat="1" ht="12.75" x14ac:dyDescent="0.2"/>
    <row r="35349" s="197" customFormat="1" ht="12.75" x14ac:dyDescent="0.2"/>
    <row r="35350" s="197" customFormat="1" ht="12.75" x14ac:dyDescent="0.2"/>
    <row r="35351" s="197" customFormat="1" ht="12.75" x14ac:dyDescent="0.2"/>
    <row r="35352" s="197" customFormat="1" ht="12.75" x14ac:dyDescent="0.2"/>
    <row r="35353" s="197" customFormat="1" ht="12.75" x14ac:dyDescent="0.2"/>
    <row r="35354" s="197" customFormat="1" ht="12.75" x14ac:dyDescent="0.2"/>
    <row r="35355" s="197" customFormat="1" ht="12.75" x14ac:dyDescent="0.2"/>
    <row r="35356" s="197" customFormat="1" ht="12.75" x14ac:dyDescent="0.2"/>
    <row r="35357" s="197" customFormat="1" ht="12.75" x14ac:dyDescent="0.2"/>
    <row r="35358" s="197" customFormat="1" ht="12.75" x14ac:dyDescent="0.2"/>
    <row r="35359" s="197" customFormat="1" ht="12.75" x14ac:dyDescent="0.2"/>
    <row r="35360" s="197" customFormat="1" ht="12.75" x14ac:dyDescent="0.2"/>
    <row r="35361" s="197" customFormat="1" ht="12.75" x14ac:dyDescent="0.2"/>
    <row r="35362" s="197" customFormat="1" ht="12.75" x14ac:dyDescent="0.2"/>
    <row r="35363" s="197" customFormat="1" ht="12.75" x14ac:dyDescent="0.2"/>
    <row r="35364" s="197" customFormat="1" ht="12.75" x14ac:dyDescent="0.2"/>
    <row r="35365" s="197" customFormat="1" ht="12.75" x14ac:dyDescent="0.2"/>
    <row r="35366" s="197" customFormat="1" ht="12.75" x14ac:dyDescent="0.2"/>
    <row r="35367" s="197" customFormat="1" ht="12.75" x14ac:dyDescent="0.2"/>
    <row r="35368" s="197" customFormat="1" ht="12.75" x14ac:dyDescent="0.2"/>
    <row r="35369" s="197" customFormat="1" ht="12.75" x14ac:dyDescent="0.2"/>
    <row r="35370" s="197" customFormat="1" ht="12.75" x14ac:dyDescent="0.2"/>
    <row r="35371" s="197" customFormat="1" ht="12.75" x14ac:dyDescent="0.2"/>
    <row r="35372" s="197" customFormat="1" ht="12.75" x14ac:dyDescent="0.2"/>
    <row r="35373" s="197" customFormat="1" ht="12.75" x14ac:dyDescent="0.2"/>
    <row r="35374" s="197" customFormat="1" ht="12.75" x14ac:dyDescent="0.2"/>
    <row r="35375" s="197" customFormat="1" ht="12.75" x14ac:dyDescent="0.2"/>
    <row r="35376" s="197" customFormat="1" ht="12.75" x14ac:dyDescent="0.2"/>
    <row r="35377" s="197" customFormat="1" ht="12.75" x14ac:dyDescent="0.2"/>
    <row r="35378" s="197" customFormat="1" ht="12.75" x14ac:dyDescent="0.2"/>
    <row r="35379" s="197" customFormat="1" ht="12.75" x14ac:dyDescent="0.2"/>
    <row r="35380" s="197" customFormat="1" ht="12.75" x14ac:dyDescent="0.2"/>
    <row r="35381" s="197" customFormat="1" ht="12.75" x14ac:dyDescent="0.2"/>
    <row r="35382" s="197" customFormat="1" ht="12.75" x14ac:dyDescent="0.2"/>
    <row r="35383" s="197" customFormat="1" ht="12.75" x14ac:dyDescent="0.2"/>
    <row r="35384" s="197" customFormat="1" ht="12.75" x14ac:dyDescent="0.2"/>
    <row r="35385" s="197" customFormat="1" ht="12.75" x14ac:dyDescent="0.2"/>
    <row r="35386" s="197" customFormat="1" ht="12.75" x14ac:dyDescent="0.2"/>
    <row r="35387" s="197" customFormat="1" ht="12.75" x14ac:dyDescent="0.2"/>
    <row r="35388" s="197" customFormat="1" ht="12.75" x14ac:dyDescent="0.2"/>
    <row r="35389" s="197" customFormat="1" ht="12.75" x14ac:dyDescent="0.2"/>
    <row r="35390" s="197" customFormat="1" ht="12.75" x14ac:dyDescent="0.2"/>
    <row r="35391" s="197" customFormat="1" ht="12.75" x14ac:dyDescent="0.2"/>
    <row r="35392" s="197" customFormat="1" ht="12.75" x14ac:dyDescent="0.2"/>
    <row r="35393" s="197" customFormat="1" ht="12.75" x14ac:dyDescent="0.2"/>
    <row r="35394" s="197" customFormat="1" ht="12.75" x14ac:dyDescent="0.2"/>
    <row r="35395" s="197" customFormat="1" ht="12.75" x14ac:dyDescent="0.2"/>
    <row r="35396" s="197" customFormat="1" ht="12.75" x14ac:dyDescent="0.2"/>
    <row r="35397" s="197" customFormat="1" ht="12.75" x14ac:dyDescent="0.2"/>
    <row r="35398" s="197" customFormat="1" ht="12.75" x14ac:dyDescent="0.2"/>
    <row r="35399" s="197" customFormat="1" ht="12.75" x14ac:dyDescent="0.2"/>
    <row r="35400" s="197" customFormat="1" ht="12.75" x14ac:dyDescent="0.2"/>
    <row r="35401" s="197" customFormat="1" ht="12.75" x14ac:dyDescent="0.2"/>
    <row r="35402" s="197" customFormat="1" ht="12.75" x14ac:dyDescent="0.2"/>
    <row r="35403" s="197" customFormat="1" ht="12.75" x14ac:dyDescent="0.2"/>
    <row r="35404" s="197" customFormat="1" ht="12.75" x14ac:dyDescent="0.2"/>
    <row r="35405" s="197" customFormat="1" ht="12.75" x14ac:dyDescent="0.2"/>
    <row r="35406" s="197" customFormat="1" ht="12.75" x14ac:dyDescent="0.2"/>
    <row r="35407" s="197" customFormat="1" ht="12.75" x14ac:dyDescent="0.2"/>
    <row r="35408" s="197" customFormat="1" ht="12.75" x14ac:dyDescent="0.2"/>
    <row r="35409" s="197" customFormat="1" ht="12.75" x14ac:dyDescent="0.2"/>
    <row r="35410" s="197" customFormat="1" ht="12.75" x14ac:dyDescent="0.2"/>
    <row r="35411" s="197" customFormat="1" ht="12.75" x14ac:dyDescent="0.2"/>
    <row r="35412" s="197" customFormat="1" ht="12.75" x14ac:dyDescent="0.2"/>
    <row r="35413" s="197" customFormat="1" ht="12.75" x14ac:dyDescent="0.2"/>
    <row r="35414" s="197" customFormat="1" ht="12.75" x14ac:dyDescent="0.2"/>
    <row r="35415" s="197" customFormat="1" ht="12.75" x14ac:dyDescent="0.2"/>
    <row r="35416" s="197" customFormat="1" ht="12.75" x14ac:dyDescent="0.2"/>
    <row r="35417" s="197" customFormat="1" ht="12.75" x14ac:dyDescent="0.2"/>
    <row r="35418" s="197" customFormat="1" ht="12.75" x14ac:dyDescent="0.2"/>
    <row r="35419" s="197" customFormat="1" ht="12.75" x14ac:dyDescent="0.2"/>
    <row r="35420" s="197" customFormat="1" ht="12.75" x14ac:dyDescent="0.2"/>
    <row r="35421" s="197" customFormat="1" ht="12.75" x14ac:dyDescent="0.2"/>
    <row r="35422" s="197" customFormat="1" ht="12.75" x14ac:dyDescent="0.2"/>
    <row r="35423" s="197" customFormat="1" ht="12.75" x14ac:dyDescent="0.2"/>
    <row r="35424" s="197" customFormat="1" ht="12.75" x14ac:dyDescent="0.2"/>
    <row r="35425" s="197" customFormat="1" ht="12.75" x14ac:dyDescent="0.2"/>
    <row r="35426" s="197" customFormat="1" ht="12.75" x14ac:dyDescent="0.2"/>
    <row r="35427" s="197" customFormat="1" ht="12.75" x14ac:dyDescent="0.2"/>
    <row r="35428" s="197" customFormat="1" ht="12.75" x14ac:dyDescent="0.2"/>
    <row r="35429" s="197" customFormat="1" ht="12.75" x14ac:dyDescent="0.2"/>
    <row r="35430" s="197" customFormat="1" ht="12.75" x14ac:dyDescent="0.2"/>
    <row r="35431" s="197" customFormat="1" ht="12.75" x14ac:dyDescent="0.2"/>
    <row r="35432" s="197" customFormat="1" ht="12.75" x14ac:dyDescent="0.2"/>
    <row r="35433" s="197" customFormat="1" ht="12.75" x14ac:dyDescent="0.2"/>
    <row r="35434" s="197" customFormat="1" ht="12.75" x14ac:dyDescent="0.2"/>
    <row r="35435" s="197" customFormat="1" ht="12.75" x14ac:dyDescent="0.2"/>
    <row r="35436" s="197" customFormat="1" ht="12.75" x14ac:dyDescent="0.2"/>
    <row r="35437" s="197" customFormat="1" ht="12.75" x14ac:dyDescent="0.2"/>
    <row r="35438" s="197" customFormat="1" ht="12.75" x14ac:dyDescent="0.2"/>
    <row r="35439" s="197" customFormat="1" ht="12.75" x14ac:dyDescent="0.2"/>
    <row r="35440" s="197" customFormat="1" ht="12.75" x14ac:dyDescent="0.2"/>
    <row r="35441" s="197" customFormat="1" ht="12.75" x14ac:dyDescent="0.2"/>
    <row r="35442" s="197" customFormat="1" ht="12.75" x14ac:dyDescent="0.2"/>
    <row r="35443" s="197" customFormat="1" ht="12.75" x14ac:dyDescent="0.2"/>
    <row r="35444" s="197" customFormat="1" ht="12.75" x14ac:dyDescent="0.2"/>
    <row r="35445" s="197" customFormat="1" ht="12.75" x14ac:dyDescent="0.2"/>
    <row r="35446" s="197" customFormat="1" ht="12.75" x14ac:dyDescent="0.2"/>
    <row r="35447" s="197" customFormat="1" ht="12.75" x14ac:dyDescent="0.2"/>
    <row r="35448" s="197" customFormat="1" ht="12.75" x14ac:dyDescent="0.2"/>
    <row r="35449" s="197" customFormat="1" ht="12.75" x14ac:dyDescent="0.2"/>
    <row r="35450" s="197" customFormat="1" ht="12.75" x14ac:dyDescent="0.2"/>
    <row r="35451" s="197" customFormat="1" ht="12.75" x14ac:dyDescent="0.2"/>
    <row r="35452" s="197" customFormat="1" ht="12.75" x14ac:dyDescent="0.2"/>
    <row r="35453" s="197" customFormat="1" ht="12.75" x14ac:dyDescent="0.2"/>
    <row r="35454" s="197" customFormat="1" ht="12.75" x14ac:dyDescent="0.2"/>
    <row r="35455" s="197" customFormat="1" ht="12.75" x14ac:dyDescent="0.2"/>
    <row r="35456" s="197" customFormat="1" ht="12.75" x14ac:dyDescent="0.2"/>
    <row r="35457" s="197" customFormat="1" ht="12.75" x14ac:dyDescent="0.2"/>
    <row r="35458" s="197" customFormat="1" ht="12.75" x14ac:dyDescent="0.2"/>
    <row r="35459" s="197" customFormat="1" ht="12.75" x14ac:dyDescent="0.2"/>
    <row r="35460" s="197" customFormat="1" ht="12.75" x14ac:dyDescent="0.2"/>
    <row r="35461" s="197" customFormat="1" ht="12.75" x14ac:dyDescent="0.2"/>
    <row r="35462" s="197" customFormat="1" ht="12.75" x14ac:dyDescent="0.2"/>
    <row r="35463" s="197" customFormat="1" ht="12.75" x14ac:dyDescent="0.2"/>
    <row r="35464" s="197" customFormat="1" ht="12.75" x14ac:dyDescent="0.2"/>
    <row r="35465" s="197" customFormat="1" ht="12.75" x14ac:dyDescent="0.2"/>
    <row r="35466" s="197" customFormat="1" ht="12.75" x14ac:dyDescent="0.2"/>
    <row r="35467" s="197" customFormat="1" ht="12.75" x14ac:dyDescent="0.2"/>
    <row r="35468" s="197" customFormat="1" ht="12.75" x14ac:dyDescent="0.2"/>
    <row r="35469" s="197" customFormat="1" ht="12.75" x14ac:dyDescent="0.2"/>
    <row r="35470" s="197" customFormat="1" ht="12.75" x14ac:dyDescent="0.2"/>
    <row r="35471" s="197" customFormat="1" ht="12.75" x14ac:dyDescent="0.2"/>
    <row r="35472" s="197" customFormat="1" ht="12.75" x14ac:dyDescent="0.2"/>
    <row r="35473" s="197" customFormat="1" ht="12.75" x14ac:dyDescent="0.2"/>
    <row r="35474" s="197" customFormat="1" ht="12.75" x14ac:dyDescent="0.2"/>
    <row r="35475" s="197" customFormat="1" ht="12.75" x14ac:dyDescent="0.2"/>
    <row r="35476" s="197" customFormat="1" ht="12.75" x14ac:dyDescent="0.2"/>
    <row r="35477" s="197" customFormat="1" ht="12.75" x14ac:dyDescent="0.2"/>
    <row r="35478" s="197" customFormat="1" ht="12.75" x14ac:dyDescent="0.2"/>
    <row r="35479" s="197" customFormat="1" ht="12.75" x14ac:dyDescent="0.2"/>
    <row r="35480" s="197" customFormat="1" ht="12.75" x14ac:dyDescent="0.2"/>
    <row r="35481" s="197" customFormat="1" ht="12.75" x14ac:dyDescent="0.2"/>
    <row r="35482" s="197" customFormat="1" ht="12.75" x14ac:dyDescent="0.2"/>
    <row r="35483" s="197" customFormat="1" ht="12.75" x14ac:dyDescent="0.2"/>
    <row r="35484" s="197" customFormat="1" ht="12.75" x14ac:dyDescent="0.2"/>
    <row r="35485" s="197" customFormat="1" ht="12.75" x14ac:dyDescent="0.2"/>
    <row r="35486" s="197" customFormat="1" ht="12.75" x14ac:dyDescent="0.2"/>
    <row r="35487" s="197" customFormat="1" ht="12.75" x14ac:dyDescent="0.2"/>
    <row r="35488" s="197" customFormat="1" ht="12.75" x14ac:dyDescent="0.2"/>
    <row r="35489" s="197" customFormat="1" ht="12.75" x14ac:dyDescent="0.2"/>
    <row r="35490" s="197" customFormat="1" ht="12.75" x14ac:dyDescent="0.2"/>
    <row r="35491" s="197" customFormat="1" ht="12.75" x14ac:dyDescent="0.2"/>
    <row r="35492" s="197" customFormat="1" ht="12.75" x14ac:dyDescent="0.2"/>
    <row r="35493" s="197" customFormat="1" ht="12.75" x14ac:dyDescent="0.2"/>
    <row r="35494" s="197" customFormat="1" ht="12.75" x14ac:dyDescent="0.2"/>
    <row r="35495" s="197" customFormat="1" ht="12.75" x14ac:dyDescent="0.2"/>
    <row r="35496" s="197" customFormat="1" ht="12.75" x14ac:dyDescent="0.2"/>
    <row r="35497" s="197" customFormat="1" ht="12.75" x14ac:dyDescent="0.2"/>
    <row r="35498" s="197" customFormat="1" ht="12.75" x14ac:dyDescent="0.2"/>
    <row r="35499" s="197" customFormat="1" ht="12.75" x14ac:dyDescent="0.2"/>
    <row r="35500" s="197" customFormat="1" ht="12.75" x14ac:dyDescent="0.2"/>
    <row r="35501" s="197" customFormat="1" ht="12.75" x14ac:dyDescent="0.2"/>
    <row r="35502" s="197" customFormat="1" ht="12.75" x14ac:dyDescent="0.2"/>
    <row r="35503" s="197" customFormat="1" ht="12.75" x14ac:dyDescent="0.2"/>
    <row r="35504" s="197" customFormat="1" ht="12.75" x14ac:dyDescent="0.2"/>
    <row r="35505" s="197" customFormat="1" ht="12.75" x14ac:dyDescent="0.2"/>
    <row r="35506" s="197" customFormat="1" ht="12.75" x14ac:dyDescent="0.2"/>
    <row r="35507" s="197" customFormat="1" ht="12.75" x14ac:dyDescent="0.2"/>
    <row r="35508" s="197" customFormat="1" ht="12.75" x14ac:dyDescent="0.2"/>
    <row r="35509" s="197" customFormat="1" ht="12.75" x14ac:dyDescent="0.2"/>
    <row r="35510" s="197" customFormat="1" ht="12.75" x14ac:dyDescent="0.2"/>
    <row r="35511" s="197" customFormat="1" ht="12.75" x14ac:dyDescent="0.2"/>
    <row r="35512" s="197" customFormat="1" ht="12.75" x14ac:dyDescent="0.2"/>
    <row r="35513" s="197" customFormat="1" ht="12.75" x14ac:dyDescent="0.2"/>
    <row r="35514" s="197" customFormat="1" ht="12.75" x14ac:dyDescent="0.2"/>
    <row r="35515" s="197" customFormat="1" ht="12.75" x14ac:dyDescent="0.2"/>
    <row r="35516" s="197" customFormat="1" ht="12.75" x14ac:dyDescent="0.2"/>
    <row r="35517" s="197" customFormat="1" ht="12.75" x14ac:dyDescent="0.2"/>
    <row r="35518" s="197" customFormat="1" ht="12.75" x14ac:dyDescent="0.2"/>
    <row r="35519" s="197" customFormat="1" ht="12.75" x14ac:dyDescent="0.2"/>
    <row r="35520" s="197" customFormat="1" ht="12.75" x14ac:dyDescent="0.2"/>
    <row r="35521" s="197" customFormat="1" ht="12.75" x14ac:dyDescent="0.2"/>
    <row r="35522" s="197" customFormat="1" ht="12.75" x14ac:dyDescent="0.2"/>
    <row r="35523" s="197" customFormat="1" ht="12.75" x14ac:dyDescent="0.2"/>
    <row r="35524" s="197" customFormat="1" ht="12.75" x14ac:dyDescent="0.2"/>
    <row r="35525" s="197" customFormat="1" ht="12.75" x14ac:dyDescent="0.2"/>
    <row r="35526" s="197" customFormat="1" ht="12.75" x14ac:dyDescent="0.2"/>
    <row r="35527" s="197" customFormat="1" ht="12.75" x14ac:dyDescent="0.2"/>
    <row r="35528" s="197" customFormat="1" ht="12.75" x14ac:dyDescent="0.2"/>
    <row r="35529" s="197" customFormat="1" ht="12.75" x14ac:dyDescent="0.2"/>
    <row r="35530" s="197" customFormat="1" ht="12.75" x14ac:dyDescent="0.2"/>
    <row r="35531" s="197" customFormat="1" ht="12.75" x14ac:dyDescent="0.2"/>
    <row r="35532" s="197" customFormat="1" ht="12.75" x14ac:dyDescent="0.2"/>
    <row r="35533" s="197" customFormat="1" ht="12.75" x14ac:dyDescent="0.2"/>
    <row r="35534" s="197" customFormat="1" ht="12.75" x14ac:dyDescent="0.2"/>
    <row r="35535" s="197" customFormat="1" ht="12.75" x14ac:dyDescent="0.2"/>
    <row r="35536" s="197" customFormat="1" ht="12.75" x14ac:dyDescent="0.2"/>
    <row r="35537" s="197" customFormat="1" ht="12.75" x14ac:dyDescent="0.2"/>
    <row r="35538" s="197" customFormat="1" ht="12.75" x14ac:dyDescent="0.2"/>
    <row r="35539" s="197" customFormat="1" ht="12.75" x14ac:dyDescent="0.2"/>
    <row r="35540" s="197" customFormat="1" ht="12.75" x14ac:dyDescent="0.2"/>
    <row r="35541" s="197" customFormat="1" ht="12.75" x14ac:dyDescent="0.2"/>
    <row r="35542" s="197" customFormat="1" ht="12.75" x14ac:dyDescent="0.2"/>
    <row r="35543" s="197" customFormat="1" ht="12.75" x14ac:dyDescent="0.2"/>
    <row r="35544" s="197" customFormat="1" ht="12.75" x14ac:dyDescent="0.2"/>
    <row r="35545" s="197" customFormat="1" ht="12.75" x14ac:dyDescent="0.2"/>
    <row r="35546" s="197" customFormat="1" ht="12.75" x14ac:dyDescent="0.2"/>
    <row r="35547" s="197" customFormat="1" ht="12.75" x14ac:dyDescent="0.2"/>
    <row r="35548" s="197" customFormat="1" ht="12.75" x14ac:dyDescent="0.2"/>
    <row r="35549" s="197" customFormat="1" ht="12.75" x14ac:dyDescent="0.2"/>
    <row r="35550" s="197" customFormat="1" ht="12.75" x14ac:dyDescent="0.2"/>
    <row r="35551" s="197" customFormat="1" ht="12.75" x14ac:dyDescent="0.2"/>
    <row r="35552" s="197" customFormat="1" ht="12.75" x14ac:dyDescent="0.2"/>
    <row r="35553" s="197" customFormat="1" ht="12.75" x14ac:dyDescent="0.2"/>
    <row r="35554" s="197" customFormat="1" ht="12.75" x14ac:dyDescent="0.2"/>
    <row r="35555" s="197" customFormat="1" ht="12.75" x14ac:dyDescent="0.2"/>
    <row r="35556" s="197" customFormat="1" ht="12.75" x14ac:dyDescent="0.2"/>
    <row r="35557" s="197" customFormat="1" ht="12.75" x14ac:dyDescent="0.2"/>
    <row r="35558" s="197" customFormat="1" ht="12.75" x14ac:dyDescent="0.2"/>
    <row r="35559" s="197" customFormat="1" ht="12.75" x14ac:dyDescent="0.2"/>
    <row r="35560" s="197" customFormat="1" ht="12.75" x14ac:dyDescent="0.2"/>
    <row r="35561" s="197" customFormat="1" ht="12.75" x14ac:dyDescent="0.2"/>
    <row r="35562" s="197" customFormat="1" ht="12.75" x14ac:dyDescent="0.2"/>
    <row r="35563" s="197" customFormat="1" ht="12.75" x14ac:dyDescent="0.2"/>
    <row r="35564" s="197" customFormat="1" ht="12.75" x14ac:dyDescent="0.2"/>
    <row r="35565" s="197" customFormat="1" ht="12.75" x14ac:dyDescent="0.2"/>
    <row r="35566" s="197" customFormat="1" ht="12.75" x14ac:dyDescent="0.2"/>
    <row r="35567" s="197" customFormat="1" ht="12.75" x14ac:dyDescent="0.2"/>
    <row r="35568" s="197" customFormat="1" ht="12.75" x14ac:dyDescent="0.2"/>
    <row r="35569" s="197" customFormat="1" ht="12.75" x14ac:dyDescent="0.2"/>
    <row r="35570" s="197" customFormat="1" ht="12.75" x14ac:dyDescent="0.2"/>
    <row r="35571" s="197" customFormat="1" ht="12.75" x14ac:dyDescent="0.2"/>
    <row r="35572" s="197" customFormat="1" ht="12.75" x14ac:dyDescent="0.2"/>
    <row r="35573" s="197" customFormat="1" ht="12.75" x14ac:dyDescent="0.2"/>
    <row r="35574" s="197" customFormat="1" ht="12.75" x14ac:dyDescent="0.2"/>
    <row r="35575" s="197" customFormat="1" ht="12.75" x14ac:dyDescent="0.2"/>
    <row r="35576" s="197" customFormat="1" ht="12.75" x14ac:dyDescent="0.2"/>
    <row r="35577" s="197" customFormat="1" ht="12.75" x14ac:dyDescent="0.2"/>
    <row r="35578" s="197" customFormat="1" ht="12.75" x14ac:dyDescent="0.2"/>
    <row r="35579" s="197" customFormat="1" ht="12.75" x14ac:dyDescent="0.2"/>
    <row r="35580" s="197" customFormat="1" ht="12.75" x14ac:dyDescent="0.2"/>
    <row r="35581" s="197" customFormat="1" ht="12.75" x14ac:dyDescent="0.2"/>
    <row r="35582" s="197" customFormat="1" ht="12.75" x14ac:dyDescent="0.2"/>
    <row r="35583" s="197" customFormat="1" ht="12.75" x14ac:dyDescent="0.2"/>
    <row r="35584" s="197" customFormat="1" ht="12.75" x14ac:dyDescent="0.2"/>
    <row r="35585" s="197" customFormat="1" ht="12.75" x14ac:dyDescent="0.2"/>
    <row r="35586" s="197" customFormat="1" ht="12.75" x14ac:dyDescent="0.2"/>
    <row r="35587" s="197" customFormat="1" ht="12.75" x14ac:dyDescent="0.2"/>
    <row r="35588" s="197" customFormat="1" ht="12.75" x14ac:dyDescent="0.2"/>
    <row r="35589" s="197" customFormat="1" ht="12.75" x14ac:dyDescent="0.2"/>
    <row r="35590" s="197" customFormat="1" ht="12.75" x14ac:dyDescent="0.2"/>
    <row r="35591" s="197" customFormat="1" ht="12.75" x14ac:dyDescent="0.2"/>
    <row r="35592" s="197" customFormat="1" ht="12.75" x14ac:dyDescent="0.2"/>
    <row r="35593" s="197" customFormat="1" ht="12.75" x14ac:dyDescent="0.2"/>
    <row r="35594" s="197" customFormat="1" ht="12.75" x14ac:dyDescent="0.2"/>
    <row r="35595" s="197" customFormat="1" ht="12.75" x14ac:dyDescent="0.2"/>
    <row r="35596" s="197" customFormat="1" ht="12.75" x14ac:dyDescent="0.2"/>
    <row r="35597" s="197" customFormat="1" ht="12.75" x14ac:dyDescent="0.2"/>
    <row r="35598" s="197" customFormat="1" ht="12.75" x14ac:dyDescent="0.2"/>
    <row r="35599" s="197" customFormat="1" ht="12.75" x14ac:dyDescent="0.2"/>
    <row r="35600" s="197" customFormat="1" ht="12.75" x14ac:dyDescent="0.2"/>
    <row r="35601" s="197" customFormat="1" ht="12.75" x14ac:dyDescent="0.2"/>
    <row r="35602" s="197" customFormat="1" ht="12.75" x14ac:dyDescent="0.2"/>
    <row r="35603" s="197" customFormat="1" ht="12.75" x14ac:dyDescent="0.2"/>
    <row r="35604" s="197" customFormat="1" ht="12.75" x14ac:dyDescent="0.2"/>
    <row r="35605" s="197" customFormat="1" ht="12.75" x14ac:dyDescent="0.2"/>
    <row r="35606" s="197" customFormat="1" ht="12.75" x14ac:dyDescent="0.2"/>
    <row r="35607" s="197" customFormat="1" ht="12.75" x14ac:dyDescent="0.2"/>
    <row r="35608" s="197" customFormat="1" ht="12.75" x14ac:dyDescent="0.2"/>
    <row r="35609" s="197" customFormat="1" ht="12.75" x14ac:dyDescent="0.2"/>
    <row r="35610" s="197" customFormat="1" ht="12.75" x14ac:dyDescent="0.2"/>
    <row r="35611" s="197" customFormat="1" ht="12.75" x14ac:dyDescent="0.2"/>
    <row r="35612" s="197" customFormat="1" ht="12.75" x14ac:dyDescent="0.2"/>
    <row r="35613" s="197" customFormat="1" ht="12.75" x14ac:dyDescent="0.2"/>
    <row r="35614" s="197" customFormat="1" ht="12.75" x14ac:dyDescent="0.2"/>
    <row r="35615" s="197" customFormat="1" ht="12.75" x14ac:dyDescent="0.2"/>
    <row r="35616" s="197" customFormat="1" ht="12.75" x14ac:dyDescent="0.2"/>
    <row r="35617" s="197" customFormat="1" ht="12.75" x14ac:dyDescent="0.2"/>
    <row r="35618" s="197" customFormat="1" ht="12.75" x14ac:dyDescent="0.2"/>
    <row r="35619" s="197" customFormat="1" ht="12.75" x14ac:dyDescent="0.2"/>
    <row r="35620" s="197" customFormat="1" ht="12.75" x14ac:dyDescent="0.2"/>
    <row r="35621" s="197" customFormat="1" ht="12.75" x14ac:dyDescent="0.2"/>
    <row r="35622" s="197" customFormat="1" ht="12.75" x14ac:dyDescent="0.2"/>
    <row r="35623" s="197" customFormat="1" ht="12.75" x14ac:dyDescent="0.2"/>
    <row r="35624" s="197" customFormat="1" ht="12.75" x14ac:dyDescent="0.2"/>
    <row r="35625" s="197" customFormat="1" ht="12.75" x14ac:dyDescent="0.2"/>
    <row r="35626" s="197" customFormat="1" ht="12.75" x14ac:dyDescent="0.2"/>
    <row r="35627" s="197" customFormat="1" ht="12.75" x14ac:dyDescent="0.2"/>
    <row r="35628" s="197" customFormat="1" ht="12.75" x14ac:dyDescent="0.2"/>
    <row r="35629" s="197" customFormat="1" ht="12.75" x14ac:dyDescent="0.2"/>
    <row r="35630" s="197" customFormat="1" ht="12.75" x14ac:dyDescent="0.2"/>
    <row r="35631" s="197" customFormat="1" ht="12.75" x14ac:dyDescent="0.2"/>
    <row r="35632" s="197" customFormat="1" ht="12.75" x14ac:dyDescent="0.2"/>
    <row r="35633" s="197" customFormat="1" ht="12.75" x14ac:dyDescent="0.2"/>
    <row r="35634" s="197" customFormat="1" ht="12.75" x14ac:dyDescent="0.2"/>
    <row r="35635" s="197" customFormat="1" ht="12.75" x14ac:dyDescent="0.2"/>
    <row r="35636" s="197" customFormat="1" ht="12.75" x14ac:dyDescent="0.2"/>
    <row r="35637" s="197" customFormat="1" ht="12.75" x14ac:dyDescent="0.2"/>
    <row r="35638" s="197" customFormat="1" ht="12.75" x14ac:dyDescent="0.2"/>
    <row r="35639" s="197" customFormat="1" ht="12.75" x14ac:dyDescent="0.2"/>
    <row r="35640" s="197" customFormat="1" ht="12.75" x14ac:dyDescent="0.2"/>
    <row r="35641" s="197" customFormat="1" ht="12.75" x14ac:dyDescent="0.2"/>
    <row r="35642" s="197" customFormat="1" ht="12.75" x14ac:dyDescent="0.2"/>
    <row r="35643" s="197" customFormat="1" ht="12.75" x14ac:dyDescent="0.2"/>
    <row r="35644" s="197" customFormat="1" ht="12.75" x14ac:dyDescent="0.2"/>
    <row r="35645" s="197" customFormat="1" ht="12.75" x14ac:dyDescent="0.2"/>
    <row r="35646" s="197" customFormat="1" ht="12.75" x14ac:dyDescent="0.2"/>
    <row r="35647" s="197" customFormat="1" ht="12.75" x14ac:dyDescent="0.2"/>
    <row r="35648" s="197" customFormat="1" ht="12.75" x14ac:dyDescent="0.2"/>
    <row r="35649" s="197" customFormat="1" ht="12.75" x14ac:dyDescent="0.2"/>
    <row r="35650" s="197" customFormat="1" ht="12.75" x14ac:dyDescent="0.2"/>
    <row r="35651" s="197" customFormat="1" ht="12.75" x14ac:dyDescent="0.2"/>
    <row r="35652" s="197" customFormat="1" ht="12.75" x14ac:dyDescent="0.2"/>
    <row r="35653" s="197" customFormat="1" ht="12.75" x14ac:dyDescent="0.2"/>
    <row r="35654" s="197" customFormat="1" ht="12.75" x14ac:dyDescent="0.2"/>
    <row r="35655" s="197" customFormat="1" ht="12.75" x14ac:dyDescent="0.2"/>
    <row r="35656" s="197" customFormat="1" ht="12.75" x14ac:dyDescent="0.2"/>
    <row r="35657" s="197" customFormat="1" ht="12.75" x14ac:dyDescent="0.2"/>
    <row r="35658" s="197" customFormat="1" ht="12.75" x14ac:dyDescent="0.2"/>
    <row r="35659" s="197" customFormat="1" ht="12.75" x14ac:dyDescent="0.2"/>
    <row r="35660" s="197" customFormat="1" ht="12.75" x14ac:dyDescent="0.2"/>
    <row r="35661" s="197" customFormat="1" ht="12.75" x14ac:dyDescent="0.2"/>
    <row r="35662" s="197" customFormat="1" ht="12.75" x14ac:dyDescent="0.2"/>
    <row r="35663" s="197" customFormat="1" ht="12.75" x14ac:dyDescent="0.2"/>
    <row r="35664" s="197" customFormat="1" ht="12.75" x14ac:dyDescent="0.2"/>
    <row r="35665" s="197" customFormat="1" ht="12.75" x14ac:dyDescent="0.2"/>
    <row r="35666" s="197" customFormat="1" ht="12.75" x14ac:dyDescent="0.2"/>
    <row r="35667" s="197" customFormat="1" ht="12.75" x14ac:dyDescent="0.2"/>
    <row r="35668" s="197" customFormat="1" ht="12.75" x14ac:dyDescent="0.2"/>
    <row r="35669" s="197" customFormat="1" ht="12.75" x14ac:dyDescent="0.2"/>
    <row r="35670" s="197" customFormat="1" ht="12.75" x14ac:dyDescent="0.2"/>
    <row r="35671" s="197" customFormat="1" ht="12.75" x14ac:dyDescent="0.2"/>
    <row r="35672" s="197" customFormat="1" ht="12.75" x14ac:dyDescent="0.2"/>
    <row r="35673" s="197" customFormat="1" ht="12.75" x14ac:dyDescent="0.2"/>
    <row r="35674" s="197" customFormat="1" ht="12.75" x14ac:dyDescent="0.2"/>
    <row r="35675" s="197" customFormat="1" ht="12.75" x14ac:dyDescent="0.2"/>
    <row r="35676" s="197" customFormat="1" ht="12.75" x14ac:dyDescent="0.2"/>
    <row r="35677" s="197" customFormat="1" ht="12.75" x14ac:dyDescent="0.2"/>
    <row r="35678" s="197" customFormat="1" ht="12.75" x14ac:dyDescent="0.2"/>
    <row r="35679" s="197" customFormat="1" ht="12.75" x14ac:dyDescent="0.2"/>
    <row r="35680" s="197" customFormat="1" ht="12.75" x14ac:dyDescent="0.2"/>
    <row r="35681" s="197" customFormat="1" ht="12.75" x14ac:dyDescent="0.2"/>
    <row r="35682" s="197" customFormat="1" ht="12.75" x14ac:dyDescent="0.2"/>
    <row r="35683" s="197" customFormat="1" ht="12.75" x14ac:dyDescent="0.2"/>
    <row r="35684" s="197" customFormat="1" ht="12.75" x14ac:dyDescent="0.2"/>
    <row r="35685" s="197" customFormat="1" ht="12.75" x14ac:dyDescent="0.2"/>
    <row r="35686" s="197" customFormat="1" ht="12.75" x14ac:dyDescent="0.2"/>
    <row r="35687" s="197" customFormat="1" ht="12.75" x14ac:dyDescent="0.2"/>
    <row r="35688" s="197" customFormat="1" ht="12.75" x14ac:dyDescent="0.2"/>
    <row r="35689" s="197" customFormat="1" ht="12.75" x14ac:dyDescent="0.2"/>
    <row r="35690" s="197" customFormat="1" ht="12.75" x14ac:dyDescent="0.2"/>
    <row r="35691" s="197" customFormat="1" ht="12.75" x14ac:dyDescent="0.2"/>
    <row r="35692" s="197" customFormat="1" ht="12.75" x14ac:dyDescent="0.2"/>
    <row r="35693" s="197" customFormat="1" ht="12.75" x14ac:dyDescent="0.2"/>
    <row r="35694" s="197" customFormat="1" ht="12.75" x14ac:dyDescent="0.2"/>
    <row r="35695" s="197" customFormat="1" ht="12.75" x14ac:dyDescent="0.2"/>
    <row r="35696" s="197" customFormat="1" ht="12.75" x14ac:dyDescent="0.2"/>
    <row r="35697" s="197" customFormat="1" ht="12.75" x14ac:dyDescent="0.2"/>
    <row r="35698" s="197" customFormat="1" ht="12.75" x14ac:dyDescent="0.2"/>
    <row r="35699" s="197" customFormat="1" ht="12.75" x14ac:dyDescent="0.2"/>
    <row r="35700" s="197" customFormat="1" ht="12.75" x14ac:dyDescent="0.2"/>
    <row r="35701" s="197" customFormat="1" ht="12.75" x14ac:dyDescent="0.2"/>
    <row r="35702" s="197" customFormat="1" ht="12.75" x14ac:dyDescent="0.2"/>
    <row r="35703" s="197" customFormat="1" ht="12.75" x14ac:dyDescent="0.2"/>
    <row r="35704" s="197" customFormat="1" ht="12.75" x14ac:dyDescent="0.2"/>
    <row r="35705" s="197" customFormat="1" ht="12.75" x14ac:dyDescent="0.2"/>
    <row r="35706" s="197" customFormat="1" ht="12.75" x14ac:dyDescent="0.2"/>
    <row r="35707" s="197" customFormat="1" ht="12.75" x14ac:dyDescent="0.2"/>
    <row r="35708" s="197" customFormat="1" ht="12.75" x14ac:dyDescent="0.2"/>
    <row r="35709" s="197" customFormat="1" ht="12.75" x14ac:dyDescent="0.2"/>
    <row r="35710" s="197" customFormat="1" ht="12.75" x14ac:dyDescent="0.2"/>
    <row r="35711" s="197" customFormat="1" ht="12.75" x14ac:dyDescent="0.2"/>
    <row r="35712" s="197" customFormat="1" ht="12.75" x14ac:dyDescent="0.2"/>
    <row r="35713" s="197" customFormat="1" ht="12.75" x14ac:dyDescent="0.2"/>
    <row r="35714" s="197" customFormat="1" ht="12.75" x14ac:dyDescent="0.2"/>
    <row r="35715" s="197" customFormat="1" ht="12.75" x14ac:dyDescent="0.2"/>
    <row r="35716" s="197" customFormat="1" ht="12.75" x14ac:dyDescent="0.2"/>
    <row r="35717" s="197" customFormat="1" ht="12.75" x14ac:dyDescent="0.2"/>
    <row r="35718" s="197" customFormat="1" ht="12.75" x14ac:dyDescent="0.2"/>
    <row r="35719" s="197" customFormat="1" ht="12.75" x14ac:dyDescent="0.2"/>
    <row r="35720" s="197" customFormat="1" ht="12.75" x14ac:dyDescent="0.2"/>
    <row r="35721" s="197" customFormat="1" ht="12.75" x14ac:dyDescent="0.2"/>
    <row r="35722" s="197" customFormat="1" ht="12.75" x14ac:dyDescent="0.2"/>
    <row r="35723" s="197" customFormat="1" ht="12.75" x14ac:dyDescent="0.2"/>
    <row r="35724" s="197" customFormat="1" ht="12.75" x14ac:dyDescent="0.2"/>
    <row r="35725" s="197" customFormat="1" ht="12.75" x14ac:dyDescent="0.2"/>
    <row r="35726" s="197" customFormat="1" ht="12.75" x14ac:dyDescent="0.2"/>
    <row r="35727" s="197" customFormat="1" ht="12.75" x14ac:dyDescent="0.2"/>
    <row r="35728" s="197" customFormat="1" ht="12.75" x14ac:dyDescent="0.2"/>
    <row r="35729" s="197" customFormat="1" ht="12.75" x14ac:dyDescent="0.2"/>
    <row r="35730" s="197" customFormat="1" ht="12.75" x14ac:dyDescent="0.2"/>
    <row r="35731" s="197" customFormat="1" ht="12.75" x14ac:dyDescent="0.2"/>
    <row r="35732" s="197" customFormat="1" ht="12.75" x14ac:dyDescent="0.2"/>
    <row r="35733" s="197" customFormat="1" ht="12.75" x14ac:dyDescent="0.2"/>
    <row r="35734" s="197" customFormat="1" ht="12.75" x14ac:dyDescent="0.2"/>
    <row r="35735" s="197" customFormat="1" ht="12.75" x14ac:dyDescent="0.2"/>
    <row r="35736" s="197" customFormat="1" ht="12.75" x14ac:dyDescent="0.2"/>
    <row r="35737" s="197" customFormat="1" ht="12.75" x14ac:dyDescent="0.2"/>
    <row r="35738" s="197" customFormat="1" ht="12.75" x14ac:dyDescent="0.2"/>
    <row r="35739" s="197" customFormat="1" ht="12.75" x14ac:dyDescent="0.2"/>
    <row r="35740" s="197" customFormat="1" ht="12.75" x14ac:dyDescent="0.2"/>
    <row r="35741" s="197" customFormat="1" ht="12.75" x14ac:dyDescent="0.2"/>
    <row r="35742" s="197" customFormat="1" ht="12.75" x14ac:dyDescent="0.2"/>
    <row r="35743" s="197" customFormat="1" ht="12.75" x14ac:dyDescent="0.2"/>
    <row r="35744" s="197" customFormat="1" ht="12.75" x14ac:dyDescent="0.2"/>
    <row r="35745" s="197" customFormat="1" ht="12.75" x14ac:dyDescent="0.2"/>
    <row r="35746" s="197" customFormat="1" ht="12.75" x14ac:dyDescent="0.2"/>
    <row r="35747" s="197" customFormat="1" ht="12.75" x14ac:dyDescent="0.2"/>
    <row r="35748" s="197" customFormat="1" ht="12.75" x14ac:dyDescent="0.2"/>
    <row r="35749" s="197" customFormat="1" ht="12.75" x14ac:dyDescent="0.2"/>
    <row r="35750" s="197" customFormat="1" ht="12.75" x14ac:dyDescent="0.2"/>
    <row r="35751" s="197" customFormat="1" ht="12.75" x14ac:dyDescent="0.2"/>
    <row r="35752" s="197" customFormat="1" ht="12.75" x14ac:dyDescent="0.2"/>
    <row r="35753" s="197" customFormat="1" ht="12.75" x14ac:dyDescent="0.2"/>
    <row r="35754" s="197" customFormat="1" ht="12.75" x14ac:dyDescent="0.2"/>
    <row r="35755" s="197" customFormat="1" ht="12.75" x14ac:dyDescent="0.2"/>
    <row r="35756" s="197" customFormat="1" ht="12.75" x14ac:dyDescent="0.2"/>
    <row r="35757" s="197" customFormat="1" ht="12.75" x14ac:dyDescent="0.2"/>
    <row r="35758" s="197" customFormat="1" ht="12.75" x14ac:dyDescent="0.2"/>
    <row r="35759" s="197" customFormat="1" ht="12.75" x14ac:dyDescent="0.2"/>
    <row r="35760" s="197" customFormat="1" ht="12.75" x14ac:dyDescent="0.2"/>
    <row r="35761" s="197" customFormat="1" ht="12.75" x14ac:dyDescent="0.2"/>
    <row r="35762" s="197" customFormat="1" ht="12.75" x14ac:dyDescent="0.2"/>
    <row r="35763" s="197" customFormat="1" ht="12.75" x14ac:dyDescent="0.2"/>
    <row r="35764" s="197" customFormat="1" ht="12.75" x14ac:dyDescent="0.2"/>
    <row r="35765" s="197" customFormat="1" ht="12.75" x14ac:dyDescent="0.2"/>
    <row r="35766" s="197" customFormat="1" ht="12.75" x14ac:dyDescent="0.2"/>
    <row r="35767" s="197" customFormat="1" ht="12.75" x14ac:dyDescent="0.2"/>
    <row r="35768" s="197" customFormat="1" ht="12.75" x14ac:dyDescent="0.2"/>
    <row r="35769" s="197" customFormat="1" ht="12.75" x14ac:dyDescent="0.2"/>
    <row r="35770" s="197" customFormat="1" ht="12.75" x14ac:dyDescent="0.2"/>
    <row r="35771" s="197" customFormat="1" ht="12.75" x14ac:dyDescent="0.2"/>
    <row r="35772" s="197" customFormat="1" ht="12.75" x14ac:dyDescent="0.2"/>
    <row r="35773" s="197" customFormat="1" ht="12.75" x14ac:dyDescent="0.2"/>
    <row r="35774" s="197" customFormat="1" ht="12.75" x14ac:dyDescent="0.2"/>
    <row r="35775" s="197" customFormat="1" ht="12.75" x14ac:dyDescent="0.2"/>
    <row r="35776" s="197" customFormat="1" ht="12.75" x14ac:dyDescent="0.2"/>
    <row r="35777" s="197" customFormat="1" ht="12.75" x14ac:dyDescent="0.2"/>
    <row r="35778" s="197" customFormat="1" ht="12.75" x14ac:dyDescent="0.2"/>
    <row r="35779" s="197" customFormat="1" ht="12.75" x14ac:dyDescent="0.2"/>
    <row r="35780" s="197" customFormat="1" ht="12.75" x14ac:dyDescent="0.2"/>
    <row r="35781" s="197" customFormat="1" ht="12.75" x14ac:dyDescent="0.2"/>
    <row r="35782" s="197" customFormat="1" ht="12.75" x14ac:dyDescent="0.2"/>
    <row r="35783" s="197" customFormat="1" ht="12.75" x14ac:dyDescent="0.2"/>
    <row r="35784" s="197" customFormat="1" ht="12.75" x14ac:dyDescent="0.2"/>
    <row r="35785" s="197" customFormat="1" ht="12.75" x14ac:dyDescent="0.2"/>
    <row r="35786" s="197" customFormat="1" ht="12.75" x14ac:dyDescent="0.2"/>
    <row r="35787" s="197" customFormat="1" ht="12.75" x14ac:dyDescent="0.2"/>
    <row r="35788" s="197" customFormat="1" ht="12.75" x14ac:dyDescent="0.2"/>
    <row r="35789" s="197" customFormat="1" ht="12.75" x14ac:dyDescent="0.2"/>
    <row r="35790" s="197" customFormat="1" ht="12.75" x14ac:dyDescent="0.2"/>
    <row r="35791" s="197" customFormat="1" ht="12.75" x14ac:dyDescent="0.2"/>
    <row r="35792" s="197" customFormat="1" ht="12.75" x14ac:dyDescent="0.2"/>
    <row r="35793" s="197" customFormat="1" ht="12.75" x14ac:dyDescent="0.2"/>
    <row r="35794" s="197" customFormat="1" ht="12.75" x14ac:dyDescent="0.2"/>
    <row r="35795" s="197" customFormat="1" ht="12.75" x14ac:dyDescent="0.2"/>
    <row r="35796" s="197" customFormat="1" ht="12.75" x14ac:dyDescent="0.2"/>
    <row r="35797" s="197" customFormat="1" ht="12.75" x14ac:dyDescent="0.2"/>
    <row r="35798" s="197" customFormat="1" ht="12.75" x14ac:dyDescent="0.2"/>
    <row r="35799" s="197" customFormat="1" ht="12.75" x14ac:dyDescent="0.2"/>
    <row r="35800" s="197" customFormat="1" ht="12.75" x14ac:dyDescent="0.2"/>
    <row r="35801" s="197" customFormat="1" ht="12.75" x14ac:dyDescent="0.2"/>
    <row r="35802" s="197" customFormat="1" ht="12.75" x14ac:dyDescent="0.2"/>
    <row r="35803" s="197" customFormat="1" ht="12.75" x14ac:dyDescent="0.2"/>
    <row r="35804" s="197" customFormat="1" ht="12.75" x14ac:dyDescent="0.2"/>
    <row r="35805" s="197" customFormat="1" ht="12.75" x14ac:dyDescent="0.2"/>
    <row r="35806" s="197" customFormat="1" ht="12.75" x14ac:dyDescent="0.2"/>
    <row r="35807" s="197" customFormat="1" ht="12.75" x14ac:dyDescent="0.2"/>
    <row r="35808" s="197" customFormat="1" ht="12.75" x14ac:dyDescent="0.2"/>
    <row r="35809" s="197" customFormat="1" ht="12.75" x14ac:dyDescent="0.2"/>
    <row r="35810" s="197" customFormat="1" ht="12.75" x14ac:dyDescent="0.2"/>
    <row r="35811" s="197" customFormat="1" ht="12.75" x14ac:dyDescent="0.2"/>
    <row r="35812" s="197" customFormat="1" ht="12.75" x14ac:dyDescent="0.2"/>
    <row r="35813" s="197" customFormat="1" ht="12.75" x14ac:dyDescent="0.2"/>
    <row r="35814" s="197" customFormat="1" ht="12.75" x14ac:dyDescent="0.2"/>
    <row r="35815" s="197" customFormat="1" ht="12.75" x14ac:dyDescent="0.2"/>
    <row r="35816" s="197" customFormat="1" ht="12.75" x14ac:dyDescent="0.2"/>
    <row r="35817" s="197" customFormat="1" ht="12.75" x14ac:dyDescent="0.2"/>
    <row r="35818" s="197" customFormat="1" ht="12.75" x14ac:dyDescent="0.2"/>
    <row r="35819" s="197" customFormat="1" ht="12.75" x14ac:dyDescent="0.2"/>
    <row r="35820" s="197" customFormat="1" ht="12.75" x14ac:dyDescent="0.2"/>
    <row r="35821" s="197" customFormat="1" ht="12.75" x14ac:dyDescent="0.2"/>
    <row r="35822" s="197" customFormat="1" ht="12.75" x14ac:dyDescent="0.2"/>
    <row r="35823" s="197" customFormat="1" ht="12.75" x14ac:dyDescent="0.2"/>
    <row r="35824" s="197" customFormat="1" ht="12.75" x14ac:dyDescent="0.2"/>
    <row r="35825" s="197" customFormat="1" ht="12.75" x14ac:dyDescent="0.2"/>
    <row r="35826" s="197" customFormat="1" ht="12.75" x14ac:dyDescent="0.2"/>
    <row r="35827" s="197" customFormat="1" ht="12.75" x14ac:dyDescent="0.2"/>
    <row r="35828" s="197" customFormat="1" ht="12.75" x14ac:dyDescent="0.2"/>
    <row r="35829" s="197" customFormat="1" ht="12.75" x14ac:dyDescent="0.2"/>
    <row r="35830" s="197" customFormat="1" ht="12.75" x14ac:dyDescent="0.2"/>
    <row r="35831" s="197" customFormat="1" ht="12.75" x14ac:dyDescent="0.2"/>
    <row r="35832" s="197" customFormat="1" ht="12.75" x14ac:dyDescent="0.2"/>
    <row r="35833" s="197" customFormat="1" ht="12.75" x14ac:dyDescent="0.2"/>
    <row r="35834" s="197" customFormat="1" ht="12.75" x14ac:dyDescent="0.2"/>
    <row r="35835" s="197" customFormat="1" ht="12.75" x14ac:dyDescent="0.2"/>
    <row r="35836" s="197" customFormat="1" ht="12.75" x14ac:dyDescent="0.2"/>
    <row r="35837" s="197" customFormat="1" ht="12.75" x14ac:dyDescent="0.2"/>
    <row r="35838" s="197" customFormat="1" ht="12.75" x14ac:dyDescent="0.2"/>
    <row r="35839" s="197" customFormat="1" ht="12.75" x14ac:dyDescent="0.2"/>
    <row r="35840" s="197" customFormat="1" ht="12.75" x14ac:dyDescent="0.2"/>
    <row r="35841" s="197" customFormat="1" ht="12.75" x14ac:dyDescent="0.2"/>
    <row r="35842" s="197" customFormat="1" ht="12.75" x14ac:dyDescent="0.2"/>
    <row r="35843" s="197" customFormat="1" ht="12.75" x14ac:dyDescent="0.2"/>
    <row r="35844" s="197" customFormat="1" ht="12.75" x14ac:dyDescent="0.2"/>
    <row r="35845" s="197" customFormat="1" ht="12.75" x14ac:dyDescent="0.2"/>
    <row r="35846" s="197" customFormat="1" ht="12.75" x14ac:dyDescent="0.2"/>
    <row r="35847" s="197" customFormat="1" ht="12.75" x14ac:dyDescent="0.2"/>
    <row r="35848" s="197" customFormat="1" ht="12.75" x14ac:dyDescent="0.2"/>
    <row r="35849" s="197" customFormat="1" ht="12.75" x14ac:dyDescent="0.2"/>
    <row r="35850" s="197" customFormat="1" ht="12.75" x14ac:dyDescent="0.2"/>
    <row r="35851" s="197" customFormat="1" ht="12.75" x14ac:dyDescent="0.2"/>
    <row r="35852" s="197" customFormat="1" ht="12.75" x14ac:dyDescent="0.2"/>
    <row r="35853" s="197" customFormat="1" ht="12.75" x14ac:dyDescent="0.2"/>
    <row r="35854" s="197" customFormat="1" ht="12.75" x14ac:dyDescent="0.2"/>
    <row r="35855" s="197" customFormat="1" ht="12.75" x14ac:dyDescent="0.2"/>
    <row r="35856" s="197" customFormat="1" ht="12.75" x14ac:dyDescent="0.2"/>
    <row r="35857" s="197" customFormat="1" ht="12.75" x14ac:dyDescent="0.2"/>
    <row r="35858" s="197" customFormat="1" ht="12.75" x14ac:dyDescent="0.2"/>
    <row r="35859" s="197" customFormat="1" ht="12.75" x14ac:dyDescent="0.2"/>
    <row r="35860" s="197" customFormat="1" ht="12.75" x14ac:dyDescent="0.2"/>
    <row r="35861" s="197" customFormat="1" ht="12.75" x14ac:dyDescent="0.2"/>
    <row r="35862" s="197" customFormat="1" ht="12.75" x14ac:dyDescent="0.2"/>
    <row r="35863" s="197" customFormat="1" ht="12.75" x14ac:dyDescent="0.2"/>
    <row r="35864" s="197" customFormat="1" ht="12.75" x14ac:dyDescent="0.2"/>
    <row r="35865" s="197" customFormat="1" ht="12.75" x14ac:dyDescent="0.2"/>
    <row r="35866" s="197" customFormat="1" ht="12.75" x14ac:dyDescent="0.2"/>
    <row r="35867" s="197" customFormat="1" ht="12.75" x14ac:dyDescent="0.2"/>
    <row r="35868" s="197" customFormat="1" ht="12.75" x14ac:dyDescent="0.2"/>
    <row r="35869" s="197" customFormat="1" ht="12.75" x14ac:dyDescent="0.2"/>
    <row r="35870" s="197" customFormat="1" ht="12.75" x14ac:dyDescent="0.2"/>
    <row r="35871" s="197" customFormat="1" ht="12.75" x14ac:dyDescent="0.2"/>
    <row r="35872" s="197" customFormat="1" ht="12.75" x14ac:dyDescent="0.2"/>
    <row r="35873" s="197" customFormat="1" ht="12.75" x14ac:dyDescent="0.2"/>
    <row r="35874" s="197" customFormat="1" ht="12.75" x14ac:dyDescent="0.2"/>
    <row r="35875" s="197" customFormat="1" ht="12.75" x14ac:dyDescent="0.2"/>
    <row r="35876" s="197" customFormat="1" ht="12.75" x14ac:dyDescent="0.2"/>
    <row r="35877" s="197" customFormat="1" ht="12.75" x14ac:dyDescent="0.2"/>
    <row r="35878" s="197" customFormat="1" ht="12.75" x14ac:dyDescent="0.2"/>
    <row r="35879" s="197" customFormat="1" ht="12.75" x14ac:dyDescent="0.2"/>
    <row r="35880" s="197" customFormat="1" ht="12.75" x14ac:dyDescent="0.2"/>
    <row r="35881" s="197" customFormat="1" ht="12.75" x14ac:dyDescent="0.2"/>
    <row r="35882" s="197" customFormat="1" ht="12.75" x14ac:dyDescent="0.2"/>
    <row r="35883" s="197" customFormat="1" ht="12.75" x14ac:dyDescent="0.2"/>
    <row r="35884" s="197" customFormat="1" ht="12.75" x14ac:dyDescent="0.2"/>
    <row r="35885" s="197" customFormat="1" ht="12.75" x14ac:dyDescent="0.2"/>
    <row r="35886" s="197" customFormat="1" ht="12.75" x14ac:dyDescent="0.2"/>
    <row r="35887" s="197" customFormat="1" ht="12.75" x14ac:dyDescent="0.2"/>
    <row r="35888" s="197" customFormat="1" ht="12.75" x14ac:dyDescent="0.2"/>
    <row r="35889" s="197" customFormat="1" ht="12.75" x14ac:dyDescent="0.2"/>
    <row r="35890" s="197" customFormat="1" ht="12.75" x14ac:dyDescent="0.2"/>
    <row r="35891" s="197" customFormat="1" ht="12.75" x14ac:dyDescent="0.2"/>
    <row r="35892" s="197" customFormat="1" ht="12.75" x14ac:dyDescent="0.2"/>
    <row r="35893" s="197" customFormat="1" ht="12.75" x14ac:dyDescent="0.2"/>
    <row r="35894" s="197" customFormat="1" ht="12.75" x14ac:dyDescent="0.2"/>
    <row r="35895" s="197" customFormat="1" ht="12.75" x14ac:dyDescent="0.2"/>
    <row r="35896" s="197" customFormat="1" ht="12.75" x14ac:dyDescent="0.2"/>
    <row r="35897" s="197" customFormat="1" ht="12.75" x14ac:dyDescent="0.2"/>
    <row r="35898" s="197" customFormat="1" ht="12.75" x14ac:dyDescent="0.2"/>
    <row r="35899" s="197" customFormat="1" ht="12.75" x14ac:dyDescent="0.2"/>
    <row r="35900" s="197" customFormat="1" ht="12.75" x14ac:dyDescent="0.2"/>
    <row r="35901" s="197" customFormat="1" ht="12.75" x14ac:dyDescent="0.2"/>
    <row r="35902" s="197" customFormat="1" ht="12.75" x14ac:dyDescent="0.2"/>
    <row r="35903" s="197" customFormat="1" ht="12.75" x14ac:dyDescent="0.2"/>
    <row r="35904" s="197" customFormat="1" ht="12.75" x14ac:dyDescent="0.2"/>
    <row r="35905" s="197" customFormat="1" ht="12.75" x14ac:dyDescent="0.2"/>
    <row r="35906" s="197" customFormat="1" ht="12.75" x14ac:dyDescent="0.2"/>
    <row r="35907" s="197" customFormat="1" ht="12.75" x14ac:dyDescent="0.2"/>
    <row r="35908" s="197" customFormat="1" ht="12.75" x14ac:dyDescent="0.2"/>
    <row r="35909" s="197" customFormat="1" ht="12.75" x14ac:dyDescent="0.2"/>
    <row r="35910" s="197" customFormat="1" ht="12.75" x14ac:dyDescent="0.2"/>
    <row r="35911" s="197" customFormat="1" ht="12.75" x14ac:dyDescent="0.2"/>
    <row r="35912" s="197" customFormat="1" ht="12.75" x14ac:dyDescent="0.2"/>
    <row r="35913" s="197" customFormat="1" ht="12.75" x14ac:dyDescent="0.2"/>
    <row r="35914" s="197" customFormat="1" ht="12.75" x14ac:dyDescent="0.2"/>
    <row r="35915" s="197" customFormat="1" ht="12.75" x14ac:dyDescent="0.2"/>
    <row r="35916" s="197" customFormat="1" ht="12.75" x14ac:dyDescent="0.2"/>
    <row r="35917" s="197" customFormat="1" ht="12.75" x14ac:dyDescent="0.2"/>
    <row r="35918" s="197" customFormat="1" ht="12.75" x14ac:dyDescent="0.2"/>
    <row r="35919" s="197" customFormat="1" ht="12.75" x14ac:dyDescent="0.2"/>
    <row r="35920" s="197" customFormat="1" ht="12.75" x14ac:dyDescent="0.2"/>
    <row r="35921" s="197" customFormat="1" ht="12.75" x14ac:dyDescent="0.2"/>
    <row r="35922" s="197" customFormat="1" ht="12.75" x14ac:dyDescent="0.2"/>
    <row r="35923" s="197" customFormat="1" ht="12.75" x14ac:dyDescent="0.2"/>
    <row r="35924" s="197" customFormat="1" ht="12.75" x14ac:dyDescent="0.2"/>
    <row r="35925" s="197" customFormat="1" ht="12.75" x14ac:dyDescent="0.2"/>
    <row r="35926" s="197" customFormat="1" ht="12.75" x14ac:dyDescent="0.2"/>
    <row r="35927" s="197" customFormat="1" ht="12.75" x14ac:dyDescent="0.2"/>
    <row r="35928" s="197" customFormat="1" ht="12.75" x14ac:dyDescent="0.2"/>
    <row r="35929" s="197" customFormat="1" ht="12.75" x14ac:dyDescent="0.2"/>
    <row r="35930" s="197" customFormat="1" ht="12.75" x14ac:dyDescent="0.2"/>
    <row r="35931" s="197" customFormat="1" ht="12.75" x14ac:dyDescent="0.2"/>
    <row r="35932" s="197" customFormat="1" ht="12.75" x14ac:dyDescent="0.2"/>
    <row r="35933" s="197" customFormat="1" ht="12.75" x14ac:dyDescent="0.2"/>
    <row r="35934" s="197" customFormat="1" ht="12.75" x14ac:dyDescent="0.2"/>
    <row r="35935" s="197" customFormat="1" ht="12.75" x14ac:dyDescent="0.2"/>
    <row r="35936" s="197" customFormat="1" ht="12.75" x14ac:dyDescent="0.2"/>
    <row r="35937" s="197" customFormat="1" ht="12.75" x14ac:dyDescent="0.2"/>
    <row r="35938" s="197" customFormat="1" ht="12.75" x14ac:dyDescent="0.2"/>
    <row r="35939" s="197" customFormat="1" ht="12.75" x14ac:dyDescent="0.2"/>
    <row r="35940" s="197" customFormat="1" ht="12.75" x14ac:dyDescent="0.2"/>
    <row r="35941" s="197" customFormat="1" ht="12.75" x14ac:dyDescent="0.2"/>
    <row r="35942" s="197" customFormat="1" ht="12.75" x14ac:dyDescent="0.2"/>
    <row r="35943" s="197" customFormat="1" ht="12.75" x14ac:dyDescent="0.2"/>
    <row r="35944" s="197" customFormat="1" ht="12.75" x14ac:dyDescent="0.2"/>
    <row r="35945" s="197" customFormat="1" ht="12.75" x14ac:dyDescent="0.2"/>
    <row r="35946" s="197" customFormat="1" ht="12.75" x14ac:dyDescent="0.2"/>
    <row r="35947" s="197" customFormat="1" ht="12.75" x14ac:dyDescent="0.2"/>
    <row r="35948" s="197" customFormat="1" ht="12.75" x14ac:dyDescent="0.2"/>
    <row r="35949" s="197" customFormat="1" ht="12.75" x14ac:dyDescent="0.2"/>
    <row r="35950" s="197" customFormat="1" ht="12.75" x14ac:dyDescent="0.2"/>
    <row r="35951" s="197" customFormat="1" ht="12.75" x14ac:dyDescent="0.2"/>
    <row r="35952" s="197" customFormat="1" ht="12.75" x14ac:dyDescent="0.2"/>
    <row r="35953" s="197" customFormat="1" ht="12.75" x14ac:dyDescent="0.2"/>
    <row r="35954" s="197" customFormat="1" ht="12.75" x14ac:dyDescent="0.2"/>
    <row r="35955" s="197" customFormat="1" ht="12.75" x14ac:dyDescent="0.2"/>
    <row r="35956" s="197" customFormat="1" ht="12.75" x14ac:dyDescent="0.2"/>
    <row r="35957" s="197" customFormat="1" ht="12.75" x14ac:dyDescent="0.2"/>
    <row r="35958" s="197" customFormat="1" ht="12.75" x14ac:dyDescent="0.2"/>
    <row r="35959" s="197" customFormat="1" ht="12.75" x14ac:dyDescent="0.2"/>
    <row r="35960" s="197" customFormat="1" ht="12.75" x14ac:dyDescent="0.2"/>
    <row r="35961" s="197" customFormat="1" ht="12.75" x14ac:dyDescent="0.2"/>
    <row r="35962" s="197" customFormat="1" ht="12.75" x14ac:dyDescent="0.2"/>
    <row r="35963" s="197" customFormat="1" ht="12.75" x14ac:dyDescent="0.2"/>
    <row r="35964" s="197" customFormat="1" ht="12.75" x14ac:dyDescent="0.2"/>
    <row r="35965" s="197" customFormat="1" ht="12.75" x14ac:dyDescent="0.2"/>
    <row r="35966" s="197" customFormat="1" ht="12.75" x14ac:dyDescent="0.2"/>
    <row r="35967" s="197" customFormat="1" ht="12.75" x14ac:dyDescent="0.2"/>
    <row r="35968" s="197" customFormat="1" ht="12.75" x14ac:dyDescent="0.2"/>
    <row r="35969" s="197" customFormat="1" ht="12.75" x14ac:dyDescent="0.2"/>
    <row r="35970" s="197" customFormat="1" ht="12.75" x14ac:dyDescent="0.2"/>
    <row r="35971" s="197" customFormat="1" ht="12.75" x14ac:dyDescent="0.2"/>
    <row r="35972" s="197" customFormat="1" ht="12.75" x14ac:dyDescent="0.2"/>
    <row r="35973" s="197" customFormat="1" ht="12.75" x14ac:dyDescent="0.2"/>
    <row r="35974" s="197" customFormat="1" ht="12.75" x14ac:dyDescent="0.2"/>
    <row r="35975" s="197" customFormat="1" ht="12.75" x14ac:dyDescent="0.2"/>
    <row r="35976" s="197" customFormat="1" ht="12.75" x14ac:dyDescent="0.2"/>
    <row r="35977" s="197" customFormat="1" ht="12.75" x14ac:dyDescent="0.2"/>
    <row r="35978" s="197" customFormat="1" ht="12.75" x14ac:dyDescent="0.2"/>
    <row r="35979" s="197" customFormat="1" ht="12.75" x14ac:dyDescent="0.2"/>
    <row r="35980" s="197" customFormat="1" ht="12.75" x14ac:dyDescent="0.2"/>
    <row r="35981" s="197" customFormat="1" ht="12.75" x14ac:dyDescent="0.2"/>
    <row r="35982" s="197" customFormat="1" ht="12.75" x14ac:dyDescent="0.2"/>
    <row r="35983" s="197" customFormat="1" ht="12.75" x14ac:dyDescent="0.2"/>
    <row r="35984" s="197" customFormat="1" ht="12.75" x14ac:dyDescent="0.2"/>
    <row r="35985" s="197" customFormat="1" ht="12.75" x14ac:dyDescent="0.2"/>
    <row r="35986" s="197" customFormat="1" ht="12.75" x14ac:dyDescent="0.2"/>
    <row r="35987" s="197" customFormat="1" ht="12.75" x14ac:dyDescent="0.2"/>
    <row r="35988" s="197" customFormat="1" ht="12.75" x14ac:dyDescent="0.2"/>
    <row r="35989" s="197" customFormat="1" ht="12.75" x14ac:dyDescent="0.2"/>
    <row r="35990" s="197" customFormat="1" ht="12.75" x14ac:dyDescent="0.2"/>
    <row r="35991" s="197" customFormat="1" ht="12.75" x14ac:dyDescent="0.2"/>
    <row r="35992" s="197" customFormat="1" ht="12.75" x14ac:dyDescent="0.2"/>
    <row r="35993" s="197" customFormat="1" ht="12.75" x14ac:dyDescent="0.2"/>
    <row r="35994" s="197" customFormat="1" ht="12.75" x14ac:dyDescent="0.2"/>
    <row r="35995" s="197" customFormat="1" ht="12.75" x14ac:dyDescent="0.2"/>
    <row r="35996" s="197" customFormat="1" ht="12.75" x14ac:dyDescent="0.2"/>
    <row r="35997" s="197" customFormat="1" ht="12.75" x14ac:dyDescent="0.2"/>
    <row r="35998" s="197" customFormat="1" ht="12.75" x14ac:dyDescent="0.2"/>
    <row r="35999" s="197" customFormat="1" ht="12.75" x14ac:dyDescent="0.2"/>
    <row r="36000" s="197" customFormat="1" ht="12.75" x14ac:dyDescent="0.2"/>
    <row r="36001" s="197" customFormat="1" ht="12.75" x14ac:dyDescent="0.2"/>
    <row r="36002" s="197" customFormat="1" ht="12.75" x14ac:dyDescent="0.2"/>
    <row r="36003" s="197" customFormat="1" ht="12.75" x14ac:dyDescent="0.2"/>
    <row r="36004" s="197" customFormat="1" ht="12.75" x14ac:dyDescent="0.2"/>
    <row r="36005" s="197" customFormat="1" ht="12.75" x14ac:dyDescent="0.2"/>
    <row r="36006" s="197" customFormat="1" ht="12.75" x14ac:dyDescent="0.2"/>
    <row r="36007" s="197" customFormat="1" ht="12.75" x14ac:dyDescent="0.2"/>
    <row r="36008" s="197" customFormat="1" ht="12.75" x14ac:dyDescent="0.2"/>
    <row r="36009" s="197" customFormat="1" ht="12.75" x14ac:dyDescent="0.2"/>
    <row r="36010" s="197" customFormat="1" ht="12.75" x14ac:dyDescent="0.2"/>
    <row r="36011" s="197" customFormat="1" ht="12.75" x14ac:dyDescent="0.2"/>
    <row r="36012" s="197" customFormat="1" ht="12.75" x14ac:dyDescent="0.2"/>
    <row r="36013" s="197" customFormat="1" ht="12.75" x14ac:dyDescent="0.2"/>
    <row r="36014" s="197" customFormat="1" ht="12.75" x14ac:dyDescent="0.2"/>
    <row r="36015" s="197" customFormat="1" ht="12.75" x14ac:dyDescent="0.2"/>
    <row r="36016" s="197" customFormat="1" ht="12.75" x14ac:dyDescent="0.2"/>
    <row r="36017" s="197" customFormat="1" ht="12.75" x14ac:dyDescent="0.2"/>
    <row r="36018" s="197" customFormat="1" ht="12.75" x14ac:dyDescent="0.2"/>
    <row r="36019" s="197" customFormat="1" ht="12.75" x14ac:dyDescent="0.2"/>
    <row r="36020" s="197" customFormat="1" ht="12.75" x14ac:dyDescent="0.2"/>
    <row r="36021" s="197" customFormat="1" ht="12.75" x14ac:dyDescent="0.2"/>
    <row r="36022" s="197" customFormat="1" ht="12.75" x14ac:dyDescent="0.2"/>
    <row r="36023" s="197" customFormat="1" ht="12.75" x14ac:dyDescent="0.2"/>
    <row r="36024" s="197" customFormat="1" ht="12.75" x14ac:dyDescent="0.2"/>
    <row r="36025" s="197" customFormat="1" ht="12.75" x14ac:dyDescent="0.2"/>
    <row r="36026" s="197" customFormat="1" ht="12.75" x14ac:dyDescent="0.2"/>
    <row r="36027" s="197" customFormat="1" ht="12.75" x14ac:dyDescent="0.2"/>
    <row r="36028" s="197" customFormat="1" ht="12.75" x14ac:dyDescent="0.2"/>
    <row r="36029" s="197" customFormat="1" ht="12.75" x14ac:dyDescent="0.2"/>
    <row r="36030" s="197" customFormat="1" ht="12.75" x14ac:dyDescent="0.2"/>
    <row r="36031" s="197" customFormat="1" ht="12.75" x14ac:dyDescent="0.2"/>
    <row r="36032" s="197" customFormat="1" ht="12.75" x14ac:dyDescent="0.2"/>
    <row r="36033" s="197" customFormat="1" ht="12.75" x14ac:dyDescent="0.2"/>
    <row r="36034" s="197" customFormat="1" ht="12.75" x14ac:dyDescent="0.2"/>
    <row r="36035" s="197" customFormat="1" ht="12.75" x14ac:dyDescent="0.2"/>
    <row r="36036" s="197" customFormat="1" ht="12.75" x14ac:dyDescent="0.2"/>
    <row r="36037" s="197" customFormat="1" ht="12.75" x14ac:dyDescent="0.2"/>
    <row r="36038" s="197" customFormat="1" ht="12.75" x14ac:dyDescent="0.2"/>
    <row r="36039" s="197" customFormat="1" ht="12.75" x14ac:dyDescent="0.2"/>
    <row r="36040" s="197" customFormat="1" ht="12.75" x14ac:dyDescent="0.2"/>
    <row r="36041" s="197" customFormat="1" ht="12.75" x14ac:dyDescent="0.2"/>
    <row r="36042" s="197" customFormat="1" ht="12.75" x14ac:dyDescent="0.2"/>
    <row r="36043" s="197" customFormat="1" ht="12.75" x14ac:dyDescent="0.2"/>
    <row r="36044" s="197" customFormat="1" ht="12.75" x14ac:dyDescent="0.2"/>
    <row r="36045" s="197" customFormat="1" ht="12.75" x14ac:dyDescent="0.2"/>
    <row r="36046" s="197" customFormat="1" ht="12.75" x14ac:dyDescent="0.2"/>
    <row r="36047" s="197" customFormat="1" ht="12.75" x14ac:dyDescent="0.2"/>
    <row r="36048" s="197" customFormat="1" ht="12.75" x14ac:dyDescent="0.2"/>
    <row r="36049" s="197" customFormat="1" ht="12.75" x14ac:dyDescent="0.2"/>
    <row r="36050" s="197" customFormat="1" ht="12.75" x14ac:dyDescent="0.2"/>
    <row r="36051" s="197" customFormat="1" ht="12.75" x14ac:dyDescent="0.2"/>
    <row r="36052" s="197" customFormat="1" ht="12.75" x14ac:dyDescent="0.2"/>
    <row r="36053" s="197" customFormat="1" ht="12.75" x14ac:dyDescent="0.2"/>
    <row r="36054" s="197" customFormat="1" ht="12.75" x14ac:dyDescent="0.2"/>
    <row r="36055" s="197" customFormat="1" ht="12.75" x14ac:dyDescent="0.2"/>
    <row r="36056" s="197" customFormat="1" ht="12.75" x14ac:dyDescent="0.2"/>
    <row r="36057" s="197" customFormat="1" ht="12.75" x14ac:dyDescent="0.2"/>
    <row r="36058" s="197" customFormat="1" ht="12.75" x14ac:dyDescent="0.2"/>
    <row r="36059" s="197" customFormat="1" ht="12.75" x14ac:dyDescent="0.2"/>
    <row r="36060" s="197" customFormat="1" ht="12.75" x14ac:dyDescent="0.2"/>
    <row r="36061" s="197" customFormat="1" ht="12.75" x14ac:dyDescent="0.2"/>
    <row r="36062" s="197" customFormat="1" ht="12.75" x14ac:dyDescent="0.2"/>
    <row r="36063" s="197" customFormat="1" ht="12.75" x14ac:dyDescent="0.2"/>
    <row r="36064" s="197" customFormat="1" ht="12.75" x14ac:dyDescent="0.2"/>
    <row r="36065" s="197" customFormat="1" ht="12.75" x14ac:dyDescent="0.2"/>
    <row r="36066" s="197" customFormat="1" ht="12.75" x14ac:dyDescent="0.2"/>
    <row r="36067" s="197" customFormat="1" ht="12.75" x14ac:dyDescent="0.2"/>
    <row r="36068" s="197" customFormat="1" ht="12.75" x14ac:dyDescent="0.2"/>
    <row r="36069" s="197" customFormat="1" ht="12.75" x14ac:dyDescent="0.2"/>
    <row r="36070" s="197" customFormat="1" ht="12.75" x14ac:dyDescent="0.2"/>
    <row r="36071" s="197" customFormat="1" ht="12.75" x14ac:dyDescent="0.2"/>
    <row r="36072" s="197" customFormat="1" ht="12.75" x14ac:dyDescent="0.2"/>
    <row r="36073" s="197" customFormat="1" ht="12.75" x14ac:dyDescent="0.2"/>
    <row r="36074" s="197" customFormat="1" ht="12.75" x14ac:dyDescent="0.2"/>
    <row r="36075" s="197" customFormat="1" ht="12.75" x14ac:dyDescent="0.2"/>
    <row r="36076" s="197" customFormat="1" ht="12.75" x14ac:dyDescent="0.2"/>
    <row r="36077" s="197" customFormat="1" ht="12.75" x14ac:dyDescent="0.2"/>
    <row r="36078" s="197" customFormat="1" ht="12.75" x14ac:dyDescent="0.2"/>
    <row r="36079" s="197" customFormat="1" ht="12.75" x14ac:dyDescent="0.2"/>
    <row r="36080" s="197" customFormat="1" ht="12.75" x14ac:dyDescent="0.2"/>
    <row r="36081" s="197" customFormat="1" ht="12.75" x14ac:dyDescent="0.2"/>
    <row r="36082" s="197" customFormat="1" ht="12.75" x14ac:dyDescent="0.2"/>
    <row r="36083" s="197" customFormat="1" ht="12.75" x14ac:dyDescent="0.2"/>
    <row r="36084" s="197" customFormat="1" ht="12.75" x14ac:dyDescent="0.2"/>
    <row r="36085" s="197" customFormat="1" ht="12.75" x14ac:dyDescent="0.2"/>
    <row r="36086" s="197" customFormat="1" ht="12.75" x14ac:dyDescent="0.2"/>
    <row r="36087" s="197" customFormat="1" ht="12.75" x14ac:dyDescent="0.2"/>
    <row r="36088" s="197" customFormat="1" ht="12.75" x14ac:dyDescent="0.2"/>
    <row r="36089" s="197" customFormat="1" ht="12.75" x14ac:dyDescent="0.2"/>
    <row r="36090" s="197" customFormat="1" ht="12.75" x14ac:dyDescent="0.2"/>
    <row r="36091" s="197" customFormat="1" ht="12.75" x14ac:dyDescent="0.2"/>
    <row r="36092" s="197" customFormat="1" ht="12.75" x14ac:dyDescent="0.2"/>
    <row r="36093" s="197" customFormat="1" ht="12.75" x14ac:dyDescent="0.2"/>
    <row r="36094" s="197" customFormat="1" ht="12.75" x14ac:dyDescent="0.2"/>
    <row r="36095" s="197" customFormat="1" ht="12.75" x14ac:dyDescent="0.2"/>
    <row r="36096" s="197" customFormat="1" ht="12.75" x14ac:dyDescent="0.2"/>
    <row r="36097" s="197" customFormat="1" ht="12.75" x14ac:dyDescent="0.2"/>
    <row r="36098" s="197" customFormat="1" ht="12.75" x14ac:dyDescent="0.2"/>
    <row r="36099" s="197" customFormat="1" ht="12.75" x14ac:dyDescent="0.2"/>
    <row r="36100" s="197" customFormat="1" ht="12.75" x14ac:dyDescent="0.2"/>
    <row r="36101" s="197" customFormat="1" ht="12.75" x14ac:dyDescent="0.2"/>
    <row r="36102" s="197" customFormat="1" ht="12.75" x14ac:dyDescent="0.2"/>
    <row r="36103" s="197" customFormat="1" ht="12.75" x14ac:dyDescent="0.2"/>
    <row r="36104" s="197" customFormat="1" ht="12.75" x14ac:dyDescent="0.2"/>
    <row r="36105" s="197" customFormat="1" ht="12.75" x14ac:dyDescent="0.2"/>
    <row r="36106" s="197" customFormat="1" ht="12.75" x14ac:dyDescent="0.2"/>
    <row r="36107" s="197" customFormat="1" ht="12.75" x14ac:dyDescent="0.2"/>
    <row r="36108" s="197" customFormat="1" ht="12.75" x14ac:dyDescent="0.2"/>
    <row r="36109" s="197" customFormat="1" ht="12.75" x14ac:dyDescent="0.2"/>
    <row r="36110" s="197" customFormat="1" ht="12.75" x14ac:dyDescent="0.2"/>
    <row r="36111" s="197" customFormat="1" ht="12.75" x14ac:dyDescent="0.2"/>
    <row r="36112" s="197" customFormat="1" ht="12.75" x14ac:dyDescent="0.2"/>
    <row r="36113" s="197" customFormat="1" ht="12.75" x14ac:dyDescent="0.2"/>
    <row r="36114" s="197" customFormat="1" ht="12.75" x14ac:dyDescent="0.2"/>
    <row r="36115" s="197" customFormat="1" ht="12.75" x14ac:dyDescent="0.2"/>
    <row r="36116" s="197" customFormat="1" ht="12.75" x14ac:dyDescent="0.2"/>
    <row r="36117" s="197" customFormat="1" ht="12.75" x14ac:dyDescent="0.2"/>
    <row r="36118" s="197" customFormat="1" ht="12.75" x14ac:dyDescent="0.2"/>
    <row r="36119" s="197" customFormat="1" ht="12.75" x14ac:dyDescent="0.2"/>
    <row r="36120" s="197" customFormat="1" ht="12.75" x14ac:dyDescent="0.2"/>
    <row r="36121" s="197" customFormat="1" ht="12.75" x14ac:dyDescent="0.2"/>
    <row r="36122" s="197" customFormat="1" ht="12.75" x14ac:dyDescent="0.2"/>
    <row r="36123" s="197" customFormat="1" ht="12.75" x14ac:dyDescent="0.2"/>
    <row r="36124" s="197" customFormat="1" ht="12.75" x14ac:dyDescent="0.2"/>
    <row r="36125" s="197" customFormat="1" ht="12.75" x14ac:dyDescent="0.2"/>
    <row r="36126" s="197" customFormat="1" ht="12.75" x14ac:dyDescent="0.2"/>
    <row r="36127" s="197" customFormat="1" ht="12.75" x14ac:dyDescent="0.2"/>
    <row r="36128" s="197" customFormat="1" ht="12.75" x14ac:dyDescent="0.2"/>
    <row r="36129" s="197" customFormat="1" ht="12.75" x14ac:dyDescent="0.2"/>
    <row r="36130" s="197" customFormat="1" ht="12.75" x14ac:dyDescent="0.2"/>
    <row r="36131" s="197" customFormat="1" ht="12.75" x14ac:dyDescent="0.2"/>
    <row r="36132" s="197" customFormat="1" ht="12.75" x14ac:dyDescent="0.2"/>
    <row r="36133" s="197" customFormat="1" ht="12.75" x14ac:dyDescent="0.2"/>
    <row r="36134" s="197" customFormat="1" ht="12.75" x14ac:dyDescent="0.2"/>
    <row r="36135" s="197" customFormat="1" ht="12.75" x14ac:dyDescent="0.2"/>
    <row r="36136" s="197" customFormat="1" ht="12.75" x14ac:dyDescent="0.2"/>
    <row r="36137" s="197" customFormat="1" ht="12.75" x14ac:dyDescent="0.2"/>
    <row r="36138" s="197" customFormat="1" ht="12.75" x14ac:dyDescent="0.2"/>
    <row r="36139" s="197" customFormat="1" ht="12.75" x14ac:dyDescent="0.2"/>
    <row r="36140" s="197" customFormat="1" ht="12.75" x14ac:dyDescent="0.2"/>
    <row r="36141" s="197" customFormat="1" ht="12.75" x14ac:dyDescent="0.2"/>
    <row r="36142" s="197" customFormat="1" ht="12.75" x14ac:dyDescent="0.2"/>
    <row r="36143" s="197" customFormat="1" ht="12.75" x14ac:dyDescent="0.2"/>
    <row r="36144" s="197" customFormat="1" ht="12.75" x14ac:dyDescent="0.2"/>
    <row r="36145" s="197" customFormat="1" ht="12.75" x14ac:dyDescent="0.2"/>
    <row r="36146" s="197" customFormat="1" ht="12.75" x14ac:dyDescent="0.2"/>
    <row r="36147" s="197" customFormat="1" ht="12.75" x14ac:dyDescent="0.2"/>
    <row r="36148" s="197" customFormat="1" ht="12.75" x14ac:dyDescent="0.2"/>
    <row r="36149" s="197" customFormat="1" ht="12.75" x14ac:dyDescent="0.2"/>
    <row r="36150" s="197" customFormat="1" ht="12.75" x14ac:dyDescent="0.2"/>
    <row r="36151" s="197" customFormat="1" ht="12.75" x14ac:dyDescent="0.2"/>
    <row r="36152" s="197" customFormat="1" ht="12.75" x14ac:dyDescent="0.2"/>
    <row r="36153" s="197" customFormat="1" ht="12.75" x14ac:dyDescent="0.2"/>
    <row r="36154" s="197" customFormat="1" ht="12.75" x14ac:dyDescent="0.2"/>
    <row r="36155" s="197" customFormat="1" ht="12.75" x14ac:dyDescent="0.2"/>
    <row r="36156" s="197" customFormat="1" ht="12.75" x14ac:dyDescent="0.2"/>
    <row r="36157" s="197" customFormat="1" ht="12.75" x14ac:dyDescent="0.2"/>
    <row r="36158" s="197" customFormat="1" ht="12.75" x14ac:dyDescent="0.2"/>
    <row r="36159" s="197" customFormat="1" ht="12.75" x14ac:dyDescent="0.2"/>
    <row r="36160" s="197" customFormat="1" ht="12.75" x14ac:dyDescent="0.2"/>
    <row r="36161" s="197" customFormat="1" ht="12.75" x14ac:dyDescent="0.2"/>
    <row r="36162" s="197" customFormat="1" ht="12.75" x14ac:dyDescent="0.2"/>
    <row r="36163" s="197" customFormat="1" ht="12.75" x14ac:dyDescent="0.2"/>
    <row r="36164" s="197" customFormat="1" ht="12.75" x14ac:dyDescent="0.2"/>
    <row r="36165" s="197" customFormat="1" ht="12.75" x14ac:dyDescent="0.2"/>
    <row r="36166" s="197" customFormat="1" ht="12.75" x14ac:dyDescent="0.2"/>
    <row r="36167" s="197" customFormat="1" ht="12.75" x14ac:dyDescent="0.2"/>
    <row r="36168" s="197" customFormat="1" ht="12.75" x14ac:dyDescent="0.2"/>
    <row r="36169" s="197" customFormat="1" ht="12.75" x14ac:dyDescent="0.2"/>
    <row r="36170" s="197" customFormat="1" ht="12.75" x14ac:dyDescent="0.2"/>
    <row r="36171" s="197" customFormat="1" ht="12.75" x14ac:dyDescent="0.2"/>
    <row r="36172" s="197" customFormat="1" ht="12.75" x14ac:dyDescent="0.2"/>
    <row r="36173" s="197" customFormat="1" ht="12.75" x14ac:dyDescent="0.2"/>
    <row r="36174" s="197" customFormat="1" ht="12.75" x14ac:dyDescent="0.2"/>
    <row r="36175" s="197" customFormat="1" ht="12.75" x14ac:dyDescent="0.2"/>
    <row r="36176" s="197" customFormat="1" ht="12.75" x14ac:dyDescent="0.2"/>
    <row r="36177" s="197" customFormat="1" ht="12.75" x14ac:dyDescent="0.2"/>
    <row r="36178" s="197" customFormat="1" ht="12.75" x14ac:dyDescent="0.2"/>
    <row r="36179" s="197" customFormat="1" ht="12.75" x14ac:dyDescent="0.2"/>
    <row r="36180" s="197" customFormat="1" ht="12.75" x14ac:dyDescent="0.2"/>
    <row r="36181" s="197" customFormat="1" ht="12.75" x14ac:dyDescent="0.2"/>
    <row r="36182" s="197" customFormat="1" ht="12.75" x14ac:dyDescent="0.2"/>
    <row r="36183" s="197" customFormat="1" ht="12.75" x14ac:dyDescent="0.2"/>
    <row r="36184" s="197" customFormat="1" ht="12.75" x14ac:dyDescent="0.2"/>
    <row r="36185" s="197" customFormat="1" ht="12.75" x14ac:dyDescent="0.2"/>
    <row r="36186" s="197" customFormat="1" ht="12.75" x14ac:dyDescent="0.2"/>
    <row r="36187" s="197" customFormat="1" ht="12.75" x14ac:dyDescent="0.2"/>
    <row r="36188" s="197" customFormat="1" ht="12.75" x14ac:dyDescent="0.2"/>
    <row r="36189" s="197" customFormat="1" ht="12.75" x14ac:dyDescent="0.2"/>
    <row r="36190" s="197" customFormat="1" ht="12.75" x14ac:dyDescent="0.2"/>
    <row r="36191" s="197" customFormat="1" ht="12.75" x14ac:dyDescent="0.2"/>
    <row r="36192" s="197" customFormat="1" ht="12.75" x14ac:dyDescent="0.2"/>
    <row r="36193" s="197" customFormat="1" ht="12.75" x14ac:dyDescent="0.2"/>
    <row r="36194" s="197" customFormat="1" ht="12.75" x14ac:dyDescent="0.2"/>
    <row r="36195" s="197" customFormat="1" ht="12.75" x14ac:dyDescent="0.2"/>
    <row r="36196" s="197" customFormat="1" ht="12.75" x14ac:dyDescent="0.2"/>
    <row r="36197" s="197" customFormat="1" ht="12.75" x14ac:dyDescent="0.2"/>
    <row r="36198" s="197" customFormat="1" ht="12.75" x14ac:dyDescent="0.2"/>
    <row r="36199" s="197" customFormat="1" ht="12.75" x14ac:dyDescent="0.2"/>
    <row r="36200" s="197" customFormat="1" ht="12.75" x14ac:dyDescent="0.2"/>
    <row r="36201" s="197" customFormat="1" ht="12.75" x14ac:dyDescent="0.2"/>
    <row r="36202" s="197" customFormat="1" ht="12.75" x14ac:dyDescent="0.2"/>
    <row r="36203" s="197" customFormat="1" ht="12.75" x14ac:dyDescent="0.2"/>
    <row r="36204" s="197" customFormat="1" ht="12.75" x14ac:dyDescent="0.2"/>
    <row r="36205" s="197" customFormat="1" ht="12.75" x14ac:dyDescent="0.2"/>
    <row r="36206" s="197" customFormat="1" ht="12.75" x14ac:dyDescent="0.2"/>
    <row r="36207" s="197" customFormat="1" ht="12.75" x14ac:dyDescent="0.2"/>
    <row r="36208" s="197" customFormat="1" ht="12.75" x14ac:dyDescent="0.2"/>
    <row r="36209" s="197" customFormat="1" ht="12.75" x14ac:dyDescent="0.2"/>
    <row r="36210" s="197" customFormat="1" ht="12.75" x14ac:dyDescent="0.2"/>
    <row r="36211" s="197" customFormat="1" ht="12.75" x14ac:dyDescent="0.2"/>
    <row r="36212" s="197" customFormat="1" ht="12.75" x14ac:dyDescent="0.2"/>
    <row r="36213" s="197" customFormat="1" ht="12.75" x14ac:dyDescent="0.2"/>
    <row r="36214" s="197" customFormat="1" ht="12.75" x14ac:dyDescent="0.2"/>
    <row r="36215" s="197" customFormat="1" ht="12.75" x14ac:dyDescent="0.2"/>
    <row r="36216" s="197" customFormat="1" ht="12.75" x14ac:dyDescent="0.2"/>
    <row r="36217" s="197" customFormat="1" ht="12.75" x14ac:dyDescent="0.2"/>
    <row r="36218" s="197" customFormat="1" ht="12.75" x14ac:dyDescent="0.2"/>
    <row r="36219" s="197" customFormat="1" ht="12.75" x14ac:dyDescent="0.2"/>
    <row r="36220" s="197" customFormat="1" ht="12.75" x14ac:dyDescent="0.2"/>
    <row r="36221" s="197" customFormat="1" ht="12.75" x14ac:dyDescent="0.2"/>
    <row r="36222" s="197" customFormat="1" ht="12.75" x14ac:dyDescent="0.2"/>
    <row r="36223" s="197" customFormat="1" ht="12.75" x14ac:dyDescent="0.2"/>
    <row r="36224" s="197" customFormat="1" ht="12.75" x14ac:dyDescent="0.2"/>
    <row r="36225" s="197" customFormat="1" ht="12.75" x14ac:dyDescent="0.2"/>
    <row r="36226" s="197" customFormat="1" ht="12.75" x14ac:dyDescent="0.2"/>
    <row r="36227" s="197" customFormat="1" ht="12.75" x14ac:dyDescent="0.2"/>
    <row r="36228" s="197" customFormat="1" ht="12.75" x14ac:dyDescent="0.2"/>
    <row r="36229" s="197" customFormat="1" ht="12.75" x14ac:dyDescent="0.2"/>
    <row r="36230" s="197" customFormat="1" ht="12.75" x14ac:dyDescent="0.2"/>
    <row r="36231" s="197" customFormat="1" ht="12.75" x14ac:dyDescent="0.2"/>
    <row r="36232" s="197" customFormat="1" ht="12.75" x14ac:dyDescent="0.2"/>
    <row r="36233" s="197" customFormat="1" ht="12.75" x14ac:dyDescent="0.2"/>
    <row r="36234" s="197" customFormat="1" ht="12.75" x14ac:dyDescent="0.2"/>
    <row r="36235" s="197" customFormat="1" ht="12.75" x14ac:dyDescent="0.2"/>
    <row r="36236" s="197" customFormat="1" ht="12.75" x14ac:dyDescent="0.2"/>
    <row r="36237" s="197" customFormat="1" ht="12.75" x14ac:dyDescent="0.2"/>
    <row r="36238" s="197" customFormat="1" ht="12.75" x14ac:dyDescent="0.2"/>
    <row r="36239" s="197" customFormat="1" ht="12.75" x14ac:dyDescent="0.2"/>
    <row r="36240" s="197" customFormat="1" ht="12.75" x14ac:dyDescent="0.2"/>
    <row r="36241" s="197" customFormat="1" ht="12.75" x14ac:dyDescent="0.2"/>
    <row r="36242" s="197" customFormat="1" ht="12.75" x14ac:dyDescent="0.2"/>
    <row r="36243" s="197" customFormat="1" ht="12.75" x14ac:dyDescent="0.2"/>
    <row r="36244" s="197" customFormat="1" ht="12.75" x14ac:dyDescent="0.2"/>
    <row r="36245" s="197" customFormat="1" ht="12.75" x14ac:dyDescent="0.2"/>
    <row r="36246" s="197" customFormat="1" ht="12.75" x14ac:dyDescent="0.2"/>
    <row r="36247" s="197" customFormat="1" ht="12.75" x14ac:dyDescent="0.2"/>
    <row r="36248" s="197" customFormat="1" ht="12.75" x14ac:dyDescent="0.2"/>
    <row r="36249" s="197" customFormat="1" ht="12.75" x14ac:dyDescent="0.2"/>
    <row r="36250" s="197" customFormat="1" ht="12.75" x14ac:dyDescent="0.2"/>
    <row r="36251" s="197" customFormat="1" ht="12.75" x14ac:dyDescent="0.2"/>
    <row r="36252" s="197" customFormat="1" ht="12.75" x14ac:dyDescent="0.2"/>
    <row r="36253" s="197" customFormat="1" ht="12.75" x14ac:dyDescent="0.2"/>
    <row r="36254" s="197" customFormat="1" ht="12.75" x14ac:dyDescent="0.2"/>
    <row r="36255" s="197" customFormat="1" ht="12.75" x14ac:dyDescent="0.2"/>
    <row r="36256" s="197" customFormat="1" ht="12.75" x14ac:dyDescent="0.2"/>
    <row r="36257" s="197" customFormat="1" ht="12.75" x14ac:dyDescent="0.2"/>
    <row r="36258" s="197" customFormat="1" ht="12.75" x14ac:dyDescent="0.2"/>
    <row r="36259" s="197" customFormat="1" ht="12.75" x14ac:dyDescent="0.2"/>
    <row r="36260" s="197" customFormat="1" ht="12.75" x14ac:dyDescent="0.2"/>
    <row r="36261" s="197" customFormat="1" ht="12.75" x14ac:dyDescent="0.2"/>
    <row r="36262" s="197" customFormat="1" ht="12.75" x14ac:dyDescent="0.2"/>
    <row r="36263" s="197" customFormat="1" ht="12.75" x14ac:dyDescent="0.2"/>
    <row r="36264" s="197" customFormat="1" ht="12.75" x14ac:dyDescent="0.2"/>
    <row r="36265" s="197" customFormat="1" ht="12.75" x14ac:dyDescent="0.2"/>
    <row r="36266" s="197" customFormat="1" ht="12.75" x14ac:dyDescent="0.2"/>
    <row r="36267" s="197" customFormat="1" ht="12.75" x14ac:dyDescent="0.2"/>
    <row r="36268" s="197" customFormat="1" ht="12.75" x14ac:dyDescent="0.2"/>
    <row r="36269" s="197" customFormat="1" ht="12.75" x14ac:dyDescent="0.2"/>
    <row r="36270" s="197" customFormat="1" ht="12.75" x14ac:dyDescent="0.2"/>
    <row r="36271" s="197" customFormat="1" ht="12.75" x14ac:dyDescent="0.2"/>
    <row r="36272" s="197" customFormat="1" ht="12.75" x14ac:dyDescent="0.2"/>
    <row r="36273" s="197" customFormat="1" ht="12.75" x14ac:dyDescent="0.2"/>
    <row r="36274" s="197" customFormat="1" ht="12.75" x14ac:dyDescent="0.2"/>
    <row r="36275" s="197" customFormat="1" ht="12.75" x14ac:dyDescent="0.2"/>
    <row r="36276" s="197" customFormat="1" ht="12.75" x14ac:dyDescent="0.2"/>
    <row r="36277" s="197" customFormat="1" ht="12.75" x14ac:dyDescent="0.2"/>
    <row r="36278" s="197" customFormat="1" ht="12.75" x14ac:dyDescent="0.2"/>
    <row r="36279" s="197" customFormat="1" ht="12.75" x14ac:dyDescent="0.2"/>
    <row r="36280" s="197" customFormat="1" ht="12.75" x14ac:dyDescent="0.2"/>
    <row r="36281" s="197" customFormat="1" ht="12.75" x14ac:dyDescent="0.2"/>
    <row r="36282" s="197" customFormat="1" ht="12.75" x14ac:dyDescent="0.2"/>
    <row r="36283" s="197" customFormat="1" ht="12.75" x14ac:dyDescent="0.2"/>
    <row r="36284" s="197" customFormat="1" ht="12.75" x14ac:dyDescent="0.2"/>
    <row r="36285" s="197" customFormat="1" ht="12.75" x14ac:dyDescent="0.2"/>
    <row r="36286" s="197" customFormat="1" ht="12.75" x14ac:dyDescent="0.2"/>
    <row r="36287" s="197" customFormat="1" ht="12.75" x14ac:dyDescent="0.2"/>
    <row r="36288" s="197" customFormat="1" ht="12.75" x14ac:dyDescent="0.2"/>
    <row r="36289" s="197" customFormat="1" ht="12.75" x14ac:dyDescent="0.2"/>
    <row r="36290" s="197" customFormat="1" ht="12.75" x14ac:dyDescent="0.2"/>
    <row r="36291" s="197" customFormat="1" ht="12.75" x14ac:dyDescent="0.2"/>
    <row r="36292" s="197" customFormat="1" ht="12.75" x14ac:dyDescent="0.2"/>
    <row r="36293" s="197" customFormat="1" ht="12.75" x14ac:dyDescent="0.2"/>
    <row r="36294" s="197" customFormat="1" ht="12.75" x14ac:dyDescent="0.2"/>
    <row r="36295" s="197" customFormat="1" ht="12.75" x14ac:dyDescent="0.2"/>
    <row r="36296" s="197" customFormat="1" ht="12.75" x14ac:dyDescent="0.2"/>
    <row r="36297" s="197" customFormat="1" ht="12.75" x14ac:dyDescent="0.2"/>
    <row r="36298" s="197" customFormat="1" ht="12.75" x14ac:dyDescent="0.2"/>
    <row r="36299" s="197" customFormat="1" ht="12.75" x14ac:dyDescent="0.2"/>
    <row r="36300" s="197" customFormat="1" ht="12.75" x14ac:dyDescent="0.2"/>
    <row r="36301" s="197" customFormat="1" ht="12.75" x14ac:dyDescent="0.2"/>
    <row r="36302" s="197" customFormat="1" ht="12.75" x14ac:dyDescent="0.2"/>
    <row r="36303" s="197" customFormat="1" ht="12.75" x14ac:dyDescent="0.2"/>
    <row r="36304" s="197" customFormat="1" ht="12.75" x14ac:dyDescent="0.2"/>
    <row r="36305" s="197" customFormat="1" ht="12.75" x14ac:dyDescent="0.2"/>
    <row r="36306" s="197" customFormat="1" ht="12.75" x14ac:dyDescent="0.2"/>
    <row r="36307" s="197" customFormat="1" ht="12.75" x14ac:dyDescent="0.2"/>
    <row r="36308" s="197" customFormat="1" ht="12.75" x14ac:dyDescent="0.2"/>
    <row r="36309" s="197" customFormat="1" ht="12.75" x14ac:dyDescent="0.2"/>
    <row r="36310" s="197" customFormat="1" ht="12.75" x14ac:dyDescent="0.2"/>
    <row r="36311" s="197" customFormat="1" ht="12.75" x14ac:dyDescent="0.2"/>
    <row r="36312" s="197" customFormat="1" ht="12.75" x14ac:dyDescent="0.2"/>
    <row r="36313" s="197" customFormat="1" ht="12.75" x14ac:dyDescent="0.2"/>
    <row r="36314" s="197" customFormat="1" ht="12.75" x14ac:dyDescent="0.2"/>
    <row r="36315" s="197" customFormat="1" ht="12.75" x14ac:dyDescent="0.2"/>
    <row r="36316" s="197" customFormat="1" ht="12.75" x14ac:dyDescent="0.2"/>
    <row r="36317" s="197" customFormat="1" ht="12.75" x14ac:dyDescent="0.2"/>
    <row r="36318" s="197" customFormat="1" ht="12.75" x14ac:dyDescent="0.2"/>
    <row r="36319" s="197" customFormat="1" ht="12.75" x14ac:dyDescent="0.2"/>
    <row r="36320" s="197" customFormat="1" ht="12.75" x14ac:dyDescent="0.2"/>
    <row r="36321" s="197" customFormat="1" ht="12.75" x14ac:dyDescent="0.2"/>
    <row r="36322" s="197" customFormat="1" ht="12.75" x14ac:dyDescent="0.2"/>
    <row r="36323" s="197" customFormat="1" ht="12.75" x14ac:dyDescent="0.2"/>
    <row r="36324" s="197" customFormat="1" ht="12.75" x14ac:dyDescent="0.2"/>
    <row r="36325" s="197" customFormat="1" ht="12.75" x14ac:dyDescent="0.2"/>
    <row r="36326" s="197" customFormat="1" ht="12.75" x14ac:dyDescent="0.2"/>
    <row r="36327" s="197" customFormat="1" ht="12.75" x14ac:dyDescent="0.2"/>
    <row r="36328" s="197" customFormat="1" ht="12.75" x14ac:dyDescent="0.2"/>
    <row r="36329" s="197" customFormat="1" ht="12.75" x14ac:dyDescent="0.2"/>
    <row r="36330" s="197" customFormat="1" ht="12.75" x14ac:dyDescent="0.2"/>
    <row r="36331" s="197" customFormat="1" ht="12.75" x14ac:dyDescent="0.2"/>
    <row r="36332" s="197" customFormat="1" ht="12.75" x14ac:dyDescent="0.2"/>
    <row r="36333" s="197" customFormat="1" ht="12.75" x14ac:dyDescent="0.2"/>
    <row r="36334" s="197" customFormat="1" ht="12.75" x14ac:dyDescent="0.2"/>
    <row r="36335" s="197" customFormat="1" ht="12.75" x14ac:dyDescent="0.2"/>
    <row r="36336" s="197" customFormat="1" ht="12.75" x14ac:dyDescent="0.2"/>
    <row r="36337" s="197" customFormat="1" ht="12.75" x14ac:dyDescent="0.2"/>
    <row r="36338" s="197" customFormat="1" ht="12.75" x14ac:dyDescent="0.2"/>
    <row r="36339" s="197" customFormat="1" ht="12.75" x14ac:dyDescent="0.2"/>
    <row r="36340" s="197" customFormat="1" ht="12.75" x14ac:dyDescent="0.2"/>
    <row r="36341" s="197" customFormat="1" ht="12.75" x14ac:dyDescent="0.2"/>
    <row r="36342" s="197" customFormat="1" ht="12.75" x14ac:dyDescent="0.2"/>
    <row r="36343" s="197" customFormat="1" ht="12.75" x14ac:dyDescent="0.2"/>
    <row r="36344" s="197" customFormat="1" ht="12.75" x14ac:dyDescent="0.2"/>
    <row r="36345" s="197" customFormat="1" ht="12.75" x14ac:dyDescent="0.2"/>
    <row r="36346" s="197" customFormat="1" ht="12.75" x14ac:dyDescent="0.2"/>
    <row r="36347" s="197" customFormat="1" ht="12.75" x14ac:dyDescent="0.2"/>
    <row r="36348" s="197" customFormat="1" ht="12.75" x14ac:dyDescent="0.2"/>
    <row r="36349" s="197" customFormat="1" ht="12.75" x14ac:dyDescent="0.2"/>
    <row r="36350" s="197" customFormat="1" ht="12.75" x14ac:dyDescent="0.2"/>
    <row r="36351" s="197" customFormat="1" ht="12.75" x14ac:dyDescent="0.2"/>
    <row r="36352" s="197" customFormat="1" ht="12.75" x14ac:dyDescent="0.2"/>
    <row r="36353" s="197" customFormat="1" ht="12.75" x14ac:dyDescent="0.2"/>
    <row r="36354" s="197" customFormat="1" ht="12.75" x14ac:dyDescent="0.2"/>
    <row r="36355" s="197" customFormat="1" ht="12.75" x14ac:dyDescent="0.2"/>
    <row r="36356" s="197" customFormat="1" ht="12.75" x14ac:dyDescent="0.2"/>
    <row r="36357" s="197" customFormat="1" ht="12.75" x14ac:dyDescent="0.2"/>
    <row r="36358" s="197" customFormat="1" ht="12.75" x14ac:dyDescent="0.2"/>
    <row r="36359" s="197" customFormat="1" ht="12.75" x14ac:dyDescent="0.2"/>
    <row r="36360" s="197" customFormat="1" ht="12.75" x14ac:dyDescent="0.2"/>
    <row r="36361" s="197" customFormat="1" ht="12.75" x14ac:dyDescent="0.2"/>
    <row r="36362" s="197" customFormat="1" ht="12.75" x14ac:dyDescent="0.2"/>
    <row r="36363" s="197" customFormat="1" ht="12.75" x14ac:dyDescent="0.2"/>
    <row r="36364" s="197" customFormat="1" ht="12.75" x14ac:dyDescent="0.2"/>
    <row r="36365" s="197" customFormat="1" ht="12.75" x14ac:dyDescent="0.2"/>
    <row r="36366" s="197" customFormat="1" ht="12.75" x14ac:dyDescent="0.2"/>
    <row r="36367" s="197" customFormat="1" ht="12.75" x14ac:dyDescent="0.2"/>
    <row r="36368" s="197" customFormat="1" ht="12.75" x14ac:dyDescent="0.2"/>
    <row r="36369" s="197" customFormat="1" ht="12.75" x14ac:dyDescent="0.2"/>
    <row r="36370" s="197" customFormat="1" ht="12.75" x14ac:dyDescent="0.2"/>
    <row r="36371" s="197" customFormat="1" ht="12.75" x14ac:dyDescent="0.2"/>
    <row r="36372" s="197" customFormat="1" ht="12.75" x14ac:dyDescent="0.2"/>
    <row r="36373" s="197" customFormat="1" ht="12.75" x14ac:dyDescent="0.2"/>
    <row r="36374" s="197" customFormat="1" ht="12.75" x14ac:dyDescent="0.2"/>
    <row r="36375" s="197" customFormat="1" ht="12.75" x14ac:dyDescent="0.2"/>
    <row r="36376" s="197" customFormat="1" ht="12.75" x14ac:dyDescent="0.2"/>
    <row r="36377" s="197" customFormat="1" ht="12.75" x14ac:dyDescent="0.2"/>
    <row r="36378" s="197" customFormat="1" ht="12.75" x14ac:dyDescent="0.2"/>
    <row r="36379" s="197" customFormat="1" ht="12.75" x14ac:dyDescent="0.2"/>
    <row r="36380" s="197" customFormat="1" ht="12.75" x14ac:dyDescent="0.2"/>
    <row r="36381" s="197" customFormat="1" ht="12.75" x14ac:dyDescent="0.2"/>
    <row r="36382" s="197" customFormat="1" ht="12.75" x14ac:dyDescent="0.2"/>
    <row r="36383" s="197" customFormat="1" ht="12.75" x14ac:dyDescent="0.2"/>
    <row r="36384" s="197" customFormat="1" ht="12.75" x14ac:dyDescent="0.2"/>
    <row r="36385" s="197" customFormat="1" ht="12.75" x14ac:dyDescent="0.2"/>
    <row r="36386" s="197" customFormat="1" ht="12.75" x14ac:dyDescent="0.2"/>
    <row r="36387" s="197" customFormat="1" ht="12.75" x14ac:dyDescent="0.2"/>
    <row r="36388" s="197" customFormat="1" ht="12.75" x14ac:dyDescent="0.2"/>
    <row r="36389" s="197" customFormat="1" ht="12.75" x14ac:dyDescent="0.2"/>
    <row r="36390" s="197" customFormat="1" ht="12.75" x14ac:dyDescent="0.2"/>
    <row r="36391" s="197" customFormat="1" ht="12.75" x14ac:dyDescent="0.2"/>
    <row r="36392" s="197" customFormat="1" ht="12.75" x14ac:dyDescent="0.2"/>
    <row r="36393" s="197" customFormat="1" ht="12.75" x14ac:dyDescent="0.2"/>
    <row r="36394" s="197" customFormat="1" ht="12.75" x14ac:dyDescent="0.2"/>
    <row r="36395" s="197" customFormat="1" ht="12.75" x14ac:dyDescent="0.2"/>
    <row r="36396" s="197" customFormat="1" ht="12.75" x14ac:dyDescent="0.2"/>
    <row r="36397" s="197" customFormat="1" ht="12.75" x14ac:dyDescent="0.2"/>
    <row r="36398" s="197" customFormat="1" ht="12.75" x14ac:dyDescent="0.2"/>
    <row r="36399" s="197" customFormat="1" ht="12.75" x14ac:dyDescent="0.2"/>
    <row r="36400" s="197" customFormat="1" ht="12.75" x14ac:dyDescent="0.2"/>
    <row r="36401" s="197" customFormat="1" ht="12.75" x14ac:dyDescent="0.2"/>
    <row r="36402" s="197" customFormat="1" ht="12.75" x14ac:dyDescent="0.2"/>
    <row r="36403" s="197" customFormat="1" ht="12.75" x14ac:dyDescent="0.2"/>
    <row r="36404" s="197" customFormat="1" ht="12.75" x14ac:dyDescent="0.2"/>
    <row r="36405" s="197" customFormat="1" ht="12.75" x14ac:dyDescent="0.2"/>
    <row r="36406" s="197" customFormat="1" ht="12.75" x14ac:dyDescent="0.2"/>
    <row r="36407" s="197" customFormat="1" ht="12.75" x14ac:dyDescent="0.2"/>
    <row r="36408" s="197" customFormat="1" ht="12.75" x14ac:dyDescent="0.2"/>
    <row r="36409" s="197" customFormat="1" ht="12.75" x14ac:dyDescent="0.2"/>
    <row r="36410" s="197" customFormat="1" ht="12.75" x14ac:dyDescent="0.2"/>
    <row r="36411" s="197" customFormat="1" ht="12.75" x14ac:dyDescent="0.2"/>
    <row r="36412" s="197" customFormat="1" ht="12.75" x14ac:dyDescent="0.2"/>
    <row r="36413" s="197" customFormat="1" ht="12.75" x14ac:dyDescent="0.2"/>
    <row r="36414" s="197" customFormat="1" ht="12.75" x14ac:dyDescent="0.2"/>
    <row r="36415" s="197" customFormat="1" ht="12.75" x14ac:dyDescent="0.2"/>
    <row r="36416" s="197" customFormat="1" ht="12.75" x14ac:dyDescent="0.2"/>
    <row r="36417" s="197" customFormat="1" ht="12.75" x14ac:dyDescent="0.2"/>
    <row r="36418" s="197" customFormat="1" ht="12.75" x14ac:dyDescent="0.2"/>
    <row r="36419" s="197" customFormat="1" ht="12.75" x14ac:dyDescent="0.2"/>
    <row r="36420" s="197" customFormat="1" ht="12.75" x14ac:dyDescent="0.2"/>
    <row r="36421" s="197" customFormat="1" ht="12.75" x14ac:dyDescent="0.2"/>
    <row r="36422" s="197" customFormat="1" ht="12.75" x14ac:dyDescent="0.2"/>
    <row r="36423" s="197" customFormat="1" ht="12.75" x14ac:dyDescent="0.2"/>
    <row r="36424" s="197" customFormat="1" ht="12.75" x14ac:dyDescent="0.2"/>
    <row r="36425" s="197" customFormat="1" ht="12.75" x14ac:dyDescent="0.2"/>
    <row r="36426" s="197" customFormat="1" ht="12.75" x14ac:dyDescent="0.2"/>
    <row r="36427" s="197" customFormat="1" ht="12.75" x14ac:dyDescent="0.2"/>
    <row r="36428" s="197" customFormat="1" ht="12.75" x14ac:dyDescent="0.2"/>
    <row r="36429" s="197" customFormat="1" ht="12.75" x14ac:dyDescent="0.2"/>
    <row r="36430" s="197" customFormat="1" ht="12.75" x14ac:dyDescent="0.2"/>
    <row r="36431" s="197" customFormat="1" ht="12.75" x14ac:dyDescent="0.2"/>
    <row r="36432" s="197" customFormat="1" ht="12.75" x14ac:dyDescent="0.2"/>
    <row r="36433" s="197" customFormat="1" ht="12.75" x14ac:dyDescent="0.2"/>
    <row r="36434" s="197" customFormat="1" ht="12.75" x14ac:dyDescent="0.2"/>
    <row r="36435" s="197" customFormat="1" ht="12.75" x14ac:dyDescent="0.2"/>
    <row r="36436" s="197" customFormat="1" ht="12.75" x14ac:dyDescent="0.2"/>
    <row r="36437" s="197" customFormat="1" ht="12.75" x14ac:dyDescent="0.2"/>
    <row r="36438" s="197" customFormat="1" ht="12.75" x14ac:dyDescent="0.2"/>
    <row r="36439" s="197" customFormat="1" ht="12.75" x14ac:dyDescent="0.2"/>
    <row r="36440" s="197" customFormat="1" ht="12.75" x14ac:dyDescent="0.2"/>
    <row r="36441" s="197" customFormat="1" ht="12.75" x14ac:dyDescent="0.2"/>
    <row r="36442" s="197" customFormat="1" ht="12.75" x14ac:dyDescent="0.2"/>
    <row r="36443" s="197" customFormat="1" ht="12.75" x14ac:dyDescent="0.2"/>
    <row r="36444" s="197" customFormat="1" ht="12.75" x14ac:dyDescent="0.2"/>
    <row r="36445" s="197" customFormat="1" ht="12.75" x14ac:dyDescent="0.2"/>
    <row r="36446" s="197" customFormat="1" ht="12.75" x14ac:dyDescent="0.2"/>
    <row r="36447" s="197" customFormat="1" ht="12.75" x14ac:dyDescent="0.2"/>
    <row r="36448" s="197" customFormat="1" ht="12.75" x14ac:dyDescent="0.2"/>
    <row r="36449" s="197" customFormat="1" ht="12.75" x14ac:dyDescent="0.2"/>
    <row r="36450" s="197" customFormat="1" ht="12.75" x14ac:dyDescent="0.2"/>
    <row r="36451" s="197" customFormat="1" ht="12.75" x14ac:dyDescent="0.2"/>
    <row r="36452" s="197" customFormat="1" ht="12.75" x14ac:dyDescent="0.2"/>
    <row r="36453" s="197" customFormat="1" ht="12.75" x14ac:dyDescent="0.2"/>
    <row r="36454" s="197" customFormat="1" ht="12.75" x14ac:dyDescent="0.2"/>
    <row r="36455" s="197" customFormat="1" ht="12.75" x14ac:dyDescent="0.2"/>
    <row r="36456" s="197" customFormat="1" ht="12.75" x14ac:dyDescent="0.2"/>
    <row r="36457" s="197" customFormat="1" ht="12.75" x14ac:dyDescent="0.2"/>
    <row r="36458" s="197" customFormat="1" ht="12.75" x14ac:dyDescent="0.2"/>
    <row r="36459" s="197" customFormat="1" ht="12.75" x14ac:dyDescent="0.2"/>
    <row r="36460" s="197" customFormat="1" ht="12.75" x14ac:dyDescent="0.2"/>
    <row r="36461" s="197" customFormat="1" ht="12.75" x14ac:dyDescent="0.2"/>
    <row r="36462" s="197" customFormat="1" ht="12.75" x14ac:dyDescent="0.2"/>
    <row r="36463" s="197" customFormat="1" ht="12.75" x14ac:dyDescent="0.2"/>
    <row r="36464" s="197" customFormat="1" ht="12.75" x14ac:dyDescent="0.2"/>
    <row r="36465" s="197" customFormat="1" ht="12.75" x14ac:dyDescent="0.2"/>
    <row r="36466" s="197" customFormat="1" ht="12.75" x14ac:dyDescent="0.2"/>
    <row r="36467" s="197" customFormat="1" ht="12.75" x14ac:dyDescent="0.2"/>
    <row r="36468" s="197" customFormat="1" ht="12.75" x14ac:dyDescent="0.2"/>
    <row r="36469" s="197" customFormat="1" ht="12.75" x14ac:dyDescent="0.2"/>
    <row r="36470" s="197" customFormat="1" ht="12.75" x14ac:dyDescent="0.2"/>
    <row r="36471" s="197" customFormat="1" ht="12.75" x14ac:dyDescent="0.2"/>
    <row r="36472" s="197" customFormat="1" ht="12.75" x14ac:dyDescent="0.2"/>
    <row r="36473" s="197" customFormat="1" ht="12.75" x14ac:dyDescent="0.2"/>
    <row r="36474" s="197" customFormat="1" ht="12.75" x14ac:dyDescent="0.2"/>
    <row r="36475" s="197" customFormat="1" ht="12.75" x14ac:dyDescent="0.2"/>
    <row r="36476" s="197" customFormat="1" ht="12.75" x14ac:dyDescent="0.2"/>
    <row r="36477" s="197" customFormat="1" ht="12.75" x14ac:dyDescent="0.2"/>
    <row r="36478" s="197" customFormat="1" ht="12.75" x14ac:dyDescent="0.2"/>
    <row r="36479" s="197" customFormat="1" ht="12.75" x14ac:dyDescent="0.2"/>
    <row r="36480" s="197" customFormat="1" ht="12.75" x14ac:dyDescent="0.2"/>
    <row r="36481" s="197" customFormat="1" ht="12.75" x14ac:dyDescent="0.2"/>
    <row r="36482" s="197" customFormat="1" ht="12.75" x14ac:dyDescent="0.2"/>
    <row r="36483" s="197" customFormat="1" ht="12.75" x14ac:dyDescent="0.2"/>
    <row r="36484" s="197" customFormat="1" ht="12.75" x14ac:dyDescent="0.2"/>
    <row r="36485" s="197" customFormat="1" ht="12.75" x14ac:dyDescent="0.2"/>
    <row r="36486" s="197" customFormat="1" ht="12.75" x14ac:dyDescent="0.2"/>
    <row r="36487" s="197" customFormat="1" ht="12.75" x14ac:dyDescent="0.2"/>
    <row r="36488" s="197" customFormat="1" ht="12.75" x14ac:dyDescent="0.2"/>
    <row r="36489" s="197" customFormat="1" ht="12.75" x14ac:dyDescent="0.2"/>
    <row r="36490" s="197" customFormat="1" ht="12.75" x14ac:dyDescent="0.2"/>
    <row r="36491" s="197" customFormat="1" ht="12.75" x14ac:dyDescent="0.2"/>
    <row r="36492" s="197" customFormat="1" ht="12.75" x14ac:dyDescent="0.2"/>
    <row r="36493" s="197" customFormat="1" ht="12.75" x14ac:dyDescent="0.2"/>
    <row r="36494" s="197" customFormat="1" ht="12.75" x14ac:dyDescent="0.2"/>
    <row r="36495" s="197" customFormat="1" ht="12.75" x14ac:dyDescent="0.2"/>
    <row r="36496" s="197" customFormat="1" ht="12.75" x14ac:dyDescent="0.2"/>
    <row r="36497" s="197" customFormat="1" ht="12.75" x14ac:dyDescent="0.2"/>
    <row r="36498" s="197" customFormat="1" ht="12.75" x14ac:dyDescent="0.2"/>
    <row r="36499" s="197" customFormat="1" ht="12.75" x14ac:dyDescent="0.2"/>
    <row r="36500" s="197" customFormat="1" ht="12.75" x14ac:dyDescent="0.2"/>
    <row r="36501" s="197" customFormat="1" ht="12.75" x14ac:dyDescent="0.2"/>
    <row r="36502" s="197" customFormat="1" ht="12.75" x14ac:dyDescent="0.2"/>
    <row r="36503" s="197" customFormat="1" ht="12.75" x14ac:dyDescent="0.2"/>
    <row r="36504" s="197" customFormat="1" ht="12.75" x14ac:dyDescent="0.2"/>
    <row r="36505" s="197" customFormat="1" ht="12.75" x14ac:dyDescent="0.2"/>
    <row r="36506" s="197" customFormat="1" ht="12.75" x14ac:dyDescent="0.2"/>
    <row r="36507" s="197" customFormat="1" ht="12.75" x14ac:dyDescent="0.2"/>
    <row r="36508" s="197" customFormat="1" ht="12.75" x14ac:dyDescent="0.2"/>
    <row r="36509" s="197" customFormat="1" ht="12.75" x14ac:dyDescent="0.2"/>
    <row r="36510" s="197" customFormat="1" ht="12.75" x14ac:dyDescent="0.2"/>
    <row r="36511" s="197" customFormat="1" ht="12.75" x14ac:dyDescent="0.2"/>
    <row r="36512" s="197" customFormat="1" ht="12.75" x14ac:dyDescent="0.2"/>
    <row r="36513" s="197" customFormat="1" ht="12.75" x14ac:dyDescent="0.2"/>
    <row r="36514" s="197" customFormat="1" ht="12.75" x14ac:dyDescent="0.2"/>
    <row r="36515" s="197" customFormat="1" ht="12.75" x14ac:dyDescent="0.2"/>
    <row r="36516" s="197" customFormat="1" ht="12.75" x14ac:dyDescent="0.2"/>
    <row r="36517" s="197" customFormat="1" ht="12.75" x14ac:dyDescent="0.2"/>
    <row r="36518" s="197" customFormat="1" ht="12.75" x14ac:dyDescent="0.2"/>
    <row r="36519" s="197" customFormat="1" ht="12.75" x14ac:dyDescent="0.2"/>
    <row r="36520" s="197" customFormat="1" ht="12.75" x14ac:dyDescent="0.2"/>
    <row r="36521" s="197" customFormat="1" ht="12.75" x14ac:dyDescent="0.2"/>
    <row r="36522" s="197" customFormat="1" ht="12.75" x14ac:dyDescent="0.2"/>
    <row r="36523" s="197" customFormat="1" ht="12.75" x14ac:dyDescent="0.2"/>
    <row r="36524" s="197" customFormat="1" ht="12.75" x14ac:dyDescent="0.2"/>
    <row r="36525" s="197" customFormat="1" ht="12.75" x14ac:dyDescent="0.2"/>
    <row r="36526" s="197" customFormat="1" ht="12.75" x14ac:dyDescent="0.2"/>
    <row r="36527" s="197" customFormat="1" ht="12.75" x14ac:dyDescent="0.2"/>
    <row r="36528" s="197" customFormat="1" ht="12.75" x14ac:dyDescent="0.2"/>
    <row r="36529" s="197" customFormat="1" ht="12.75" x14ac:dyDescent="0.2"/>
    <row r="36530" s="197" customFormat="1" ht="12.75" x14ac:dyDescent="0.2"/>
    <row r="36531" s="197" customFormat="1" ht="12.75" x14ac:dyDescent="0.2"/>
    <row r="36532" s="197" customFormat="1" ht="12.75" x14ac:dyDescent="0.2"/>
    <row r="36533" s="197" customFormat="1" ht="12.75" x14ac:dyDescent="0.2"/>
    <row r="36534" s="197" customFormat="1" ht="12.75" x14ac:dyDescent="0.2"/>
    <row r="36535" s="197" customFormat="1" ht="12.75" x14ac:dyDescent="0.2"/>
    <row r="36536" s="197" customFormat="1" ht="12.75" x14ac:dyDescent="0.2"/>
    <row r="36537" s="197" customFormat="1" ht="12.75" x14ac:dyDescent="0.2"/>
    <row r="36538" s="197" customFormat="1" ht="12.75" x14ac:dyDescent="0.2"/>
    <row r="36539" s="197" customFormat="1" ht="12.75" x14ac:dyDescent="0.2"/>
    <row r="36540" s="197" customFormat="1" ht="12.75" x14ac:dyDescent="0.2"/>
    <row r="36541" s="197" customFormat="1" ht="12.75" x14ac:dyDescent="0.2"/>
    <row r="36542" s="197" customFormat="1" ht="12.75" x14ac:dyDescent="0.2"/>
    <row r="36543" s="197" customFormat="1" ht="12.75" x14ac:dyDescent="0.2"/>
    <row r="36544" s="197" customFormat="1" ht="12.75" x14ac:dyDescent="0.2"/>
    <row r="36545" s="197" customFormat="1" ht="12.75" x14ac:dyDescent="0.2"/>
    <row r="36546" s="197" customFormat="1" ht="12.75" x14ac:dyDescent="0.2"/>
    <row r="36547" s="197" customFormat="1" ht="12.75" x14ac:dyDescent="0.2"/>
    <row r="36548" s="197" customFormat="1" ht="12.75" x14ac:dyDescent="0.2"/>
    <row r="36549" s="197" customFormat="1" ht="12.75" x14ac:dyDescent="0.2"/>
    <row r="36550" s="197" customFormat="1" ht="12.75" x14ac:dyDescent="0.2"/>
    <row r="36551" s="197" customFormat="1" ht="12.75" x14ac:dyDescent="0.2"/>
    <row r="36552" s="197" customFormat="1" ht="12.75" x14ac:dyDescent="0.2"/>
    <row r="36553" s="197" customFormat="1" ht="12.75" x14ac:dyDescent="0.2"/>
    <row r="36554" s="197" customFormat="1" ht="12.75" x14ac:dyDescent="0.2"/>
    <row r="36555" s="197" customFormat="1" ht="12.75" x14ac:dyDescent="0.2"/>
    <row r="36556" s="197" customFormat="1" ht="12.75" x14ac:dyDescent="0.2"/>
    <row r="36557" s="197" customFormat="1" ht="12.75" x14ac:dyDescent="0.2"/>
    <row r="36558" s="197" customFormat="1" ht="12.75" x14ac:dyDescent="0.2"/>
    <row r="36559" s="197" customFormat="1" ht="12.75" x14ac:dyDescent="0.2"/>
    <row r="36560" s="197" customFormat="1" ht="12.75" x14ac:dyDescent="0.2"/>
    <row r="36561" s="197" customFormat="1" ht="12.75" x14ac:dyDescent="0.2"/>
    <row r="36562" s="197" customFormat="1" ht="12.75" x14ac:dyDescent="0.2"/>
    <row r="36563" s="197" customFormat="1" ht="12.75" x14ac:dyDescent="0.2"/>
    <row r="36564" s="197" customFormat="1" ht="12.75" x14ac:dyDescent="0.2"/>
    <row r="36565" s="197" customFormat="1" ht="12.75" x14ac:dyDescent="0.2"/>
    <row r="36566" s="197" customFormat="1" ht="12.75" x14ac:dyDescent="0.2"/>
    <row r="36567" s="197" customFormat="1" ht="12.75" x14ac:dyDescent="0.2"/>
    <row r="36568" s="197" customFormat="1" ht="12.75" x14ac:dyDescent="0.2"/>
    <row r="36569" s="197" customFormat="1" ht="12.75" x14ac:dyDescent="0.2"/>
    <row r="36570" s="197" customFormat="1" ht="12.75" x14ac:dyDescent="0.2"/>
    <row r="36571" s="197" customFormat="1" ht="12.75" x14ac:dyDescent="0.2"/>
    <row r="36572" s="197" customFormat="1" ht="12.75" x14ac:dyDescent="0.2"/>
    <row r="36573" s="197" customFormat="1" ht="12.75" x14ac:dyDescent="0.2"/>
    <row r="36574" s="197" customFormat="1" ht="12.75" x14ac:dyDescent="0.2"/>
    <row r="36575" s="197" customFormat="1" ht="12.75" x14ac:dyDescent="0.2"/>
    <row r="36576" s="197" customFormat="1" ht="12.75" x14ac:dyDescent="0.2"/>
    <row r="36577" s="197" customFormat="1" ht="12.75" x14ac:dyDescent="0.2"/>
    <row r="36578" s="197" customFormat="1" ht="12.75" x14ac:dyDescent="0.2"/>
    <row r="36579" s="197" customFormat="1" ht="12.75" x14ac:dyDescent="0.2"/>
    <row r="36580" s="197" customFormat="1" ht="12.75" x14ac:dyDescent="0.2"/>
    <row r="36581" s="197" customFormat="1" ht="12.75" x14ac:dyDescent="0.2"/>
    <row r="36582" s="197" customFormat="1" ht="12.75" x14ac:dyDescent="0.2"/>
    <row r="36583" s="197" customFormat="1" ht="12.75" x14ac:dyDescent="0.2"/>
    <row r="36584" s="197" customFormat="1" ht="12.75" x14ac:dyDescent="0.2"/>
    <row r="36585" s="197" customFormat="1" ht="12.75" x14ac:dyDescent="0.2"/>
    <row r="36586" s="197" customFormat="1" ht="12.75" x14ac:dyDescent="0.2"/>
    <row r="36587" s="197" customFormat="1" ht="12.75" x14ac:dyDescent="0.2"/>
    <row r="36588" s="197" customFormat="1" ht="12.75" x14ac:dyDescent="0.2"/>
    <row r="36589" s="197" customFormat="1" ht="12.75" x14ac:dyDescent="0.2"/>
    <row r="36590" s="197" customFormat="1" ht="12.75" x14ac:dyDescent="0.2"/>
    <row r="36591" s="197" customFormat="1" ht="12.75" x14ac:dyDescent="0.2"/>
    <row r="36592" s="197" customFormat="1" ht="12.75" x14ac:dyDescent="0.2"/>
    <row r="36593" s="197" customFormat="1" ht="12.75" x14ac:dyDescent="0.2"/>
    <row r="36594" s="197" customFormat="1" ht="12.75" x14ac:dyDescent="0.2"/>
    <row r="36595" s="197" customFormat="1" ht="12.75" x14ac:dyDescent="0.2"/>
    <row r="36596" s="197" customFormat="1" ht="12.75" x14ac:dyDescent="0.2"/>
    <row r="36597" s="197" customFormat="1" ht="12.75" x14ac:dyDescent="0.2"/>
    <row r="36598" s="197" customFormat="1" ht="12.75" x14ac:dyDescent="0.2"/>
    <row r="36599" s="197" customFormat="1" ht="12.75" x14ac:dyDescent="0.2"/>
    <row r="36600" s="197" customFormat="1" ht="12.75" x14ac:dyDescent="0.2"/>
    <row r="36601" s="197" customFormat="1" ht="12.75" x14ac:dyDescent="0.2"/>
    <row r="36602" s="197" customFormat="1" ht="12.75" x14ac:dyDescent="0.2"/>
    <row r="36603" s="197" customFormat="1" ht="12.75" x14ac:dyDescent="0.2"/>
    <row r="36604" s="197" customFormat="1" ht="12.75" x14ac:dyDescent="0.2"/>
    <row r="36605" s="197" customFormat="1" ht="12.75" x14ac:dyDescent="0.2"/>
    <row r="36606" s="197" customFormat="1" ht="12.75" x14ac:dyDescent="0.2"/>
    <row r="36607" s="197" customFormat="1" ht="12.75" x14ac:dyDescent="0.2"/>
    <row r="36608" s="197" customFormat="1" ht="12.75" x14ac:dyDescent="0.2"/>
    <row r="36609" s="197" customFormat="1" ht="12.75" x14ac:dyDescent="0.2"/>
    <row r="36610" s="197" customFormat="1" ht="12.75" x14ac:dyDescent="0.2"/>
    <row r="36611" s="197" customFormat="1" ht="12.75" x14ac:dyDescent="0.2"/>
    <row r="36612" s="197" customFormat="1" ht="12.75" x14ac:dyDescent="0.2"/>
    <row r="36613" s="197" customFormat="1" ht="12.75" x14ac:dyDescent="0.2"/>
    <row r="36614" s="197" customFormat="1" ht="12.75" x14ac:dyDescent="0.2"/>
    <row r="36615" s="197" customFormat="1" ht="12.75" x14ac:dyDescent="0.2"/>
    <row r="36616" s="197" customFormat="1" ht="12.75" x14ac:dyDescent="0.2"/>
    <row r="36617" s="197" customFormat="1" ht="12.75" x14ac:dyDescent="0.2"/>
    <row r="36618" s="197" customFormat="1" ht="12.75" x14ac:dyDescent="0.2"/>
    <row r="36619" s="197" customFormat="1" ht="12.75" x14ac:dyDescent="0.2"/>
    <row r="36620" s="197" customFormat="1" ht="12.75" x14ac:dyDescent="0.2"/>
    <row r="36621" s="197" customFormat="1" ht="12.75" x14ac:dyDescent="0.2"/>
    <row r="36622" s="197" customFormat="1" ht="12.75" x14ac:dyDescent="0.2"/>
    <row r="36623" s="197" customFormat="1" ht="12.75" x14ac:dyDescent="0.2"/>
    <row r="36624" s="197" customFormat="1" ht="12.75" x14ac:dyDescent="0.2"/>
    <row r="36625" s="197" customFormat="1" ht="12.75" x14ac:dyDescent="0.2"/>
    <row r="36626" s="197" customFormat="1" ht="12.75" x14ac:dyDescent="0.2"/>
    <row r="36627" s="197" customFormat="1" ht="12.75" x14ac:dyDescent="0.2"/>
    <row r="36628" s="197" customFormat="1" ht="12.75" x14ac:dyDescent="0.2"/>
    <row r="36629" s="197" customFormat="1" ht="12.75" x14ac:dyDescent="0.2"/>
    <row r="36630" s="197" customFormat="1" ht="12.75" x14ac:dyDescent="0.2"/>
    <row r="36631" s="197" customFormat="1" ht="12.75" x14ac:dyDescent="0.2"/>
    <row r="36632" s="197" customFormat="1" ht="12.75" x14ac:dyDescent="0.2"/>
    <row r="36633" s="197" customFormat="1" ht="12.75" x14ac:dyDescent="0.2"/>
    <row r="36634" s="197" customFormat="1" ht="12.75" x14ac:dyDescent="0.2"/>
    <row r="36635" s="197" customFormat="1" ht="12.75" x14ac:dyDescent="0.2"/>
    <row r="36636" s="197" customFormat="1" ht="12.75" x14ac:dyDescent="0.2"/>
    <row r="36637" s="197" customFormat="1" ht="12.75" x14ac:dyDescent="0.2"/>
    <row r="36638" s="197" customFormat="1" ht="12.75" x14ac:dyDescent="0.2"/>
    <row r="36639" s="197" customFormat="1" ht="12.75" x14ac:dyDescent="0.2"/>
    <row r="36640" s="197" customFormat="1" ht="12.75" x14ac:dyDescent="0.2"/>
    <row r="36641" s="197" customFormat="1" ht="12.75" x14ac:dyDescent="0.2"/>
    <row r="36642" s="197" customFormat="1" ht="12.75" x14ac:dyDescent="0.2"/>
    <row r="36643" s="197" customFormat="1" ht="12.75" x14ac:dyDescent="0.2"/>
    <row r="36644" s="197" customFormat="1" ht="12.75" x14ac:dyDescent="0.2"/>
    <row r="36645" s="197" customFormat="1" ht="12.75" x14ac:dyDescent="0.2"/>
    <row r="36646" s="197" customFormat="1" ht="12.75" x14ac:dyDescent="0.2"/>
    <row r="36647" s="197" customFormat="1" ht="12.75" x14ac:dyDescent="0.2"/>
    <row r="36648" s="197" customFormat="1" ht="12.75" x14ac:dyDescent="0.2"/>
    <row r="36649" s="197" customFormat="1" ht="12.75" x14ac:dyDescent="0.2"/>
    <row r="36650" s="197" customFormat="1" ht="12.75" x14ac:dyDescent="0.2"/>
    <row r="36651" s="197" customFormat="1" ht="12.75" x14ac:dyDescent="0.2"/>
    <row r="36652" s="197" customFormat="1" ht="12.75" x14ac:dyDescent="0.2"/>
    <row r="36653" s="197" customFormat="1" ht="12.75" x14ac:dyDescent="0.2"/>
    <row r="36654" s="197" customFormat="1" ht="12.75" x14ac:dyDescent="0.2"/>
    <row r="36655" s="197" customFormat="1" ht="12.75" x14ac:dyDescent="0.2"/>
    <row r="36656" s="197" customFormat="1" ht="12.75" x14ac:dyDescent="0.2"/>
    <row r="36657" s="197" customFormat="1" ht="12.75" x14ac:dyDescent="0.2"/>
    <row r="36658" s="197" customFormat="1" ht="12.75" x14ac:dyDescent="0.2"/>
    <row r="36659" s="197" customFormat="1" ht="12.75" x14ac:dyDescent="0.2"/>
    <row r="36660" s="197" customFormat="1" ht="12.75" x14ac:dyDescent="0.2"/>
    <row r="36661" s="197" customFormat="1" ht="12.75" x14ac:dyDescent="0.2"/>
    <row r="36662" s="197" customFormat="1" ht="12.75" x14ac:dyDescent="0.2"/>
    <row r="36663" s="197" customFormat="1" ht="12.75" x14ac:dyDescent="0.2"/>
    <row r="36664" s="197" customFormat="1" ht="12.75" x14ac:dyDescent="0.2"/>
    <row r="36665" s="197" customFormat="1" ht="12.75" x14ac:dyDescent="0.2"/>
    <row r="36666" s="197" customFormat="1" ht="12.75" x14ac:dyDescent="0.2"/>
    <row r="36667" s="197" customFormat="1" ht="12.75" x14ac:dyDescent="0.2"/>
    <row r="36668" s="197" customFormat="1" ht="12.75" x14ac:dyDescent="0.2"/>
    <row r="36669" s="197" customFormat="1" ht="12.75" x14ac:dyDescent="0.2"/>
    <row r="36670" s="197" customFormat="1" ht="12.75" x14ac:dyDescent="0.2"/>
    <row r="36671" s="197" customFormat="1" ht="12.75" x14ac:dyDescent="0.2"/>
    <row r="36672" s="197" customFormat="1" ht="12.75" x14ac:dyDescent="0.2"/>
    <row r="36673" s="197" customFormat="1" ht="12.75" x14ac:dyDescent="0.2"/>
    <row r="36674" s="197" customFormat="1" ht="12.75" x14ac:dyDescent="0.2"/>
    <row r="36675" s="197" customFormat="1" ht="12.75" x14ac:dyDescent="0.2"/>
    <row r="36676" s="197" customFormat="1" ht="12.75" x14ac:dyDescent="0.2"/>
    <row r="36677" s="197" customFormat="1" ht="12.75" x14ac:dyDescent="0.2"/>
    <row r="36678" s="197" customFormat="1" ht="12.75" x14ac:dyDescent="0.2"/>
    <row r="36679" s="197" customFormat="1" ht="12.75" x14ac:dyDescent="0.2"/>
    <row r="36680" s="197" customFormat="1" ht="12.75" x14ac:dyDescent="0.2"/>
    <row r="36681" s="197" customFormat="1" ht="12.75" x14ac:dyDescent="0.2"/>
    <row r="36682" s="197" customFormat="1" ht="12.75" x14ac:dyDescent="0.2"/>
    <row r="36683" s="197" customFormat="1" ht="12.75" x14ac:dyDescent="0.2"/>
    <row r="36684" s="197" customFormat="1" ht="12.75" x14ac:dyDescent="0.2"/>
    <row r="36685" s="197" customFormat="1" ht="12.75" x14ac:dyDescent="0.2"/>
    <row r="36686" s="197" customFormat="1" ht="12.75" x14ac:dyDescent="0.2"/>
    <row r="36687" s="197" customFormat="1" ht="12.75" x14ac:dyDescent="0.2"/>
    <row r="36688" s="197" customFormat="1" ht="12.75" x14ac:dyDescent="0.2"/>
    <row r="36689" s="197" customFormat="1" ht="12.75" x14ac:dyDescent="0.2"/>
    <row r="36690" s="197" customFormat="1" ht="12.75" x14ac:dyDescent="0.2"/>
    <row r="36691" s="197" customFormat="1" ht="12.75" x14ac:dyDescent="0.2"/>
    <row r="36692" s="197" customFormat="1" ht="12.75" x14ac:dyDescent="0.2"/>
    <row r="36693" s="197" customFormat="1" ht="12.75" x14ac:dyDescent="0.2"/>
    <row r="36694" s="197" customFormat="1" ht="12.75" x14ac:dyDescent="0.2"/>
    <row r="36695" s="197" customFormat="1" ht="12.75" x14ac:dyDescent="0.2"/>
    <row r="36696" s="197" customFormat="1" ht="12.75" x14ac:dyDescent="0.2"/>
    <row r="36697" s="197" customFormat="1" ht="12.75" x14ac:dyDescent="0.2"/>
    <row r="36698" s="197" customFormat="1" ht="12.75" x14ac:dyDescent="0.2"/>
    <row r="36699" s="197" customFormat="1" ht="12.75" x14ac:dyDescent="0.2"/>
    <row r="36700" s="197" customFormat="1" ht="12.75" x14ac:dyDescent="0.2"/>
    <row r="36701" s="197" customFormat="1" ht="12.75" x14ac:dyDescent="0.2"/>
    <row r="36702" s="197" customFormat="1" ht="12.75" x14ac:dyDescent="0.2"/>
    <row r="36703" s="197" customFormat="1" ht="12.75" x14ac:dyDescent="0.2"/>
    <row r="36704" s="197" customFormat="1" ht="12.75" x14ac:dyDescent="0.2"/>
    <row r="36705" s="197" customFormat="1" ht="12.75" x14ac:dyDescent="0.2"/>
    <row r="36706" s="197" customFormat="1" ht="12.75" x14ac:dyDescent="0.2"/>
    <row r="36707" s="197" customFormat="1" ht="12.75" x14ac:dyDescent="0.2"/>
    <row r="36708" s="197" customFormat="1" ht="12.75" x14ac:dyDescent="0.2"/>
    <row r="36709" s="197" customFormat="1" ht="12.75" x14ac:dyDescent="0.2"/>
    <row r="36710" s="197" customFormat="1" ht="12.75" x14ac:dyDescent="0.2"/>
    <row r="36711" s="197" customFormat="1" ht="12.75" x14ac:dyDescent="0.2"/>
    <row r="36712" s="197" customFormat="1" ht="12.75" x14ac:dyDescent="0.2"/>
    <row r="36713" s="197" customFormat="1" ht="12.75" x14ac:dyDescent="0.2"/>
    <row r="36714" s="197" customFormat="1" ht="12.75" x14ac:dyDescent="0.2"/>
    <row r="36715" s="197" customFormat="1" ht="12.75" x14ac:dyDescent="0.2"/>
    <row r="36716" s="197" customFormat="1" ht="12.75" x14ac:dyDescent="0.2"/>
    <row r="36717" s="197" customFormat="1" ht="12.75" x14ac:dyDescent="0.2"/>
    <row r="36718" s="197" customFormat="1" ht="12.75" x14ac:dyDescent="0.2"/>
    <row r="36719" s="197" customFormat="1" ht="12.75" x14ac:dyDescent="0.2"/>
    <row r="36720" s="197" customFormat="1" ht="12.75" x14ac:dyDescent="0.2"/>
    <row r="36721" s="197" customFormat="1" ht="12.75" x14ac:dyDescent="0.2"/>
    <row r="36722" s="197" customFormat="1" ht="12.75" x14ac:dyDescent="0.2"/>
    <row r="36723" s="197" customFormat="1" ht="12.75" x14ac:dyDescent="0.2"/>
    <row r="36724" s="197" customFormat="1" ht="12.75" x14ac:dyDescent="0.2"/>
    <row r="36725" s="197" customFormat="1" ht="12.75" x14ac:dyDescent="0.2"/>
    <row r="36726" s="197" customFormat="1" ht="12.75" x14ac:dyDescent="0.2"/>
    <row r="36727" s="197" customFormat="1" ht="12.75" x14ac:dyDescent="0.2"/>
    <row r="36728" s="197" customFormat="1" ht="12.75" x14ac:dyDescent="0.2"/>
    <row r="36729" s="197" customFormat="1" ht="12.75" x14ac:dyDescent="0.2"/>
    <row r="36730" s="197" customFormat="1" ht="12.75" x14ac:dyDescent="0.2"/>
    <row r="36731" s="197" customFormat="1" ht="12.75" x14ac:dyDescent="0.2"/>
    <row r="36732" s="197" customFormat="1" ht="12.75" x14ac:dyDescent="0.2"/>
    <row r="36733" s="197" customFormat="1" ht="12.75" x14ac:dyDescent="0.2"/>
    <row r="36734" s="197" customFormat="1" ht="12.75" x14ac:dyDescent="0.2"/>
    <row r="36735" s="197" customFormat="1" ht="12.75" x14ac:dyDescent="0.2"/>
    <row r="36736" s="197" customFormat="1" ht="12.75" x14ac:dyDescent="0.2"/>
    <row r="36737" s="197" customFormat="1" ht="12.75" x14ac:dyDescent="0.2"/>
    <row r="36738" s="197" customFormat="1" ht="12.75" x14ac:dyDescent="0.2"/>
    <row r="36739" s="197" customFormat="1" ht="12.75" x14ac:dyDescent="0.2"/>
    <row r="36740" s="197" customFormat="1" ht="12.75" x14ac:dyDescent="0.2"/>
    <row r="36741" s="197" customFormat="1" ht="12.75" x14ac:dyDescent="0.2"/>
    <row r="36742" s="197" customFormat="1" ht="12.75" x14ac:dyDescent="0.2"/>
    <row r="36743" s="197" customFormat="1" ht="12.75" x14ac:dyDescent="0.2"/>
    <row r="36744" s="197" customFormat="1" ht="12.75" x14ac:dyDescent="0.2"/>
    <row r="36745" s="197" customFormat="1" ht="12.75" x14ac:dyDescent="0.2"/>
    <row r="36746" s="197" customFormat="1" ht="12.75" x14ac:dyDescent="0.2"/>
    <row r="36747" s="197" customFormat="1" ht="12.75" x14ac:dyDescent="0.2"/>
    <row r="36748" s="197" customFormat="1" ht="12.75" x14ac:dyDescent="0.2"/>
    <row r="36749" s="197" customFormat="1" ht="12.75" x14ac:dyDescent="0.2"/>
    <row r="36750" s="197" customFormat="1" ht="12.75" x14ac:dyDescent="0.2"/>
    <row r="36751" s="197" customFormat="1" ht="12.75" x14ac:dyDescent="0.2"/>
    <row r="36752" s="197" customFormat="1" ht="12.75" x14ac:dyDescent="0.2"/>
    <row r="36753" s="197" customFormat="1" ht="12.75" x14ac:dyDescent="0.2"/>
    <row r="36754" s="197" customFormat="1" ht="12.75" x14ac:dyDescent="0.2"/>
    <row r="36755" s="197" customFormat="1" ht="12.75" x14ac:dyDescent="0.2"/>
    <row r="36756" s="197" customFormat="1" ht="12.75" x14ac:dyDescent="0.2"/>
    <row r="36757" s="197" customFormat="1" ht="12.75" x14ac:dyDescent="0.2"/>
    <row r="36758" s="197" customFormat="1" ht="12.75" x14ac:dyDescent="0.2"/>
    <row r="36759" s="197" customFormat="1" ht="12.75" x14ac:dyDescent="0.2"/>
    <row r="36760" s="197" customFormat="1" ht="12.75" x14ac:dyDescent="0.2"/>
    <row r="36761" s="197" customFormat="1" ht="12.75" x14ac:dyDescent="0.2"/>
    <row r="36762" s="197" customFormat="1" ht="12.75" x14ac:dyDescent="0.2"/>
    <row r="36763" s="197" customFormat="1" ht="12.75" x14ac:dyDescent="0.2"/>
    <row r="36764" s="197" customFormat="1" ht="12.75" x14ac:dyDescent="0.2"/>
    <row r="36765" s="197" customFormat="1" ht="12.75" x14ac:dyDescent="0.2"/>
    <row r="36766" s="197" customFormat="1" ht="12.75" x14ac:dyDescent="0.2"/>
    <row r="36767" s="197" customFormat="1" ht="12.75" x14ac:dyDescent="0.2"/>
    <row r="36768" s="197" customFormat="1" ht="12.75" x14ac:dyDescent="0.2"/>
    <row r="36769" s="197" customFormat="1" ht="12.75" x14ac:dyDescent="0.2"/>
    <row r="36770" s="197" customFormat="1" ht="12.75" x14ac:dyDescent="0.2"/>
    <row r="36771" s="197" customFormat="1" ht="12.75" x14ac:dyDescent="0.2"/>
    <row r="36772" s="197" customFormat="1" ht="12.75" x14ac:dyDescent="0.2"/>
    <row r="36773" s="197" customFormat="1" ht="12.75" x14ac:dyDescent="0.2"/>
    <row r="36774" s="197" customFormat="1" ht="12.75" x14ac:dyDescent="0.2"/>
    <row r="36775" s="197" customFormat="1" ht="12.75" x14ac:dyDescent="0.2"/>
    <row r="36776" s="197" customFormat="1" ht="12.75" x14ac:dyDescent="0.2"/>
    <row r="36777" s="197" customFormat="1" ht="12.75" x14ac:dyDescent="0.2"/>
    <row r="36778" s="197" customFormat="1" ht="12.75" x14ac:dyDescent="0.2"/>
    <row r="36779" s="197" customFormat="1" ht="12.75" x14ac:dyDescent="0.2"/>
    <row r="36780" s="197" customFormat="1" ht="12.75" x14ac:dyDescent="0.2"/>
    <row r="36781" s="197" customFormat="1" ht="12.75" x14ac:dyDescent="0.2"/>
    <row r="36782" s="197" customFormat="1" ht="12.75" x14ac:dyDescent="0.2"/>
    <row r="36783" s="197" customFormat="1" ht="12.75" x14ac:dyDescent="0.2"/>
    <row r="36784" s="197" customFormat="1" ht="12.75" x14ac:dyDescent="0.2"/>
    <row r="36785" s="197" customFormat="1" ht="12.75" x14ac:dyDescent="0.2"/>
    <row r="36786" s="197" customFormat="1" ht="12.75" x14ac:dyDescent="0.2"/>
    <row r="36787" s="197" customFormat="1" ht="12.75" x14ac:dyDescent="0.2"/>
    <row r="36788" s="197" customFormat="1" ht="12.75" x14ac:dyDescent="0.2"/>
    <row r="36789" s="197" customFormat="1" ht="12.75" x14ac:dyDescent="0.2"/>
    <row r="36790" s="197" customFormat="1" ht="12.75" x14ac:dyDescent="0.2"/>
    <row r="36791" s="197" customFormat="1" ht="12.75" x14ac:dyDescent="0.2"/>
    <row r="36792" s="197" customFormat="1" ht="12.75" x14ac:dyDescent="0.2"/>
    <row r="36793" s="197" customFormat="1" ht="12.75" x14ac:dyDescent="0.2"/>
    <row r="36794" s="197" customFormat="1" ht="12.75" x14ac:dyDescent="0.2"/>
    <row r="36795" s="197" customFormat="1" ht="12.75" x14ac:dyDescent="0.2"/>
    <row r="36796" s="197" customFormat="1" ht="12.75" x14ac:dyDescent="0.2"/>
    <row r="36797" s="197" customFormat="1" ht="12.75" x14ac:dyDescent="0.2"/>
    <row r="36798" s="197" customFormat="1" ht="12.75" x14ac:dyDescent="0.2"/>
    <row r="36799" s="197" customFormat="1" ht="12.75" x14ac:dyDescent="0.2"/>
    <row r="36800" s="197" customFormat="1" ht="12.75" x14ac:dyDescent="0.2"/>
    <row r="36801" s="197" customFormat="1" ht="12.75" x14ac:dyDescent="0.2"/>
    <row r="36802" s="197" customFormat="1" ht="12.75" x14ac:dyDescent="0.2"/>
    <row r="36803" s="197" customFormat="1" ht="12.75" x14ac:dyDescent="0.2"/>
    <row r="36804" s="197" customFormat="1" ht="12.75" x14ac:dyDescent="0.2"/>
    <row r="36805" s="197" customFormat="1" ht="12.75" x14ac:dyDescent="0.2"/>
    <row r="36806" s="197" customFormat="1" ht="12.75" x14ac:dyDescent="0.2"/>
    <row r="36807" s="197" customFormat="1" ht="12.75" x14ac:dyDescent="0.2"/>
    <row r="36808" s="197" customFormat="1" ht="12.75" x14ac:dyDescent="0.2"/>
    <row r="36809" s="197" customFormat="1" ht="12.75" x14ac:dyDescent="0.2"/>
    <row r="36810" s="197" customFormat="1" ht="12.75" x14ac:dyDescent="0.2"/>
    <row r="36811" s="197" customFormat="1" ht="12.75" x14ac:dyDescent="0.2"/>
    <row r="36812" s="197" customFormat="1" ht="12.75" x14ac:dyDescent="0.2"/>
    <row r="36813" s="197" customFormat="1" ht="12.75" x14ac:dyDescent="0.2"/>
    <row r="36814" s="197" customFormat="1" ht="12.75" x14ac:dyDescent="0.2"/>
    <row r="36815" s="197" customFormat="1" ht="12.75" x14ac:dyDescent="0.2"/>
    <row r="36816" s="197" customFormat="1" ht="12.75" x14ac:dyDescent="0.2"/>
    <row r="36817" s="197" customFormat="1" ht="12.75" x14ac:dyDescent="0.2"/>
    <row r="36818" s="197" customFormat="1" ht="12.75" x14ac:dyDescent="0.2"/>
    <row r="36819" s="197" customFormat="1" ht="12.75" x14ac:dyDescent="0.2"/>
    <row r="36820" s="197" customFormat="1" ht="12.75" x14ac:dyDescent="0.2"/>
    <row r="36821" s="197" customFormat="1" ht="12.75" x14ac:dyDescent="0.2"/>
    <row r="36822" s="197" customFormat="1" ht="12.75" x14ac:dyDescent="0.2"/>
    <row r="36823" s="197" customFormat="1" ht="12.75" x14ac:dyDescent="0.2"/>
    <row r="36824" s="197" customFormat="1" ht="12.75" x14ac:dyDescent="0.2"/>
    <row r="36825" s="197" customFormat="1" ht="12.75" x14ac:dyDescent="0.2"/>
    <row r="36826" s="197" customFormat="1" ht="12.75" x14ac:dyDescent="0.2"/>
    <row r="36827" s="197" customFormat="1" ht="12.75" x14ac:dyDescent="0.2"/>
    <row r="36828" s="197" customFormat="1" ht="12.75" x14ac:dyDescent="0.2"/>
    <row r="36829" s="197" customFormat="1" ht="12.75" x14ac:dyDescent="0.2"/>
    <row r="36830" s="197" customFormat="1" ht="12.75" x14ac:dyDescent="0.2"/>
    <row r="36831" s="197" customFormat="1" ht="12.75" x14ac:dyDescent="0.2"/>
    <row r="36832" s="197" customFormat="1" ht="12.75" x14ac:dyDescent="0.2"/>
    <row r="36833" s="197" customFormat="1" ht="12.75" x14ac:dyDescent="0.2"/>
    <row r="36834" s="197" customFormat="1" ht="12.75" x14ac:dyDescent="0.2"/>
    <row r="36835" s="197" customFormat="1" ht="12.75" x14ac:dyDescent="0.2"/>
    <row r="36836" s="197" customFormat="1" ht="12.75" x14ac:dyDescent="0.2"/>
    <row r="36837" s="197" customFormat="1" ht="12.75" x14ac:dyDescent="0.2"/>
    <row r="36838" s="197" customFormat="1" ht="12.75" x14ac:dyDescent="0.2"/>
    <row r="36839" s="197" customFormat="1" ht="12.75" x14ac:dyDescent="0.2"/>
    <row r="36840" s="197" customFormat="1" ht="12.75" x14ac:dyDescent="0.2"/>
    <row r="36841" s="197" customFormat="1" ht="12.75" x14ac:dyDescent="0.2"/>
    <row r="36842" s="197" customFormat="1" ht="12.75" x14ac:dyDescent="0.2"/>
    <row r="36843" s="197" customFormat="1" ht="12.75" x14ac:dyDescent="0.2"/>
    <row r="36844" s="197" customFormat="1" ht="12.75" x14ac:dyDescent="0.2"/>
    <row r="36845" s="197" customFormat="1" ht="12.75" x14ac:dyDescent="0.2"/>
    <row r="36846" s="197" customFormat="1" ht="12.75" x14ac:dyDescent="0.2"/>
    <row r="36847" s="197" customFormat="1" ht="12.75" x14ac:dyDescent="0.2"/>
    <row r="36848" s="197" customFormat="1" ht="12.75" x14ac:dyDescent="0.2"/>
    <row r="36849" s="197" customFormat="1" ht="12.75" x14ac:dyDescent="0.2"/>
    <row r="36850" s="197" customFormat="1" ht="12.75" x14ac:dyDescent="0.2"/>
    <row r="36851" s="197" customFormat="1" ht="12.75" x14ac:dyDescent="0.2"/>
    <row r="36852" s="197" customFormat="1" ht="12.75" x14ac:dyDescent="0.2"/>
    <row r="36853" s="197" customFormat="1" ht="12.75" x14ac:dyDescent="0.2"/>
    <row r="36854" s="197" customFormat="1" ht="12.75" x14ac:dyDescent="0.2"/>
    <row r="36855" s="197" customFormat="1" ht="12.75" x14ac:dyDescent="0.2"/>
    <row r="36856" s="197" customFormat="1" ht="12.75" x14ac:dyDescent="0.2"/>
    <row r="36857" s="197" customFormat="1" ht="12.75" x14ac:dyDescent="0.2"/>
    <row r="36858" s="197" customFormat="1" ht="12.75" x14ac:dyDescent="0.2"/>
    <row r="36859" s="197" customFormat="1" ht="12.75" x14ac:dyDescent="0.2"/>
    <row r="36860" s="197" customFormat="1" ht="12.75" x14ac:dyDescent="0.2"/>
    <row r="36861" s="197" customFormat="1" ht="12.75" x14ac:dyDescent="0.2"/>
    <row r="36862" s="197" customFormat="1" ht="12.75" x14ac:dyDescent="0.2"/>
    <row r="36863" s="197" customFormat="1" ht="12.75" x14ac:dyDescent="0.2"/>
    <row r="36864" s="197" customFormat="1" ht="12.75" x14ac:dyDescent="0.2"/>
    <row r="36865" s="197" customFormat="1" ht="12.75" x14ac:dyDescent="0.2"/>
    <row r="36866" s="197" customFormat="1" ht="12.75" x14ac:dyDescent="0.2"/>
    <row r="36867" s="197" customFormat="1" ht="12.75" x14ac:dyDescent="0.2"/>
    <row r="36868" s="197" customFormat="1" ht="12.75" x14ac:dyDescent="0.2"/>
    <row r="36869" s="197" customFormat="1" ht="12.75" x14ac:dyDescent="0.2"/>
    <row r="36870" s="197" customFormat="1" ht="12.75" x14ac:dyDescent="0.2"/>
    <row r="36871" s="197" customFormat="1" ht="12.75" x14ac:dyDescent="0.2"/>
    <row r="36872" s="197" customFormat="1" ht="12.75" x14ac:dyDescent="0.2"/>
    <row r="36873" s="197" customFormat="1" ht="12.75" x14ac:dyDescent="0.2"/>
    <row r="36874" s="197" customFormat="1" ht="12.75" x14ac:dyDescent="0.2"/>
    <row r="36875" s="197" customFormat="1" ht="12.75" x14ac:dyDescent="0.2"/>
    <row r="36876" s="197" customFormat="1" ht="12.75" x14ac:dyDescent="0.2"/>
    <row r="36877" s="197" customFormat="1" ht="12.75" x14ac:dyDescent="0.2"/>
    <row r="36878" s="197" customFormat="1" ht="12.75" x14ac:dyDescent="0.2"/>
    <row r="36879" s="197" customFormat="1" ht="12.75" x14ac:dyDescent="0.2"/>
    <row r="36880" s="197" customFormat="1" ht="12.75" x14ac:dyDescent="0.2"/>
    <row r="36881" s="197" customFormat="1" ht="12.75" x14ac:dyDescent="0.2"/>
    <row r="36882" s="197" customFormat="1" ht="12.75" x14ac:dyDescent="0.2"/>
    <row r="36883" s="197" customFormat="1" ht="12.75" x14ac:dyDescent="0.2"/>
    <row r="36884" s="197" customFormat="1" ht="12.75" x14ac:dyDescent="0.2"/>
    <row r="36885" s="197" customFormat="1" ht="12.75" x14ac:dyDescent="0.2"/>
    <row r="36886" s="197" customFormat="1" ht="12.75" x14ac:dyDescent="0.2"/>
    <row r="36887" s="197" customFormat="1" ht="12.75" x14ac:dyDescent="0.2"/>
    <row r="36888" s="197" customFormat="1" ht="12.75" x14ac:dyDescent="0.2"/>
    <row r="36889" s="197" customFormat="1" ht="12.75" x14ac:dyDescent="0.2"/>
    <row r="36890" s="197" customFormat="1" ht="12.75" x14ac:dyDescent="0.2"/>
    <row r="36891" s="197" customFormat="1" ht="12.75" x14ac:dyDescent="0.2"/>
    <row r="36892" s="197" customFormat="1" ht="12.75" x14ac:dyDescent="0.2"/>
    <row r="36893" s="197" customFormat="1" ht="12.75" x14ac:dyDescent="0.2"/>
    <row r="36894" s="197" customFormat="1" ht="12.75" x14ac:dyDescent="0.2"/>
    <row r="36895" s="197" customFormat="1" ht="12.75" x14ac:dyDescent="0.2"/>
    <row r="36896" s="197" customFormat="1" ht="12.75" x14ac:dyDescent="0.2"/>
    <row r="36897" s="197" customFormat="1" ht="12.75" x14ac:dyDescent="0.2"/>
    <row r="36898" s="197" customFormat="1" ht="12.75" x14ac:dyDescent="0.2"/>
    <row r="36899" s="197" customFormat="1" ht="12.75" x14ac:dyDescent="0.2"/>
    <row r="36900" s="197" customFormat="1" ht="12.75" x14ac:dyDescent="0.2"/>
    <row r="36901" s="197" customFormat="1" ht="12.75" x14ac:dyDescent="0.2"/>
    <row r="36902" s="197" customFormat="1" ht="12.75" x14ac:dyDescent="0.2"/>
    <row r="36903" s="197" customFormat="1" ht="12.75" x14ac:dyDescent="0.2"/>
    <row r="36904" s="197" customFormat="1" ht="12.75" x14ac:dyDescent="0.2"/>
    <row r="36905" s="197" customFormat="1" ht="12.75" x14ac:dyDescent="0.2"/>
    <row r="36906" s="197" customFormat="1" ht="12.75" x14ac:dyDescent="0.2"/>
    <row r="36907" s="197" customFormat="1" ht="12.75" x14ac:dyDescent="0.2"/>
    <row r="36908" s="197" customFormat="1" ht="12.75" x14ac:dyDescent="0.2"/>
    <row r="36909" s="197" customFormat="1" ht="12.75" x14ac:dyDescent="0.2"/>
    <row r="36910" s="197" customFormat="1" ht="12.75" x14ac:dyDescent="0.2"/>
    <row r="36911" s="197" customFormat="1" ht="12.75" x14ac:dyDescent="0.2"/>
    <row r="36912" s="197" customFormat="1" ht="12.75" x14ac:dyDescent="0.2"/>
    <row r="36913" s="197" customFormat="1" ht="12.75" x14ac:dyDescent="0.2"/>
    <row r="36914" s="197" customFormat="1" ht="12.75" x14ac:dyDescent="0.2"/>
    <row r="36915" s="197" customFormat="1" ht="12.75" x14ac:dyDescent="0.2"/>
    <row r="36916" s="197" customFormat="1" ht="12.75" x14ac:dyDescent="0.2"/>
    <row r="36917" s="197" customFormat="1" ht="12.75" x14ac:dyDescent="0.2"/>
    <row r="36918" s="197" customFormat="1" ht="12.75" x14ac:dyDescent="0.2"/>
    <row r="36919" s="197" customFormat="1" ht="12.75" x14ac:dyDescent="0.2"/>
    <row r="36920" s="197" customFormat="1" ht="12.75" x14ac:dyDescent="0.2"/>
    <row r="36921" s="197" customFormat="1" ht="12.75" x14ac:dyDescent="0.2"/>
    <row r="36922" s="197" customFormat="1" ht="12.75" x14ac:dyDescent="0.2"/>
    <row r="36923" s="197" customFormat="1" ht="12.75" x14ac:dyDescent="0.2"/>
    <row r="36924" s="197" customFormat="1" ht="12.75" x14ac:dyDescent="0.2"/>
    <row r="36925" s="197" customFormat="1" ht="12.75" x14ac:dyDescent="0.2"/>
    <row r="36926" s="197" customFormat="1" ht="12.75" x14ac:dyDescent="0.2"/>
    <row r="36927" s="197" customFormat="1" ht="12.75" x14ac:dyDescent="0.2"/>
    <row r="36928" s="197" customFormat="1" ht="12.75" x14ac:dyDescent="0.2"/>
    <row r="36929" s="197" customFormat="1" ht="12.75" x14ac:dyDescent="0.2"/>
    <row r="36930" s="197" customFormat="1" ht="12.75" x14ac:dyDescent="0.2"/>
    <row r="36931" s="197" customFormat="1" ht="12.75" x14ac:dyDescent="0.2"/>
    <row r="36932" s="197" customFormat="1" ht="12.75" x14ac:dyDescent="0.2"/>
    <row r="36933" s="197" customFormat="1" ht="12.75" x14ac:dyDescent="0.2"/>
    <row r="36934" s="197" customFormat="1" ht="12.75" x14ac:dyDescent="0.2"/>
    <row r="36935" s="197" customFormat="1" ht="12.75" x14ac:dyDescent="0.2"/>
    <row r="36936" s="197" customFormat="1" ht="12.75" x14ac:dyDescent="0.2"/>
    <row r="36937" s="197" customFormat="1" ht="12.75" x14ac:dyDescent="0.2"/>
    <row r="36938" s="197" customFormat="1" ht="12.75" x14ac:dyDescent="0.2"/>
    <row r="36939" s="197" customFormat="1" ht="12.75" x14ac:dyDescent="0.2"/>
    <row r="36940" s="197" customFormat="1" ht="12.75" x14ac:dyDescent="0.2"/>
    <row r="36941" s="197" customFormat="1" ht="12.75" x14ac:dyDescent="0.2"/>
    <row r="36942" s="197" customFormat="1" ht="12.75" x14ac:dyDescent="0.2"/>
    <row r="36943" s="197" customFormat="1" ht="12.75" x14ac:dyDescent="0.2"/>
    <row r="36944" s="197" customFormat="1" ht="12.75" x14ac:dyDescent="0.2"/>
    <row r="36945" s="197" customFormat="1" ht="12.75" x14ac:dyDescent="0.2"/>
    <row r="36946" s="197" customFormat="1" ht="12.75" x14ac:dyDescent="0.2"/>
    <row r="36947" s="197" customFormat="1" ht="12.75" x14ac:dyDescent="0.2"/>
    <row r="36948" s="197" customFormat="1" ht="12.75" x14ac:dyDescent="0.2"/>
    <row r="36949" s="197" customFormat="1" ht="12.75" x14ac:dyDescent="0.2"/>
    <row r="36950" s="197" customFormat="1" ht="12.75" x14ac:dyDescent="0.2"/>
    <row r="36951" s="197" customFormat="1" ht="12.75" x14ac:dyDescent="0.2"/>
    <row r="36952" s="197" customFormat="1" ht="12.75" x14ac:dyDescent="0.2"/>
    <row r="36953" s="197" customFormat="1" ht="12.75" x14ac:dyDescent="0.2"/>
    <row r="36954" s="197" customFormat="1" ht="12.75" x14ac:dyDescent="0.2"/>
    <row r="36955" s="197" customFormat="1" ht="12.75" x14ac:dyDescent="0.2"/>
    <row r="36956" s="197" customFormat="1" ht="12.75" x14ac:dyDescent="0.2"/>
    <row r="36957" s="197" customFormat="1" ht="12.75" x14ac:dyDescent="0.2"/>
    <row r="36958" s="197" customFormat="1" ht="12.75" x14ac:dyDescent="0.2"/>
    <row r="36959" s="197" customFormat="1" ht="12.75" x14ac:dyDescent="0.2"/>
    <row r="36960" s="197" customFormat="1" ht="12.75" x14ac:dyDescent="0.2"/>
    <row r="36961" s="197" customFormat="1" ht="12.75" x14ac:dyDescent="0.2"/>
    <row r="36962" s="197" customFormat="1" ht="12.75" x14ac:dyDescent="0.2"/>
    <row r="36963" s="197" customFormat="1" ht="12.75" x14ac:dyDescent="0.2"/>
    <row r="36964" s="197" customFormat="1" ht="12.75" x14ac:dyDescent="0.2"/>
    <row r="36965" s="197" customFormat="1" ht="12.75" x14ac:dyDescent="0.2"/>
    <row r="36966" s="197" customFormat="1" ht="12.75" x14ac:dyDescent="0.2"/>
    <row r="36967" s="197" customFormat="1" ht="12.75" x14ac:dyDescent="0.2"/>
    <row r="36968" s="197" customFormat="1" ht="12.75" x14ac:dyDescent="0.2"/>
    <row r="36969" s="197" customFormat="1" ht="12.75" x14ac:dyDescent="0.2"/>
    <row r="36970" s="197" customFormat="1" ht="12.75" x14ac:dyDescent="0.2"/>
    <row r="36971" s="197" customFormat="1" ht="12.75" x14ac:dyDescent="0.2"/>
    <row r="36972" s="197" customFormat="1" ht="12.75" x14ac:dyDescent="0.2"/>
    <row r="36973" s="197" customFormat="1" ht="12.75" x14ac:dyDescent="0.2"/>
    <row r="36974" s="197" customFormat="1" ht="12.75" x14ac:dyDescent="0.2"/>
    <row r="36975" s="197" customFormat="1" ht="12.75" x14ac:dyDescent="0.2"/>
    <row r="36976" s="197" customFormat="1" ht="12.75" x14ac:dyDescent="0.2"/>
    <row r="36977" s="197" customFormat="1" ht="12.75" x14ac:dyDescent="0.2"/>
    <row r="36978" s="197" customFormat="1" ht="12.75" x14ac:dyDescent="0.2"/>
    <row r="36979" s="197" customFormat="1" ht="12.75" x14ac:dyDescent="0.2"/>
    <row r="36980" s="197" customFormat="1" ht="12.75" x14ac:dyDescent="0.2"/>
    <row r="36981" s="197" customFormat="1" ht="12.75" x14ac:dyDescent="0.2"/>
    <row r="36982" s="197" customFormat="1" ht="12.75" x14ac:dyDescent="0.2"/>
    <row r="36983" s="197" customFormat="1" ht="12.75" x14ac:dyDescent="0.2"/>
    <row r="36984" s="197" customFormat="1" ht="12.75" x14ac:dyDescent="0.2"/>
    <row r="36985" s="197" customFormat="1" ht="12.75" x14ac:dyDescent="0.2"/>
    <row r="36986" s="197" customFormat="1" ht="12.75" x14ac:dyDescent="0.2"/>
    <row r="36987" s="197" customFormat="1" ht="12.75" x14ac:dyDescent="0.2"/>
    <row r="36988" s="197" customFormat="1" ht="12.75" x14ac:dyDescent="0.2"/>
    <row r="36989" s="197" customFormat="1" ht="12.75" x14ac:dyDescent="0.2"/>
    <row r="36990" s="197" customFormat="1" ht="12.75" x14ac:dyDescent="0.2"/>
    <row r="36991" s="197" customFormat="1" ht="12.75" x14ac:dyDescent="0.2"/>
    <row r="36992" s="197" customFormat="1" ht="12.75" x14ac:dyDescent="0.2"/>
    <row r="36993" s="197" customFormat="1" ht="12.75" x14ac:dyDescent="0.2"/>
    <row r="36994" s="197" customFormat="1" ht="12.75" x14ac:dyDescent="0.2"/>
    <row r="36995" s="197" customFormat="1" ht="12.75" x14ac:dyDescent="0.2"/>
    <row r="36996" s="197" customFormat="1" ht="12.75" x14ac:dyDescent="0.2"/>
    <row r="36997" s="197" customFormat="1" ht="12.75" x14ac:dyDescent="0.2"/>
    <row r="36998" s="197" customFormat="1" ht="12.75" x14ac:dyDescent="0.2"/>
    <row r="36999" s="197" customFormat="1" ht="12.75" x14ac:dyDescent="0.2"/>
    <row r="37000" s="197" customFormat="1" ht="12.75" x14ac:dyDescent="0.2"/>
    <row r="37001" s="197" customFormat="1" ht="12.75" x14ac:dyDescent="0.2"/>
    <row r="37002" s="197" customFormat="1" ht="12.75" x14ac:dyDescent="0.2"/>
    <row r="37003" s="197" customFormat="1" ht="12.75" x14ac:dyDescent="0.2"/>
    <row r="37004" s="197" customFormat="1" ht="12.75" x14ac:dyDescent="0.2"/>
    <row r="37005" s="197" customFormat="1" ht="12.75" x14ac:dyDescent="0.2"/>
    <row r="37006" s="197" customFormat="1" ht="12.75" x14ac:dyDescent="0.2"/>
    <row r="37007" s="197" customFormat="1" ht="12.75" x14ac:dyDescent="0.2"/>
    <row r="37008" s="197" customFormat="1" ht="12.75" x14ac:dyDescent="0.2"/>
    <row r="37009" s="197" customFormat="1" ht="12.75" x14ac:dyDescent="0.2"/>
    <row r="37010" s="197" customFormat="1" ht="12.75" x14ac:dyDescent="0.2"/>
    <row r="37011" s="197" customFormat="1" ht="12.75" x14ac:dyDescent="0.2"/>
    <row r="37012" s="197" customFormat="1" ht="12.75" x14ac:dyDescent="0.2"/>
    <row r="37013" s="197" customFormat="1" ht="12.75" x14ac:dyDescent="0.2"/>
    <row r="37014" s="197" customFormat="1" ht="12.75" x14ac:dyDescent="0.2"/>
    <row r="37015" s="197" customFormat="1" ht="12.75" x14ac:dyDescent="0.2"/>
    <row r="37016" s="197" customFormat="1" ht="12.75" x14ac:dyDescent="0.2"/>
    <row r="37017" s="197" customFormat="1" ht="12.75" x14ac:dyDescent="0.2"/>
    <row r="37018" s="197" customFormat="1" ht="12.75" x14ac:dyDescent="0.2"/>
    <row r="37019" s="197" customFormat="1" ht="12.75" x14ac:dyDescent="0.2"/>
    <row r="37020" s="197" customFormat="1" ht="12.75" x14ac:dyDescent="0.2"/>
    <row r="37021" s="197" customFormat="1" ht="12.75" x14ac:dyDescent="0.2"/>
    <row r="37022" s="197" customFormat="1" ht="12.75" x14ac:dyDescent="0.2"/>
    <row r="37023" s="197" customFormat="1" ht="12.75" x14ac:dyDescent="0.2"/>
    <row r="37024" s="197" customFormat="1" ht="12.75" x14ac:dyDescent="0.2"/>
    <row r="37025" s="197" customFormat="1" ht="12.75" x14ac:dyDescent="0.2"/>
    <row r="37026" s="197" customFormat="1" ht="12.75" x14ac:dyDescent="0.2"/>
    <row r="37027" s="197" customFormat="1" ht="12.75" x14ac:dyDescent="0.2"/>
    <row r="37028" s="197" customFormat="1" ht="12.75" x14ac:dyDescent="0.2"/>
    <row r="37029" s="197" customFormat="1" ht="12.75" x14ac:dyDescent="0.2"/>
    <row r="37030" s="197" customFormat="1" ht="12.75" x14ac:dyDescent="0.2"/>
    <row r="37031" s="197" customFormat="1" ht="12.75" x14ac:dyDescent="0.2"/>
    <row r="37032" s="197" customFormat="1" ht="12.75" x14ac:dyDescent="0.2"/>
    <row r="37033" s="197" customFormat="1" ht="12.75" x14ac:dyDescent="0.2"/>
    <row r="37034" s="197" customFormat="1" ht="12.75" x14ac:dyDescent="0.2"/>
    <row r="37035" s="197" customFormat="1" ht="12.75" x14ac:dyDescent="0.2"/>
    <row r="37036" s="197" customFormat="1" ht="12.75" x14ac:dyDescent="0.2"/>
    <row r="37037" s="197" customFormat="1" ht="12.75" x14ac:dyDescent="0.2"/>
    <row r="37038" s="197" customFormat="1" ht="12.75" x14ac:dyDescent="0.2"/>
    <row r="37039" s="197" customFormat="1" ht="12.75" x14ac:dyDescent="0.2"/>
    <row r="37040" s="197" customFormat="1" ht="12.75" x14ac:dyDescent="0.2"/>
    <row r="37041" s="197" customFormat="1" ht="12.75" x14ac:dyDescent="0.2"/>
    <row r="37042" s="197" customFormat="1" ht="12.75" x14ac:dyDescent="0.2"/>
    <row r="37043" s="197" customFormat="1" ht="12.75" x14ac:dyDescent="0.2"/>
    <row r="37044" s="197" customFormat="1" ht="12.75" x14ac:dyDescent="0.2"/>
    <row r="37045" s="197" customFormat="1" ht="12.75" x14ac:dyDescent="0.2"/>
    <row r="37046" s="197" customFormat="1" ht="12.75" x14ac:dyDescent="0.2"/>
    <row r="37047" s="197" customFormat="1" ht="12.75" x14ac:dyDescent="0.2"/>
    <row r="37048" s="197" customFormat="1" ht="12.75" x14ac:dyDescent="0.2"/>
    <row r="37049" s="197" customFormat="1" ht="12.75" x14ac:dyDescent="0.2"/>
    <row r="37050" s="197" customFormat="1" ht="12.75" x14ac:dyDescent="0.2"/>
    <row r="37051" s="197" customFormat="1" ht="12.75" x14ac:dyDescent="0.2"/>
    <row r="37052" s="197" customFormat="1" ht="12.75" x14ac:dyDescent="0.2"/>
    <row r="37053" s="197" customFormat="1" ht="12.75" x14ac:dyDescent="0.2"/>
    <row r="37054" s="197" customFormat="1" ht="12.75" x14ac:dyDescent="0.2"/>
    <row r="37055" s="197" customFormat="1" ht="12.75" x14ac:dyDescent="0.2"/>
    <row r="37056" s="197" customFormat="1" ht="12.75" x14ac:dyDescent="0.2"/>
    <row r="37057" s="197" customFormat="1" ht="12.75" x14ac:dyDescent="0.2"/>
    <row r="37058" s="197" customFormat="1" ht="12.75" x14ac:dyDescent="0.2"/>
    <row r="37059" s="197" customFormat="1" ht="12.75" x14ac:dyDescent="0.2"/>
    <row r="37060" s="197" customFormat="1" ht="12.75" x14ac:dyDescent="0.2"/>
    <row r="37061" s="197" customFormat="1" ht="12.75" x14ac:dyDescent="0.2"/>
    <row r="37062" s="197" customFormat="1" ht="12.75" x14ac:dyDescent="0.2"/>
    <row r="37063" s="197" customFormat="1" ht="12.75" x14ac:dyDescent="0.2"/>
    <row r="37064" s="197" customFormat="1" ht="12.75" x14ac:dyDescent="0.2"/>
    <row r="37065" s="197" customFormat="1" ht="12.75" x14ac:dyDescent="0.2"/>
    <row r="37066" s="197" customFormat="1" ht="12.75" x14ac:dyDescent="0.2"/>
    <row r="37067" s="197" customFormat="1" ht="12.75" x14ac:dyDescent="0.2"/>
    <row r="37068" s="197" customFormat="1" ht="12.75" x14ac:dyDescent="0.2"/>
    <row r="37069" s="197" customFormat="1" ht="12.75" x14ac:dyDescent="0.2"/>
    <row r="37070" s="197" customFormat="1" ht="12.75" x14ac:dyDescent="0.2"/>
    <row r="37071" s="197" customFormat="1" ht="12.75" x14ac:dyDescent="0.2"/>
    <row r="37072" s="197" customFormat="1" ht="12.75" x14ac:dyDescent="0.2"/>
    <row r="37073" s="197" customFormat="1" ht="12.75" x14ac:dyDescent="0.2"/>
    <row r="37074" s="197" customFormat="1" ht="12.75" x14ac:dyDescent="0.2"/>
    <row r="37075" s="197" customFormat="1" ht="12.75" x14ac:dyDescent="0.2"/>
    <row r="37076" s="197" customFormat="1" ht="12.75" x14ac:dyDescent="0.2"/>
    <row r="37077" s="197" customFormat="1" ht="12.75" x14ac:dyDescent="0.2"/>
    <row r="37078" s="197" customFormat="1" ht="12.75" x14ac:dyDescent="0.2"/>
    <row r="37079" s="197" customFormat="1" ht="12.75" x14ac:dyDescent="0.2"/>
    <row r="37080" s="197" customFormat="1" ht="12.75" x14ac:dyDescent="0.2"/>
    <row r="37081" s="197" customFormat="1" ht="12.75" x14ac:dyDescent="0.2"/>
    <row r="37082" s="197" customFormat="1" ht="12.75" x14ac:dyDescent="0.2"/>
    <row r="37083" s="197" customFormat="1" ht="12.75" x14ac:dyDescent="0.2"/>
    <row r="37084" s="197" customFormat="1" ht="12.75" x14ac:dyDescent="0.2"/>
    <row r="37085" s="197" customFormat="1" ht="12.75" x14ac:dyDescent="0.2"/>
    <row r="37086" s="197" customFormat="1" ht="12.75" x14ac:dyDescent="0.2"/>
    <row r="37087" s="197" customFormat="1" ht="12.75" x14ac:dyDescent="0.2"/>
    <row r="37088" s="197" customFormat="1" ht="12.75" x14ac:dyDescent="0.2"/>
    <row r="37089" s="197" customFormat="1" ht="12.75" x14ac:dyDescent="0.2"/>
    <row r="37090" s="197" customFormat="1" ht="12.75" x14ac:dyDescent="0.2"/>
    <row r="37091" s="197" customFormat="1" ht="12.75" x14ac:dyDescent="0.2"/>
    <row r="37092" s="197" customFormat="1" ht="12.75" x14ac:dyDescent="0.2"/>
    <row r="37093" s="197" customFormat="1" ht="12.75" x14ac:dyDescent="0.2"/>
    <row r="37094" s="197" customFormat="1" ht="12.75" x14ac:dyDescent="0.2"/>
    <row r="37095" s="197" customFormat="1" ht="12.75" x14ac:dyDescent="0.2"/>
    <row r="37096" s="197" customFormat="1" ht="12.75" x14ac:dyDescent="0.2"/>
    <row r="37097" s="197" customFormat="1" ht="12.75" x14ac:dyDescent="0.2"/>
    <row r="37098" s="197" customFormat="1" ht="12.75" x14ac:dyDescent="0.2"/>
    <row r="37099" s="197" customFormat="1" ht="12.75" x14ac:dyDescent="0.2"/>
    <row r="37100" s="197" customFormat="1" ht="12.75" x14ac:dyDescent="0.2"/>
    <row r="37101" s="197" customFormat="1" ht="12.75" x14ac:dyDescent="0.2"/>
    <row r="37102" s="197" customFormat="1" ht="12.75" x14ac:dyDescent="0.2"/>
    <row r="37103" s="197" customFormat="1" ht="12.75" x14ac:dyDescent="0.2"/>
    <row r="37104" s="197" customFormat="1" ht="12.75" x14ac:dyDescent="0.2"/>
    <row r="37105" s="197" customFormat="1" ht="12.75" x14ac:dyDescent="0.2"/>
    <row r="37106" s="197" customFormat="1" ht="12.75" x14ac:dyDescent="0.2"/>
    <row r="37107" s="197" customFormat="1" ht="12.75" x14ac:dyDescent="0.2"/>
    <row r="37108" s="197" customFormat="1" ht="12.75" x14ac:dyDescent="0.2"/>
    <row r="37109" s="197" customFormat="1" ht="12.75" x14ac:dyDescent="0.2"/>
    <row r="37110" s="197" customFormat="1" ht="12.75" x14ac:dyDescent="0.2"/>
    <row r="37111" s="197" customFormat="1" ht="12.75" x14ac:dyDescent="0.2"/>
    <row r="37112" s="197" customFormat="1" ht="12.75" x14ac:dyDescent="0.2"/>
    <row r="37113" s="197" customFormat="1" ht="12.75" x14ac:dyDescent="0.2"/>
    <row r="37114" s="197" customFormat="1" ht="12.75" x14ac:dyDescent="0.2"/>
    <row r="37115" s="197" customFormat="1" ht="12.75" x14ac:dyDescent="0.2"/>
    <row r="37116" s="197" customFormat="1" ht="12.75" x14ac:dyDescent="0.2"/>
    <row r="37117" s="197" customFormat="1" ht="12.75" x14ac:dyDescent="0.2"/>
    <row r="37118" s="197" customFormat="1" ht="12.75" x14ac:dyDescent="0.2"/>
    <row r="37119" s="197" customFormat="1" ht="12.75" x14ac:dyDescent="0.2"/>
    <row r="37120" s="197" customFormat="1" ht="12.75" x14ac:dyDescent="0.2"/>
    <row r="37121" s="197" customFormat="1" ht="12.75" x14ac:dyDescent="0.2"/>
    <row r="37122" s="197" customFormat="1" ht="12.75" x14ac:dyDescent="0.2"/>
    <row r="37123" s="197" customFormat="1" ht="12.75" x14ac:dyDescent="0.2"/>
    <row r="37124" s="197" customFormat="1" ht="12.75" x14ac:dyDescent="0.2"/>
    <row r="37125" s="197" customFormat="1" ht="12.75" x14ac:dyDescent="0.2"/>
    <row r="37126" s="197" customFormat="1" ht="12.75" x14ac:dyDescent="0.2"/>
    <row r="37127" s="197" customFormat="1" ht="12.75" x14ac:dyDescent="0.2"/>
    <row r="37128" s="197" customFormat="1" ht="12.75" x14ac:dyDescent="0.2"/>
    <row r="37129" s="197" customFormat="1" ht="12.75" x14ac:dyDescent="0.2"/>
    <row r="37130" s="197" customFormat="1" ht="12.75" x14ac:dyDescent="0.2"/>
    <row r="37131" s="197" customFormat="1" ht="12.75" x14ac:dyDescent="0.2"/>
    <row r="37132" s="197" customFormat="1" ht="12.75" x14ac:dyDescent="0.2"/>
    <row r="37133" s="197" customFormat="1" ht="12.75" x14ac:dyDescent="0.2"/>
    <row r="37134" s="197" customFormat="1" ht="12.75" x14ac:dyDescent="0.2"/>
    <row r="37135" s="197" customFormat="1" ht="12.75" x14ac:dyDescent="0.2"/>
    <row r="37136" s="197" customFormat="1" ht="12.75" x14ac:dyDescent="0.2"/>
    <row r="37137" s="197" customFormat="1" ht="12.75" x14ac:dyDescent="0.2"/>
    <row r="37138" s="197" customFormat="1" ht="12.75" x14ac:dyDescent="0.2"/>
    <row r="37139" s="197" customFormat="1" ht="12.75" x14ac:dyDescent="0.2"/>
    <row r="37140" s="197" customFormat="1" ht="12.75" x14ac:dyDescent="0.2"/>
    <row r="37141" s="197" customFormat="1" ht="12.75" x14ac:dyDescent="0.2"/>
    <row r="37142" s="197" customFormat="1" ht="12.75" x14ac:dyDescent="0.2"/>
    <row r="37143" s="197" customFormat="1" ht="12.75" x14ac:dyDescent="0.2"/>
    <row r="37144" s="197" customFormat="1" ht="12.75" x14ac:dyDescent="0.2"/>
    <row r="37145" s="197" customFormat="1" ht="12.75" x14ac:dyDescent="0.2"/>
    <row r="37146" s="197" customFormat="1" ht="12.75" x14ac:dyDescent="0.2"/>
    <row r="37147" s="197" customFormat="1" ht="12.75" x14ac:dyDescent="0.2"/>
    <row r="37148" s="197" customFormat="1" ht="12.75" x14ac:dyDescent="0.2"/>
    <row r="37149" s="197" customFormat="1" ht="12.75" x14ac:dyDescent="0.2"/>
    <row r="37150" s="197" customFormat="1" ht="12.75" x14ac:dyDescent="0.2"/>
    <row r="37151" s="197" customFormat="1" ht="12.75" x14ac:dyDescent="0.2"/>
    <row r="37152" s="197" customFormat="1" ht="12.75" x14ac:dyDescent="0.2"/>
    <row r="37153" s="197" customFormat="1" ht="12.75" x14ac:dyDescent="0.2"/>
    <row r="37154" s="197" customFormat="1" ht="12.75" x14ac:dyDescent="0.2"/>
    <row r="37155" s="197" customFormat="1" ht="12.75" x14ac:dyDescent="0.2"/>
    <row r="37156" s="197" customFormat="1" ht="12.75" x14ac:dyDescent="0.2"/>
    <row r="37157" s="197" customFormat="1" ht="12.75" x14ac:dyDescent="0.2"/>
    <row r="37158" s="197" customFormat="1" ht="12.75" x14ac:dyDescent="0.2"/>
    <row r="37159" s="197" customFormat="1" ht="12.75" x14ac:dyDescent="0.2"/>
    <row r="37160" s="197" customFormat="1" ht="12.75" x14ac:dyDescent="0.2"/>
    <row r="37161" s="197" customFormat="1" ht="12.75" x14ac:dyDescent="0.2"/>
    <row r="37162" s="197" customFormat="1" ht="12.75" x14ac:dyDescent="0.2"/>
    <row r="37163" s="197" customFormat="1" ht="12.75" x14ac:dyDescent="0.2"/>
    <row r="37164" s="197" customFormat="1" ht="12.75" x14ac:dyDescent="0.2"/>
    <row r="37165" s="197" customFormat="1" ht="12.75" x14ac:dyDescent="0.2"/>
    <row r="37166" s="197" customFormat="1" ht="12.75" x14ac:dyDescent="0.2"/>
    <row r="37167" s="197" customFormat="1" ht="12.75" x14ac:dyDescent="0.2"/>
    <row r="37168" s="197" customFormat="1" ht="12.75" x14ac:dyDescent="0.2"/>
    <row r="37169" s="197" customFormat="1" ht="12.75" x14ac:dyDescent="0.2"/>
    <row r="37170" s="197" customFormat="1" ht="12.75" x14ac:dyDescent="0.2"/>
    <row r="37171" s="197" customFormat="1" ht="12.75" x14ac:dyDescent="0.2"/>
    <row r="37172" s="197" customFormat="1" ht="12.75" x14ac:dyDescent="0.2"/>
    <row r="37173" s="197" customFormat="1" ht="12.75" x14ac:dyDescent="0.2"/>
    <row r="37174" s="197" customFormat="1" ht="12.75" x14ac:dyDescent="0.2"/>
    <row r="37175" s="197" customFormat="1" ht="12.75" x14ac:dyDescent="0.2"/>
    <row r="37176" s="197" customFormat="1" ht="12.75" x14ac:dyDescent="0.2"/>
    <row r="37177" s="197" customFormat="1" ht="12.75" x14ac:dyDescent="0.2"/>
    <row r="37178" s="197" customFormat="1" ht="12.75" x14ac:dyDescent="0.2"/>
    <row r="37179" s="197" customFormat="1" ht="12.75" x14ac:dyDescent="0.2"/>
    <row r="37180" s="197" customFormat="1" ht="12.75" x14ac:dyDescent="0.2"/>
    <row r="37181" s="197" customFormat="1" ht="12.75" x14ac:dyDescent="0.2"/>
    <row r="37182" s="197" customFormat="1" ht="12.75" x14ac:dyDescent="0.2"/>
    <row r="37183" s="197" customFormat="1" ht="12.75" x14ac:dyDescent="0.2"/>
    <row r="37184" s="197" customFormat="1" ht="12.75" x14ac:dyDescent="0.2"/>
    <row r="37185" s="197" customFormat="1" ht="12.75" x14ac:dyDescent="0.2"/>
    <row r="37186" s="197" customFormat="1" ht="12.75" x14ac:dyDescent="0.2"/>
    <row r="37187" s="197" customFormat="1" ht="12.75" x14ac:dyDescent="0.2"/>
    <row r="37188" s="197" customFormat="1" ht="12.75" x14ac:dyDescent="0.2"/>
    <row r="37189" s="197" customFormat="1" ht="12.75" x14ac:dyDescent="0.2"/>
    <row r="37190" s="197" customFormat="1" ht="12.75" x14ac:dyDescent="0.2"/>
    <row r="37191" s="197" customFormat="1" ht="12.75" x14ac:dyDescent="0.2"/>
    <row r="37192" s="197" customFormat="1" ht="12.75" x14ac:dyDescent="0.2"/>
    <row r="37193" s="197" customFormat="1" ht="12.75" x14ac:dyDescent="0.2"/>
    <row r="37194" s="197" customFormat="1" ht="12.75" x14ac:dyDescent="0.2"/>
    <row r="37195" s="197" customFormat="1" ht="12.75" x14ac:dyDescent="0.2"/>
    <row r="37196" s="197" customFormat="1" ht="12.75" x14ac:dyDescent="0.2"/>
    <row r="37197" s="197" customFormat="1" ht="12.75" x14ac:dyDescent="0.2"/>
    <row r="37198" s="197" customFormat="1" ht="12.75" x14ac:dyDescent="0.2"/>
    <row r="37199" s="197" customFormat="1" ht="12.75" x14ac:dyDescent="0.2"/>
    <row r="37200" s="197" customFormat="1" ht="12.75" x14ac:dyDescent="0.2"/>
    <row r="37201" s="197" customFormat="1" ht="12.75" x14ac:dyDescent="0.2"/>
    <row r="37202" s="197" customFormat="1" ht="12.75" x14ac:dyDescent="0.2"/>
    <row r="37203" s="197" customFormat="1" ht="12.75" x14ac:dyDescent="0.2"/>
    <row r="37204" s="197" customFormat="1" ht="12.75" x14ac:dyDescent="0.2"/>
    <row r="37205" s="197" customFormat="1" ht="12.75" x14ac:dyDescent="0.2"/>
    <row r="37206" s="197" customFormat="1" ht="12.75" x14ac:dyDescent="0.2"/>
    <row r="37207" s="197" customFormat="1" ht="12.75" x14ac:dyDescent="0.2"/>
    <row r="37208" s="197" customFormat="1" ht="12.75" x14ac:dyDescent="0.2"/>
    <row r="37209" s="197" customFormat="1" ht="12.75" x14ac:dyDescent="0.2"/>
    <row r="37210" s="197" customFormat="1" ht="12.75" x14ac:dyDescent="0.2"/>
    <row r="37211" s="197" customFormat="1" ht="12.75" x14ac:dyDescent="0.2"/>
    <row r="37212" s="197" customFormat="1" ht="12.75" x14ac:dyDescent="0.2"/>
    <row r="37213" s="197" customFormat="1" ht="12.75" x14ac:dyDescent="0.2"/>
    <row r="37214" s="197" customFormat="1" ht="12.75" x14ac:dyDescent="0.2"/>
    <row r="37215" s="197" customFormat="1" ht="12.75" x14ac:dyDescent="0.2"/>
    <row r="37216" s="197" customFormat="1" ht="12.75" x14ac:dyDescent="0.2"/>
    <row r="37217" s="197" customFormat="1" ht="12.75" x14ac:dyDescent="0.2"/>
    <row r="37218" s="197" customFormat="1" ht="12.75" x14ac:dyDescent="0.2"/>
    <row r="37219" s="197" customFormat="1" ht="12.75" x14ac:dyDescent="0.2"/>
    <row r="37220" s="197" customFormat="1" ht="12.75" x14ac:dyDescent="0.2"/>
    <row r="37221" s="197" customFormat="1" ht="12.75" x14ac:dyDescent="0.2"/>
    <row r="37222" s="197" customFormat="1" ht="12.75" x14ac:dyDescent="0.2"/>
    <row r="37223" s="197" customFormat="1" ht="12.75" x14ac:dyDescent="0.2"/>
    <row r="37224" s="197" customFormat="1" ht="12.75" x14ac:dyDescent="0.2"/>
    <row r="37225" s="197" customFormat="1" ht="12.75" x14ac:dyDescent="0.2"/>
    <row r="37226" s="197" customFormat="1" ht="12.75" x14ac:dyDescent="0.2"/>
    <row r="37227" s="197" customFormat="1" ht="12.75" x14ac:dyDescent="0.2"/>
    <row r="37228" s="197" customFormat="1" ht="12.75" x14ac:dyDescent="0.2"/>
    <row r="37229" s="197" customFormat="1" ht="12.75" x14ac:dyDescent="0.2"/>
    <row r="37230" s="197" customFormat="1" ht="12.75" x14ac:dyDescent="0.2"/>
    <row r="37231" s="197" customFormat="1" ht="12.75" x14ac:dyDescent="0.2"/>
    <row r="37232" s="197" customFormat="1" ht="12.75" x14ac:dyDescent="0.2"/>
    <row r="37233" s="197" customFormat="1" ht="12.75" x14ac:dyDescent="0.2"/>
    <row r="37234" s="197" customFormat="1" ht="12.75" x14ac:dyDescent="0.2"/>
    <row r="37235" s="197" customFormat="1" ht="12.75" x14ac:dyDescent="0.2"/>
    <row r="37236" s="197" customFormat="1" ht="12.75" x14ac:dyDescent="0.2"/>
    <row r="37237" s="197" customFormat="1" ht="12.75" x14ac:dyDescent="0.2"/>
    <row r="37238" s="197" customFormat="1" ht="12.75" x14ac:dyDescent="0.2"/>
    <row r="37239" s="197" customFormat="1" ht="12.75" x14ac:dyDescent="0.2"/>
    <row r="37240" s="197" customFormat="1" ht="12.75" x14ac:dyDescent="0.2"/>
    <row r="37241" s="197" customFormat="1" ht="12.75" x14ac:dyDescent="0.2"/>
    <row r="37242" s="197" customFormat="1" ht="12.75" x14ac:dyDescent="0.2"/>
    <row r="37243" s="197" customFormat="1" ht="12.75" x14ac:dyDescent="0.2"/>
    <row r="37244" s="197" customFormat="1" ht="12.75" x14ac:dyDescent="0.2"/>
    <row r="37245" s="197" customFormat="1" ht="12.75" x14ac:dyDescent="0.2"/>
    <row r="37246" s="197" customFormat="1" ht="12.75" x14ac:dyDescent="0.2"/>
    <row r="37247" s="197" customFormat="1" ht="12.75" x14ac:dyDescent="0.2"/>
    <row r="37248" s="197" customFormat="1" ht="12.75" x14ac:dyDescent="0.2"/>
    <row r="37249" s="197" customFormat="1" ht="12.75" x14ac:dyDescent="0.2"/>
    <row r="37250" s="197" customFormat="1" ht="12.75" x14ac:dyDescent="0.2"/>
    <row r="37251" s="197" customFormat="1" ht="12.75" x14ac:dyDescent="0.2"/>
    <row r="37252" s="197" customFormat="1" ht="12.75" x14ac:dyDescent="0.2"/>
    <row r="37253" s="197" customFormat="1" ht="12.75" x14ac:dyDescent="0.2"/>
    <row r="37254" s="197" customFormat="1" ht="12.75" x14ac:dyDescent="0.2"/>
    <row r="37255" s="197" customFormat="1" ht="12.75" x14ac:dyDescent="0.2"/>
    <row r="37256" s="197" customFormat="1" ht="12.75" x14ac:dyDescent="0.2"/>
    <row r="37257" s="197" customFormat="1" ht="12.75" x14ac:dyDescent="0.2"/>
    <row r="37258" s="197" customFormat="1" ht="12.75" x14ac:dyDescent="0.2"/>
    <row r="37259" s="197" customFormat="1" ht="12.75" x14ac:dyDescent="0.2"/>
    <row r="37260" s="197" customFormat="1" ht="12.75" x14ac:dyDescent="0.2"/>
    <row r="37261" s="197" customFormat="1" ht="12.75" x14ac:dyDescent="0.2"/>
    <row r="37262" s="197" customFormat="1" ht="12.75" x14ac:dyDescent="0.2"/>
    <row r="37263" s="197" customFormat="1" ht="12.75" x14ac:dyDescent="0.2"/>
    <row r="37264" s="197" customFormat="1" ht="12.75" x14ac:dyDescent="0.2"/>
    <row r="37265" s="197" customFormat="1" ht="12.75" x14ac:dyDescent="0.2"/>
    <row r="37266" s="197" customFormat="1" ht="12.75" x14ac:dyDescent="0.2"/>
    <row r="37267" s="197" customFormat="1" ht="12.75" x14ac:dyDescent="0.2"/>
    <row r="37268" s="197" customFormat="1" ht="12.75" x14ac:dyDescent="0.2"/>
    <row r="37269" s="197" customFormat="1" ht="12.75" x14ac:dyDescent="0.2"/>
    <row r="37270" s="197" customFormat="1" ht="12.75" x14ac:dyDescent="0.2"/>
    <row r="37271" s="197" customFormat="1" ht="12.75" x14ac:dyDescent="0.2"/>
    <row r="37272" s="197" customFormat="1" ht="12.75" x14ac:dyDescent="0.2"/>
    <row r="37273" s="197" customFormat="1" ht="12.75" x14ac:dyDescent="0.2"/>
    <row r="37274" s="197" customFormat="1" ht="12.75" x14ac:dyDescent="0.2"/>
    <row r="37275" s="197" customFormat="1" ht="12.75" x14ac:dyDescent="0.2"/>
    <row r="37276" s="197" customFormat="1" ht="12.75" x14ac:dyDescent="0.2"/>
    <row r="37277" s="197" customFormat="1" ht="12.75" x14ac:dyDescent="0.2"/>
    <row r="37278" s="197" customFormat="1" ht="12.75" x14ac:dyDescent="0.2"/>
    <row r="37279" s="197" customFormat="1" ht="12.75" x14ac:dyDescent="0.2"/>
    <row r="37280" s="197" customFormat="1" ht="12.75" x14ac:dyDescent="0.2"/>
    <row r="37281" s="197" customFormat="1" ht="12.75" x14ac:dyDescent="0.2"/>
    <row r="37282" s="197" customFormat="1" ht="12.75" x14ac:dyDescent="0.2"/>
    <row r="37283" s="197" customFormat="1" ht="12.75" x14ac:dyDescent="0.2"/>
    <row r="37284" s="197" customFormat="1" ht="12.75" x14ac:dyDescent="0.2"/>
    <row r="37285" s="197" customFormat="1" ht="12.75" x14ac:dyDescent="0.2"/>
    <row r="37286" s="197" customFormat="1" ht="12.75" x14ac:dyDescent="0.2"/>
    <row r="37287" s="197" customFormat="1" ht="12.75" x14ac:dyDescent="0.2"/>
    <row r="37288" s="197" customFormat="1" ht="12.75" x14ac:dyDescent="0.2"/>
    <row r="37289" s="197" customFormat="1" ht="12.75" x14ac:dyDescent="0.2"/>
    <row r="37290" s="197" customFormat="1" ht="12.75" x14ac:dyDescent="0.2"/>
    <row r="37291" s="197" customFormat="1" ht="12.75" x14ac:dyDescent="0.2"/>
    <row r="37292" s="197" customFormat="1" ht="12.75" x14ac:dyDescent="0.2"/>
    <row r="37293" s="197" customFormat="1" ht="12.75" x14ac:dyDescent="0.2"/>
    <row r="37294" s="197" customFormat="1" ht="12.75" x14ac:dyDescent="0.2"/>
    <row r="37295" s="197" customFormat="1" ht="12.75" x14ac:dyDescent="0.2"/>
    <row r="37296" s="197" customFormat="1" ht="12.75" x14ac:dyDescent="0.2"/>
    <row r="37297" s="197" customFormat="1" ht="12.75" x14ac:dyDescent="0.2"/>
    <row r="37298" s="197" customFormat="1" ht="12.75" x14ac:dyDescent="0.2"/>
    <row r="37299" s="197" customFormat="1" ht="12.75" x14ac:dyDescent="0.2"/>
    <row r="37300" s="197" customFormat="1" ht="12.75" x14ac:dyDescent="0.2"/>
    <row r="37301" s="197" customFormat="1" ht="12.75" x14ac:dyDescent="0.2"/>
    <row r="37302" s="197" customFormat="1" ht="12.75" x14ac:dyDescent="0.2"/>
    <row r="37303" s="197" customFormat="1" ht="12.75" x14ac:dyDescent="0.2"/>
    <row r="37304" s="197" customFormat="1" ht="12.75" x14ac:dyDescent="0.2"/>
    <row r="37305" s="197" customFormat="1" ht="12.75" x14ac:dyDescent="0.2"/>
    <row r="37306" s="197" customFormat="1" ht="12.75" x14ac:dyDescent="0.2"/>
    <row r="37307" s="197" customFormat="1" ht="12.75" x14ac:dyDescent="0.2"/>
    <row r="37308" s="197" customFormat="1" ht="12.75" x14ac:dyDescent="0.2"/>
    <row r="37309" s="197" customFormat="1" ht="12.75" x14ac:dyDescent="0.2"/>
    <row r="37310" s="197" customFormat="1" ht="12.75" x14ac:dyDescent="0.2"/>
    <row r="37311" s="197" customFormat="1" ht="12.75" x14ac:dyDescent="0.2"/>
    <row r="37312" s="197" customFormat="1" ht="12.75" x14ac:dyDescent="0.2"/>
    <row r="37313" s="197" customFormat="1" ht="12.75" x14ac:dyDescent="0.2"/>
    <row r="37314" s="197" customFormat="1" ht="12.75" x14ac:dyDescent="0.2"/>
    <row r="37315" s="197" customFormat="1" ht="12.75" x14ac:dyDescent="0.2"/>
    <row r="37316" s="197" customFormat="1" ht="12.75" x14ac:dyDescent="0.2"/>
    <row r="37317" s="197" customFormat="1" ht="12.75" x14ac:dyDescent="0.2"/>
    <row r="37318" s="197" customFormat="1" ht="12.75" x14ac:dyDescent="0.2"/>
    <row r="37319" s="197" customFormat="1" ht="12.75" x14ac:dyDescent="0.2"/>
    <row r="37320" s="197" customFormat="1" ht="12.75" x14ac:dyDescent="0.2"/>
    <row r="37321" s="197" customFormat="1" ht="12.75" x14ac:dyDescent="0.2"/>
    <row r="37322" s="197" customFormat="1" ht="12.75" x14ac:dyDescent="0.2"/>
    <row r="37323" s="197" customFormat="1" ht="12.75" x14ac:dyDescent="0.2"/>
    <row r="37324" s="197" customFormat="1" ht="12.75" x14ac:dyDescent="0.2"/>
    <row r="37325" s="197" customFormat="1" ht="12.75" x14ac:dyDescent="0.2"/>
    <row r="37326" s="197" customFormat="1" ht="12.75" x14ac:dyDescent="0.2"/>
    <row r="37327" s="197" customFormat="1" ht="12.75" x14ac:dyDescent="0.2"/>
    <row r="37328" s="197" customFormat="1" ht="12.75" x14ac:dyDescent="0.2"/>
    <row r="37329" s="197" customFormat="1" ht="12.75" x14ac:dyDescent="0.2"/>
    <row r="37330" s="197" customFormat="1" ht="12.75" x14ac:dyDescent="0.2"/>
    <row r="37331" s="197" customFormat="1" ht="12.75" x14ac:dyDescent="0.2"/>
    <row r="37332" s="197" customFormat="1" ht="12.75" x14ac:dyDescent="0.2"/>
    <row r="37333" s="197" customFormat="1" ht="12.75" x14ac:dyDescent="0.2"/>
    <row r="37334" s="197" customFormat="1" ht="12.75" x14ac:dyDescent="0.2"/>
    <row r="37335" s="197" customFormat="1" ht="12.75" x14ac:dyDescent="0.2"/>
    <row r="37336" s="197" customFormat="1" ht="12.75" x14ac:dyDescent="0.2"/>
    <row r="37337" s="197" customFormat="1" ht="12.75" x14ac:dyDescent="0.2"/>
    <row r="37338" s="197" customFormat="1" ht="12.75" x14ac:dyDescent="0.2"/>
    <row r="37339" s="197" customFormat="1" ht="12.75" x14ac:dyDescent="0.2"/>
    <row r="37340" s="197" customFormat="1" ht="12.75" x14ac:dyDescent="0.2"/>
    <row r="37341" s="197" customFormat="1" ht="12.75" x14ac:dyDescent="0.2"/>
    <row r="37342" s="197" customFormat="1" ht="12.75" x14ac:dyDescent="0.2"/>
    <row r="37343" s="197" customFormat="1" ht="12.75" x14ac:dyDescent="0.2"/>
    <row r="37344" s="197" customFormat="1" ht="12.75" x14ac:dyDescent="0.2"/>
    <row r="37345" s="197" customFormat="1" ht="12.75" x14ac:dyDescent="0.2"/>
    <row r="37346" s="197" customFormat="1" ht="12.75" x14ac:dyDescent="0.2"/>
    <row r="37347" s="197" customFormat="1" ht="12.75" x14ac:dyDescent="0.2"/>
    <row r="37348" s="197" customFormat="1" ht="12.75" x14ac:dyDescent="0.2"/>
    <row r="37349" s="197" customFormat="1" ht="12.75" x14ac:dyDescent="0.2"/>
    <row r="37350" s="197" customFormat="1" ht="12.75" x14ac:dyDescent="0.2"/>
    <row r="37351" s="197" customFormat="1" ht="12.75" x14ac:dyDescent="0.2"/>
    <row r="37352" s="197" customFormat="1" ht="12.75" x14ac:dyDescent="0.2"/>
    <row r="37353" s="197" customFormat="1" ht="12.75" x14ac:dyDescent="0.2"/>
    <row r="37354" s="197" customFormat="1" ht="12.75" x14ac:dyDescent="0.2"/>
    <row r="37355" s="197" customFormat="1" ht="12.75" x14ac:dyDescent="0.2"/>
    <row r="37356" s="197" customFormat="1" ht="12.75" x14ac:dyDescent="0.2"/>
    <row r="37357" s="197" customFormat="1" ht="12.75" x14ac:dyDescent="0.2"/>
    <row r="37358" s="197" customFormat="1" ht="12.75" x14ac:dyDescent="0.2"/>
    <row r="37359" s="197" customFormat="1" ht="12.75" x14ac:dyDescent="0.2"/>
    <row r="37360" s="197" customFormat="1" ht="12.75" x14ac:dyDescent="0.2"/>
    <row r="37361" s="197" customFormat="1" ht="12.75" x14ac:dyDescent="0.2"/>
    <row r="37362" s="197" customFormat="1" ht="12.75" x14ac:dyDescent="0.2"/>
    <row r="37363" s="197" customFormat="1" ht="12.75" x14ac:dyDescent="0.2"/>
    <row r="37364" s="197" customFormat="1" ht="12.75" x14ac:dyDescent="0.2"/>
    <row r="37365" s="197" customFormat="1" ht="12.75" x14ac:dyDescent="0.2"/>
    <row r="37366" s="197" customFormat="1" ht="12.75" x14ac:dyDescent="0.2"/>
    <row r="37367" s="197" customFormat="1" ht="12.75" x14ac:dyDescent="0.2"/>
    <row r="37368" s="197" customFormat="1" ht="12.75" x14ac:dyDescent="0.2"/>
    <row r="37369" s="197" customFormat="1" ht="12.75" x14ac:dyDescent="0.2"/>
    <row r="37370" s="197" customFormat="1" ht="12.75" x14ac:dyDescent="0.2"/>
    <row r="37371" s="197" customFormat="1" ht="12.75" x14ac:dyDescent="0.2"/>
    <row r="37372" s="197" customFormat="1" ht="12.75" x14ac:dyDescent="0.2"/>
    <row r="37373" s="197" customFormat="1" ht="12.75" x14ac:dyDescent="0.2"/>
    <row r="37374" s="197" customFormat="1" ht="12.75" x14ac:dyDescent="0.2"/>
    <row r="37375" s="197" customFormat="1" ht="12.75" x14ac:dyDescent="0.2"/>
    <row r="37376" s="197" customFormat="1" ht="12.75" x14ac:dyDescent="0.2"/>
    <row r="37377" s="197" customFormat="1" ht="12.75" x14ac:dyDescent="0.2"/>
    <row r="37378" s="197" customFormat="1" ht="12.75" x14ac:dyDescent="0.2"/>
    <row r="37379" s="197" customFormat="1" ht="12.75" x14ac:dyDescent="0.2"/>
    <row r="37380" s="197" customFormat="1" ht="12.75" x14ac:dyDescent="0.2"/>
    <row r="37381" s="197" customFormat="1" ht="12.75" x14ac:dyDescent="0.2"/>
    <row r="37382" s="197" customFormat="1" ht="12.75" x14ac:dyDescent="0.2"/>
    <row r="37383" s="197" customFormat="1" ht="12.75" x14ac:dyDescent="0.2"/>
    <row r="37384" s="197" customFormat="1" ht="12.75" x14ac:dyDescent="0.2"/>
    <row r="37385" s="197" customFormat="1" ht="12.75" x14ac:dyDescent="0.2"/>
    <row r="37386" s="197" customFormat="1" ht="12.75" x14ac:dyDescent="0.2"/>
    <row r="37387" s="197" customFormat="1" ht="12.75" x14ac:dyDescent="0.2"/>
    <row r="37388" s="197" customFormat="1" ht="12.75" x14ac:dyDescent="0.2"/>
    <row r="37389" s="197" customFormat="1" ht="12.75" x14ac:dyDescent="0.2"/>
    <row r="37390" s="197" customFormat="1" ht="12.75" x14ac:dyDescent="0.2"/>
    <row r="37391" s="197" customFormat="1" ht="12.75" x14ac:dyDescent="0.2"/>
    <row r="37392" s="197" customFormat="1" ht="12.75" x14ac:dyDescent="0.2"/>
    <row r="37393" s="197" customFormat="1" ht="12.75" x14ac:dyDescent="0.2"/>
    <row r="37394" s="197" customFormat="1" ht="12.75" x14ac:dyDescent="0.2"/>
    <row r="37395" s="197" customFormat="1" ht="12.75" x14ac:dyDescent="0.2"/>
    <row r="37396" s="197" customFormat="1" ht="12.75" x14ac:dyDescent="0.2"/>
    <row r="37397" s="197" customFormat="1" ht="12.75" x14ac:dyDescent="0.2"/>
    <row r="37398" s="197" customFormat="1" ht="12.75" x14ac:dyDescent="0.2"/>
    <row r="37399" s="197" customFormat="1" ht="12.75" x14ac:dyDescent="0.2"/>
    <row r="37400" s="197" customFormat="1" ht="12.75" x14ac:dyDescent="0.2"/>
    <row r="37401" s="197" customFormat="1" ht="12.75" x14ac:dyDescent="0.2"/>
    <row r="37402" s="197" customFormat="1" ht="12.75" x14ac:dyDescent="0.2"/>
    <row r="37403" s="197" customFormat="1" ht="12.75" x14ac:dyDescent="0.2"/>
    <row r="37404" s="197" customFormat="1" ht="12.75" x14ac:dyDescent="0.2"/>
    <row r="37405" s="197" customFormat="1" ht="12.75" x14ac:dyDescent="0.2"/>
    <row r="37406" s="197" customFormat="1" ht="12.75" x14ac:dyDescent="0.2"/>
    <row r="37407" s="197" customFormat="1" ht="12.75" x14ac:dyDescent="0.2"/>
    <row r="37408" s="197" customFormat="1" ht="12.75" x14ac:dyDescent="0.2"/>
    <row r="37409" s="197" customFormat="1" ht="12.75" x14ac:dyDescent="0.2"/>
    <row r="37410" s="197" customFormat="1" ht="12.75" x14ac:dyDescent="0.2"/>
    <row r="37411" s="197" customFormat="1" ht="12.75" x14ac:dyDescent="0.2"/>
    <row r="37412" s="197" customFormat="1" ht="12.75" x14ac:dyDescent="0.2"/>
    <row r="37413" s="197" customFormat="1" ht="12.75" x14ac:dyDescent="0.2"/>
    <row r="37414" s="197" customFormat="1" ht="12.75" x14ac:dyDescent="0.2"/>
    <row r="37415" s="197" customFormat="1" ht="12.75" x14ac:dyDescent="0.2"/>
    <row r="37416" s="197" customFormat="1" ht="12.75" x14ac:dyDescent="0.2"/>
    <row r="37417" s="197" customFormat="1" ht="12.75" x14ac:dyDescent="0.2"/>
    <row r="37418" s="197" customFormat="1" ht="12.75" x14ac:dyDescent="0.2"/>
    <row r="37419" s="197" customFormat="1" ht="12.75" x14ac:dyDescent="0.2"/>
    <row r="37420" s="197" customFormat="1" ht="12.75" x14ac:dyDescent="0.2"/>
    <row r="37421" s="197" customFormat="1" ht="12.75" x14ac:dyDescent="0.2"/>
    <row r="37422" s="197" customFormat="1" ht="12.75" x14ac:dyDescent="0.2"/>
    <row r="37423" s="197" customFormat="1" ht="12.75" x14ac:dyDescent="0.2"/>
    <row r="37424" s="197" customFormat="1" ht="12.75" x14ac:dyDescent="0.2"/>
    <row r="37425" s="197" customFormat="1" ht="12.75" x14ac:dyDescent="0.2"/>
    <row r="37426" s="197" customFormat="1" ht="12.75" x14ac:dyDescent="0.2"/>
    <row r="37427" s="197" customFormat="1" ht="12.75" x14ac:dyDescent="0.2"/>
    <row r="37428" s="197" customFormat="1" ht="12.75" x14ac:dyDescent="0.2"/>
    <row r="37429" s="197" customFormat="1" ht="12.75" x14ac:dyDescent="0.2"/>
    <row r="37430" s="197" customFormat="1" ht="12.75" x14ac:dyDescent="0.2"/>
    <row r="37431" s="197" customFormat="1" ht="12.75" x14ac:dyDescent="0.2"/>
    <row r="37432" s="197" customFormat="1" ht="12.75" x14ac:dyDescent="0.2"/>
    <row r="37433" s="197" customFormat="1" ht="12.75" x14ac:dyDescent="0.2"/>
    <row r="37434" s="197" customFormat="1" ht="12.75" x14ac:dyDescent="0.2"/>
    <row r="37435" s="197" customFormat="1" ht="12.75" x14ac:dyDescent="0.2"/>
    <row r="37436" s="197" customFormat="1" ht="12.75" x14ac:dyDescent="0.2"/>
    <row r="37437" s="197" customFormat="1" ht="12.75" x14ac:dyDescent="0.2"/>
    <row r="37438" s="197" customFormat="1" ht="12.75" x14ac:dyDescent="0.2"/>
    <row r="37439" s="197" customFormat="1" ht="12.75" x14ac:dyDescent="0.2"/>
    <row r="37440" s="197" customFormat="1" ht="12.75" x14ac:dyDescent="0.2"/>
    <row r="37441" s="197" customFormat="1" ht="12.75" x14ac:dyDescent="0.2"/>
    <row r="37442" s="197" customFormat="1" ht="12.75" x14ac:dyDescent="0.2"/>
    <row r="37443" s="197" customFormat="1" ht="12.75" x14ac:dyDescent="0.2"/>
    <row r="37444" s="197" customFormat="1" ht="12.75" x14ac:dyDescent="0.2"/>
    <row r="37445" s="197" customFormat="1" ht="12.75" x14ac:dyDescent="0.2"/>
    <row r="37446" s="197" customFormat="1" ht="12.75" x14ac:dyDescent="0.2"/>
    <row r="37447" s="197" customFormat="1" ht="12.75" x14ac:dyDescent="0.2"/>
    <row r="37448" s="197" customFormat="1" ht="12.75" x14ac:dyDescent="0.2"/>
    <row r="37449" s="197" customFormat="1" ht="12.75" x14ac:dyDescent="0.2"/>
    <row r="37450" s="197" customFormat="1" ht="12.75" x14ac:dyDescent="0.2"/>
    <row r="37451" s="197" customFormat="1" ht="12.75" x14ac:dyDescent="0.2"/>
    <row r="37452" s="197" customFormat="1" ht="12.75" x14ac:dyDescent="0.2"/>
    <row r="37453" s="197" customFormat="1" ht="12.75" x14ac:dyDescent="0.2"/>
    <row r="37454" s="197" customFormat="1" ht="12.75" x14ac:dyDescent="0.2"/>
    <row r="37455" s="197" customFormat="1" ht="12.75" x14ac:dyDescent="0.2"/>
    <row r="37456" s="197" customFormat="1" ht="12.75" x14ac:dyDescent="0.2"/>
    <row r="37457" s="197" customFormat="1" ht="12.75" x14ac:dyDescent="0.2"/>
    <row r="37458" s="197" customFormat="1" ht="12.75" x14ac:dyDescent="0.2"/>
    <row r="37459" s="197" customFormat="1" ht="12.75" x14ac:dyDescent="0.2"/>
    <row r="37460" s="197" customFormat="1" ht="12.75" x14ac:dyDescent="0.2"/>
    <row r="37461" s="197" customFormat="1" ht="12.75" x14ac:dyDescent="0.2"/>
    <row r="37462" s="197" customFormat="1" ht="12.75" x14ac:dyDescent="0.2"/>
    <row r="37463" s="197" customFormat="1" ht="12.75" x14ac:dyDescent="0.2"/>
    <row r="37464" s="197" customFormat="1" ht="12.75" x14ac:dyDescent="0.2"/>
    <row r="37465" s="197" customFormat="1" ht="12.75" x14ac:dyDescent="0.2"/>
    <row r="37466" s="197" customFormat="1" ht="12.75" x14ac:dyDescent="0.2"/>
    <row r="37467" s="197" customFormat="1" ht="12.75" x14ac:dyDescent="0.2"/>
    <row r="37468" s="197" customFormat="1" ht="12.75" x14ac:dyDescent="0.2"/>
    <row r="37469" s="197" customFormat="1" ht="12.75" x14ac:dyDescent="0.2"/>
    <row r="37470" s="197" customFormat="1" ht="12.75" x14ac:dyDescent="0.2"/>
    <row r="37471" s="197" customFormat="1" ht="12.75" x14ac:dyDescent="0.2"/>
    <row r="37472" s="197" customFormat="1" ht="12.75" x14ac:dyDescent="0.2"/>
    <row r="37473" s="197" customFormat="1" ht="12.75" x14ac:dyDescent="0.2"/>
    <row r="37474" s="197" customFormat="1" ht="12.75" x14ac:dyDescent="0.2"/>
    <row r="37475" s="197" customFormat="1" ht="12.75" x14ac:dyDescent="0.2"/>
    <row r="37476" s="197" customFormat="1" ht="12.75" x14ac:dyDescent="0.2"/>
    <row r="37477" s="197" customFormat="1" ht="12.75" x14ac:dyDescent="0.2"/>
    <row r="37478" s="197" customFormat="1" ht="12.75" x14ac:dyDescent="0.2"/>
    <row r="37479" s="197" customFormat="1" ht="12.75" x14ac:dyDescent="0.2"/>
    <row r="37480" s="197" customFormat="1" ht="12.75" x14ac:dyDescent="0.2"/>
    <row r="37481" s="197" customFormat="1" ht="12.75" x14ac:dyDescent="0.2"/>
    <row r="37482" s="197" customFormat="1" ht="12.75" x14ac:dyDescent="0.2"/>
    <row r="37483" s="197" customFormat="1" ht="12.75" x14ac:dyDescent="0.2"/>
    <row r="37484" s="197" customFormat="1" ht="12.75" x14ac:dyDescent="0.2"/>
    <row r="37485" s="197" customFormat="1" ht="12.75" x14ac:dyDescent="0.2"/>
    <row r="37486" s="197" customFormat="1" ht="12.75" x14ac:dyDescent="0.2"/>
    <row r="37487" s="197" customFormat="1" ht="12.75" x14ac:dyDescent="0.2"/>
    <row r="37488" s="197" customFormat="1" ht="12.75" x14ac:dyDescent="0.2"/>
    <row r="37489" s="197" customFormat="1" ht="12.75" x14ac:dyDescent="0.2"/>
    <row r="37490" s="197" customFormat="1" ht="12.75" x14ac:dyDescent="0.2"/>
    <row r="37491" s="197" customFormat="1" ht="12.75" x14ac:dyDescent="0.2"/>
    <row r="37492" s="197" customFormat="1" ht="12.75" x14ac:dyDescent="0.2"/>
    <row r="37493" s="197" customFormat="1" ht="12.75" x14ac:dyDescent="0.2"/>
    <row r="37494" s="197" customFormat="1" ht="12.75" x14ac:dyDescent="0.2"/>
    <row r="37495" s="197" customFormat="1" ht="12.75" x14ac:dyDescent="0.2"/>
    <row r="37496" s="197" customFormat="1" ht="12.75" x14ac:dyDescent="0.2"/>
    <row r="37497" s="197" customFormat="1" ht="12.75" x14ac:dyDescent="0.2"/>
    <row r="37498" s="197" customFormat="1" ht="12.75" x14ac:dyDescent="0.2"/>
    <row r="37499" s="197" customFormat="1" ht="12.75" x14ac:dyDescent="0.2"/>
    <row r="37500" s="197" customFormat="1" ht="12.75" x14ac:dyDescent="0.2"/>
    <row r="37501" s="197" customFormat="1" ht="12.75" x14ac:dyDescent="0.2"/>
    <row r="37502" s="197" customFormat="1" ht="12.75" x14ac:dyDescent="0.2"/>
    <row r="37503" s="197" customFormat="1" ht="12.75" x14ac:dyDescent="0.2"/>
    <row r="37504" s="197" customFormat="1" ht="12.75" x14ac:dyDescent="0.2"/>
    <row r="37505" s="197" customFormat="1" ht="12.75" x14ac:dyDescent="0.2"/>
    <row r="37506" s="197" customFormat="1" ht="12.75" x14ac:dyDescent="0.2"/>
    <row r="37507" s="197" customFormat="1" ht="12.75" x14ac:dyDescent="0.2"/>
    <row r="37508" s="197" customFormat="1" ht="12.75" x14ac:dyDescent="0.2"/>
    <row r="37509" s="197" customFormat="1" ht="12.75" x14ac:dyDescent="0.2"/>
    <row r="37510" s="197" customFormat="1" ht="12.75" x14ac:dyDescent="0.2"/>
    <row r="37511" s="197" customFormat="1" ht="12.75" x14ac:dyDescent="0.2"/>
    <row r="37512" s="197" customFormat="1" ht="12.75" x14ac:dyDescent="0.2"/>
    <row r="37513" s="197" customFormat="1" ht="12.75" x14ac:dyDescent="0.2"/>
    <row r="37514" s="197" customFormat="1" ht="12.75" x14ac:dyDescent="0.2"/>
    <row r="37515" s="197" customFormat="1" ht="12.75" x14ac:dyDescent="0.2"/>
    <row r="37516" s="197" customFormat="1" ht="12.75" x14ac:dyDescent="0.2"/>
    <row r="37517" s="197" customFormat="1" ht="12.75" x14ac:dyDescent="0.2"/>
    <row r="37518" s="197" customFormat="1" ht="12.75" x14ac:dyDescent="0.2"/>
    <row r="37519" s="197" customFormat="1" ht="12.75" x14ac:dyDescent="0.2"/>
    <row r="37520" s="197" customFormat="1" ht="12.75" x14ac:dyDescent="0.2"/>
    <row r="37521" s="197" customFormat="1" ht="12.75" x14ac:dyDescent="0.2"/>
    <row r="37522" s="197" customFormat="1" ht="12.75" x14ac:dyDescent="0.2"/>
    <row r="37523" s="197" customFormat="1" ht="12.75" x14ac:dyDescent="0.2"/>
    <row r="37524" s="197" customFormat="1" ht="12.75" x14ac:dyDescent="0.2"/>
    <row r="37525" s="197" customFormat="1" ht="12.75" x14ac:dyDescent="0.2"/>
    <row r="37526" s="197" customFormat="1" ht="12.75" x14ac:dyDescent="0.2"/>
    <row r="37527" s="197" customFormat="1" ht="12.75" x14ac:dyDescent="0.2"/>
    <row r="37528" s="197" customFormat="1" ht="12.75" x14ac:dyDescent="0.2"/>
    <row r="37529" s="197" customFormat="1" ht="12.75" x14ac:dyDescent="0.2"/>
    <row r="37530" s="197" customFormat="1" ht="12.75" x14ac:dyDescent="0.2"/>
    <row r="37531" s="197" customFormat="1" ht="12.75" x14ac:dyDescent="0.2"/>
    <row r="37532" s="197" customFormat="1" ht="12.75" x14ac:dyDescent="0.2"/>
    <row r="37533" s="197" customFormat="1" ht="12.75" x14ac:dyDescent="0.2"/>
    <row r="37534" s="197" customFormat="1" ht="12.75" x14ac:dyDescent="0.2"/>
    <row r="37535" s="197" customFormat="1" ht="12.75" x14ac:dyDescent="0.2"/>
    <row r="37536" s="197" customFormat="1" ht="12.75" x14ac:dyDescent="0.2"/>
    <row r="37537" s="197" customFormat="1" ht="12.75" x14ac:dyDescent="0.2"/>
    <row r="37538" s="197" customFormat="1" ht="12.75" x14ac:dyDescent="0.2"/>
    <row r="37539" s="197" customFormat="1" ht="12.75" x14ac:dyDescent="0.2"/>
    <row r="37540" s="197" customFormat="1" ht="12.75" x14ac:dyDescent="0.2"/>
    <row r="37541" s="197" customFormat="1" ht="12.75" x14ac:dyDescent="0.2"/>
    <row r="37542" s="197" customFormat="1" ht="12.75" x14ac:dyDescent="0.2"/>
    <row r="37543" s="197" customFormat="1" ht="12.75" x14ac:dyDescent="0.2"/>
    <row r="37544" s="197" customFormat="1" ht="12.75" x14ac:dyDescent="0.2"/>
    <row r="37545" s="197" customFormat="1" ht="12.75" x14ac:dyDescent="0.2"/>
    <row r="37546" s="197" customFormat="1" ht="12.75" x14ac:dyDescent="0.2"/>
    <row r="37547" s="197" customFormat="1" ht="12.75" x14ac:dyDescent="0.2"/>
    <row r="37548" s="197" customFormat="1" ht="12.75" x14ac:dyDescent="0.2"/>
    <row r="37549" s="197" customFormat="1" ht="12.75" x14ac:dyDescent="0.2"/>
    <row r="37550" s="197" customFormat="1" ht="12.75" x14ac:dyDescent="0.2"/>
    <row r="37551" s="197" customFormat="1" ht="12.75" x14ac:dyDescent="0.2"/>
    <row r="37552" s="197" customFormat="1" ht="12.75" x14ac:dyDescent="0.2"/>
    <row r="37553" s="197" customFormat="1" ht="12.75" x14ac:dyDescent="0.2"/>
    <row r="37554" s="197" customFormat="1" ht="12.75" x14ac:dyDescent="0.2"/>
    <row r="37555" s="197" customFormat="1" ht="12.75" x14ac:dyDescent="0.2"/>
    <row r="37556" s="197" customFormat="1" ht="12.75" x14ac:dyDescent="0.2"/>
    <row r="37557" s="197" customFormat="1" ht="12.75" x14ac:dyDescent="0.2"/>
    <row r="37558" s="197" customFormat="1" ht="12.75" x14ac:dyDescent="0.2"/>
    <row r="37559" s="197" customFormat="1" ht="12.75" x14ac:dyDescent="0.2"/>
    <row r="37560" s="197" customFormat="1" ht="12.75" x14ac:dyDescent="0.2"/>
    <row r="37561" s="197" customFormat="1" ht="12.75" x14ac:dyDescent="0.2"/>
    <row r="37562" s="197" customFormat="1" ht="12.75" x14ac:dyDescent="0.2"/>
    <row r="37563" s="197" customFormat="1" ht="12.75" x14ac:dyDescent="0.2"/>
    <row r="37564" s="197" customFormat="1" ht="12.75" x14ac:dyDescent="0.2"/>
    <row r="37565" s="197" customFormat="1" ht="12.75" x14ac:dyDescent="0.2"/>
    <row r="37566" s="197" customFormat="1" ht="12.75" x14ac:dyDescent="0.2"/>
    <row r="37567" s="197" customFormat="1" ht="12.75" x14ac:dyDescent="0.2"/>
    <row r="37568" s="197" customFormat="1" ht="12.75" x14ac:dyDescent="0.2"/>
    <row r="37569" s="197" customFormat="1" ht="12.75" x14ac:dyDescent="0.2"/>
    <row r="37570" s="197" customFormat="1" ht="12.75" x14ac:dyDescent="0.2"/>
    <row r="37571" s="197" customFormat="1" ht="12.75" x14ac:dyDescent="0.2"/>
    <row r="37572" s="197" customFormat="1" ht="12.75" x14ac:dyDescent="0.2"/>
    <row r="37573" s="197" customFormat="1" ht="12.75" x14ac:dyDescent="0.2"/>
    <row r="37574" s="197" customFormat="1" ht="12.75" x14ac:dyDescent="0.2"/>
    <row r="37575" s="197" customFormat="1" ht="12.75" x14ac:dyDescent="0.2"/>
    <row r="37576" s="197" customFormat="1" ht="12.75" x14ac:dyDescent="0.2"/>
    <row r="37577" s="197" customFormat="1" ht="12.75" x14ac:dyDescent="0.2"/>
    <row r="37578" s="197" customFormat="1" ht="12.75" x14ac:dyDescent="0.2"/>
    <row r="37579" s="197" customFormat="1" ht="12.75" x14ac:dyDescent="0.2"/>
    <row r="37580" s="197" customFormat="1" ht="12.75" x14ac:dyDescent="0.2"/>
    <row r="37581" s="197" customFormat="1" ht="12.75" x14ac:dyDescent="0.2"/>
    <row r="37582" s="197" customFormat="1" ht="12.75" x14ac:dyDescent="0.2"/>
    <row r="37583" s="197" customFormat="1" ht="12.75" x14ac:dyDescent="0.2"/>
    <row r="37584" s="197" customFormat="1" ht="12.75" x14ac:dyDescent="0.2"/>
    <row r="37585" s="197" customFormat="1" ht="12.75" x14ac:dyDescent="0.2"/>
    <row r="37586" s="197" customFormat="1" ht="12.75" x14ac:dyDescent="0.2"/>
    <row r="37587" s="197" customFormat="1" ht="12.75" x14ac:dyDescent="0.2"/>
    <row r="37588" s="197" customFormat="1" ht="12.75" x14ac:dyDescent="0.2"/>
    <row r="37589" s="197" customFormat="1" ht="12.75" x14ac:dyDescent="0.2"/>
    <row r="37590" s="197" customFormat="1" ht="12.75" x14ac:dyDescent="0.2"/>
    <row r="37591" s="197" customFormat="1" ht="12.75" x14ac:dyDescent="0.2"/>
    <row r="37592" s="197" customFormat="1" ht="12.75" x14ac:dyDescent="0.2"/>
    <row r="37593" s="197" customFormat="1" ht="12.75" x14ac:dyDescent="0.2"/>
    <row r="37594" s="197" customFormat="1" ht="12.75" x14ac:dyDescent="0.2"/>
    <row r="37595" s="197" customFormat="1" ht="12.75" x14ac:dyDescent="0.2"/>
    <row r="37596" s="197" customFormat="1" ht="12.75" x14ac:dyDescent="0.2"/>
    <row r="37597" s="197" customFormat="1" ht="12.75" x14ac:dyDescent="0.2"/>
    <row r="37598" s="197" customFormat="1" ht="12.75" x14ac:dyDescent="0.2"/>
    <row r="37599" s="197" customFormat="1" ht="12.75" x14ac:dyDescent="0.2"/>
    <row r="37600" s="197" customFormat="1" ht="12.75" x14ac:dyDescent="0.2"/>
    <row r="37601" s="197" customFormat="1" ht="12.75" x14ac:dyDescent="0.2"/>
    <row r="37602" s="197" customFormat="1" ht="12.75" x14ac:dyDescent="0.2"/>
    <row r="37603" s="197" customFormat="1" ht="12.75" x14ac:dyDescent="0.2"/>
    <row r="37604" s="197" customFormat="1" ht="12.75" x14ac:dyDescent="0.2"/>
    <row r="37605" s="197" customFormat="1" ht="12.75" x14ac:dyDescent="0.2"/>
    <row r="37606" s="197" customFormat="1" ht="12.75" x14ac:dyDescent="0.2"/>
    <row r="37607" s="197" customFormat="1" ht="12.75" x14ac:dyDescent="0.2"/>
    <row r="37608" s="197" customFormat="1" ht="12.75" x14ac:dyDescent="0.2"/>
    <row r="37609" s="197" customFormat="1" ht="12.75" x14ac:dyDescent="0.2"/>
    <row r="37610" s="197" customFormat="1" ht="12.75" x14ac:dyDescent="0.2"/>
    <row r="37611" s="197" customFormat="1" ht="12.75" x14ac:dyDescent="0.2"/>
    <row r="37612" s="197" customFormat="1" ht="12.75" x14ac:dyDescent="0.2"/>
    <row r="37613" s="197" customFormat="1" ht="12.75" x14ac:dyDescent="0.2"/>
    <row r="37614" s="197" customFormat="1" ht="12.75" x14ac:dyDescent="0.2"/>
    <row r="37615" s="197" customFormat="1" ht="12.75" x14ac:dyDescent="0.2"/>
    <row r="37616" s="197" customFormat="1" ht="12.75" x14ac:dyDescent="0.2"/>
    <row r="37617" s="197" customFormat="1" ht="12.75" x14ac:dyDescent="0.2"/>
    <row r="37618" s="197" customFormat="1" ht="12.75" x14ac:dyDescent="0.2"/>
    <row r="37619" s="197" customFormat="1" ht="12.75" x14ac:dyDescent="0.2"/>
    <row r="37620" s="197" customFormat="1" ht="12.75" x14ac:dyDescent="0.2"/>
    <row r="37621" s="197" customFormat="1" ht="12.75" x14ac:dyDescent="0.2"/>
    <row r="37622" s="197" customFormat="1" ht="12.75" x14ac:dyDescent="0.2"/>
    <row r="37623" s="197" customFormat="1" ht="12.75" x14ac:dyDescent="0.2"/>
    <row r="37624" s="197" customFormat="1" ht="12.75" x14ac:dyDescent="0.2"/>
    <row r="37625" s="197" customFormat="1" ht="12.75" x14ac:dyDescent="0.2"/>
    <row r="37626" s="197" customFormat="1" ht="12.75" x14ac:dyDescent="0.2"/>
    <row r="37627" s="197" customFormat="1" ht="12.75" x14ac:dyDescent="0.2"/>
    <row r="37628" s="197" customFormat="1" ht="12.75" x14ac:dyDescent="0.2"/>
    <row r="37629" s="197" customFormat="1" ht="12.75" x14ac:dyDescent="0.2"/>
    <row r="37630" s="197" customFormat="1" ht="12.75" x14ac:dyDescent="0.2"/>
    <row r="37631" s="197" customFormat="1" ht="12.75" x14ac:dyDescent="0.2"/>
    <row r="37632" s="197" customFormat="1" ht="12.75" x14ac:dyDescent="0.2"/>
    <row r="37633" s="197" customFormat="1" ht="12.75" x14ac:dyDescent="0.2"/>
    <row r="37634" s="197" customFormat="1" ht="12.75" x14ac:dyDescent="0.2"/>
    <row r="37635" s="197" customFormat="1" ht="12.75" x14ac:dyDescent="0.2"/>
    <row r="37636" s="197" customFormat="1" ht="12.75" x14ac:dyDescent="0.2"/>
    <row r="37637" s="197" customFormat="1" ht="12.75" x14ac:dyDescent="0.2"/>
    <row r="37638" s="197" customFormat="1" ht="12.75" x14ac:dyDescent="0.2"/>
    <row r="37639" s="197" customFormat="1" ht="12.75" x14ac:dyDescent="0.2"/>
    <row r="37640" s="197" customFormat="1" ht="12.75" x14ac:dyDescent="0.2"/>
    <row r="37641" s="197" customFormat="1" ht="12.75" x14ac:dyDescent="0.2"/>
    <row r="37642" s="197" customFormat="1" ht="12.75" x14ac:dyDescent="0.2"/>
    <row r="37643" s="197" customFormat="1" ht="12.75" x14ac:dyDescent="0.2"/>
    <row r="37644" s="197" customFormat="1" ht="12.75" x14ac:dyDescent="0.2"/>
    <row r="37645" s="197" customFormat="1" ht="12.75" x14ac:dyDescent="0.2"/>
    <row r="37646" s="197" customFormat="1" ht="12.75" x14ac:dyDescent="0.2"/>
    <row r="37647" s="197" customFormat="1" ht="12.75" x14ac:dyDescent="0.2"/>
    <row r="37648" s="197" customFormat="1" ht="12.75" x14ac:dyDescent="0.2"/>
    <row r="37649" s="197" customFormat="1" ht="12.75" x14ac:dyDescent="0.2"/>
    <row r="37650" s="197" customFormat="1" ht="12.75" x14ac:dyDescent="0.2"/>
    <row r="37651" s="197" customFormat="1" ht="12.75" x14ac:dyDescent="0.2"/>
    <row r="37652" s="197" customFormat="1" ht="12.75" x14ac:dyDescent="0.2"/>
    <row r="37653" s="197" customFormat="1" ht="12.75" x14ac:dyDescent="0.2"/>
    <row r="37654" s="197" customFormat="1" ht="12.75" x14ac:dyDescent="0.2"/>
    <row r="37655" s="197" customFormat="1" ht="12.75" x14ac:dyDescent="0.2"/>
    <row r="37656" s="197" customFormat="1" ht="12.75" x14ac:dyDescent="0.2"/>
    <row r="37657" s="197" customFormat="1" ht="12.75" x14ac:dyDescent="0.2"/>
    <row r="37658" s="197" customFormat="1" ht="12.75" x14ac:dyDescent="0.2"/>
    <row r="37659" s="197" customFormat="1" ht="12.75" x14ac:dyDescent="0.2"/>
    <row r="37660" s="197" customFormat="1" ht="12.75" x14ac:dyDescent="0.2"/>
    <row r="37661" s="197" customFormat="1" ht="12.75" x14ac:dyDescent="0.2"/>
    <row r="37662" s="197" customFormat="1" ht="12.75" x14ac:dyDescent="0.2"/>
    <row r="37663" s="197" customFormat="1" ht="12.75" x14ac:dyDescent="0.2"/>
    <row r="37664" s="197" customFormat="1" ht="12.75" x14ac:dyDescent="0.2"/>
    <row r="37665" s="197" customFormat="1" ht="12.75" x14ac:dyDescent="0.2"/>
    <row r="37666" s="197" customFormat="1" ht="12.75" x14ac:dyDescent="0.2"/>
    <row r="37667" s="197" customFormat="1" ht="12.75" x14ac:dyDescent="0.2"/>
    <row r="37668" s="197" customFormat="1" ht="12.75" x14ac:dyDescent="0.2"/>
    <row r="37669" s="197" customFormat="1" ht="12.75" x14ac:dyDescent="0.2"/>
    <row r="37670" s="197" customFormat="1" ht="12.75" x14ac:dyDescent="0.2"/>
    <row r="37671" s="197" customFormat="1" ht="12.75" x14ac:dyDescent="0.2"/>
    <row r="37672" s="197" customFormat="1" ht="12.75" x14ac:dyDescent="0.2"/>
    <row r="37673" s="197" customFormat="1" ht="12.75" x14ac:dyDescent="0.2"/>
    <row r="37674" s="197" customFormat="1" ht="12.75" x14ac:dyDescent="0.2"/>
    <row r="37675" s="197" customFormat="1" ht="12.75" x14ac:dyDescent="0.2"/>
    <row r="37676" s="197" customFormat="1" ht="12.75" x14ac:dyDescent="0.2"/>
    <row r="37677" s="197" customFormat="1" ht="12.75" x14ac:dyDescent="0.2"/>
    <row r="37678" s="197" customFormat="1" ht="12.75" x14ac:dyDescent="0.2"/>
    <row r="37679" s="197" customFormat="1" ht="12.75" x14ac:dyDescent="0.2"/>
    <row r="37680" s="197" customFormat="1" ht="12.75" x14ac:dyDescent="0.2"/>
    <row r="37681" s="197" customFormat="1" ht="12.75" x14ac:dyDescent="0.2"/>
    <row r="37682" s="197" customFormat="1" ht="12.75" x14ac:dyDescent="0.2"/>
    <row r="37683" s="197" customFormat="1" ht="12.75" x14ac:dyDescent="0.2"/>
    <row r="37684" s="197" customFormat="1" ht="12.75" x14ac:dyDescent="0.2"/>
    <row r="37685" s="197" customFormat="1" ht="12.75" x14ac:dyDescent="0.2"/>
    <row r="37686" s="197" customFormat="1" ht="12.75" x14ac:dyDescent="0.2"/>
    <row r="37687" s="197" customFormat="1" ht="12.75" x14ac:dyDescent="0.2"/>
    <row r="37688" s="197" customFormat="1" ht="12.75" x14ac:dyDescent="0.2"/>
    <row r="37689" s="197" customFormat="1" ht="12.75" x14ac:dyDescent="0.2"/>
    <row r="37690" s="197" customFormat="1" ht="12.75" x14ac:dyDescent="0.2"/>
    <row r="37691" s="197" customFormat="1" ht="12.75" x14ac:dyDescent="0.2"/>
    <row r="37692" s="197" customFormat="1" ht="12.75" x14ac:dyDescent="0.2"/>
    <row r="37693" s="197" customFormat="1" ht="12.75" x14ac:dyDescent="0.2"/>
    <row r="37694" s="197" customFormat="1" ht="12.75" x14ac:dyDescent="0.2"/>
    <row r="37695" s="197" customFormat="1" ht="12.75" x14ac:dyDescent="0.2"/>
    <row r="37696" s="197" customFormat="1" ht="12.75" x14ac:dyDescent="0.2"/>
    <row r="37697" s="197" customFormat="1" ht="12.75" x14ac:dyDescent="0.2"/>
    <row r="37698" s="197" customFormat="1" ht="12.75" x14ac:dyDescent="0.2"/>
    <row r="37699" s="197" customFormat="1" ht="12.75" x14ac:dyDescent="0.2"/>
    <row r="37700" s="197" customFormat="1" ht="12.75" x14ac:dyDescent="0.2"/>
    <row r="37701" s="197" customFormat="1" ht="12.75" x14ac:dyDescent="0.2"/>
    <row r="37702" s="197" customFormat="1" ht="12.75" x14ac:dyDescent="0.2"/>
    <row r="37703" s="197" customFormat="1" ht="12.75" x14ac:dyDescent="0.2"/>
    <row r="37704" s="197" customFormat="1" ht="12.75" x14ac:dyDescent="0.2"/>
    <row r="37705" s="197" customFormat="1" ht="12.75" x14ac:dyDescent="0.2"/>
    <row r="37706" s="197" customFormat="1" ht="12.75" x14ac:dyDescent="0.2"/>
    <row r="37707" s="197" customFormat="1" ht="12.75" x14ac:dyDescent="0.2"/>
    <row r="37708" s="197" customFormat="1" ht="12.75" x14ac:dyDescent="0.2"/>
    <row r="37709" s="197" customFormat="1" ht="12.75" x14ac:dyDescent="0.2"/>
    <row r="37710" s="197" customFormat="1" ht="12.75" x14ac:dyDescent="0.2"/>
    <row r="37711" s="197" customFormat="1" ht="12.75" x14ac:dyDescent="0.2"/>
    <row r="37712" s="197" customFormat="1" ht="12.75" x14ac:dyDescent="0.2"/>
    <row r="37713" s="197" customFormat="1" ht="12.75" x14ac:dyDescent="0.2"/>
    <row r="37714" s="197" customFormat="1" ht="12.75" x14ac:dyDescent="0.2"/>
    <row r="37715" s="197" customFormat="1" ht="12.75" x14ac:dyDescent="0.2"/>
    <row r="37716" s="197" customFormat="1" ht="12.75" x14ac:dyDescent="0.2"/>
    <row r="37717" s="197" customFormat="1" ht="12.75" x14ac:dyDescent="0.2"/>
    <row r="37718" s="197" customFormat="1" ht="12.75" x14ac:dyDescent="0.2"/>
    <row r="37719" s="197" customFormat="1" ht="12.75" x14ac:dyDescent="0.2"/>
    <row r="37720" s="197" customFormat="1" ht="12.75" x14ac:dyDescent="0.2"/>
    <row r="37721" s="197" customFormat="1" ht="12.75" x14ac:dyDescent="0.2"/>
    <row r="37722" s="197" customFormat="1" ht="12.75" x14ac:dyDescent="0.2"/>
    <row r="37723" s="197" customFormat="1" ht="12.75" x14ac:dyDescent="0.2"/>
    <row r="37724" s="197" customFormat="1" ht="12.75" x14ac:dyDescent="0.2"/>
    <row r="37725" s="197" customFormat="1" ht="12.75" x14ac:dyDescent="0.2"/>
    <row r="37726" s="197" customFormat="1" ht="12.75" x14ac:dyDescent="0.2"/>
    <row r="37727" s="197" customFormat="1" ht="12.75" x14ac:dyDescent="0.2"/>
    <row r="37728" s="197" customFormat="1" ht="12.75" x14ac:dyDescent="0.2"/>
    <row r="37729" s="197" customFormat="1" ht="12.75" x14ac:dyDescent="0.2"/>
    <row r="37730" s="197" customFormat="1" ht="12.75" x14ac:dyDescent="0.2"/>
    <row r="37731" s="197" customFormat="1" ht="12.75" x14ac:dyDescent="0.2"/>
    <row r="37732" s="197" customFormat="1" ht="12.75" x14ac:dyDescent="0.2"/>
    <row r="37733" s="197" customFormat="1" ht="12.75" x14ac:dyDescent="0.2"/>
    <row r="37734" s="197" customFormat="1" ht="12.75" x14ac:dyDescent="0.2"/>
    <row r="37735" s="197" customFormat="1" ht="12.75" x14ac:dyDescent="0.2"/>
    <row r="37736" s="197" customFormat="1" ht="12.75" x14ac:dyDescent="0.2"/>
    <row r="37737" s="197" customFormat="1" ht="12.75" x14ac:dyDescent="0.2"/>
    <row r="37738" s="197" customFormat="1" ht="12.75" x14ac:dyDescent="0.2"/>
    <row r="37739" s="197" customFormat="1" ht="12.75" x14ac:dyDescent="0.2"/>
    <row r="37740" s="197" customFormat="1" ht="12.75" x14ac:dyDescent="0.2"/>
    <row r="37741" s="197" customFormat="1" ht="12.75" x14ac:dyDescent="0.2"/>
    <row r="37742" s="197" customFormat="1" ht="12.75" x14ac:dyDescent="0.2"/>
    <row r="37743" s="197" customFormat="1" ht="12.75" x14ac:dyDescent="0.2"/>
    <row r="37744" s="197" customFormat="1" ht="12.75" x14ac:dyDescent="0.2"/>
    <row r="37745" s="197" customFormat="1" ht="12.75" x14ac:dyDescent="0.2"/>
    <row r="37746" s="197" customFormat="1" ht="12.75" x14ac:dyDescent="0.2"/>
    <row r="37747" s="197" customFormat="1" ht="12.75" x14ac:dyDescent="0.2"/>
    <row r="37748" s="197" customFormat="1" ht="12.75" x14ac:dyDescent="0.2"/>
    <row r="37749" s="197" customFormat="1" ht="12.75" x14ac:dyDescent="0.2"/>
    <row r="37750" s="197" customFormat="1" ht="12.75" x14ac:dyDescent="0.2"/>
    <row r="37751" s="197" customFormat="1" ht="12.75" x14ac:dyDescent="0.2"/>
    <row r="37752" s="197" customFormat="1" ht="12.75" x14ac:dyDescent="0.2"/>
    <row r="37753" s="197" customFormat="1" ht="12.75" x14ac:dyDescent="0.2"/>
    <row r="37754" s="197" customFormat="1" ht="12.75" x14ac:dyDescent="0.2"/>
    <row r="37755" s="197" customFormat="1" ht="12.75" x14ac:dyDescent="0.2"/>
    <row r="37756" s="197" customFormat="1" ht="12.75" x14ac:dyDescent="0.2"/>
    <row r="37757" s="197" customFormat="1" ht="12.75" x14ac:dyDescent="0.2"/>
    <row r="37758" s="197" customFormat="1" ht="12.75" x14ac:dyDescent="0.2"/>
    <row r="37759" s="197" customFormat="1" ht="12.75" x14ac:dyDescent="0.2"/>
    <row r="37760" s="197" customFormat="1" ht="12.75" x14ac:dyDescent="0.2"/>
    <row r="37761" s="197" customFormat="1" ht="12.75" x14ac:dyDescent="0.2"/>
    <row r="37762" s="197" customFormat="1" ht="12.75" x14ac:dyDescent="0.2"/>
    <row r="37763" s="197" customFormat="1" ht="12.75" x14ac:dyDescent="0.2"/>
    <row r="37764" s="197" customFormat="1" ht="12.75" x14ac:dyDescent="0.2"/>
    <row r="37765" s="197" customFormat="1" ht="12.75" x14ac:dyDescent="0.2"/>
    <row r="37766" s="197" customFormat="1" ht="12.75" x14ac:dyDescent="0.2"/>
    <row r="37767" s="197" customFormat="1" ht="12.75" x14ac:dyDescent="0.2"/>
    <row r="37768" s="197" customFormat="1" ht="12.75" x14ac:dyDescent="0.2"/>
    <row r="37769" s="197" customFormat="1" ht="12.75" x14ac:dyDescent="0.2"/>
    <row r="37770" s="197" customFormat="1" ht="12.75" x14ac:dyDescent="0.2"/>
    <row r="37771" s="197" customFormat="1" ht="12.75" x14ac:dyDescent="0.2"/>
    <row r="37772" s="197" customFormat="1" ht="12.75" x14ac:dyDescent="0.2"/>
    <row r="37773" s="197" customFormat="1" ht="12.75" x14ac:dyDescent="0.2"/>
    <row r="37774" s="197" customFormat="1" ht="12.75" x14ac:dyDescent="0.2"/>
    <row r="37775" s="197" customFormat="1" ht="12.75" x14ac:dyDescent="0.2"/>
    <row r="37776" s="197" customFormat="1" ht="12.75" x14ac:dyDescent="0.2"/>
    <row r="37777" s="197" customFormat="1" ht="12.75" x14ac:dyDescent="0.2"/>
    <row r="37778" s="197" customFormat="1" ht="12.75" x14ac:dyDescent="0.2"/>
    <row r="37779" s="197" customFormat="1" ht="12.75" x14ac:dyDescent="0.2"/>
    <row r="37780" s="197" customFormat="1" ht="12.75" x14ac:dyDescent="0.2"/>
    <row r="37781" s="197" customFormat="1" ht="12.75" x14ac:dyDescent="0.2"/>
    <row r="37782" s="197" customFormat="1" ht="12.75" x14ac:dyDescent="0.2"/>
    <row r="37783" s="197" customFormat="1" ht="12.75" x14ac:dyDescent="0.2"/>
    <row r="37784" s="197" customFormat="1" ht="12.75" x14ac:dyDescent="0.2"/>
    <row r="37785" s="197" customFormat="1" ht="12.75" x14ac:dyDescent="0.2"/>
    <row r="37786" s="197" customFormat="1" ht="12.75" x14ac:dyDescent="0.2"/>
    <row r="37787" s="197" customFormat="1" ht="12.75" x14ac:dyDescent="0.2"/>
    <row r="37788" s="197" customFormat="1" ht="12.75" x14ac:dyDescent="0.2"/>
    <row r="37789" s="197" customFormat="1" ht="12.75" x14ac:dyDescent="0.2"/>
    <row r="37790" s="197" customFormat="1" ht="12.75" x14ac:dyDescent="0.2"/>
    <row r="37791" s="197" customFormat="1" ht="12.75" x14ac:dyDescent="0.2"/>
    <row r="37792" s="197" customFormat="1" ht="12.75" x14ac:dyDescent="0.2"/>
    <row r="37793" s="197" customFormat="1" ht="12.75" x14ac:dyDescent="0.2"/>
    <row r="37794" s="197" customFormat="1" ht="12.75" x14ac:dyDescent="0.2"/>
    <row r="37795" s="197" customFormat="1" ht="12.75" x14ac:dyDescent="0.2"/>
    <row r="37796" s="197" customFormat="1" ht="12.75" x14ac:dyDescent="0.2"/>
    <row r="37797" s="197" customFormat="1" ht="12.75" x14ac:dyDescent="0.2"/>
    <row r="37798" s="197" customFormat="1" ht="12.75" x14ac:dyDescent="0.2"/>
    <row r="37799" s="197" customFormat="1" ht="12.75" x14ac:dyDescent="0.2"/>
    <row r="37800" s="197" customFormat="1" ht="12.75" x14ac:dyDescent="0.2"/>
    <row r="37801" s="197" customFormat="1" ht="12.75" x14ac:dyDescent="0.2"/>
    <row r="37802" s="197" customFormat="1" ht="12.75" x14ac:dyDescent="0.2"/>
    <row r="37803" s="197" customFormat="1" ht="12.75" x14ac:dyDescent="0.2"/>
    <row r="37804" s="197" customFormat="1" ht="12.75" x14ac:dyDescent="0.2"/>
    <row r="37805" s="197" customFormat="1" ht="12.75" x14ac:dyDescent="0.2"/>
    <row r="37806" s="197" customFormat="1" ht="12.75" x14ac:dyDescent="0.2"/>
    <row r="37807" s="197" customFormat="1" ht="12.75" x14ac:dyDescent="0.2"/>
    <row r="37808" s="197" customFormat="1" ht="12.75" x14ac:dyDescent="0.2"/>
    <row r="37809" s="197" customFormat="1" ht="12.75" x14ac:dyDescent="0.2"/>
    <row r="37810" s="197" customFormat="1" ht="12.75" x14ac:dyDescent="0.2"/>
    <row r="37811" s="197" customFormat="1" ht="12.75" x14ac:dyDescent="0.2"/>
    <row r="37812" s="197" customFormat="1" ht="12.75" x14ac:dyDescent="0.2"/>
    <row r="37813" s="197" customFormat="1" ht="12.75" x14ac:dyDescent="0.2"/>
    <row r="37814" s="197" customFormat="1" ht="12.75" x14ac:dyDescent="0.2"/>
    <row r="37815" s="197" customFormat="1" ht="12.75" x14ac:dyDescent="0.2"/>
    <row r="37816" s="197" customFormat="1" ht="12.75" x14ac:dyDescent="0.2"/>
    <row r="37817" s="197" customFormat="1" ht="12.75" x14ac:dyDescent="0.2"/>
    <row r="37818" s="197" customFormat="1" ht="12.75" x14ac:dyDescent="0.2"/>
    <row r="37819" s="197" customFormat="1" ht="12.75" x14ac:dyDescent="0.2"/>
    <row r="37820" s="197" customFormat="1" ht="12.75" x14ac:dyDescent="0.2"/>
    <row r="37821" s="197" customFormat="1" ht="12.75" x14ac:dyDescent="0.2"/>
    <row r="37822" s="197" customFormat="1" ht="12.75" x14ac:dyDescent="0.2"/>
    <row r="37823" s="197" customFormat="1" ht="12.75" x14ac:dyDescent="0.2"/>
    <row r="37824" s="197" customFormat="1" ht="12.75" x14ac:dyDescent="0.2"/>
    <row r="37825" s="197" customFormat="1" ht="12.75" x14ac:dyDescent="0.2"/>
    <row r="37826" s="197" customFormat="1" ht="12.75" x14ac:dyDescent="0.2"/>
    <row r="37827" s="197" customFormat="1" ht="12.75" x14ac:dyDescent="0.2"/>
    <row r="37828" s="197" customFormat="1" ht="12.75" x14ac:dyDescent="0.2"/>
    <row r="37829" s="197" customFormat="1" ht="12.75" x14ac:dyDescent="0.2"/>
    <row r="37830" s="197" customFormat="1" ht="12.75" x14ac:dyDescent="0.2"/>
    <row r="37831" s="197" customFormat="1" ht="12.75" x14ac:dyDescent="0.2"/>
    <row r="37832" s="197" customFormat="1" ht="12.75" x14ac:dyDescent="0.2"/>
    <row r="37833" s="197" customFormat="1" ht="12.75" x14ac:dyDescent="0.2"/>
    <row r="37834" s="197" customFormat="1" ht="12.75" x14ac:dyDescent="0.2"/>
    <row r="37835" s="197" customFormat="1" ht="12.75" x14ac:dyDescent="0.2"/>
    <row r="37836" s="197" customFormat="1" ht="12.75" x14ac:dyDescent="0.2"/>
    <row r="37837" s="197" customFormat="1" ht="12.75" x14ac:dyDescent="0.2"/>
    <row r="37838" s="197" customFormat="1" ht="12.75" x14ac:dyDescent="0.2"/>
    <row r="37839" s="197" customFormat="1" ht="12.75" x14ac:dyDescent="0.2"/>
    <row r="37840" s="197" customFormat="1" ht="12.75" x14ac:dyDescent="0.2"/>
    <row r="37841" s="197" customFormat="1" ht="12.75" x14ac:dyDescent="0.2"/>
    <row r="37842" s="197" customFormat="1" ht="12.75" x14ac:dyDescent="0.2"/>
    <row r="37843" s="197" customFormat="1" ht="12.75" x14ac:dyDescent="0.2"/>
    <row r="37844" s="197" customFormat="1" ht="12.75" x14ac:dyDescent="0.2"/>
    <row r="37845" s="197" customFormat="1" ht="12.75" x14ac:dyDescent="0.2"/>
    <row r="37846" s="197" customFormat="1" ht="12.75" x14ac:dyDescent="0.2"/>
    <row r="37847" s="197" customFormat="1" ht="12.75" x14ac:dyDescent="0.2"/>
    <row r="37848" s="197" customFormat="1" ht="12.75" x14ac:dyDescent="0.2"/>
    <row r="37849" s="197" customFormat="1" ht="12.75" x14ac:dyDescent="0.2"/>
    <row r="37850" s="197" customFormat="1" ht="12.75" x14ac:dyDescent="0.2"/>
    <row r="37851" s="197" customFormat="1" ht="12.75" x14ac:dyDescent="0.2"/>
    <row r="37852" s="197" customFormat="1" ht="12.75" x14ac:dyDescent="0.2"/>
    <row r="37853" s="197" customFormat="1" ht="12.75" x14ac:dyDescent="0.2"/>
    <row r="37854" s="197" customFormat="1" ht="12.75" x14ac:dyDescent="0.2"/>
    <row r="37855" s="197" customFormat="1" ht="12.75" x14ac:dyDescent="0.2"/>
    <row r="37856" s="197" customFormat="1" ht="12.75" x14ac:dyDescent="0.2"/>
    <row r="37857" s="197" customFormat="1" ht="12.75" x14ac:dyDescent="0.2"/>
    <row r="37858" s="197" customFormat="1" ht="12.75" x14ac:dyDescent="0.2"/>
    <row r="37859" s="197" customFormat="1" ht="12.75" x14ac:dyDescent="0.2"/>
    <row r="37860" s="197" customFormat="1" ht="12.75" x14ac:dyDescent="0.2"/>
    <row r="37861" s="197" customFormat="1" ht="12.75" x14ac:dyDescent="0.2"/>
    <row r="37862" s="197" customFormat="1" ht="12.75" x14ac:dyDescent="0.2"/>
    <row r="37863" s="197" customFormat="1" ht="12.75" x14ac:dyDescent="0.2"/>
    <row r="37864" s="197" customFormat="1" ht="12.75" x14ac:dyDescent="0.2"/>
    <row r="37865" s="197" customFormat="1" ht="12.75" x14ac:dyDescent="0.2"/>
    <row r="37866" s="197" customFormat="1" ht="12.75" x14ac:dyDescent="0.2"/>
    <row r="37867" s="197" customFormat="1" ht="12.75" x14ac:dyDescent="0.2"/>
    <row r="37868" s="197" customFormat="1" ht="12.75" x14ac:dyDescent="0.2"/>
    <row r="37869" s="197" customFormat="1" ht="12.75" x14ac:dyDescent="0.2"/>
    <row r="37870" s="197" customFormat="1" ht="12.75" x14ac:dyDescent="0.2"/>
    <row r="37871" s="197" customFormat="1" ht="12.75" x14ac:dyDescent="0.2"/>
    <row r="37872" s="197" customFormat="1" ht="12.75" x14ac:dyDescent="0.2"/>
    <row r="37873" s="197" customFormat="1" ht="12.75" x14ac:dyDescent="0.2"/>
    <row r="37874" s="197" customFormat="1" ht="12.75" x14ac:dyDescent="0.2"/>
    <row r="37875" s="197" customFormat="1" ht="12.75" x14ac:dyDescent="0.2"/>
    <row r="37876" s="197" customFormat="1" ht="12.75" x14ac:dyDescent="0.2"/>
    <row r="37877" s="197" customFormat="1" ht="12.75" x14ac:dyDescent="0.2"/>
    <row r="37878" s="197" customFormat="1" ht="12.75" x14ac:dyDescent="0.2"/>
    <row r="37879" s="197" customFormat="1" ht="12.75" x14ac:dyDescent="0.2"/>
    <row r="37880" s="197" customFormat="1" ht="12.75" x14ac:dyDescent="0.2"/>
    <row r="37881" s="197" customFormat="1" ht="12.75" x14ac:dyDescent="0.2"/>
    <row r="37882" s="197" customFormat="1" ht="12.75" x14ac:dyDescent="0.2"/>
    <row r="37883" s="197" customFormat="1" ht="12.75" x14ac:dyDescent="0.2"/>
    <row r="37884" s="197" customFormat="1" ht="12.75" x14ac:dyDescent="0.2"/>
    <row r="37885" s="197" customFormat="1" ht="12.75" x14ac:dyDescent="0.2"/>
    <row r="37886" s="197" customFormat="1" ht="12.75" x14ac:dyDescent="0.2"/>
    <row r="37887" s="197" customFormat="1" ht="12.75" x14ac:dyDescent="0.2"/>
    <row r="37888" s="197" customFormat="1" ht="12.75" x14ac:dyDescent="0.2"/>
    <row r="37889" s="197" customFormat="1" ht="12.75" x14ac:dyDescent="0.2"/>
    <row r="37890" s="197" customFormat="1" ht="12.75" x14ac:dyDescent="0.2"/>
    <row r="37891" s="197" customFormat="1" ht="12.75" x14ac:dyDescent="0.2"/>
    <row r="37892" s="197" customFormat="1" ht="12.75" x14ac:dyDescent="0.2"/>
    <row r="37893" s="197" customFormat="1" ht="12.75" x14ac:dyDescent="0.2"/>
    <row r="37894" s="197" customFormat="1" ht="12.75" x14ac:dyDescent="0.2"/>
    <row r="37895" s="197" customFormat="1" ht="12.75" x14ac:dyDescent="0.2"/>
    <row r="37896" s="197" customFormat="1" ht="12.75" x14ac:dyDescent="0.2"/>
    <row r="37897" s="197" customFormat="1" ht="12.75" x14ac:dyDescent="0.2"/>
    <row r="37898" s="197" customFormat="1" ht="12.75" x14ac:dyDescent="0.2"/>
    <row r="37899" s="197" customFormat="1" ht="12.75" x14ac:dyDescent="0.2"/>
    <row r="37900" s="197" customFormat="1" ht="12.75" x14ac:dyDescent="0.2"/>
    <row r="37901" s="197" customFormat="1" ht="12.75" x14ac:dyDescent="0.2"/>
    <row r="37902" s="197" customFormat="1" ht="12.75" x14ac:dyDescent="0.2"/>
    <row r="37903" s="197" customFormat="1" ht="12.75" x14ac:dyDescent="0.2"/>
    <row r="37904" s="197" customFormat="1" ht="12.75" x14ac:dyDescent="0.2"/>
    <row r="37905" s="197" customFormat="1" ht="12.75" x14ac:dyDescent="0.2"/>
    <row r="37906" s="197" customFormat="1" ht="12.75" x14ac:dyDescent="0.2"/>
    <row r="37907" s="197" customFormat="1" ht="12.75" x14ac:dyDescent="0.2"/>
    <row r="37908" s="197" customFormat="1" ht="12.75" x14ac:dyDescent="0.2"/>
    <row r="37909" s="197" customFormat="1" ht="12.75" x14ac:dyDescent="0.2"/>
    <row r="37910" s="197" customFormat="1" ht="12.75" x14ac:dyDescent="0.2"/>
    <row r="37911" s="197" customFormat="1" ht="12.75" x14ac:dyDescent="0.2"/>
    <row r="37912" s="197" customFormat="1" ht="12.75" x14ac:dyDescent="0.2"/>
    <row r="37913" s="197" customFormat="1" ht="12.75" x14ac:dyDescent="0.2"/>
    <row r="37914" s="197" customFormat="1" ht="12.75" x14ac:dyDescent="0.2"/>
    <row r="37915" s="197" customFormat="1" ht="12.75" x14ac:dyDescent="0.2"/>
    <row r="37916" s="197" customFormat="1" ht="12.75" x14ac:dyDescent="0.2"/>
    <row r="37917" s="197" customFormat="1" ht="12.75" x14ac:dyDescent="0.2"/>
    <row r="37918" s="197" customFormat="1" ht="12.75" x14ac:dyDescent="0.2"/>
    <row r="37919" s="197" customFormat="1" ht="12.75" x14ac:dyDescent="0.2"/>
    <row r="37920" s="197" customFormat="1" ht="12.75" x14ac:dyDescent="0.2"/>
    <row r="37921" s="197" customFormat="1" ht="12.75" x14ac:dyDescent="0.2"/>
    <row r="37922" s="197" customFormat="1" ht="12.75" x14ac:dyDescent="0.2"/>
    <row r="37923" s="197" customFormat="1" ht="12.75" x14ac:dyDescent="0.2"/>
    <row r="37924" s="197" customFormat="1" ht="12.75" x14ac:dyDescent="0.2"/>
    <row r="37925" s="197" customFormat="1" ht="12.75" x14ac:dyDescent="0.2"/>
    <row r="37926" s="197" customFormat="1" ht="12.75" x14ac:dyDescent="0.2"/>
    <row r="37927" s="197" customFormat="1" ht="12.75" x14ac:dyDescent="0.2"/>
    <row r="37928" s="197" customFormat="1" ht="12.75" x14ac:dyDescent="0.2"/>
    <row r="37929" s="197" customFormat="1" ht="12.75" x14ac:dyDescent="0.2"/>
    <row r="37930" s="197" customFormat="1" ht="12.75" x14ac:dyDescent="0.2"/>
    <row r="37931" s="197" customFormat="1" ht="12.75" x14ac:dyDescent="0.2"/>
    <row r="37932" s="197" customFormat="1" ht="12.75" x14ac:dyDescent="0.2"/>
    <row r="37933" s="197" customFormat="1" ht="12.75" x14ac:dyDescent="0.2"/>
    <row r="37934" s="197" customFormat="1" ht="12.75" x14ac:dyDescent="0.2"/>
    <row r="37935" s="197" customFormat="1" ht="12.75" x14ac:dyDescent="0.2"/>
    <row r="37936" s="197" customFormat="1" ht="12.75" x14ac:dyDescent="0.2"/>
    <row r="37937" s="197" customFormat="1" ht="12.75" x14ac:dyDescent="0.2"/>
    <row r="37938" s="197" customFormat="1" ht="12.75" x14ac:dyDescent="0.2"/>
    <row r="37939" s="197" customFormat="1" ht="12.75" x14ac:dyDescent="0.2"/>
    <row r="37940" s="197" customFormat="1" ht="12.75" x14ac:dyDescent="0.2"/>
    <row r="37941" s="197" customFormat="1" ht="12.75" x14ac:dyDescent="0.2"/>
    <row r="37942" s="197" customFormat="1" ht="12.75" x14ac:dyDescent="0.2"/>
    <row r="37943" s="197" customFormat="1" ht="12.75" x14ac:dyDescent="0.2"/>
    <row r="37944" s="197" customFormat="1" ht="12.75" x14ac:dyDescent="0.2"/>
    <row r="37945" s="197" customFormat="1" ht="12.75" x14ac:dyDescent="0.2"/>
    <row r="37946" s="197" customFormat="1" ht="12.75" x14ac:dyDescent="0.2"/>
    <row r="37947" s="197" customFormat="1" ht="12.75" x14ac:dyDescent="0.2"/>
    <row r="37948" s="197" customFormat="1" ht="12.75" x14ac:dyDescent="0.2"/>
    <row r="37949" s="197" customFormat="1" ht="12.75" x14ac:dyDescent="0.2"/>
    <row r="37950" s="197" customFormat="1" ht="12.75" x14ac:dyDescent="0.2"/>
    <row r="37951" s="197" customFormat="1" ht="12.75" x14ac:dyDescent="0.2"/>
    <row r="37952" s="197" customFormat="1" ht="12.75" x14ac:dyDescent="0.2"/>
    <row r="37953" s="197" customFormat="1" ht="12.75" x14ac:dyDescent="0.2"/>
    <row r="37954" s="197" customFormat="1" ht="12.75" x14ac:dyDescent="0.2"/>
    <row r="37955" s="197" customFormat="1" ht="12.75" x14ac:dyDescent="0.2"/>
    <row r="37956" s="197" customFormat="1" ht="12.75" x14ac:dyDescent="0.2"/>
    <row r="37957" s="197" customFormat="1" ht="12.75" x14ac:dyDescent="0.2"/>
    <row r="37958" s="197" customFormat="1" ht="12.75" x14ac:dyDescent="0.2"/>
    <row r="37959" s="197" customFormat="1" ht="12.75" x14ac:dyDescent="0.2"/>
    <row r="37960" s="197" customFormat="1" ht="12.75" x14ac:dyDescent="0.2"/>
    <row r="37961" s="197" customFormat="1" ht="12.75" x14ac:dyDescent="0.2"/>
    <row r="37962" s="197" customFormat="1" ht="12.75" x14ac:dyDescent="0.2"/>
    <row r="37963" s="197" customFormat="1" ht="12.75" x14ac:dyDescent="0.2"/>
    <row r="37964" s="197" customFormat="1" ht="12.75" x14ac:dyDescent="0.2"/>
    <row r="37965" s="197" customFormat="1" ht="12.75" x14ac:dyDescent="0.2"/>
    <row r="37966" s="197" customFormat="1" ht="12.75" x14ac:dyDescent="0.2"/>
    <row r="37967" s="197" customFormat="1" ht="12.75" x14ac:dyDescent="0.2"/>
    <row r="37968" s="197" customFormat="1" ht="12.75" x14ac:dyDescent="0.2"/>
    <row r="37969" s="197" customFormat="1" ht="12.75" x14ac:dyDescent="0.2"/>
    <row r="37970" s="197" customFormat="1" ht="12.75" x14ac:dyDescent="0.2"/>
    <row r="37971" s="197" customFormat="1" ht="12.75" x14ac:dyDescent="0.2"/>
    <row r="37972" s="197" customFormat="1" ht="12.75" x14ac:dyDescent="0.2"/>
    <row r="37973" s="197" customFormat="1" ht="12.75" x14ac:dyDescent="0.2"/>
    <row r="37974" s="197" customFormat="1" ht="12.75" x14ac:dyDescent="0.2"/>
    <row r="37975" s="197" customFormat="1" ht="12.75" x14ac:dyDescent="0.2"/>
    <row r="37976" s="197" customFormat="1" ht="12.75" x14ac:dyDescent="0.2"/>
    <row r="37977" s="197" customFormat="1" ht="12.75" x14ac:dyDescent="0.2"/>
    <row r="37978" s="197" customFormat="1" ht="12.75" x14ac:dyDescent="0.2"/>
    <row r="37979" s="197" customFormat="1" ht="12.75" x14ac:dyDescent="0.2"/>
    <row r="37980" s="197" customFormat="1" ht="12.75" x14ac:dyDescent="0.2"/>
    <row r="37981" s="197" customFormat="1" ht="12.75" x14ac:dyDescent="0.2"/>
    <row r="37982" s="197" customFormat="1" ht="12.75" x14ac:dyDescent="0.2"/>
    <row r="37983" s="197" customFormat="1" ht="12.75" x14ac:dyDescent="0.2"/>
    <row r="37984" s="197" customFormat="1" ht="12.75" x14ac:dyDescent="0.2"/>
    <row r="37985" s="197" customFormat="1" ht="12.75" x14ac:dyDescent="0.2"/>
    <row r="37986" s="197" customFormat="1" ht="12.75" x14ac:dyDescent="0.2"/>
    <row r="37987" s="197" customFormat="1" ht="12.75" x14ac:dyDescent="0.2"/>
    <row r="37988" s="197" customFormat="1" ht="12.75" x14ac:dyDescent="0.2"/>
    <row r="37989" s="197" customFormat="1" ht="12.75" x14ac:dyDescent="0.2"/>
    <row r="37990" s="197" customFormat="1" ht="12.75" x14ac:dyDescent="0.2"/>
    <row r="37991" s="197" customFormat="1" ht="12.75" x14ac:dyDescent="0.2"/>
    <row r="37992" s="197" customFormat="1" ht="12.75" x14ac:dyDescent="0.2"/>
    <row r="37993" s="197" customFormat="1" ht="12.75" x14ac:dyDescent="0.2"/>
    <row r="37994" s="197" customFormat="1" ht="12.75" x14ac:dyDescent="0.2"/>
    <row r="37995" s="197" customFormat="1" ht="12.75" x14ac:dyDescent="0.2"/>
    <row r="37996" s="197" customFormat="1" ht="12.75" x14ac:dyDescent="0.2"/>
    <row r="37997" s="197" customFormat="1" ht="12.75" x14ac:dyDescent="0.2"/>
    <row r="37998" s="197" customFormat="1" ht="12.75" x14ac:dyDescent="0.2"/>
    <row r="37999" s="197" customFormat="1" ht="12.75" x14ac:dyDescent="0.2"/>
    <row r="38000" s="197" customFormat="1" ht="12.75" x14ac:dyDescent="0.2"/>
    <row r="38001" s="197" customFormat="1" ht="12.75" x14ac:dyDescent="0.2"/>
    <row r="38002" s="197" customFormat="1" ht="12.75" x14ac:dyDescent="0.2"/>
    <row r="38003" s="197" customFormat="1" ht="12.75" x14ac:dyDescent="0.2"/>
    <row r="38004" s="197" customFormat="1" ht="12.75" x14ac:dyDescent="0.2"/>
    <row r="38005" s="197" customFormat="1" ht="12.75" x14ac:dyDescent="0.2"/>
    <row r="38006" s="197" customFormat="1" ht="12.75" x14ac:dyDescent="0.2"/>
    <row r="38007" s="197" customFormat="1" ht="12.75" x14ac:dyDescent="0.2"/>
    <row r="38008" s="197" customFormat="1" ht="12.75" x14ac:dyDescent="0.2"/>
    <row r="38009" s="197" customFormat="1" ht="12.75" x14ac:dyDescent="0.2"/>
    <row r="38010" s="197" customFormat="1" ht="12.75" x14ac:dyDescent="0.2"/>
    <row r="38011" s="197" customFormat="1" ht="12.75" x14ac:dyDescent="0.2"/>
    <row r="38012" s="197" customFormat="1" ht="12.75" x14ac:dyDescent="0.2"/>
    <row r="38013" s="197" customFormat="1" ht="12.75" x14ac:dyDescent="0.2"/>
    <row r="38014" s="197" customFormat="1" ht="12.75" x14ac:dyDescent="0.2"/>
    <row r="38015" s="197" customFormat="1" ht="12.75" x14ac:dyDescent="0.2"/>
    <row r="38016" s="197" customFormat="1" ht="12.75" x14ac:dyDescent="0.2"/>
    <row r="38017" s="197" customFormat="1" ht="12.75" x14ac:dyDescent="0.2"/>
    <row r="38018" s="197" customFormat="1" ht="12.75" x14ac:dyDescent="0.2"/>
    <row r="38019" s="197" customFormat="1" ht="12.75" x14ac:dyDescent="0.2"/>
    <row r="38020" s="197" customFormat="1" ht="12.75" x14ac:dyDescent="0.2"/>
    <row r="38021" s="197" customFormat="1" ht="12.75" x14ac:dyDescent="0.2"/>
    <row r="38022" s="197" customFormat="1" ht="12.75" x14ac:dyDescent="0.2"/>
    <row r="38023" s="197" customFormat="1" ht="12.75" x14ac:dyDescent="0.2"/>
    <row r="38024" s="197" customFormat="1" ht="12.75" x14ac:dyDescent="0.2"/>
    <row r="38025" s="197" customFormat="1" ht="12.75" x14ac:dyDescent="0.2"/>
    <row r="38026" s="197" customFormat="1" ht="12.75" x14ac:dyDescent="0.2"/>
    <row r="38027" s="197" customFormat="1" ht="12.75" x14ac:dyDescent="0.2"/>
    <row r="38028" s="197" customFormat="1" ht="12.75" x14ac:dyDescent="0.2"/>
    <row r="38029" s="197" customFormat="1" ht="12.75" x14ac:dyDescent="0.2"/>
    <row r="38030" s="197" customFormat="1" ht="12.75" x14ac:dyDescent="0.2"/>
    <row r="38031" s="197" customFormat="1" ht="12.75" x14ac:dyDescent="0.2"/>
    <row r="38032" s="197" customFormat="1" ht="12.75" x14ac:dyDescent="0.2"/>
    <row r="38033" s="197" customFormat="1" ht="12.75" x14ac:dyDescent="0.2"/>
    <row r="38034" s="197" customFormat="1" ht="12.75" x14ac:dyDescent="0.2"/>
    <row r="38035" s="197" customFormat="1" ht="12.75" x14ac:dyDescent="0.2"/>
    <row r="38036" s="197" customFormat="1" ht="12.75" x14ac:dyDescent="0.2"/>
    <row r="38037" s="197" customFormat="1" ht="12.75" x14ac:dyDescent="0.2"/>
    <row r="38038" s="197" customFormat="1" ht="12.75" x14ac:dyDescent="0.2"/>
    <row r="38039" s="197" customFormat="1" ht="12.75" x14ac:dyDescent="0.2"/>
    <row r="38040" s="197" customFormat="1" ht="12.75" x14ac:dyDescent="0.2"/>
    <row r="38041" s="197" customFormat="1" ht="12.75" x14ac:dyDescent="0.2"/>
    <row r="38042" s="197" customFormat="1" ht="12.75" x14ac:dyDescent="0.2"/>
    <row r="38043" s="197" customFormat="1" ht="12.75" x14ac:dyDescent="0.2"/>
    <row r="38044" s="197" customFormat="1" ht="12.75" x14ac:dyDescent="0.2"/>
    <row r="38045" s="197" customFormat="1" ht="12.75" x14ac:dyDescent="0.2"/>
    <row r="38046" s="197" customFormat="1" ht="12.75" x14ac:dyDescent="0.2"/>
    <row r="38047" s="197" customFormat="1" ht="12.75" x14ac:dyDescent="0.2"/>
    <row r="38048" s="197" customFormat="1" ht="12.75" x14ac:dyDescent="0.2"/>
    <row r="38049" s="197" customFormat="1" ht="12.75" x14ac:dyDescent="0.2"/>
    <row r="38050" s="197" customFormat="1" ht="12.75" x14ac:dyDescent="0.2"/>
    <row r="38051" s="197" customFormat="1" ht="12.75" x14ac:dyDescent="0.2"/>
    <row r="38052" s="197" customFormat="1" ht="12.75" x14ac:dyDescent="0.2"/>
    <row r="38053" s="197" customFormat="1" ht="12.75" x14ac:dyDescent="0.2"/>
    <row r="38054" s="197" customFormat="1" ht="12.75" x14ac:dyDescent="0.2"/>
    <row r="38055" s="197" customFormat="1" ht="12.75" x14ac:dyDescent="0.2"/>
    <row r="38056" s="197" customFormat="1" ht="12.75" x14ac:dyDescent="0.2"/>
    <row r="38057" s="197" customFormat="1" ht="12.75" x14ac:dyDescent="0.2"/>
    <row r="38058" s="197" customFormat="1" ht="12.75" x14ac:dyDescent="0.2"/>
    <row r="38059" s="197" customFormat="1" ht="12.75" x14ac:dyDescent="0.2"/>
    <row r="38060" s="197" customFormat="1" ht="12.75" x14ac:dyDescent="0.2"/>
    <row r="38061" s="197" customFormat="1" ht="12.75" x14ac:dyDescent="0.2"/>
    <row r="38062" s="197" customFormat="1" ht="12.75" x14ac:dyDescent="0.2"/>
    <row r="38063" s="197" customFormat="1" ht="12.75" x14ac:dyDescent="0.2"/>
    <row r="38064" s="197" customFormat="1" ht="12.75" x14ac:dyDescent="0.2"/>
    <row r="38065" s="197" customFormat="1" ht="12.75" x14ac:dyDescent="0.2"/>
    <row r="38066" s="197" customFormat="1" ht="12.75" x14ac:dyDescent="0.2"/>
    <row r="38067" s="197" customFormat="1" ht="12.75" x14ac:dyDescent="0.2"/>
    <row r="38068" s="197" customFormat="1" ht="12.75" x14ac:dyDescent="0.2"/>
    <row r="38069" s="197" customFormat="1" ht="12.75" x14ac:dyDescent="0.2"/>
    <row r="38070" s="197" customFormat="1" ht="12.75" x14ac:dyDescent="0.2"/>
    <row r="38071" s="197" customFormat="1" ht="12.75" x14ac:dyDescent="0.2"/>
    <row r="38072" s="197" customFormat="1" ht="12.75" x14ac:dyDescent="0.2"/>
    <row r="38073" s="197" customFormat="1" ht="12.75" x14ac:dyDescent="0.2"/>
    <row r="38074" s="197" customFormat="1" ht="12.75" x14ac:dyDescent="0.2"/>
    <row r="38075" s="197" customFormat="1" ht="12.75" x14ac:dyDescent="0.2"/>
    <row r="38076" s="197" customFormat="1" ht="12.75" x14ac:dyDescent="0.2"/>
    <row r="38077" s="197" customFormat="1" ht="12.75" x14ac:dyDescent="0.2"/>
    <row r="38078" s="197" customFormat="1" ht="12.75" x14ac:dyDescent="0.2"/>
    <row r="38079" s="197" customFormat="1" ht="12.75" x14ac:dyDescent="0.2"/>
    <row r="38080" s="197" customFormat="1" ht="12.75" x14ac:dyDescent="0.2"/>
    <row r="38081" s="197" customFormat="1" ht="12.75" x14ac:dyDescent="0.2"/>
    <row r="38082" s="197" customFormat="1" ht="12.75" x14ac:dyDescent="0.2"/>
    <row r="38083" s="197" customFormat="1" ht="12.75" x14ac:dyDescent="0.2"/>
    <row r="38084" s="197" customFormat="1" ht="12.75" x14ac:dyDescent="0.2"/>
    <row r="38085" s="197" customFormat="1" ht="12.75" x14ac:dyDescent="0.2"/>
    <row r="38086" s="197" customFormat="1" ht="12.75" x14ac:dyDescent="0.2"/>
    <row r="38087" s="197" customFormat="1" ht="12.75" x14ac:dyDescent="0.2"/>
    <row r="38088" s="197" customFormat="1" ht="12.75" x14ac:dyDescent="0.2"/>
    <row r="38089" s="197" customFormat="1" ht="12.75" x14ac:dyDescent="0.2"/>
    <row r="38090" s="197" customFormat="1" ht="12.75" x14ac:dyDescent="0.2"/>
    <row r="38091" s="197" customFormat="1" ht="12.75" x14ac:dyDescent="0.2"/>
    <row r="38092" s="197" customFormat="1" ht="12.75" x14ac:dyDescent="0.2"/>
    <row r="38093" s="197" customFormat="1" ht="12.75" x14ac:dyDescent="0.2"/>
    <row r="38094" s="197" customFormat="1" ht="12.75" x14ac:dyDescent="0.2"/>
    <row r="38095" s="197" customFormat="1" ht="12.75" x14ac:dyDescent="0.2"/>
    <row r="38096" s="197" customFormat="1" ht="12.75" x14ac:dyDescent="0.2"/>
    <row r="38097" s="197" customFormat="1" ht="12.75" x14ac:dyDescent="0.2"/>
    <row r="38098" s="197" customFormat="1" ht="12.75" x14ac:dyDescent="0.2"/>
    <row r="38099" s="197" customFormat="1" ht="12.75" x14ac:dyDescent="0.2"/>
    <row r="38100" s="197" customFormat="1" ht="12.75" x14ac:dyDescent="0.2"/>
    <row r="38101" s="197" customFormat="1" ht="12.75" x14ac:dyDescent="0.2"/>
    <row r="38102" s="197" customFormat="1" ht="12.75" x14ac:dyDescent="0.2"/>
    <row r="38103" s="197" customFormat="1" ht="12.75" x14ac:dyDescent="0.2"/>
    <row r="38104" s="197" customFormat="1" ht="12.75" x14ac:dyDescent="0.2"/>
    <row r="38105" s="197" customFormat="1" ht="12.75" x14ac:dyDescent="0.2"/>
    <row r="38106" s="197" customFormat="1" ht="12.75" x14ac:dyDescent="0.2"/>
    <row r="38107" s="197" customFormat="1" ht="12.75" x14ac:dyDescent="0.2"/>
    <row r="38108" s="197" customFormat="1" ht="12.75" x14ac:dyDescent="0.2"/>
    <row r="38109" s="197" customFormat="1" ht="12.75" x14ac:dyDescent="0.2"/>
    <row r="38110" s="197" customFormat="1" ht="12.75" x14ac:dyDescent="0.2"/>
    <row r="38111" s="197" customFormat="1" ht="12.75" x14ac:dyDescent="0.2"/>
    <row r="38112" s="197" customFormat="1" ht="12.75" x14ac:dyDescent="0.2"/>
    <row r="38113" s="197" customFormat="1" ht="12.75" x14ac:dyDescent="0.2"/>
    <row r="38114" s="197" customFormat="1" ht="12.75" x14ac:dyDescent="0.2"/>
    <row r="38115" s="197" customFormat="1" ht="12.75" x14ac:dyDescent="0.2"/>
    <row r="38116" s="197" customFormat="1" ht="12.75" x14ac:dyDescent="0.2"/>
    <row r="38117" s="197" customFormat="1" ht="12.75" x14ac:dyDescent="0.2"/>
    <row r="38118" s="197" customFormat="1" ht="12.75" x14ac:dyDescent="0.2"/>
    <row r="38119" s="197" customFormat="1" ht="12.75" x14ac:dyDescent="0.2"/>
    <row r="38120" s="197" customFormat="1" ht="12.75" x14ac:dyDescent="0.2"/>
    <row r="38121" s="197" customFormat="1" ht="12.75" x14ac:dyDescent="0.2"/>
    <row r="38122" s="197" customFormat="1" ht="12.75" x14ac:dyDescent="0.2"/>
    <row r="38123" s="197" customFormat="1" ht="12.75" x14ac:dyDescent="0.2"/>
    <row r="38124" s="197" customFormat="1" ht="12.75" x14ac:dyDescent="0.2"/>
    <row r="38125" s="197" customFormat="1" ht="12.75" x14ac:dyDescent="0.2"/>
    <row r="38126" s="197" customFormat="1" ht="12.75" x14ac:dyDescent="0.2"/>
    <row r="38127" s="197" customFormat="1" ht="12.75" x14ac:dyDescent="0.2"/>
    <row r="38128" s="197" customFormat="1" ht="12.75" x14ac:dyDescent="0.2"/>
    <row r="38129" s="197" customFormat="1" ht="12.75" x14ac:dyDescent="0.2"/>
    <row r="38130" s="197" customFormat="1" ht="12.75" x14ac:dyDescent="0.2"/>
    <row r="38131" s="197" customFormat="1" ht="12.75" x14ac:dyDescent="0.2"/>
    <row r="38132" s="197" customFormat="1" ht="12.75" x14ac:dyDescent="0.2"/>
    <row r="38133" s="197" customFormat="1" ht="12.75" x14ac:dyDescent="0.2"/>
    <row r="38134" s="197" customFormat="1" ht="12.75" x14ac:dyDescent="0.2"/>
    <row r="38135" s="197" customFormat="1" ht="12.75" x14ac:dyDescent="0.2"/>
    <row r="38136" s="197" customFormat="1" ht="12.75" x14ac:dyDescent="0.2"/>
    <row r="38137" s="197" customFormat="1" ht="12.75" x14ac:dyDescent="0.2"/>
    <row r="38138" s="197" customFormat="1" ht="12.75" x14ac:dyDescent="0.2"/>
    <row r="38139" s="197" customFormat="1" ht="12.75" x14ac:dyDescent="0.2"/>
    <row r="38140" s="197" customFormat="1" ht="12.75" x14ac:dyDescent="0.2"/>
    <row r="38141" s="197" customFormat="1" ht="12.75" x14ac:dyDescent="0.2"/>
    <row r="38142" s="197" customFormat="1" ht="12.75" x14ac:dyDescent="0.2"/>
    <row r="38143" s="197" customFormat="1" ht="12.75" x14ac:dyDescent="0.2"/>
    <row r="38144" s="197" customFormat="1" ht="12.75" x14ac:dyDescent="0.2"/>
    <row r="38145" s="197" customFormat="1" ht="12.75" x14ac:dyDescent="0.2"/>
    <row r="38146" s="197" customFormat="1" ht="12.75" x14ac:dyDescent="0.2"/>
    <row r="38147" s="197" customFormat="1" ht="12.75" x14ac:dyDescent="0.2"/>
    <row r="38148" s="197" customFormat="1" ht="12.75" x14ac:dyDescent="0.2"/>
    <row r="38149" s="197" customFormat="1" ht="12.75" x14ac:dyDescent="0.2"/>
    <row r="38150" s="197" customFormat="1" ht="12.75" x14ac:dyDescent="0.2"/>
    <row r="38151" s="197" customFormat="1" ht="12.75" x14ac:dyDescent="0.2"/>
    <row r="38152" s="197" customFormat="1" ht="12.75" x14ac:dyDescent="0.2"/>
    <row r="38153" s="197" customFormat="1" ht="12.75" x14ac:dyDescent="0.2"/>
    <row r="38154" s="197" customFormat="1" ht="12.75" x14ac:dyDescent="0.2"/>
    <row r="38155" s="197" customFormat="1" ht="12.75" x14ac:dyDescent="0.2"/>
    <row r="38156" s="197" customFormat="1" ht="12.75" x14ac:dyDescent="0.2"/>
    <row r="38157" s="197" customFormat="1" ht="12.75" x14ac:dyDescent="0.2"/>
    <row r="38158" s="197" customFormat="1" ht="12.75" x14ac:dyDescent="0.2"/>
    <row r="38159" s="197" customFormat="1" ht="12.75" x14ac:dyDescent="0.2"/>
    <row r="38160" s="197" customFormat="1" ht="12.75" x14ac:dyDescent="0.2"/>
    <row r="38161" s="197" customFormat="1" ht="12.75" x14ac:dyDescent="0.2"/>
    <row r="38162" s="197" customFormat="1" ht="12.75" x14ac:dyDescent="0.2"/>
    <row r="38163" s="197" customFormat="1" ht="12.75" x14ac:dyDescent="0.2"/>
    <row r="38164" s="197" customFormat="1" ht="12.75" x14ac:dyDescent="0.2"/>
    <row r="38165" s="197" customFormat="1" ht="12.75" x14ac:dyDescent="0.2"/>
    <row r="38166" s="197" customFormat="1" ht="12.75" x14ac:dyDescent="0.2"/>
    <row r="38167" s="197" customFormat="1" ht="12.75" x14ac:dyDescent="0.2"/>
    <row r="38168" s="197" customFormat="1" ht="12.75" x14ac:dyDescent="0.2"/>
    <row r="38169" s="197" customFormat="1" ht="12.75" x14ac:dyDescent="0.2"/>
    <row r="38170" s="197" customFormat="1" ht="12.75" x14ac:dyDescent="0.2"/>
    <row r="38171" s="197" customFormat="1" ht="12.75" x14ac:dyDescent="0.2"/>
    <row r="38172" s="197" customFormat="1" ht="12.75" x14ac:dyDescent="0.2"/>
    <row r="38173" s="197" customFormat="1" ht="12.75" x14ac:dyDescent="0.2"/>
    <row r="38174" s="197" customFormat="1" ht="12.75" x14ac:dyDescent="0.2"/>
    <row r="38175" s="197" customFormat="1" ht="12.75" x14ac:dyDescent="0.2"/>
    <row r="38176" s="197" customFormat="1" ht="12.75" x14ac:dyDescent="0.2"/>
    <row r="38177" s="197" customFormat="1" ht="12.75" x14ac:dyDescent="0.2"/>
    <row r="38178" s="197" customFormat="1" ht="12.75" x14ac:dyDescent="0.2"/>
    <row r="38179" s="197" customFormat="1" ht="12.75" x14ac:dyDescent="0.2"/>
    <row r="38180" s="197" customFormat="1" ht="12.75" x14ac:dyDescent="0.2"/>
    <row r="38181" s="197" customFormat="1" ht="12.75" x14ac:dyDescent="0.2"/>
    <row r="38182" s="197" customFormat="1" ht="12.75" x14ac:dyDescent="0.2"/>
    <row r="38183" s="197" customFormat="1" ht="12.75" x14ac:dyDescent="0.2"/>
    <row r="38184" s="197" customFormat="1" ht="12.75" x14ac:dyDescent="0.2"/>
    <row r="38185" s="197" customFormat="1" ht="12.75" x14ac:dyDescent="0.2"/>
    <row r="38186" s="197" customFormat="1" ht="12.75" x14ac:dyDescent="0.2"/>
    <row r="38187" s="197" customFormat="1" ht="12.75" x14ac:dyDescent="0.2"/>
    <row r="38188" s="197" customFormat="1" ht="12.75" x14ac:dyDescent="0.2"/>
    <row r="38189" s="197" customFormat="1" ht="12.75" x14ac:dyDescent="0.2"/>
    <row r="38190" s="197" customFormat="1" ht="12.75" x14ac:dyDescent="0.2"/>
    <row r="38191" s="197" customFormat="1" ht="12.75" x14ac:dyDescent="0.2"/>
    <row r="38192" s="197" customFormat="1" ht="12.75" x14ac:dyDescent="0.2"/>
    <row r="38193" s="197" customFormat="1" ht="12.75" x14ac:dyDescent="0.2"/>
    <row r="38194" s="197" customFormat="1" ht="12.75" x14ac:dyDescent="0.2"/>
    <row r="38195" s="197" customFormat="1" ht="12.75" x14ac:dyDescent="0.2"/>
    <row r="38196" s="197" customFormat="1" ht="12.75" x14ac:dyDescent="0.2"/>
    <row r="38197" s="197" customFormat="1" ht="12.75" x14ac:dyDescent="0.2"/>
    <row r="38198" s="197" customFormat="1" ht="12.75" x14ac:dyDescent="0.2"/>
    <row r="38199" s="197" customFormat="1" ht="12.75" x14ac:dyDescent="0.2"/>
    <row r="38200" s="197" customFormat="1" ht="12.75" x14ac:dyDescent="0.2"/>
    <row r="38201" s="197" customFormat="1" ht="12.75" x14ac:dyDescent="0.2"/>
    <row r="38202" s="197" customFormat="1" ht="12.75" x14ac:dyDescent="0.2"/>
    <row r="38203" s="197" customFormat="1" ht="12.75" x14ac:dyDescent="0.2"/>
    <row r="38204" s="197" customFormat="1" ht="12.75" x14ac:dyDescent="0.2"/>
    <row r="38205" s="197" customFormat="1" ht="12.75" x14ac:dyDescent="0.2"/>
    <row r="38206" s="197" customFormat="1" ht="12.75" x14ac:dyDescent="0.2"/>
    <row r="38207" s="197" customFormat="1" ht="12.75" x14ac:dyDescent="0.2"/>
    <row r="38208" s="197" customFormat="1" ht="12.75" x14ac:dyDescent="0.2"/>
    <row r="38209" s="197" customFormat="1" ht="12.75" x14ac:dyDescent="0.2"/>
    <row r="38210" s="197" customFormat="1" ht="12.75" x14ac:dyDescent="0.2"/>
    <row r="38211" s="197" customFormat="1" ht="12.75" x14ac:dyDescent="0.2"/>
    <row r="38212" s="197" customFormat="1" ht="12.75" x14ac:dyDescent="0.2"/>
    <row r="38213" s="197" customFormat="1" ht="12.75" x14ac:dyDescent="0.2"/>
    <row r="38214" s="197" customFormat="1" ht="12.75" x14ac:dyDescent="0.2"/>
    <row r="38215" s="197" customFormat="1" ht="12.75" x14ac:dyDescent="0.2"/>
    <row r="38216" s="197" customFormat="1" ht="12.75" x14ac:dyDescent="0.2"/>
    <row r="38217" s="197" customFormat="1" ht="12.75" x14ac:dyDescent="0.2"/>
    <row r="38218" s="197" customFormat="1" ht="12.75" x14ac:dyDescent="0.2"/>
    <row r="38219" s="197" customFormat="1" ht="12.75" x14ac:dyDescent="0.2"/>
    <row r="38220" s="197" customFormat="1" ht="12.75" x14ac:dyDescent="0.2"/>
    <row r="38221" s="197" customFormat="1" ht="12.75" x14ac:dyDescent="0.2"/>
    <row r="38222" s="197" customFormat="1" ht="12.75" x14ac:dyDescent="0.2"/>
    <row r="38223" s="197" customFormat="1" ht="12.75" x14ac:dyDescent="0.2"/>
    <row r="38224" s="197" customFormat="1" ht="12.75" x14ac:dyDescent="0.2"/>
    <row r="38225" s="197" customFormat="1" ht="12.75" x14ac:dyDescent="0.2"/>
    <row r="38226" s="197" customFormat="1" ht="12.75" x14ac:dyDescent="0.2"/>
    <row r="38227" s="197" customFormat="1" ht="12.75" x14ac:dyDescent="0.2"/>
    <row r="38228" s="197" customFormat="1" ht="12.75" x14ac:dyDescent="0.2"/>
    <row r="38229" s="197" customFormat="1" ht="12.75" x14ac:dyDescent="0.2"/>
    <row r="38230" s="197" customFormat="1" ht="12.75" x14ac:dyDescent="0.2"/>
    <row r="38231" s="197" customFormat="1" ht="12.75" x14ac:dyDescent="0.2"/>
    <row r="38232" s="197" customFormat="1" ht="12.75" x14ac:dyDescent="0.2"/>
    <row r="38233" s="197" customFormat="1" ht="12.75" x14ac:dyDescent="0.2"/>
    <row r="38234" s="197" customFormat="1" ht="12.75" x14ac:dyDescent="0.2"/>
    <row r="38235" s="197" customFormat="1" ht="12.75" x14ac:dyDescent="0.2"/>
    <row r="38236" s="197" customFormat="1" ht="12.75" x14ac:dyDescent="0.2"/>
    <row r="38237" s="197" customFormat="1" ht="12.75" x14ac:dyDescent="0.2"/>
    <row r="38238" s="197" customFormat="1" ht="12.75" x14ac:dyDescent="0.2"/>
    <row r="38239" s="197" customFormat="1" ht="12.75" x14ac:dyDescent="0.2"/>
    <row r="38240" s="197" customFormat="1" ht="12.75" x14ac:dyDescent="0.2"/>
    <row r="38241" s="197" customFormat="1" ht="12.75" x14ac:dyDescent="0.2"/>
    <row r="38242" s="197" customFormat="1" ht="12.75" x14ac:dyDescent="0.2"/>
    <row r="38243" s="197" customFormat="1" ht="12.75" x14ac:dyDescent="0.2"/>
    <row r="38244" s="197" customFormat="1" ht="12.75" x14ac:dyDescent="0.2"/>
    <row r="38245" s="197" customFormat="1" ht="12.75" x14ac:dyDescent="0.2"/>
    <row r="38246" s="197" customFormat="1" ht="12.75" x14ac:dyDescent="0.2"/>
    <row r="38247" s="197" customFormat="1" ht="12.75" x14ac:dyDescent="0.2"/>
    <row r="38248" s="197" customFormat="1" ht="12.75" x14ac:dyDescent="0.2"/>
    <row r="38249" s="197" customFormat="1" ht="12.75" x14ac:dyDescent="0.2"/>
    <row r="38250" s="197" customFormat="1" ht="12.75" x14ac:dyDescent="0.2"/>
    <row r="38251" s="197" customFormat="1" ht="12.75" x14ac:dyDescent="0.2"/>
    <row r="38252" s="197" customFormat="1" ht="12.75" x14ac:dyDescent="0.2"/>
    <row r="38253" s="197" customFormat="1" ht="12.75" x14ac:dyDescent="0.2"/>
    <row r="38254" s="197" customFormat="1" ht="12.75" x14ac:dyDescent="0.2"/>
    <row r="38255" s="197" customFormat="1" ht="12.75" x14ac:dyDescent="0.2"/>
    <row r="38256" s="197" customFormat="1" ht="12.75" x14ac:dyDescent="0.2"/>
    <row r="38257" s="197" customFormat="1" ht="12.75" x14ac:dyDescent="0.2"/>
    <row r="38258" s="197" customFormat="1" ht="12.75" x14ac:dyDescent="0.2"/>
    <row r="38259" s="197" customFormat="1" ht="12.75" x14ac:dyDescent="0.2"/>
    <row r="38260" s="197" customFormat="1" ht="12.75" x14ac:dyDescent="0.2"/>
    <row r="38261" s="197" customFormat="1" ht="12.75" x14ac:dyDescent="0.2"/>
    <row r="38262" s="197" customFormat="1" ht="12.75" x14ac:dyDescent="0.2"/>
    <row r="38263" s="197" customFormat="1" ht="12.75" x14ac:dyDescent="0.2"/>
    <row r="38264" s="197" customFormat="1" ht="12.75" x14ac:dyDescent="0.2"/>
    <row r="38265" s="197" customFormat="1" ht="12.75" x14ac:dyDescent="0.2"/>
    <row r="38266" s="197" customFormat="1" ht="12.75" x14ac:dyDescent="0.2"/>
    <row r="38267" s="197" customFormat="1" ht="12.75" x14ac:dyDescent="0.2"/>
    <row r="38268" s="197" customFormat="1" ht="12.75" x14ac:dyDescent="0.2"/>
    <row r="38269" s="197" customFormat="1" ht="12.75" x14ac:dyDescent="0.2"/>
    <row r="38270" s="197" customFormat="1" ht="12.75" x14ac:dyDescent="0.2"/>
    <row r="38271" s="197" customFormat="1" ht="12.75" x14ac:dyDescent="0.2"/>
    <row r="38272" s="197" customFormat="1" ht="12.75" x14ac:dyDescent="0.2"/>
    <row r="38273" s="197" customFormat="1" ht="12.75" x14ac:dyDescent="0.2"/>
    <row r="38274" s="197" customFormat="1" ht="12.75" x14ac:dyDescent="0.2"/>
    <row r="38275" s="197" customFormat="1" ht="12.75" x14ac:dyDescent="0.2"/>
    <row r="38276" s="197" customFormat="1" ht="12.75" x14ac:dyDescent="0.2"/>
    <row r="38277" s="197" customFormat="1" ht="12.75" x14ac:dyDescent="0.2"/>
    <row r="38278" s="197" customFormat="1" ht="12.75" x14ac:dyDescent="0.2"/>
    <row r="38279" s="197" customFormat="1" ht="12.75" x14ac:dyDescent="0.2"/>
    <row r="38280" s="197" customFormat="1" ht="12.75" x14ac:dyDescent="0.2"/>
    <row r="38281" s="197" customFormat="1" ht="12.75" x14ac:dyDescent="0.2"/>
    <row r="38282" s="197" customFormat="1" ht="12.75" x14ac:dyDescent="0.2"/>
    <row r="38283" s="197" customFormat="1" ht="12.75" x14ac:dyDescent="0.2"/>
    <row r="38284" s="197" customFormat="1" ht="12.75" x14ac:dyDescent="0.2"/>
    <row r="38285" s="197" customFormat="1" ht="12.75" x14ac:dyDescent="0.2"/>
    <row r="38286" s="197" customFormat="1" ht="12.75" x14ac:dyDescent="0.2"/>
    <row r="38287" s="197" customFormat="1" ht="12.75" x14ac:dyDescent="0.2"/>
    <row r="38288" s="197" customFormat="1" ht="12.75" x14ac:dyDescent="0.2"/>
    <row r="38289" s="197" customFormat="1" ht="12.75" x14ac:dyDescent="0.2"/>
    <row r="38290" s="197" customFormat="1" ht="12.75" x14ac:dyDescent="0.2"/>
    <row r="38291" s="197" customFormat="1" ht="12.75" x14ac:dyDescent="0.2"/>
    <row r="38292" s="197" customFormat="1" ht="12.75" x14ac:dyDescent="0.2"/>
    <row r="38293" s="197" customFormat="1" ht="12.75" x14ac:dyDescent="0.2"/>
    <row r="38294" s="197" customFormat="1" ht="12.75" x14ac:dyDescent="0.2"/>
    <row r="38295" s="197" customFormat="1" ht="12.75" x14ac:dyDescent="0.2"/>
    <row r="38296" s="197" customFormat="1" ht="12.75" x14ac:dyDescent="0.2"/>
    <row r="38297" s="197" customFormat="1" ht="12.75" x14ac:dyDescent="0.2"/>
    <row r="38298" s="197" customFormat="1" ht="12.75" x14ac:dyDescent="0.2"/>
    <row r="38299" s="197" customFormat="1" ht="12.75" x14ac:dyDescent="0.2"/>
    <row r="38300" s="197" customFormat="1" ht="12.75" x14ac:dyDescent="0.2"/>
    <row r="38301" s="197" customFormat="1" ht="12.75" x14ac:dyDescent="0.2"/>
    <row r="38302" s="197" customFormat="1" ht="12.75" x14ac:dyDescent="0.2"/>
    <row r="38303" s="197" customFormat="1" ht="12.75" x14ac:dyDescent="0.2"/>
    <row r="38304" s="197" customFormat="1" ht="12.75" x14ac:dyDescent="0.2"/>
    <row r="38305" s="197" customFormat="1" ht="12.75" x14ac:dyDescent="0.2"/>
    <row r="38306" s="197" customFormat="1" ht="12.75" x14ac:dyDescent="0.2"/>
    <row r="38307" s="197" customFormat="1" ht="12.75" x14ac:dyDescent="0.2"/>
    <row r="38308" s="197" customFormat="1" ht="12.75" x14ac:dyDescent="0.2"/>
    <row r="38309" s="197" customFormat="1" ht="12.75" x14ac:dyDescent="0.2"/>
    <row r="38310" s="197" customFormat="1" ht="12.75" x14ac:dyDescent="0.2"/>
    <row r="38311" s="197" customFormat="1" ht="12.75" x14ac:dyDescent="0.2"/>
    <row r="38312" s="197" customFormat="1" ht="12.75" x14ac:dyDescent="0.2"/>
    <row r="38313" s="197" customFormat="1" ht="12.75" x14ac:dyDescent="0.2"/>
    <row r="38314" s="197" customFormat="1" ht="12.75" x14ac:dyDescent="0.2"/>
    <row r="38315" s="197" customFormat="1" ht="12.75" x14ac:dyDescent="0.2"/>
    <row r="38316" s="197" customFormat="1" ht="12.75" x14ac:dyDescent="0.2"/>
    <row r="38317" s="197" customFormat="1" ht="12.75" x14ac:dyDescent="0.2"/>
    <row r="38318" s="197" customFormat="1" ht="12.75" x14ac:dyDescent="0.2"/>
    <row r="38319" s="197" customFormat="1" ht="12.75" x14ac:dyDescent="0.2"/>
    <row r="38320" s="197" customFormat="1" ht="12.75" x14ac:dyDescent="0.2"/>
    <row r="38321" s="197" customFormat="1" ht="12.75" x14ac:dyDescent="0.2"/>
    <row r="38322" s="197" customFormat="1" ht="12.75" x14ac:dyDescent="0.2"/>
    <row r="38323" s="197" customFormat="1" ht="12.75" x14ac:dyDescent="0.2"/>
    <row r="38324" s="197" customFormat="1" ht="12.75" x14ac:dyDescent="0.2"/>
    <row r="38325" s="197" customFormat="1" ht="12.75" x14ac:dyDescent="0.2"/>
    <row r="38326" s="197" customFormat="1" ht="12.75" x14ac:dyDescent="0.2"/>
    <row r="38327" s="197" customFormat="1" ht="12.75" x14ac:dyDescent="0.2"/>
    <row r="38328" s="197" customFormat="1" ht="12.75" x14ac:dyDescent="0.2"/>
    <row r="38329" s="197" customFormat="1" ht="12.75" x14ac:dyDescent="0.2"/>
    <row r="38330" s="197" customFormat="1" ht="12.75" x14ac:dyDescent="0.2"/>
    <row r="38331" s="197" customFormat="1" ht="12.75" x14ac:dyDescent="0.2"/>
    <row r="38332" s="197" customFormat="1" ht="12.75" x14ac:dyDescent="0.2"/>
    <row r="38333" s="197" customFormat="1" ht="12.75" x14ac:dyDescent="0.2"/>
    <row r="38334" s="197" customFormat="1" ht="12.75" x14ac:dyDescent="0.2"/>
    <row r="38335" s="197" customFormat="1" ht="12.75" x14ac:dyDescent="0.2"/>
    <row r="38336" s="197" customFormat="1" ht="12.75" x14ac:dyDescent="0.2"/>
    <row r="38337" s="197" customFormat="1" ht="12.75" x14ac:dyDescent="0.2"/>
    <row r="38338" s="197" customFormat="1" ht="12.75" x14ac:dyDescent="0.2"/>
    <row r="38339" s="197" customFormat="1" ht="12.75" x14ac:dyDescent="0.2"/>
    <row r="38340" s="197" customFormat="1" ht="12.75" x14ac:dyDescent="0.2"/>
    <row r="38341" s="197" customFormat="1" ht="12.75" x14ac:dyDescent="0.2"/>
    <row r="38342" s="197" customFormat="1" ht="12.75" x14ac:dyDescent="0.2"/>
    <row r="38343" s="197" customFormat="1" ht="12.75" x14ac:dyDescent="0.2"/>
    <row r="38344" s="197" customFormat="1" ht="12.75" x14ac:dyDescent="0.2"/>
    <row r="38345" s="197" customFormat="1" ht="12.75" x14ac:dyDescent="0.2"/>
    <row r="38346" s="197" customFormat="1" ht="12.75" x14ac:dyDescent="0.2"/>
    <row r="38347" s="197" customFormat="1" ht="12.75" x14ac:dyDescent="0.2"/>
    <row r="38348" s="197" customFormat="1" ht="12.75" x14ac:dyDescent="0.2"/>
    <row r="38349" s="197" customFormat="1" ht="12.75" x14ac:dyDescent="0.2"/>
    <row r="38350" s="197" customFormat="1" ht="12.75" x14ac:dyDescent="0.2"/>
    <row r="38351" s="197" customFormat="1" ht="12.75" x14ac:dyDescent="0.2"/>
    <row r="38352" s="197" customFormat="1" ht="12.75" x14ac:dyDescent="0.2"/>
    <row r="38353" s="197" customFormat="1" ht="12.75" x14ac:dyDescent="0.2"/>
    <row r="38354" s="197" customFormat="1" ht="12.75" x14ac:dyDescent="0.2"/>
    <row r="38355" s="197" customFormat="1" ht="12.75" x14ac:dyDescent="0.2"/>
    <row r="38356" s="197" customFormat="1" ht="12.75" x14ac:dyDescent="0.2"/>
    <row r="38357" s="197" customFormat="1" ht="12.75" x14ac:dyDescent="0.2"/>
    <row r="38358" s="197" customFormat="1" ht="12.75" x14ac:dyDescent="0.2"/>
    <row r="38359" s="197" customFormat="1" ht="12.75" x14ac:dyDescent="0.2"/>
    <row r="38360" s="197" customFormat="1" ht="12.75" x14ac:dyDescent="0.2"/>
    <row r="38361" s="197" customFormat="1" ht="12.75" x14ac:dyDescent="0.2"/>
    <row r="38362" s="197" customFormat="1" ht="12.75" x14ac:dyDescent="0.2"/>
    <row r="38363" s="197" customFormat="1" ht="12.75" x14ac:dyDescent="0.2"/>
    <row r="38364" s="197" customFormat="1" ht="12.75" x14ac:dyDescent="0.2"/>
    <row r="38365" s="197" customFormat="1" ht="12.75" x14ac:dyDescent="0.2"/>
    <row r="38366" s="197" customFormat="1" ht="12.75" x14ac:dyDescent="0.2"/>
    <row r="38367" s="197" customFormat="1" ht="12.75" x14ac:dyDescent="0.2"/>
    <row r="38368" s="197" customFormat="1" ht="12.75" x14ac:dyDescent="0.2"/>
    <row r="38369" s="197" customFormat="1" ht="12.75" x14ac:dyDescent="0.2"/>
    <row r="38370" s="197" customFormat="1" ht="12.75" x14ac:dyDescent="0.2"/>
    <row r="38371" s="197" customFormat="1" ht="12.75" x14ac:dyDescent="0.2"/>
    <row r="38372" s="197" customFormat="1" ht="12.75" x14ac:dyDescent="0.2"/>
    <row r="38373" s="197" customFormat="1" ht="12.75" x14ac:dyDescent="0.2"/>
    <row r="38374" s="197" customFormat="1" ht="12.75" x14ac:dyDescent="0.2"/>
    <row r="38375" s="197" customFormat="1" ht="12.75" x14ac:dyDescent="0.2"/>
    <row r="38376" s="197" customFormat="1" ht="12.75" x14ac:dyDescent="0.2"/>
    <row r="38377" s="197" customFormat="1" ht="12.75" x14ac:dyDescent="0.2"/>
    <row r="38378" s="197" customFormat="1" ht="12.75" x14ac:dyDescent="0.2"/>
    <row r="38379" s="197" customFormat="1" ht="12.75" x14ac:dyDescent="0.2"/>
    <row r="38380" s="197" customFormat="1" ht="12.75" x14ac:dyDescent="0.2"/>
    <row r="38381" s="197" customFormat="1" ht="12.75" x14ac:dyDescent="0.2"/>
    <row r="38382" s="197" customFormat="1" ht="12.75" x14ac:dyDescent="0.2"/>
    <row r="38383" s="197" customFormat="1" ht="12.75" x14ac:dyDescent="0.2"/>
    <row r="38384" s="197" customFormat="1" ht="12.75" x14ac:dyDescent="0.2"/>
    <row r="38385" s="197" customFormat="1" ht="12.75" x14ac:dyDescent="0.2"/>
    <row r="38386" s="197" customFormat="1" ht="12.75" x14ac:dyDescent="0.2"/>
    <row r="38387" s="197" customFormat="1" ht="12.75" x14ac:dyDescent="0.2"/>
    <row r="38388" s="197" customFormat="1" ht="12.75" x14ac:dyDescent="0.2"/>
    <row r="38389" s="197" customFormat="1" ht="12.75" x14ac:dyDescent="0.2"/>
    <row r="38390" s="197" customFormat="1" ht="12.75" x14ac:dyDescent="0.2"/>
    <row r="38391" s="197" customFormat="1" ht="12.75" x14ac:dyDescent="0.2"/>
    <row r="38392" s="197" customFormat="1" ht="12.75" x14ac:dyDescent="0.2"/>
    <row r="38393" s="197" customFormat="1" ht="12.75" x14ac:dyDescent="0.2"/>
    <row r="38394" s="197" customFormat="1" ht="12.75" x14ac:dyDescent="0.2"/>
    <row r="38395" s="197" customFormat="1" ht="12.75" x14ac:dyDescent="0.2"/>
    <row r="38396" s="197" customFormat="1" ht="12.75" x14ac:dyDescent="0.2"/>
    <row r="38397" s="197" customFormat="1" ht="12.75" x14ac:dyDescent="0.2"/>
    <row r="38398" s="197" customFormat="1" ht="12.75" x14ac:dyDescent="0.2"/>
    <row r="38399" s="197" customFormat="1" ht="12.75" x14ac:dyDescent="0.2"/>
    <row r="38400" s="197" customFormat="1" ht="12.75" x14ac:dyDescent="0.2"/>
    <row r="38401" s="197" customFormat="1" ht="12.75" x14ac:dyDescent="0.2"/>
    <row r="38402" s="197" customFormat="1" ht="12.75" x14ac:dyDescent="0.2"/>
    <row r="38403" s="197" customFormat="1" ht="12.75" x14ac:dyDescent="0.2"/>
    <row r="38404" s="197" customFormat="1" ht="12.75" x14ac:dyDescent="0.2"/>
    <row r="38405" s="197" customFormat="1" ht="12.75" x14ac:dyDescent="0.2"/>
    <row r="38406" s="197" customFormat="1" ht="12.75" x14ac:dyDescent="0.2"/>
    <row r="38407" s="197" customFormat="1" ht="12.75" x14ac:dyDescent="0.2"/>
    <row r="38408" s="197" customFormat="1" ht="12.75" x14ac:dyDescent="0.2"/>
    <row r="38409" s="197" customFormat="1" ht="12.75" x14ac:dyDescent="0.2"/>
    <row r="38410" s="197" customFormat="1" ht="12.75" x14ac:dyDescent="0.2"/>
    <row r="38411" s="197" customFormat="1" ht="12.75" x14ac:dyDescent="0.2"/>
    <row r="38412" s="197" customFormat="1" ht="12.75" x14ac:dyDescent="0.2"/>
    <row r="38413" s="197" customFormat="1" ht="12.75" x14ac:dyDescent="0.2"/>
    <row r="38414" s="197" customFormat="1" ht="12.75" x14ac:dyDescent="0.2"/>
    <row r="38415" s="197" customFormat="1" ht="12.75" x14ac:dyDescent="0.2"/>
    <row r="38416" s="197" customFormat="1" ht="12.75" x14ac:dyDescent="0.2"/>
    <row r="38417" s="197" customFormat="1" ht="12.75" x14ac:dyDescent="0.2"/>
    <row r="38418" s="197" customFormat="1" ht="12.75" x14ac:dyDescent="0.2"/>
    <row r="38419" s="197" customFormat="1" ht="12.75" x14ac:dyDescent="0.2"/>
    <row r="38420" s="197" customFormat="1" ht="12.75" x14ac:dyDescent="0.2"/>
    <row r="38421" s="197" customFormat="1" ht="12.75" x14ac:dyDescent="0.2"/>
    <row r="38422" s="197" customFormat="1" ht="12.75" x14ac:dyDescent="0.2"/>
    <row r="38423" s="197" customFormat="1" ht="12.75" x14ac:dyDescent="0.2"/>
    <row r="38424" s="197" customFormat="1" ht="12.75" x14ac:dyDescent="0.2"/>
    <row r="38425" s="197" customFormat="1" ht="12.75" x14ac:dyDescent="0.2"/>
    <row r="38426" s="197" customFormat="1" ht="12.75" x14ac:dyDescent="0.2"/>
    <row r="38427" s="197" customFormat="1" ht="12.75" x14ac:dyDescent="0.2"/>
    <row r="38428" s="197" customFormat="1" ht="12.75" x14ac:dyDescent="0.2"/>
    <row r="38429" s="197" customFormat="1" ht="12.75" x14ac:dyDescent="0.2"/>
    <row r="38430" s="197" customFormat="1" ht="12.75" x14ac:dyDescent="0.2"/>
    <row r="38431" s="197" customFormat="1" ht="12.75" x14ac:dyDescent="0.2"/>
    <row r="38432" s="197" customFormat="1" ht="12.75" x14ac:dyDescent="0.2"/>
    <row r="38433" s="197" customFormat="1" ht="12.75" x14ac:dyDescent="0.2"/>
    <row r="38434" s="197" customFormat="1" ht="12.75" x14ac:dyDescent="0.2"/>
    <row r="38435" s="197" customFormat="1" ht="12.75" x14ac:dyDescent="0.2"/>
    <row r="38436" s="197" customFormat="1" ht="12.75" x14ac:dyDescent="0.2"/>
    <row r="38437" s="197" customFormat="1" ht="12.75" x14ac:dyDescent="0.2"/>
    <row r="38438" s="197" customFormat="1" ht="12.75" x14ac:dyDescent="0.2"/>
    <row r="38439" s="197" customFormat="1" ht="12.75" x14ac:dyDescent="0.2"/>
    <row r="38440" s="197" customFormat="1" ht="12.75" x14ac:dyDescent="0.2"/>
    <row r="38441" s="197" customFormat="1" ht="12.75" x14ac:dyDescent="0.2"/>
    <row r="38442" s="197" customFormat="1" ht="12.75" x14ac:dyDescent="0.2"/>
    <row r="38443" s="197" customFormat="1" ht="12.75" x14ac:dyDescent="0.2"/>
    <row r="38444" s="197" customFormat="1" ht="12.75" x14ac:dyDescent="0.2"/>
    <row r="38445" s="197" customFormat="1" ht="12.75" x14ac:dyDescent="0.2"/>
    <row r="38446" s="197" customFormat="1" ht="12.75" x14ac:dyDescent="0.2"/>
    <row r="38447" s="197" customFormat="1" ht="12.75" x14ac:dyDescent="0.2"/>
    <row r="38448" s="197" customFormat="1" ht="12.75" x14ac:dyDescent="0.2"/>
    <row r="38449" s="197" customFormat="1" ht="12.75" x14ac:dyDescent="0.2"/>
    <row r="38450" s="197" customFormat="1" ht="12.75" x14ac:dyDescent="0.2"/>
    <row r="38451" s="197" customFormat="1" ht="12.75" x14ac:dyDescent="0.2"/>
    <row r="38452" s="197" customFormat="1" ht="12.75" x14ac:dyDescent="0.2"/>
    <row r="38453" s="197" customFormat="1" ht="12.75" x14ac:dyDescent="0.2"/>
    <row r="38454" s="197" customFormat="1" ht="12.75" x14ac:dyDescent="0.2"/>
    <row r="38455" s="197" customFormat="1" ht="12.75" x14ac:dyDescent="0.2"/>
    <row r="38456" s="197" customFormat="1" ht="12.75" x14ac:dyDescent="0.2"/>
    <row r="38457" s="197" customFormat="1" ht="12.75" x14ac:dyDescent="0.2"/>
    <row r="38458" s="197" customFormat="1" ht="12.75" x14ac:dyDescent="0.2"/>
    <row r="38459" s="197" customFormat="1" ht="12.75" x14ac:dyDescent="0.2"/>
    <row r="38460" s="197" customFormat="1" ht="12.75" x14ac:dyDescent="0.2"/>
    <row r="38461" s="197" customFormat="1" ht="12.75" x14ac:dyDescent="0.2"/>
    <row r="38462" s="197" customFormat="1" ht="12.75" x14ac:dyDescent="0.2"/>
    <row r="38463" s="197" customFormat="1" ht="12.75" x14ac:dyDescent="0.2"/>
    <row r="38464" s="197" customFormat="1" ht="12.75" x14ac:dyDescent="0.2"/>
    <row r="38465" s="197" customFormat="1" ht="12.75" x14ac:dyDescent="0.2"/>
    <row r="38466" s="197" customFormat="1" ht="12.75" x14ac:dyDescent="0.2"/>
    <row r="38467" s="197" customFormat="1" ht="12.75" x14ac:dyDescent="0.2"/>
    <row r="38468" s="197" customFormat="1" ht="12.75" x14ac:dyDescent="0.2"/>
    <row r="38469" s="197" customFormat="1" ht="12.75" x14ac:dyDescent="0.2"/>
    <row r="38470" s="197" customFormat="1" ht="12.75" x14ac:dyDescent="0.2"/>
    <row r="38471" s="197" customFormat="1" ht="12.75" x14ac:dyDescent="0.2"/>
    <row r="38472" s="197" customFormat="1" ht="12.75" x14ac:dyDescent="0.2"/>
    <row r="38473" s="197" customFormat="1" ht="12.75" x14ac:dyDescent="0.2"/>
    <row r="38474" s="197" customFormat="1" ht="12.75" x14ac:dyDescent="0.2"/>
    <row r="38475" s="197" customFormat="1" ht="12.75" x14ac:dyDescent="0.2"/>
    <row r="38476" s="197" customFormat="1" ht="12.75" x14ac:dyDescent="0.2"/>
    <row r="38477" s="197" customFormat="1" ht="12.75" x14ac:dyDescent="0.2"/>
    <row r="38478" s="197" customFormat="1" ht="12.75" x14ac:dyDescent="0.2"/>
    <row r="38479" s="197" customFormat="1" ht="12.75" x14ac:dyDescent="0.2"/>
    <row r="38480" s="197" customFormat="1" ht="12.75" x14ac:dyDescent="0.2"/>
    <row r="38481" s="197" customFormat="1" ht="12.75" x14ac:dyDescent="0.2"/>
    <row r="38482" s="197" customFormat="1" ht="12.75" x14ac:dyDescent="0.2"/>
    <row r="38483" s="197" customFormat="1" ht="12.75" x14ac:dyDescent="0.2"/>
    <row r="38484" s="197" customFormat="1" ht="12.75" x14ac:dyDescent="0.2"/>
    <row r="38485" s="197" customFormat="1" ht="12.75" x14ac:dyDescent="0.2"/>
    <row r="38486" s="197" customFormat="1" ht="12.75" x14ac:dyDescent="0.2"/>
    <row r="38487" s="197" customFormat="1" ht="12.75" x14ac:dyDescent="0.2"/>
    <row r="38488" s="197" customFormat="1" ht="12.75" x14ac:dyDescent="0.2"/>
    <row r="38489" s="197" customFormat="1" ht="12.75" x14ac:dyDescent="0.2"/>
    <row r="38490" s="197" customFormat="1" ht="12.75" x14ac:dyDescent="0.2"/>
    <row r="38491" s="197" customFormat="1" ht="12.75" x14ac:dyDescent="0.2"/>
    <row r="38492" s="197" customFormat="1" ht="12.75" x14ac:dyDescent="0.2"/>
    <row r="38493" s="197" customFormat="1" ht="12.75" x14ac:dyDescent="0.2"/>
    <row r="38494" s="197" customFormat="1" ht="12.75" x14ac:dyDescent="0.2"/>
    <row r="38495" s="197" customFormat="1" ht="12.75" x14ac:dyDescent="0.2"/>
    <row r="38496" s="197" customFormat="1" ht="12.75" x14ac:dyDescent="0.2"/>
    <row r="38497" s="197" customFormat="1" ht="12.75" x14ac:dyDescent="0.2"/>
    <row r="38498" s="197" customFormat="1" ht="12.75" x14ac:dyDescent="0.2"/>
    <row r="38499" s="197" customFormat="1" ht="12.75" x14ac:dyDescent="0.2"/>
    <row r="38500" s="197" customFormat="1" ht="12.75" x14ac:dyDescent="0.2"/>
    <row r="38501" s="197" customFormat="1" ht="12.75" x14ac:dyDescent="0.2"/>
    <row r="38502" s="197" customFormat="1" ht="12.75" x14ac:dyDescent="0.2"/>
    <row r="38503" s="197" customFormat="1" ht="12.75" x14ac:dyDescent="0.2"/>
    <row r="38504" s="197" customFormat="1" ht="12.75" x14ac:dyDescent="0.2"/>
    <row r="38505" s="197" customFormat="1" ht="12.75" x14ac:dyDescent="0.2"/>
    <row r="38506" s="197" customFormat="1" ht="12.75" x14ac:dyDescent="0.2"/>
    <row r="38507" s="197" customFormat="1" ht="12.75" x14ac:dyDescent="0.2"/>
    <row r="38508" s="197" customFormat="1" ht="12.75" x14ac:dyDescent="0.2"/>
    <row r="38509" s="197" customFormat="1" ht="12.75" x14ac:dyDescent="0.2"/>
    <row r="38510" s="197" customFormat="1" ht="12.75" x14ac:dyDescent="0.2"/>
    <row r="38511" s="197" customFormat="1" ht="12.75" x14ac:dyDescent="0.2"/>
    <row r="38512" s="197" customFormat="1" ht="12.75" x14ac:dyDescent="0.2"/>
    <row r="38513" s="197" customFormat="1" ht="12.75" x14ac:dyDescent="0.2"/>
    <row r="38514" s="197" customFormat="1" ht="12.75" x14ac:dyDescent="0.2"/>
    <row r="38515" s="197" customFormat="1" ht="12.75" x14ac:dyDescent="0.2"/>
    <row r="38516" s="197" customFormat="1" ht="12.75" x14ac:dyDescent="0.2"/>
    <row r="38517" s="197" customFormat="1" ht="12.75" x14ac:dyDescent="0.2"/>
    <row r="38518" s="197" customFormat="1" ht="12.75" x14ac:dyDescent="0.2"/>
    <row r="38519" s="197" customFormat="1" ht="12.75" x14ac:dyDescent="0.2"/>
    <row r="38520" s="197" customFormat="1" ht="12.75" x14ac:dyDescent="0.2"/>
    <row r="38521" s="197" customFormat="1" ht="12.75" x14ac:dyDescent="0.2"/>
    <row r="38522" s="197" customFormat="1" ht="12.75" x14ac:dyDescent="0.2"/>
    <row r="38523" s="197" customFormat="1" ht="12.75" x14ac:dyDescent="0.2"/>
    <row r="38524" s="197" customFormat="1" ht="12.75" x14ac:dyDescent="0.2"/>
    <row r="38525" s="197" customFormat="1" ht="12.75" x14ac:dyDescent="0.2"/>
    <row r="38526" s="197" customFormat="1" ht="12.75" x14ac:dyDescent="0.2"/>
    <row r="38527" s="197" customFormat="1" ht="12.75" x14ac:dyDescent="0.2"/>
    <row r="38528" s="197" customFormat="1" ht="12.75" x14ac:dyDescent="0.2"/>
    <row r="38529" s="197" customFormat="1" ht="12.75" x14ac:dyDescent="0.2"/>
    <row r="38530" s="197" customFormat="1" ht="12.75" x14ac:dyDescent="0.2"/>
    <row r="38531" s="197" customFormat="1" ht="12.75" x14ac:dyDescent="0.2"/>
    <row r="38532" s="197" customFormat="1" ht="12.75" x14ac:dyDescent="0.2"/>
    <row r="38533" s="197" customFormat="1" ht="12.75" x14ac:dyDescent="0.2"/>
    <row r="38534" s="197" customFormat="1" ht="12.75" x14ac:dyDescent="0.2"/>
    <row r="38535" s="197" customFormat="1" ht="12.75" x14ac:dyDescent="0.2"/>
    <row r="38536" s="197" customFormat="1" ht="12.75" x14ac:dyDescent="0.2"/>
    <row r="38537" s="197" customFormat="1" ht="12.75" x14ac:dyDescent="0.2"/>
    <row r="38538" s="197" customFormat="1" ht="12.75" x14ac:dyDescent="0.2"/>
    <row r="38539" s="197" customFormat="1" ht="12.75" x14ac:dyDescent="0.2"/>
    <row r="38540" s="197" customFormat="1" ht="12.75" x14ac:dyDescent="0.2"/>
    <row r="38541" s="197" customFormat="1" ht="12.75" x14ac:dyDescent="0.2"/>
    <row r="38542" s="197" customFormat="1" ht="12.75" x14ac:dyDescent="0.2"/>
    <row r="38543" s="197" customFormat="1" ht="12.75" x14ac:dyDescent="0.2"/>
    <row r="38544" s="197" customFormat="1" ht="12.75" x14ac:dyDescent="0.2"/>
    <row r="38545" s="197" customFormat="1" ht="12.75" x14ac:dyDescent="0.2"/>
    <row r="38546" s="197" customFormat="1" ht="12.75" x14ac:dyDescent="0.2"/>
    <row r="38547" s="197" customFormat="1" ht="12.75" x14ac:dyDescent="0.2"/>
    <row r="38548" s="197" customFormat="1" ht="12.75" x14ac:dyDescent="0.2"/>
    <row r="38549" s="197" customFormat="1" ht="12.75" x14ac:dyDescent="0.2"/>
    <row r="38550" s="197" customFormat="1" ht="12.75" x14ac:dyDescent="0.2"/>
    <row r="38551" s="197" customFormat="1" ht="12.75" x14ac:dyDescent="0.2"/>
    <row r="38552" s="197" customFormat="1" ht="12.75" x14ac:dyDescent="0.2"/>
    <row r="38553" s="197" customFormat="1" ht="12.75" x14ac:dyDescent="0.2"/>
    <row r="38554" s="197" customFormat="1" ht="12.75" x14ac:dyDescent="0.2"/>
    <row r="38555" s="197" customFormat="1" ht="12.75" x14ac:dyDescent="0.2"/>
    <row r="38556" s="197" customFormat="1" ht="12.75" x14ac:dyDescent="0.2"/>
    <row r="38557" s="197" customFormat="1" ht="12.75" x14ac:dyDescent="0.2"/>
    <row r="38558" s="197" customFormat="1" ht="12.75" x14ac:dyDescent="0.2"/>
    <row r="38559" s="197" customFormat="1" ht="12.75" x14ac:dyDescent="0.2"/>
    <row r="38560" s="197" customFormat="1" ht="12.75" x14ac:dyDescent="0.2"/>
    <row r="38561" s="197" customFormat="1" ht="12.75" x14ac:dyDescent="0.2"/>
    <row r="38562" s="197" customFormat="1" ht="12.75" x14ac:dyDescent="0.2"/>
    <row r="38563" s="197" customFormat="1" ht="12.75" x14ac:dyDescent="0.2"/>
    <row r="38564" s="197" customFormat="1" ht="12.75" x14ac:dyDescent="0.2"/>
    <row r="38565" s="197" customFormat="1" ht="12.75" x14ac:dyDescent="0.2"/>
    <row r="38566" s="197" customFormat="1" ht="12.75" x14ac:dyDescent="0.2"/>
    <row r="38567" s="197" customFormat="1" ht="12.75" x14ac:dyDescent="0.2"/>
    <row r="38568" s="197" customFormat="1" ht="12.75" x14ac:dyDescent="0.2"/>
    <row r="38569" s="197" customFormat="1" ht="12.75" x14ac:dyDescent="0.2"/>
    <row r="38570" s="197" customFormat="1" ht="12.75" x14ac:dyDescent="0.2"/>
    <row r="38571" s="197" customFormat="1" ht="12.75" x14ac:dyDescent="0.2"/>
    <row r="38572" s="197" customFormat="1" ht="12.75" x14ac:dyDescent="0.2"/>
    <row r="38573" s="197" customFormat="1" ht="12.75" x14ac:dyDescent="0.2"/>
    <row r="38574" s="197" customFormat="1" ht="12.75" x14ac:dyDescent="0.2"/>
    <row r="38575" s="197" customFormat="1" ht="12.75" x14ac:dyDescent="0.2"/>
    <row r="38576" s="197" customFormat="1" ht="12.75" x14ac:dyDescent="0.2"/>
    <row r="38577" s="197" customFormat="1" ht="12.75" x14ac:dyDescent="0.2"/>
    <row r="38578" s="197" customFormat="1" ht="12.75" x14ac:dyDescent="0.2"/>
    <row r="38579" s="197" customFormat="1" ht="12.75" x14ac:dyDescent="0.2"/>
    <row r="38580" s="197" customFormat="1" ht="12.75" x14ac:dyDescent="0.2"/>
    <row r="38581" s="197" customFormat="1" ht="12.75" x14ac:dyDescent="0.2"/>
    <row r="38582" s="197" customFormat="1" ht="12.75" x14ac:dyDescent="0.2"/>
    <row r="38583" s="197" customFormat="1" ht="12.75" x14ac:dyDescent="0.2"/>
    <row r="38584" s="197" customFormat="1" ht="12.75" x14ac:dyDescent="0.2"/>
    <row r="38585" s="197" customFormat="1" ht="12.75" x14ac:dyDescent="0.2"/>
    <row r="38586" s="197" customFormat="1" ht="12.75" x14ac:dyDescent="0.2"/>
    <row r="38587" s="197" customFormat="1" ht="12.75" x14ac:dyDescent="0.2"/>
    <row r="38588" s="197" customFormat="1" ht="12.75" x14ac:dyDescent="0.2"/>
    <row r="38589" s="197" customFormat="1" ht="12.75" x14ac:dyDescent="0.2"/>
    <row r="38590" s="197" customFormat="1" ht="12.75" x14ac:dyDescent="0.2"/>
    <row r="38591" s="197" customFormat="1" ht="12.75" x14ac:dyDescent="0.2"/>
    <row r="38592" s="197" customFormat="1" ht="12.75" x14ac:dyDescent="0.2"/>
    <row r="38593" s="197" customFormat="1" ht="12.75" x14ac:dyDescent="0.2"/>
    <row r="38594" s="197" customFormat="1" ht="12.75" x14ac:dyDescent="0.2"/>
    <row r="38595" s="197" customFormat="1" ht="12.75" x14ac:dyDescent="0.2"/>
    <row r="38596" s="197" customFormat="1" ht="12.75" x14ac:dyDescent="0.2"/>
    <row r="38597" s="197" customFormat="1" ht="12.75" x14ac:dyDescent="0.2"/>
    <row r="38598" s="197" customFormat="1" ht="12.75" x14ac:dyDescent="0.2"/>
    <row r="38599" s="197" customFormat="1" ht="12.75" x14ac:dyDescent="0.2"/>
    <row r="38600" s="197" customFormat="1" ht="12.75" x14ac:dyDescent="0.2"/>
    <row r="38601" s="197" customFormat="1" ht="12.75" x14ac:dyDescent="0.2"/>
    <row r="38602" s="197" customFormat="1" ht="12.75" x14ac:dyDescent="0.2"/>
    <row r="38603" s="197" customFormat="1" ht="12.75" x14ac:dyDescent="0.2"/>
    <row r="38604" s="197" customFormat="1" ht="12.75" x14ac:dyDescent="0.2"/>
    <row r="38605" s="197" customFormat="1" ht="12.75" x14ac:dyDescent="0.2"/>
    <row r="38606" s="197" customFormat="1" ht="12.75" x14ac:dyDescent="0.2"/>
    <row r="38607" s="197" customFormat="1" ht="12.75" x14ac:dyDescent="0.2"/>
    <row r="38608" s="197" customFormat="1" ht="12.75" x14ac:dyDescent="0.2"/>
    <row r="38609" s="197" customFormat="1" ht="12.75" x14ac:dyDescent="0.2"/>
    <row r="38610" s="197" customFormat="1" ht="12.75" x14ac:dyDescent="0.2"/>
    <row r="38611" s="197" customFormat="1" ht="12.75" x14ac:dyDescent="0.2"/>
    <row r="38612" s="197" customFormat="1" ht="12.75" x14ac:dyDescent="0.2"/>
    <row r="38613" s="197" customFormat="1" ht="12.75" x14ac:dyDescent="0.2"/>
    <row r="38614" s="197" customFormat="1" ht="12.75" x14ac:dyDescent="0.2"/>
    <row r="38615" s="197" customFormat="1" ht="12.75" x14ac:dyDescent="0.2"/>
    <row r="38616" s="197" customFormat="1" ht="12.75" x14ac:dyDescent="0.2"/>
    <row r="38617" s="197" customFormat="1" ht="12.75" x14ac:dyDescent="0.2"/>
    <row r="38618" s="197" customFormat="1" ht="12.75" x14ac:dyDescent="0.2"/>
    <row r="38619" s="197" customFormat="1" ht="12.75" x14ac:dyDescent="0.2"/>
    <row r="38620" s="197" customFormat="1" ht="12.75" x14ac:dyDescent="0.2"/>
    <row r="38621" s="197" customFormat="1" ht="12.75" x14ac:dyDescent="0.2"/>
    <row r="38622" s="197" customFormat="1" ht="12.75" x14ac:dyDescent="0.2"/>
    <row r="38623" s="197" customFormat="1" ht="12.75" x14ac:dyDescent="0.2"/>
    <row r="38624" s="197" customFormat="1" ht="12.75" x14ac:dyDescent="0.2"/>
    <row r="38625" s="197" customFormat="1" ht="12.75" x14ac:dyDescent="0.2"/>
    <row r="38626" s="197" customFormat="1" ht="12.75" x14ac:dyDescent="0.2"/>
    <row r="38627" s="197" customFormat="1" ht="12.75" x14ac:dyDescent="0.2"/>
    <row r="38628" s="197" customFormat="1" ht="12.75" x14ac:dyDescent="0.2"/>
    <row r="38629" s="197" customFormat="1" ht="12.75" x14ac:dyDescent="0.2"/>
    <row r="38630" s="197" customFormat="1" ht="12.75" x14ac:dyDescent="0.2"/>
    <row r="38631" s="197" customFormat="1" ht="12.75" x14ac:dyDescent="0.2"/>
    <row r="38632" s="197" customFormat="1" ht="12.75" x14ac:dyDescent="0.2"/>
    <row r="38633" s="197" customFormat="1" ht="12.75" x14ac:dyDescent="0.2"/>
    <row r="38634" s="197" customFormat="1" ht="12.75" x14ac:dyDescent="0.2"/>
    <row r="38635" s="197" customFormat="1" ht="12.75" x14ac:dyDescent="0.2"/>
    <row r="38636" s="197" customFormat="1" ht="12.75" x14ac:dyDescent="0.2"/>
    <row r="38637" s="197" customFormat="1" ht="12.75" x14ac:dyDescent="0.2"/>
    <row r="38638" s="197" customFormat="1" ht="12.75" x14ac:dyDescent="0.2"/>
    <row r="38639" s="197" customFormat="1" ht="12.75" x14ac:dyDescent="0.2"/>
    <row r="38640" s="197" customFormat="1" ht="12.75" x14ac:dyDescent="0.2"/>
    <row r="38641" s="197" customFormat="1" ht="12.75" x14ac:dyDescent="0.2"/>
    <row r="38642" s="197" customFormat="1" ht="12.75" x14ac:dyDescent="0.2"/>
    <row r="38643" s="197" customFormat="1" ht="12.75" x14ac:dyDescent="0.2"/>
    <row r="38644" s="197" customFormat="1" ht="12.75" x14ac:dyDescent="0.2"/>
    <row r="38645" s="197" customFormat="1" ht="12.75" x14ac:dyDescent="0.2"/>
    <row r="38646" s="197" customFormat="1" ht="12.75" x14ac:dyDescent="0.2"/>
    <row r="38647" s="197" customFormat="1" ht="12.75" x14ac:dyDescent="0.2"/>
    <row r="38648" s="197" customFormat="1" ht="12.75" x14ac:dyDescent="0.2"/>
    <row r="38649" s="197" customFormat="1" ht="12.75" x14ac:dyDescent="0.2"/>
    <row r="38650" s="197" customFormat="1" ht="12.75" x14ac:dyDescent="0.2"/>
    <row r="38651" s="197" customFormat="1" ht="12.75" x14ac:dyDescent="0.2"/>
    <row r="38652" s="197" customFormat="1" ht="12.75" x14ac:dyDescent="0.2"/>
    <row r="38653" s="197" customFormat="1" ht="12.75" x14ac:dyDescent="0.2"/>
    <row r="38654" s="197" customFormat="1" ht="12.75" x14ac:dyDescent="0.2"/>
    <row r="38655" s="197" customFormat="1" ht="12.75" x14ac:dyDescent="0.2"/>
    <row r="38656" s="197" customFormat="1" ht="12.75" x14ac:dyDescent="0.2"/>
    <row r="38657" s="197" customFormat="1" ht="12.75" x14ac:dyDescent="0.2"/>
    <row r="38658" s="197" customFormat="1" ht="12.75" x14ac:dyDescent="0.2"/>
    <row r="38659" s="197" customFormat="1" ht="12.75" x14ac:dyDescent="0.2"/>
    <row r="38660" s="197" customFormat="1" ht="12.75" x14ac:dyDescent="0.2"/>
    <row r="38661" s="197" customFormat="1" ht="12.75" x14ac:dyDescent="0.2"/>
    <row r="38662" s="197" customFormat="1" ht="12.75" x14ac:dyDescent="0.2"/>
    <row r="38663" s="197" customFormat="1" ht="12.75" x14ac:dyDescent="0.2"/>
    <row r="38664" s="197" customFormat="1" ht="12.75" x14ac:dyDescent="0.2"/>
    <row r="38665" s="197" customFormat="1" ht="12.75" x14ac:dyDescent="0.2"/>
    <row r="38666" s="197" customFormat="1" ht="12.75" x14ac:dyDescent="0.2"/>
    <row r="38667" s="197" customFormat="1" ht="12.75" x14ac:dyDescent="0.2"/>
    <row r="38668" s="197" customFormat="1" ht="12.75" x14ac:dyDescent="0.2"/>
    <row r="38669" s="197" customFormat="1" ht="12.75" x14ac:dyDescent="0.2"/>
    <row r="38670" s="197" customFormat="1" ht="12.75" x14ac:dyDescent="0.2"/>
    <row r="38671" s="197" customFormat="1" ht="12.75" x14ac:dyDescent="0.2"/>
    <row r="38672" s="197" customFormat="1" ht="12.75" x14ac:dyDescent="0.2"/>
    <row r="38673" s="197" customFormat="1" ht="12.75" x14ac:dyDescent="0.2"/>
    <row r="38674" s="197" customFormat="1" ht="12.75" x14ac:dyDescent="0.2"/>
    <row r="38675" s="197" customFormat="1" ht="12.75" x14ac:dyDescent="0.2"/>
    <row r="38676" s="197" customFormat="1" ht="12.75" x14ac:dyDescent="0.2"/>
    <row r="38677" s="197" customFormat="1" ht="12.75" x14ac:dyDescent="0.2"/>
    <row r="38678" s="197" customFormat="1" ht="12.75" x14ac:dyDescent="0.2"/>
    <row r="38679" s="197" customFormat="1" ht="12.75" x14ac:dyDescent="0.2"/>
    <row r="38680" s="197" customFormat="1" ht="12.75" x14ac:dyDescent="0.2"/>
    <row r="38681" s="197" customFormat="1" ht="12.75" x14ac:dyDescent="0.2"/>
    <row r="38682" s="197" customFormat="1" ht="12.75" x14ac:dyDescent="0.2"/>
    <row r="38683" s="197" customFormat="1" ht="12.75" x14ac:dyDescent="0.2"/>
    <row r="38684" s="197" customFormat="1" ht="12.75" x14ac:dyDescent="0.2"/>
    <row r="38685" s="197" customFormat="1" ht="12.75" x14ac:dyDescent="0.2"/>
    <row r="38686" s="197" customFormat="1" ht="12.75" x14ac:dyDescent="0.2"/>
    <row r="38687" s="197" customFormat="1" ht="12.75" x14ac:dyDescent="0.2"/>
    <row r="38688" s="197" customFormat="1" ht="12.75" x14ac:dyDescent="0.2"/>
    <row r="38689" s="197" customFormat="1" ht="12.75" x14ac:dyDescent="0.2"/>
    <row r="38690" s="197" customFormat="1" ht="12.75" x14ac:dyDescent="0.2"/>
    <row r="38691" s="197" customFormat="1" ht="12.75" x14ac:dyDescent="0.2"/>
    <row r="38692" s="197" customFormat="1" ht="12.75" x14ac:dyDescent="0.2"/>
    <row r="38693" s="197" customFormat="1" ht="12.75" x14ac:dyDescent="0.2"/>
    <row r="38694" s="197" customFormat="1" ht="12.75" x14ac:dyDescent="0.2"/>
    <row r="38695" s="197" customFormat="1" ht="12.75" x14ac:dyDescent="0.2"/>
    <row r="38696" s="197" customFormat="1" ht="12.75" x14ac:dyDescent="0.2"/>
    <row r="38697" s="197" customFormat="1" ht="12.75" x14ac:dyDescent="0.2"/>
    <row r="38698" s="197" customFormat="1" ht="12.75" x14ac:dyDescent="0.2"/>
    <row r="38699" s="197" customFormat="1" ht="12.75" x14ac:dyDescent="0.2"/>
    <row r="38700" s="197" customFormat="1" ht="12.75" x14ac:dyDescent="0.2"/>
    <row r="38701" s="197" customFormat="1" ht="12.75" x14ac:dyDescent="0.2"/>
    <row r="38702" s="197" customFormat="1" ht="12.75" x14ac:dyDescent="0.2"/>
    <row r="38703" s="197" customFormat="1" ht="12.75" x14ac:dyDescent="0.2"/>
    <row r="38704" s="197" customFormat="1" ht="12.75" x14ac:dyDescent="0.2"/>
    <row r="38705" s="197" customFormat="1" ht="12.75" x14ac:dyDescent="0.2"/>
    <row r="38706" s="197" customFormat="1" ht="12.75" x14ac:dyDescent="0.2"/>
    <row r="38707" s="197" customFormat="1" ht="12.75" x14ac:dyDescent="0.2"/>
    <row r="38708" s="197" customFormat="1" ht="12.75" x14ac:dyDescent="0.2"/>
    <row r="38709" s="197" customFormat="1" ht="12.75" x14ac:dyDescent="0.2"/>
    <row r="38710" s="197" customFormat="1" ht="12.75" x14ac:dyDescent="0.2"/>
    <row r="38711" s="197" customFormat="1" ht="12.75" x14ac:dyDescent="0.2"/>
    <row r="38712" s="197" customFormat="1" ht="12.75" x14ac:dyDescent="0.2"/>
    <row r="38713" s="197" customFormat="1" ht="12.75" x14ac:dyDescent="0.2"/>
    <row r="38714" s="197" customFormat="1" ht="12.75" x14ac:dyDescent="0.2"/>
    <row r="38715" s="197" customFormat="1" ht="12.75" x14ac:dyDescent="0.2"/>
    <row r="38716" s="197" customFormat="1" ht="12.75" x14ac:dyDescent="0.2"/>
    <row r="38717" s="197" customFormat="1" ht="12.75" x14ac:dyDescent="0.2"/>
    <row r="38718" s="197" customFormat="1" ht="12.75" x14ac:dyDescent="0.2"/>
    <row r="38719" s="197" customFormat="1" ht="12.75" x14ac:dyDescent="0.2"/>
    <row r="38720" s="197" customFormat="1" ht="12.75" x14ac:dyDescent="0.2"/>
    <row r="38721" s="197" customFormat="1" ht="12.75" x14ac:dyDescent="0.2"/>
    <row r="38722" s="197" customFormat="1" ht="12.75" x14ac:dyDescent="0.2"/>
    <row r="38723" s="197" customFormat="1" ht="12.75" x14ac:dyDescent="0.2"/>
    <row r="38724" s="197" customFormat="1" ht="12.75" x14ac:dyDescent="0.2"/>
    <row r="38725" s="197" customFormat="1" ht="12.75" x14ac:dyDescent="0.2"/>
    <row r="38726" s="197" customFormat="1" ht="12.75" x14ac:dyDescent="0.2"/>
    <row r="38727" s="197" customFormat="1" ht="12.75" x14ac:dyDescent="0.2"/>
    <row r="38728" s="197" customFormat="1" ht="12.75" x14ac:dyDescent="0.2"/>
    <row r="38729" s="197" customFormat="1" ht="12.75" x14ac:dyDescent="0.2"/>
    <row r="38730" s="197" customFormat="1" ht="12.75" x14ac:dyDescent="0.2"/>
    <row r="38731" s="197" customFormat="1" ht="12.75" x14ac:dyDescent="0.2"/>
    <row r="38732" s="197" customFormat="1" ht="12.75" x14ac:dyDescent="0.2"/>
    <row r="38733" s="197" customFormat="1" ht="12.75" x14ac:dyDescent="0.2"/>
    <row r="38734" s="197" customFormat="1" ht="12.75" x14ac:dyDescent="0.2"/>
    <row r="38735" s="197" customFormat="1" ht="12.75" x14ac:dyDescent="0.2"/>
    <row r="38736" s="197" customFormat="1" ht="12.75" x14ac:dyDescent="0.2"/>
    <row r="38737" s="197" customFormat="1" ht="12.75" x14ac:dyDescent="0.2"/>
    <row r="38738" s="197" customFormat="1" ht="12.75" x14ac:dyDescent="0.2"/>
    <row r="38739" s="197" customFormat="1" ht="12.75" x14ac:dyDescent="0.2"/>
    <row r="38740" s="197" customFormat="1" ht="12.75" x14ac:dyDescent="0.2"/>
    <row r="38741" s="197" customFormat="1" ht="12.75" x14ac:dyDescent="0.2"/>
    <row r="38742" s="197" customFormat="1" ht="12.75" x14ac:dyDescent="0.2"/>
    <row r="38743" s="197" customFormat="1" ht="12.75" x14ac:dyDescent="0.2"/>
    <row r="38744" s="197" customFormat="1" ht="12.75" x14ac:dyDescent="0.2"/>
    <row r="38745" s="197" customFormat="1" ht="12.75" x14ac:dyDescent="0.2"/>
    <row r="38746" s="197" customFormat="1" ht="12.75" x14ac:dyDescent="0.2"/>
    <row r="38747" s="197" customFormat="1" ht="12.75" x14ac:dyDescent="0.2"/>
    <row r="38748" s="197" customFormat="1" ht="12.75" x14ac:dyDescent="0.2"/>
    <row r="38749" s="197" customFormat="1" ht="12.75" x14ac:dyDescent="0.2"/>
    <row r="38750" s="197" customFormat="1" ht="12.75" x14ac:dyDescent="0.2"/>
    <row r="38751" s="197" customFormat="1" ht="12.75" x14ac:dyDescent="0.2"/>
    <row r="38752" s="197" customFormat="1" ht="12.75" x14ac:dyDescent="0.2"/>
    <row r="38753" s="197" customFormat="1" ht="12.75" x14ac:dyDescent="0.2"/>
    <row r="38754" s="197" customFormat="1" ht="12.75" x14ac:dyDescent="0.2"/>
    <row r="38755" s="197" customFormat="1" ht="12.75" x14ac:dyDescent="0.2"/>
    <row r="38756" s="197" customFormat="1" ht="12.75" x14ac:dyDescent="0.2"/>
    <row r="38757" s="197" customFormat="1" ht="12.75" x14ac:dyDescent="0.2"/>
    <row r="38758" s="197" customFormat="1" ht="12.75" x14ac:dyDescent="0.2"/>
    <row r="38759" s="197" customFormat="1" ht="12.75" x14ac:dyDescent="0.2"/>
    <row r="38760" s="197" customFormat="1" ht="12.75" x14ac:dyDescent="0.2"/>
    <row r="38761" s="197" customFormat="1" ht="12.75" x14ac:dyDescent="0.2"/>
    <row r="38762" s="197" customFormat="1" ht="12.75" x14ac:dyDescent="0.2"/>
    <row r="38763" s="197" customFormat="1" ht="12.75" x14ac:dyDescent="0.2"/>
    <row r="38764" s="197" customFormat="1" ht="12.75" x14ac:dyDescent="0.2"/>
    <row r="38765" s="197" customFormat="1" ht="12.75" x14ac:dyDescent="0.2"/>
    <row r="38766" s="197" customFormat="1" ht="12.75" x14ac:dyDescent="0.2"/>
    <row r="38767" s="197" customFormat="1" ht="12.75" x14ac:dyDescent="0.2"/>
    <row r="38768" s="197" customFormat="1" ht="12.75" x14ac:dyDescent="0.2"/>
    <row r="38769" s="197" customFormat="1" ht="12.75" x14ac:dyDescent="0.2"/>
    <row r="38770" s="197" customFormat="1" ht="12.75" x14ac:dyDescent="0.2"/>
    <row r="38771" s="197" customFormat="1" ht="12.75" x14ac:dyDescent="0.2"/>
    <row r="38772" s="197" customFormat="1" ht="12.75" x14ac:dyDescent="0.2"/>
    <row r="38773" s="197" customFormat="1" ht="12.75" x14ac:dyDescent="0.2"/>
    <row r="38774" s="197" customFormat="1" ht="12.75" x14ac:dyDescent="0.2"/>
    <row r="38775" s="197" customFormat="1" ht="12.75" x14ac:dyDescent="0.2"/>
    <row r="38776" s="197" customFormat="1" ht="12.75" x14ac:dyDescent="0.2"/>
    <row r="38777" s="197" customFormat="1" ht="12.75" x14ac:dyDescent="0.2"/>
    <row r="38778" s="197" customFormat="1" ht="12.75" x14ac:dyDescent="0.2"/>
    <row r="38779" s="197" customFormat="1" ht="12.75" x14ac:dyDescent="0.2"/>
    <row r="38780" s="197" customFormat="1" ht="12.75" x14ac:dyDescent="0.2"/>
    <row r="38781" s="197" customFormat="1" ht="12.75" x14ac:dyDescent="0.2"/>
    <row r="38782" s="197" customFormat="1" ht="12.75" x14ac:dyDescent="0.2"/>
    <row r="38783" s="197" customFormat="1" ht="12.75" x14ac:dyDescent="0.2"/>
    <row r="38784" s="197" customFormat="1" ht="12.75" x14ac:dyDescent="0.2"/>
    <row r="38785" s="197" customFormat="1" ht="12.75" x14ac:dyDescent="0.2"/>
    <row r="38786" s="197" customFormat="1" ht="12.75" x14ac:dyDescent="0.2"/>
    <row r="38787" s="197" customFormat="1" ht="12.75" x14ac:dyDescent="0.2"/>
    <row r="38788" s="197" customFormat="1" ht="12.75" x14ac:dyDescent="0.2"/>
    <row r="38789" s="197" customFormat="1" ht="12.75" x14ac:dyDescent="0.2"/>
    <row r="38790" s="197" customFormat="1" ht="12.75" x14ac:dyDescent="0.2"/>
    <row r="38791" s="197" customFormat="1" ht="12.75" x14ac:dyDescent="0.2"/>
    <row r="38792" s="197" customFormat="1" ht="12.75" x14ac:dyDescent="0.2"/>
    <row r="38793" s="197" customFormat="1" ht="12.75" x14ac:dyDescent="0.2"/>
    <row r="38794" s="197" customFormat="1" ht="12.75" x14ac:dyDescent="0.2"/>
    <row r="38795" s="197" customFormat="1" ht="12.75" x14ac:dyDescent="0.2"/>
    <row r="38796" s="197" customFormat="1" ht="12.75" x14ac:dyDescent="0.2"/>
    <row r="38797" s="197" customFormat="1" ht="12.75" x14ac:dyDescent="0.2"/>
    <row r="38798" s="197" customFormat="1" ht="12.75" x14ac:dyDescent="0.2"/>
    <row r="38799" s="197" customFormat="1" ht="12.75" x14ac:dyDescent="0.2"/>
    <row r="38800" s="197" customFormat="1" ht="12.75" x14ac:dyDescent="0.2"/>
    <row r="38801" s="197" customFormat="1" ht="12.75" x14ac:dyDescent="0.2"/>
    <row r="38802" s="197" customFormat="1" ht="12.75" x14ac:dyDescent="0.2"/>
    <row r="38803" s="197" customFormat="1" ht="12.75" x14ac:dyDescent="0.2"/>
    <row r="38804" s="197" customFormat="1" ht="12.75" x14ac:dyDescent="0.2"/>
    <row r="38805" s="197" customFormat="1" ht="12.75" x14ac:dyDescent="0.2"/>
    <row r="38806" s="197" customFormat="1" ht="12.75" x14ac:dyDescent="0.2"/>
    <row r="38807" s="197" customFormat="1" ht="12.75" x14ac:dyDescent="0.2"/>
    <row r="38808" s="197" customFormat="1" ht="12.75" x14ac:dyDescent="0.2"/>
    <row r="38809" s="197" customFormat="1" ht="12.75" x14ac:dyDescent="0.2"/>
    <row r="38810" s="197" customFormat="1" ht="12.75" x14ac:dyDescent="0.2"/>
    <row r="38811" s="197" customFormat="1" ht="12.75" x14ac:dyDescent="0.2"/>
    <row r="38812" s="197" customFormat="1" ht="12.75" x14ac:dyDescent="0.2"/>
    <row r="38813" s="197" customFormat="1" ht="12.75" x14ac:dyDescent="0.2"/>
    <row r="38814" s="197" customFormat="1" ht="12.75" x14ac:dyDescent="0.2"/>
    <row r="38815" s="197" customFormat="1" ht="12.75" x14ac:dyDescent="0.2"/>
    <row r="38816" s="197" customFormat="1" ht="12.75" x14ac:dyDescent="0.2"/>
    <row r="38817" s="197" customFormat="1" ht="12.75" x14ac:dyDescent="0.2"/>
    <row r="38818" s="197" customFormat="1" ht="12.75" x14ac:dyDescent="0.2"/>
    <row r="38819" s="197" customFormat="1" ht="12.75" x14ac:dyDescent="0.2"/>
    <row r="38820" s="197" customFormat="1" ht="12.75" x14ac:dyDescent="0.2"/>
    <row r="38821" s="197" customFormat="1" ht="12.75" x14ac:dyDescent="0.2"/>
    <row r="38822" s="197" customFormat="1" ht="12.75" x14ac:dyDescent="0.2"/>
    <row r="38823" s="197" customFormat="1" ht="12.75" x14ac:dyDescent="0.2"/>
    <row r="38824" s="197" customFormat="1" ht="12.75" x14ac:dyDescent="0.2"/>
    <row r="38825" s="197" customFormat="1" ht="12.75" x14ac:dyDescent="0.2"/>
    <row r="38826" s="197" customFormat="1" ht="12.75" x14ac:dyDescent="0.2"/>
    <row r="38827" s="197" customFormat="1" ht="12.75" x14ac:dyDescent="0.2"/>
    <row r="38828" s="197" customFormat="1" ht="12.75" x14ac:dyDescent="0.2"/>
    <row r="38829" s="197" customFormat="1" ht="12.75" x14ac:dyDescent="0.2"/>
    <row r="38830" s="197" customFormat="1" ht="12.75" x14ac:dyDescent="0.2"/>
    <row r="38831" s="197" customFormat="1" ht="12.75" x14ac:dyDescent="0.2"/>
    <row r="38832" s="197" customFormat="1" ht="12.75" x14ac:dyDescent="0.2"/>
    <row r="38833" s="197" customFormat="1" ht="12.75" x14ac:dyDescent="0.2"/>
    <row r="38834" s="197" customFormat="1" ht="12.75" x14ac:dyDescent="0.2"/>
    <row r="38835" s="197" customFormat="1" ht="12.75" x14ac:dyDescent="0.2"/>
    <row r="38836" s="197" customFormat="1" ht="12.75" x14ac:dyDescent="0.2"/>
    <row r="38837" s="197" customFormat="1" ht="12.75" x14ac:dyDescent="0.2"/>
    <row r="38838" s="197" customFormat="1" ht="12.75" x14ac:dyDescent="0.2"/>
    <row r="38839" s="197" customFormat="1" ht="12.75" x14ac:dyDescent="0.2"/>
    <row r="38840" s="197" customFormat="1" ht="12.75" x14ac:dyDescent="0.2"/>
    <row r="38841" s="197" customFormat="1" ht="12.75" x14ac:dyDescent="0.2"/>
    <row r="38842" s="197" customFormat="1" ht="12.75" x14ac:dyDescent="0.2"/>
    <row r="38843" s="197" customFormat="1" ht="12.75" x14ac:dyDescent="0.2"/>
    <row r="38844" s="197" customFormat="1" ht="12.75" x14ac:dyDescent="0.2"/>
    <row r="38845" s="197" customFormat="1" ht="12.75" x14ac:dyDescent="0.2"/>
    <row r="38846" s="197" customFormat="1" ht="12.75" x14ac:dyDescent="0.2"/>
    <row r="38847" s="197" customFormat="1" ht="12.75" x14ac:dyDescent="0.2"/>
    <row r="38848" s="197" customFormat="1" ht="12.75" x14ac:dyDescent="0.2"/>
    <row r="38849" s="197" customFormat="1" ht="12.75" x14ac:dyDescent="0.2"/>
    <row r="38850" s="197" customFormat="1" ht="12.75" x14ac:dyDescent="0.2"/>
    <row r="38851" s="197" customFormat="1" ht="12.75" x14ac:dyDescent="0.2"/>
    <row r="38852" s="197" customFormat="1" ht="12.75" x14ac:dyDescent="0.2"/>
    <row r="38853" s="197" customFormat="1" ht="12.75" x14ac:dyDescent="0.2"/>
    <row r="38854" s="197" customFormat="1" ht="12.75" x14ac:dyDescent="0.2"/>
    <row r="38855" s="197" customFormat="1" ht="12.75" x14ac:dyDescent="0.2"/>
    <row r="38856" s="197" customFormat="1" ht="12.75" x14ac:dyDescent="0.2"/>
    <row r="38857" s="197" customFormat="1" ht="12.75" x14ac:dyDescent="0.2"/>
    <row r="38858" s="197" customFormat="1" ht="12.75" x14ac:dyDescent="0.2"/>
    <row r="38859" s="197" customFormat="1" ht="12.75" x14ac:dyDescent="0.2"/>
    <row r="38860" s="197" customFormat="1" ht="12.75" x14ac:dyDescent="0.2"/>
    <row r="38861" s="197" customFormat="1" ht="12.75" x14ac:dyDescent="0.2"/>
    <row r="38862" s="197" customFormat="1" ht="12.75" x14ac:dyDescent="0.2"/>
    <row r="38863" s="197" customFormat="1" ht="12.75" x14ac:dyDescent="0.2"/>
    <row r="38864" s="197" customFormat="1" ht="12.75" x14ac:dyDescent="0.2"/>
    <row r="38865" s="197" customFormat="1" ht="12.75" x14ac:dyDescent="0.2"/>
    <row r="38866" s="197" customFormat="1" ht="12.75" x14ac:dyDescent="0.2"/>
    <row r="38867" s="197" customFormat="1" ht="12.75" x14ac:dyDescent="0.2"/>
    <row r="38868" s="197" customFormat="1" ht="12.75" x14ac:dyDescent="0.2"/>
    <row r="38869" s="197" customFormat="1" ht="12.75" x14ac:dyDescent="0.2"/>
    <row r="38870" s="197" customFormat="1" ht="12.75" x14ac:dyDescent="0.2"/>
    <row r="38871" s="197" customFormat="1" ht="12.75" x14ac:dyDescent="0.2"/>
    <row r="38872" s="197" customFormat="1" ht="12.75" x14ac:dyDescent="0.2"/>
    <row r="38873" s="197" customFormat="1" ht="12.75" x14ac:dyDescent="0.2"/>
    <row r="38874" s="197" customFormat="1" ht="12.75" x14ac:dyDescent="0.2"/>
    <row r="38875" s="197" customFormat="1" ht="12.75" x14ac:dyDescent="0.2"/>
    <row r="38876" s="197" customFormat="1" ht="12.75" x14ac:dyDescent="0.2"/>
    <row r="38877" s="197" customFormat="1" ht="12.75" x14ac:dyDescent="0.2"/>
    <row r="38878" s="197" customFormat="1" ht="12.75" x14ac:dyDescent="0.2"/>
    <row r="38879" s="197" customFormat="1" ht="12.75" x14ac:dyDescent="0.2"/>
    <row r="38880" s="197" customFormat="1" ht="12.75" x14ac:dyDescent="0.2"/>
    <row r="38881" s="197" customFormat="1" ht="12.75" x14ac:dyDescent="0.2"/>
    <row r="38882" s="197" customFormat="1" ht="12.75" x14ac:dyDescent="0.2"/>
    <row r="38883" s="197" customFormat="1" ht="12.75" x14ac:dyDescent="0.2"/>
    <row r="38884" s="197" customFormat="1" ht="12.75" x14ac:dyDescent="0.2"/>
    <row r="38885" s="197" customFormat="1" ht="12.75" x14ac:dyDescent="0.2"/>
    <row r="38886" s="197" customFormat="1" ht="12.75" x14ac:dyDescent="0.2"/>
    <row r="38887" s="197" customFormat="1" ht="12.75" x14ac:dyDescent="0.2"/>
    <row r="38888" s="197" customFormat="1" ht="12.75" x14ac:dyDescent="0.2"/>
    <row r="38889" s="197" customFormat="1" ht="12.75" x14ac:dyDescent="0.2"/>
    <row r="38890" s="197" customFormat="1" ht="12.75" x14ac:dyDescent="0.2"/>
    <row r="38891" s="197" customFormat="1" ht="12.75" x14ac:dyDescent="0.2"/>
    <row r="38892" s="197" customFormat="1" ht="12.75" x14ac:dyDescent="0.2"/>
    <row r="38893" s="197" customFormat="1" ht="12.75" x14ac:dyDescent="0.2"/>
    <row r="38894" s="197" customFormat="1" ht="12.75" x14ac:dyDescent="0.2"/>
    <row r="38895" s="197" customFormat="1" ht="12.75" x14ac:dyDescent="0.2"/>
    <row r="38896" s="197" customFormat="1" ht="12.75" x14ac:dyDescent="0.2"/>
    <row r="38897" s="197" customFormat="1" ht="12.75" x14ac:dyDescent="0.2"/>
    <row r="38898" s="197" customFormat="1" ht="12.75" x14ac:dyDescent="0.2"/>
    <row r="38899" s="197" customFormat="1" ht="12.75" x14ac:dyDescent="0.2"/>
    <row r="38900" s="197" customFormat="1" ht="12.75" x14ac:dyDescent="0.2"/>
    <row r="38901" s="197" customFormat="1" ht="12.75" x14ac:dyDescent="0.2"/>
    <row r="38902" s="197" customFormat="1" ht="12.75" x14ac:dyDescent="0.2"/>
    <row r="38903" s="197" customFormat="1" ht="12.75" x14ac:dyDescent="0.2"/>
    <row r="38904" s="197" customFormat="1" ht="12.75" x14ac:dyDescent="0.2"/>
    <row r="38905" s="197" customFormat="1" ht="12.75" x14ac:dyDescent="0.2"/>
    <row r="38906" s="197" customFormat="1" ht="12.75" x14ac:dyDescent="0.2"/>
    <row r="38907" s="197" customFormat="1" ht="12.75" x14ac:dyDescent="0.2"/>
    <row r="38908" s="197" customFormat="1" ht="12.75" x14ac:dyDescent="0.2"/>
    <row r="38909" s="197" customFormat="1" ht="12.75" x14ac:dyDescent="0.2"/>
    <row r="38910" s="197" customFormat="1" ht="12.75" x14ac:dyDescent="0.2"/>
    <row r="38911" s="197" customFormat="1" ht="12.75" x14ac:dyDescent="0.2"/>
    <row r="38912" s="197" customFormat="1" ht="12.75" x14ac:dyDescent="0.2"/>
    <row r="38913" s="197" customFormat="1" ht="12.75" x14ac:dyDescent="0.2"/>
    <row r="38914" s="197" customFormat="1" ht="12.75" x14ac:dyDescent="0.2"/>
    <row r="38915" s="197" customFormat="1" ht="12.75" x14ac:dyDescent="0.2"/>
    <row r="38916" s="197" customFormat="1" ht="12.75" x14ac:dyDescent="0.2"/>
    <row r="38917" s="197" customFormat="1" ht="12.75" x14ac:dyDescent="0.2"/>
    <row r="38918" s="197" customFormat="1" ht="12.75" x14ac:dyDescent="0.2"/>
    <row r="38919" s="197" customFormat="1" ht="12.75" x14ac:dyDescent="0.2"/>
    <row r="38920" s="197" customFormat="1" ht="12.75" x14ac:dyDescent="0.2"/>
    <row r="38921" s="197" customFormat="1" ht="12.75" x14ac:dyDescent="0.2"/>
    <row r="38922" s="197" customFormat="1" ht="12.75" x14ac:dyDescent="0.2"/>
    <row r="38923" s="197" customFormat="1" ht="12.75" x14ac:dyDescent="0.2"/>
    <row r="38924" s="197" customFormat="1" ht="12.75" x14ac:dyDescent="0.2"/>
    <row r="38925" s="197" customFormat="1" ht="12.75" x14ac:dyDescent="0.2"/>
    <row r="38926" s="197" customFormat="1" ht="12.75" x14ac:dyDescent="0.2"/>
    <row r="38927" s="197" customFormat="1" ht="12.75" x14ac:dyDescent="0.2"/>
    <row r="38928" s="197" customFormat="1" ht="12.75" x14ac:dyDescent="0.2"/>
    <row r="38929" s="197" customFormat="1" ht="12.75" x14ac:dyDescent="0.2"/>
    <row r="38930" s="197" customFormat="1" ht="12.75" x14ac:dyDescent="0.2"/>
    <row r="38931" s="197" customFormat="1" ht="12.75" x14ac:dyDescent="0.2"/>
    <row r="38932" s="197" customFormat="1" ht="12.75" x14ac:dyDescent="0.2"/>
    <row r="38933" s="197" customFormat="1" ht="12.75" x14ac:dyDescent="0.2"/>
    <row r="38934" s="197" customFormat="1" ht="12.75" x14ac:dyDescent="0.2"/>
    <row r="38935" s="197" customFormat="1" ht="12.75" x14ac:dyDescent="0.2"/>
    <row r="38936" s="197" customFormat="1" ht="12.75" x14ac:dyDescent="0.2"/>
    <row r="38937" s="197" customFormat="1" ht="12.75" x14ac:dyDescent="0.2"/>
    <row r="38938" s="197" customFormat="1" ht="12.75" x14ac:dyDescent="0.2"/>
    <row r="38939" s="197" customFormat="1" ht="12.75" x14ac:dyDescent="0.2"/>
    <row r="38940" s="197" customFormat="1" ht="12.75" x14ac:dyDescent="0.2"/>
    <row r="38941" s="197" customFormat="1" ht="12.75" x14ac:dyDescent="0.2"/>
    <row r="38942" s="197" customFormat="1" ht="12.75" x14ac:dyDescent="0.2"/>
    <row r="38943" s="197" customFormat="1" ht="12.75" x14ac:dyDescent="0.2"/>
    <row r="38944" s="197" customFormat="1" ht="12.75" x14ac:dyDescent="0.2"/>
    <row r="38945" s="197" customFormat="1" ht="12.75" x14ac:dyDescent="0.2"/>
    <row r="38946" s="197" customFormat="1" ht="12.75" x14ac:dyDescent="0.2"/>
    <row r="38947" s="197" customFormat="1" ht="12.75" x14ac:dyDescent="0.2"/>
    <row r="38948" s="197" customFormat="1" ht="12.75" x14ac:dyDescent="0.2"/>
    <row r="38949" s="197" customFormat="1" ht="12.75" x14ac:dyDescent="0.2"/>
    <row r="38950" s="197" customFormat="1" ht="12.75" x14ac:dyDescent="0.2"/>
    <row r="38951" s="197" customFormat="1" ht="12.75" x14ac:dyDescent="0.2"/>
    <row r="38952" s="197" customFormat="1" ht="12.75" x14ac:dyDescent="0.2"/>
    <row r="38953" s="197" customFormat="1" ht="12.75" x14ac:dyDescent="0.2"/>
    <row r="38954" s="197" customFormat="1" ht="12.75" x14ac:dyDescent="0.2"/>
    <row r="38955" s="197" customFormat="1" ht="12.75" x14ac:dyDescent="0.2"/>
    <row r="38956" s="197" customFormat="1" ht="12.75" x14ac:dyDescent="0.2"/>
    <row r="38957" s="197" customFormat="1" ht="12.75" x14ac:dyDescent="0.2"/>
    <row r="38958" s="197" customFormat="1" ht="12.75" x14ac:dyDescent="0.2"/>
    <row r="38959" s="197" customFormat="1" ht="12.75" x14ac:dyDescent="0.2"/>
    <row r="38960" s="197" customFormat="1" ht="12.75" x14ac:dyDescent="0.2"/>
    <row r="38961" s="197" customFormat="1" ht="12.75" x14ac:dyDescent="0.2"/>
    <row r="38962" s="197" customFormat="1" ht="12.75" x14ac:dyDescent="0.2"/>
    <row r="38963" s="197" customFormat="1" ht="12.75" x14ac:dyDescent="0.2"/>
    <row r="38964" s="197" customFormat="1" ht="12.75" x14ac:dyDescent="0.2"/>
    <row r="38965" s="197" customFormat="1" ht="12.75" x14ac:dyDescent="0.2"/>
    <row r="38966" s="197" customFormat="1" ht="12.75" x14ac:dyDescent="0.2"/>
    <row r="38967" s="197" customFormat="1" ht="12.75" x14ac:dyDescent="0.2"/>
    <row r="38968" s="197" customFormat="1" ht="12.75" x14ac:dyDescent="0.2"/>
    <row r="38969" s="197" customFormat="1" ht="12.75" x14ac:dyDescent="0.2"/>
    <row r="38970" s="197" customFormat="1" ht="12.75" x14ac:dyDescent="0.2"/>
    <row r="38971" s="197" customFormat="1" ht="12.75" x14ac:dyDescent="0.2"/>
    <row r="38972" s="197" customFormat="1" ht="12.75" x14ac:dyDescent="0.2"/>
    <row r="38973" s="197" customFormat="1" ht="12.75" x14ac:dyDescent="0.2"/>
    <row r="38974" s="197" customFormat="1" ht="12.75" x14ac:dyDescent="0.2"/>
    <row r="38975" s="197" customFormat="1" ht="12.75" x14ac:dyDescent="0.2"/>
    <row r="38976" s="197" customFormat="1" ht="12.75" x14ac:dyDescent="0.2"/>
    <row r="38977" s="197" customFormat="1" ht="12.75" x14ac:dyDescent="0.2"/>
    <row r="38978" s="197" customFormat="1" ht="12.75" x14ac:dyDescent="0.2"/>
    <row r="38979" s="197" customFormat="1" ht="12.75" x14ac:dyDescent="0.2"/>
    <row r="38980" s="197" customFormat="1" ht="12.75" x14ac:dyDescent="0.2"/>
    <row r="38981" s="197" customFormat="1" ht="12.75" x14ac:dyDescent="0.2"/>
    <row r="38982" s="197" customFormat="1" ht="12.75" x14ac:dyDescent="0.2"/>
    <row r="38983" s="197" customFormat="1" ht="12.75" x14ac:dyDescent="0.2"/>
    <row r="38984" s="197" customFormat="1" ht="12.75" x14ac:dyDescent="0.2"/>
    <row r="38985" s="197" customFormat="1" ht="12.75" x14ac:dyDescent="0.2"/>
    <row r="38986" s="197" customFormat="1" ht="12.75" x14ac:dyDescent="0.2"/>
    <row r="38987" s="197" customFormat="1" ht="12.75" x14ac:dyDescent="0.2"/>
    <row r="38988" s="197" customFormat="1" ht="12.75" x14ac:dyDescent="0.2"/>
    <row r="38989" s="197" customFormat="1" ht="12.75" x14ac:dyDescent="0.2"/>
    <row r="38990" s="197" customFormat="1" ht="12.75" x14ac:dyDescent="0.2"/>
    <row r="38991" s="197" customFormat="1" ht="12.75" x14ac:dyDescent="0.2"/>
    <row r="38992" s="197" customFormat="1" ht="12.75" x14ac:dyDescent="0.2"/>
    <row r="38993" s="197" customFormat="1" ht="12.75" x14ac:dyDescent="0.2"/>
    <row r="38994" s="197" customFormat="1" ht="12.75" x14ac:dyDescent="0.2"/>
    <row r="38995" s="197" customFormat="1" ht="12.75" x14ac:dyDescent="0.2"/>
    <row r="38996" s="197" customFormat="1" ht="12.75" x14ac:dyDescent="0.2"/>
    <row r="38997" s="197" customFormat="1" ht="12.75" x14ac:dyDescent="0.2"/>
    <row r="38998" s="197" customFormat="1" ht="12.75" x14ac:dyDescent="0.2"/>
    <row r="38999" s="197" customFormat="1" ht="12.75" x14ac:dyDescent="0.2"/>
    <row r="39000" s="197" customFormat="1" ht="12.75" x14ac:dyDescent="0.2"/>
    <row r="39001" s="197" customFormat="1" ht="12.75" x14ac:dyDescent="0.2"/>
    <row r="39002" s="197" customFormat="1" ht="12.75" x14ac:dyDescent="0.2"/>
    <row r="39003" s="197" customFormat="1" ht="12.75" x14ac:dyDescent="0.2"/>
    <row r="39004" s="197" customFormat="1" ht="12.75" x14ac:dyDescent="0.2"/>
    <row r="39005" s="197" customFormat="1" ht="12.75" x14ac:dyDescent="0.2"/>
    <row r="39006" s="197" customFormat="1" ht="12.75" x14ac:dyDescent="0.2"/>
    <row r="39007" s="197" customFormat="1" ht="12.75" x14ac:dyDescent="0.2"/>
    <row r="39008" s="197" customFormat="1" ht="12.75" x14ac:dyDescent="0.2"/>
    <row r="39009" s="197" customFormat="1" ht="12.75" x14ac:dyDescent="0.2"/>
    <row r="39010" s="197" customFormat="1" ht="12.75" x14ac:dyDescent="0.2"/>
    <row r="39011" s="197" customFormat="1" ht="12.75" x14ac:dyDescent="0.2"/>
    <row r="39012" s="197" customFormat="1" ht="12.75" x14ac:dyDescent="0.2"/>
    <row r="39013" s="197" customFormat="1" ht="12.75" x14ac:dyDescent="0.2"/>
    <row r="39014" s="197" customFormat="1" ht="12.75" x14ac:dyDescent="0.2"/>
    <row r="39015" s="197" customFormat="1" ht="12.75" x14ac:dyDescent="0.2"/>
    <row r="39016" s="197" customFormat="1" ht="12.75" x14ac:dyDescent="0.2"/>
    <row r="39017" s="197" customFormat="1" ht="12.75" x14ac:dyDescent="0.2"/>
    <row r="39018" s="197" customFormat="1" ht="12.75" x14ac:dyDescent="0.2"/>
    <row r="39019" s="197" customFormat="1" ht="12.75" x14ac:dyDescent="0.2"/>
    <row r="39020" s="197" customFormat="1" ht="12.75" x14ac:dyDescent="0.2"/>
    <row r="39021" s="197" customFormat="1" ht="12.75" x14ac:dyDescent="0.2"/>
    <row r="39022" s="197" customFormat="1" ht="12.75" x14ac:dyDescent="0.2"/>
    <row r="39023" s="197" customFormat="1" ht="12.75" x14ac:dyDescent="0.2"/>
    <row r="39024" s="197" customFormat="1" ht="12.75" x14ac:dyDescent="0.2"/>
    <row r="39025" s="197" customFormat="1" ht="12.75" x14ac:dyDescent="0.2"/>
    <row r="39026" s="197" customFormat="1" ht="12.75" x14ac:dyDescent="0.2"/>
    <row r="39027" s="197" customFormat="1" ht="12.75" x14ac:dyDescent="0.2"/>
    <row r="39028" s="197" customFormat="1" ht="12.75" x14ac:dyDescent="0.2"/>
    <row r="39029" s="197" customFormat="1" ht="12.75" x14ac:dyDescent="0.2"/>
    <row r="39030" s="197" customFormat="1" ht="12.75" x14ac:dyDescent="0.2"/>
    <row r="39031" s="197" customFormat="1" ht="12.75" x14ac:dyDescent="0.2"/>
    <row r="39032" s="197" customFormat="1" ht="12.75" x14ac:dyDescent="0.2"/>
    <row r="39033" s="197" customFormat="1" ht="12.75" x14ac:dyDescent="0.2"/>
    <row r="39034" s="197" customFormat="1" ht="12.75" x14ac:dyDescent="0.2"/>
    <row r="39035" s="197" customFormat="1" ht="12.75" x14ac:dyDescent="0.2"/>
    <row r="39036" s="197" customFormat="1" ht="12.75" x14ac:dyDescent="0.2"/>
    <row r="39037" s="197" customFormat="1" ht="12.75" x14ac:dyDescent="0.2"/>
    <row r="39038" s="197" customFormat="1" ht="12.75" x14ac:dyDescent="0.2"/>
    <row r="39039" s="197" customFormat="1" ht="12.75" x14ac:dyDescent="0.2"/>
    <row r="39040" s="197" customFormat="1" ht="12.75" x14ac:dyDescent="0.2"/>
    <row r="39041" s="197" customFormat="1" ht="12.75" x14ac:dyDescent="0.2"/>
    <row r="39042" s="197" customFormat="1" ht="12.75" x14ac:dyDescent="0.2"/>
    <row r="39043" s="197" customFormat="1" ht="12.75" x14ac:dyDescent="0.2"/>
    <row r="39044" s="197" customFormat="1" ht="12.75" x14ac:dyDescent="0.2"/>
    <row r="39045" s="197" customFormat="1" ht="12.75" x14ac:dyDescent="0.2"/>
    <row r="39046" s="197" customFormat="1" ht="12.75" x14ac:dyDescent="0.2"/>
    <row r="39047" s="197" customFormat="1" ht="12.75" x14ac:dyDescent="0.2"/>
    <row r="39048" s="197" customFormat="1" ht="12.75" x14ac:dyDescent="0.2"/>
    <row r="39049" s="197" customFormat="1" ht="12.75" x14ac:dyDescent="0.2"/>
    <row r="39050" s="197" customFormat="1" ht="12.75" x14ac:dyDescent="0.2"/>
    <row r="39051" s="197" customFormat="1" ht="12.75" x14ac:dyDescent="0.2"/>
    <row r="39052" s="197" customFormat="1" ht="12.75" x14ac:dyDescent="0.2"/>
    <row r="39053" s="197" customFormat="1" ht="12.75" x14ac:dyDescent="0.2"/>
    <row r="39054" s="197" customFormat="1" ht="12.75" x14ac:dyDescent="0.2"/>
    <row r="39055" s="197" customFormat="1" ht="12.75" x14ac:dyDescent="0.2"/>
    <row r="39056" s="197" customFormat="1" ht="12.75" x14ac:dyDescent="0.2"/>
    <row r="39057" s="197" customFormat="1" ht="12.75" x14ac:dyDescent="0.2"/>
    <row r="39058" s="197" customFormat="1" ht="12.75" x14ac:dyDescent="0.2"/>
    <row r="39059" s="197" customFormat="1" ht="12.75" x14ac:dyDescent="0.2"/>
    <row r="39060" s="197" customFormat="1" ht="12.75" x14ac:dyDescent="0.2"/>
    <row r="39061" s="197" customFormat="1" ht="12.75" x14ac:dyDescent="0.2"/>
    <row r="39062" s="197" customFormat="1" ht="12.75" x14ac:dyDescent="0.2"/>
    <row r="39063" s="197" customFormat="1" ht="12.75" x14ac:dyDescent="0.2"/>
    <row r="39064" s="197" customFormat="1" ht="12.75" x14ac:dyDescent="0.2"/>
    <row r="39065" s="197" customFormat="1" ht="12.75" x14ac:dyDescent="0.2"/>
    <row r="39066" s="197" customFormat="1" ht="12.75" x14ac:dyDescent="0.2"/>
    <row r="39067" s="197" customFormat="1" ht="12.75" x14ac:dyDescent="0.2"/>
    <row r="39068" s="197" customFormat="1" ht="12.75" x14ac:dyDescent="0.2"/>
    <row r="39069" s="197" customFormat="1" ht="12.75" x14ac:dyDescent="0.2"/>
    <row r="39070" s="197" customFormat="1" ht="12.75" x14ac:dyDescent="0.2"/>
    <row r="39071" s="197" customFormat="1" ht="12.75" x14ac:dyDescent="0.2"/>
    <row r="39072" s="197" customFormat="1" ht="12.75" x14ac:dyDescent="0.2"/>
    <row r="39073" s="197" customFormat="1" ht="12.75" x14ac:dyDescent="0.2"/>
    <row r="39074" s="197" customFormat="1" ht="12.75" x14ac:dyDescent="0.2"/>
    <row r="39075" s="197" customFormat="1" ht="12.75" x14ac:dyDescent="0.2"/>
    <row r="39076" s="197" customFormat="1" ht="12.75" x14ac:dyDescent="0.2"/>
    <row r="39077" s="197" customFormat="1" ht="12.75" x14ac:dyDescent="0.2"/>
    <row r="39078" s="197" customFormat="1" ht="12.75" x14ac:dyDescent="0.2"/>
    <row r="39079" s="197" customFormat="1" ht="12.75" x14ac:dyDescent="0.2"/>
    <row r="39080" s="197" customFormat="1" ht="12.75" x14ac:dyDescent="0.2"/>
    <row r="39081" s="197" customFormat="1" ht="12.75" x14ac:dyDescent="0.2"/>
    <row r="39082" s="197" customFormat="1" ht="12.75" x14ac:dyDescent="0.2"/>
    <row r="39083" s="197" customFormat="1" ht="12.75" x14ac:dyDescent="0.2"/>
    <row r="39084" s="197" customFormat="1" ht="12.75" x14ac:dyDescent="0.2"/>
    <row r="39085" s="197" customFormat="1" ht="12.75" x14ac:dyDescent="0.2"/>
    <row r="39086" s="197" customFormat="1" ht="12.75" x14ac:dyDescent="0.2"/>
    <row r="39087" s="197" customFormat="1" ht="12.75" x14ac:dyDescent="0.2"/>
    <row r="39088" s="197" customFormat="1" ht="12.75" x14ac:dyDescent="0.2"/>
    <row r="39089" s="197" customFormat="1" ht="12.75" x14ac:dyDescent="0.2"/>
    <row r="39090" s="197" customFormat="1" ht="12.75" x14ac:dyDescent="0.2"/>
    <row r="39091" s="197" customFormat="1" ht="12.75" x14ac:dyDescent="0.2"/>
    <row r="39092" s="197" customFormat="1" ht="12.75" x14ac:dyDescent="0.2"/>
    <row r="39093" s="197" customFormat="1" ht="12.75" x14ac:dyDescent="0.2"/>
    <row r="39094" s="197" customFormat="1" ht="12.75" x14ac:dyDescent="0.2"/>
    <row r="39095" s="197" customFormat="1" ht="12.75" x14ac:dyDescent="0.2"/>
    <row r="39096" s="197" customFormat="1" ht="12.75" x14ac:dyDescent="0.2"/>
    <row r="39097" s="197" customFormat="1" ht="12.75" x14ac:dyDescent="0.2"/>
    <row r="39098" s="197" customFormat="1" ht="12.75" x14ac:dyDescent="0.2"/>
    <row r="39099" s="197" customFormat="1" ht="12.75" x14ac:dyDescent="0.2"/>
    <row r="39100" s="197" customFormat="1" ht="12.75" x14ac:dyDescent="0.2"/>
    <row r="39101" s="197" customFormat="1" ht="12.75" x14ac:dyDescent="0.2"/>
    <row r="39102" s="197" customFormat="1" ht="12.75" x14ac:dyDescent="0.2"/>
    <row r="39103" s="197" customFormat="1" ht="12.75" x14ac:dyDescent="0.2"/>
    <row r="39104" s="197" customFormat="1" ht="12.75" x14ac:dyDescent="0.2"/>
    <row r="39105" s="197" customFormat="1" ht="12.75" x14ac:dyDescent="0.2"/>
    <row r="39106" s="197" customFormat="1" ht="12.75" x14ac:dyDescent="0.2"/>
    <row r="39107" s="197" customFormat="1" ht="12.75" x14ac:dyDescent="0.2"/>
    <row r="39108" s="197" customFormat="1" ht="12.75" x14ac:dyDescent="0.2"/>
    <row r="39109" s="197" customFormat="1" ht="12.75" x14ac:dyDescent="0.2"/>
    <row r="39110" s="197" customFormat="1" ht="12.75" x14ac:dyDescent="0.2"/>
    <row r="39111" s="197" customFormat="1" ht="12.75" x14ac:dyDescent="0.2"/>
    <row r="39112" s="197" customFormat="1" ht="12.75" x14ac:dyDescent="0.2"/>
    <row r="39113" s="197" customFormat="1" ht="12.75" x14ac:dyDescent="0.2"/>
    <row r="39114" s="197" customFormat="1" ht="12.75" x14ac:dyDescent="0.2"/>
    <row r="39115" s="197" customFormat="1" ht="12.75" x14ac:dyDescent="0.2"/>
    <row r="39116" s="197" customFormat="1" ht="12.75" x14ac:dyDescent="0.2"/>
    <row r="39117" s="197" customFormat="1" ht="12.75" x14ac:dyDescent="0.2"/>
    <row r="39118" s="197" customFormat="1" ht="12.75" x14ac:dyDescent="0.2"/>
    <row r="39119" s="197" customFormat="1" ht="12.75" x14ac:dyDescent="0.2"/>
    <row r="39120" s="197" customFormat="1" ht="12.75" x14ac:dyDescent="0.2"/>
    <row r="39121" s="197" customFormat="1" ht="12.75" x14ac:dyDescent="0.2"/>
    <row r="39122" s="197" customFormat="1" ht="12.75" x14ac:dyDescent="0.2"/>
    <row r="39123" s="197" customFormat="1" ht="12.75" x14ac:dyDescent="0.2"/>
    <row r="39124" s="197" customFormat="1" ht="12.75" x14ac:dyDescent="0.2"/>
    <row r="39125" s="197" customFormat="1" ht="12.75" x14ac:dyDescent="0.2"/>
    <row r="39126" s="197" customFormat="1" ht="12.75" x14ac:dyDescent="0.2"/>
    <row r="39127" s="197" customFormat="1" ht="12.75" x14ac:dyDescent="0.2"/>
    <row r="39128" s="197" customFormat="1" ht="12.75" x14ac:dyDescent="0.2"/>
    <row r="39129" s="197" customFormat="1" ht="12.75" x14ac:dyDescent="0.2"/>
    <row r="39130" s="197" customFormat="1" ht="12.75" x14ac:dyDescent="0.2"/>
    <row r="39131" s="197" customFormat="1" ht="12.75" x14ac:dyDescent="0.2"/>
    <row r="39132" s="197" customFormat="1" ht="12.75" x14ac:dyDescent="0.2"/>
    <row r="39133" s="197" customFormat="1" ht="12.75" x14ac:dyDescent="0.2"/>
    <row r="39134" s="197" customFormat="1" ht="12.75" x14ac:dyDescent="0.2"/>
    <row r="39135" s="197" customFormat="1" ht="12.75" x14ac:dyDescent="0.2"/>
    <row r="39136" s="197" customFormat="1" ht="12.75" x14ac:dyDescent="0.2"/>
    <row r="39137" s="197" customFormat="1" ht="12.75" x14ac:dyDescent="0.2"/>
    <row r="39138" s="197" customFormat="1" ht="12.75" x14ac:dyDescent="0.2"/>
    <row r="39139" s="197" customFormat="1" ht="12.75" x14ac:dyDescent="0.2"/>
    <row r="39140" s="197" customFormat="1" ht="12.75" x14ac:dyDescent="0.2"/>
    <row r="39141" s="197" customFormat="1" ht="12.75" x14ac:dyDescent="0.2"/>
    <row r="39142" s="197" customFormat="1" ht="12.75" x14ac:dyDescent="0.2"/>
    <row r="39143" s="197" customFormat="1" ht="12.75" x14ac:dyDescent="0.2"/>
    <row r="39144" s="197" customFormat="1" ht="12.75" x14ac:dyDescent="0.2"/>
    <row r="39145" s="197" customFormat="1" ht="12.75" x14ac:dyDescent="0.2"/>
    <row r="39146" s="197" customFormat="1" ht="12.75" x14ac:dyDescent="0.2"/>
    <row r="39147" s="197" customFormat="1" ht="12.75" x14ac:dyDescent="0.2"/>
    <row r="39148" s="197" customFormat="1" ht="12.75" x14ac:dyDescent="0.2"/>
    <row r="39149" s="197" customFormat="1" ht="12.75" x14ac:dyDescent="0.2"/>
    <row r="39150" s="197" customFormat="1" ht="12.75" x14ac:dyDescent="0.2"/>
    <row r="39151" s="197" customFormat="1" ht="12.75" x14ac:dyDescent="0.2"/>
    <row r="39152" s="197" customFormat="1" ht="12.75" x14ac:dyDescent="0.2"/>
    <row r="39153" s="197" customFormat="1" ht="12.75" x14ac:dyDescent="0.2"/>
    <row r="39154" s="197" customFormat="1" ht="12.75" x14ac:dyDescent="0.2"/>
    <row r="39155" s="197" customFormat="1" ht="12.75" x14ac:dyDescent="0.2"/>
    <row r="39156" s="197" customFormat="1" ht="12.75" x14ac:dyDescent="0.2"/>
    <row r="39157" s="197" customFormat="1" ht="12.75" x14ac:dyDescent="0.2"/>
    <row r="39158" s="197" customFormat="1" ht="12.75" x14ac:dyDescent="0.2"/>
    <row r="39159" s="197" customFormat="1" ht="12.75" x14ac:dyDescent="0.2"/>
    <row r="39160" s="197" customFormat="1" ht="12.75" x14ac:dyDescent="0.2"/>
    <row r="39161" s="197" customFormat="1" ht="12.75" x14ac:dyDescent="0.2"/>
    <row r="39162" s="197" customFormat="1" ht="12.75" x14ac:dyDescent="0.2"/>
    <row r="39163" s="197" customFormat="1" ht="12.75" x14ac:dyDescent="0.2"/>
    <row r="39164" s="197" customFormat="1" ht="12.75" x14ac:dyDescent="0.2"/>
    <row r="39165" s="197" customFormat="1" ht="12.75" x14ac:dyDescent="0.2"/>
    <row r="39166" s="197" customFormat="1" ht="12.75" x14ac:dyDescent="0.2"/>
    <row r="39167" s="197" customFormat="1" ht="12.75" x14ac:dyDescent="0.2"/>
    <row r="39168" s="197" customFormat="1" ht="12.75" x14ac:dyDescent="0.2"/>
    <row r="39169" s="197" customFormat="1" ht="12.75" x14ac:dyDescent="0.2"/>
    <row r="39170" s="197" customFormat="1" ht="12.75" x14ac:dyDescent="0.2"/>
    <row r="39171" s="197" customFormat="1" ht="12.75" x14ac:dyDescent="0.2"/>
    <row r="39172" s="197" customFormat="1" ht="12.75" x14ac:dyDescent="0.2"/>
    <row r="39173" s="197" customFormat="1" ht="12.75" x14ac:dyDescent="0.2"/>
    <row r="39174" s="197" customFormat="1" ht="12.75" x14ac:dyDescent="0.2"/>
    <row r="39175" s="197" customFormat="1" ht="12.75" x14ac:dyDescent="0.2"/>
    <row r="39176" s="197" customFormat="1" ht="12.75" x14ac:dyDescent="0.2"/>
    <row r="39177" s="197" customFormat="1" ht="12.75" x14ac:dyDescent="0.2"/>
    <row r="39178" s="197" customFormat="1" ht="12.75" x14ac:dyDescent="0.2"/>
    <row r="39179" s="197" customFormat="1" ht="12.75" x14ac:dyDescent="0.2"/>
    <row r="39180" s="197" customFormat="1" ht="12.75" x14ac:dyDescent="0.2"/>
    <row r="39181" s="197" customFormat="1" ht="12.75" x14ac:dyDescent="0.2"/>
    <row r="39182" s="197" customFormat="1" ht="12.75" x14ac:dyDescent="0.2"/>
    <row r="39183" s="197" customFormat="1" ht="12.75" x14ac:dyDescent="0.2"/>
    <row r="39184" s="197" customFormat="1" ht="12.75" x14ac:dyDescent="0.2"/>
    <row r="39185" s="197" customFormat="1" ht="12.75" x14ac:dyDescent="0.2"/>
    <row r="39186" s="197" customFormat="1" ht="12.75" x14ac:dyDescent="0.2"/>
    <row r="39187" s="197" customFormat="1" ht="12.75" x14ac:dyDescent="0.2"/>
    <row r="39188" s="197" customFormat="1" ht="12.75" x14ac:dyDescent="0.2"/>
    <row r="39189" s="197" customFormat="1" ht="12.75" x14ac:dyDescent="0.2"/>
    <row r="39190" s="197" customFormat="1" ht="12.75" x14ac:dyDescent="0.2"/>
    <row r="39191" s="197" customFormat="1" ht="12.75" x14ac:dyDescent="0.2"/>
    <row r="39192" s="197" customFormat="1" ht="12.75" x14ac:dyDescent="0.2"/>
    <row r="39193" s="197" customFormat="1" ht="12.75" x14ac:dyDescent="0.2"/>
    <row r="39194" s="197" customFormat="1" ht="12.75" x14ac:dyDescent="0.2"/>
    <row r="39195" s="197" customFormat="1" ht="12.75" x14ac:dyDescent="0.2"/>
    <row r="39196" s="197" customFormat="1" ht="12.75" x14ac:dyDescent="0.2"/>
    <row r="39197" s="197" customFormat="1" ht="12.75" x14ac:dyDescent="0.2"/>
    <row r="39198" s="197" customFormat="1" ht="12.75" x14ac:dyDescent="0.2"/>
    <row r="39199" s="197" customFormat="1" ht="12.75" x14ac:dyDescent="0.2"/>
    <row r="39200" s="197" customFormat="1" ht="12.75" x14ac:dyDescent="0.2"/>
    <row r="39201" s="197" customFormat="1" ht="12.75" x14ac:dyDescent="0.2"/>
    <row r="39202" s="197" customFormat="1" ht="12.75" x14ac:dyDescent="0.2"/>
    <row r="39203" s="197" customFormat="1" ht="12.75" x14ac:dyDescent="0.2"/>
    <row r="39204" s="197" customFormat="1" ht="12.75" x14ac:dyDescent="0.2"/>
    <row r="39205" s="197" customFormat="1" ht="12.75" x14ac:dyDescent="0.2"/>
    <row r="39206" s="197" customFormat="1" ht="12.75" x14ac:dyDescent="0.2"/>
    <row r="39207" s="197" customFormat="1" ht="12.75" x14ac:dyDescent="0.2"/>
    <row r="39208" s="197" customFormat="1" ht="12.75" x14ac:dyDescent="0.2"/>
    <row r="39209" s="197" customFormat="1" ht="12.75" x14ac:dyDescent="0.2"/>
    <row r="39210" s="197" customFormat="1" ht="12.75" x14ac:dyDescent="0.2"/>
    <row r="39211" s="197" customFormat="1" ht="12.75" x14ac:dyDescent="0.2"/>
    <row r="39212" s="197" customFormat="1" ht="12.75" x14ac:dyDescent="0.2"/>
    <row r="39213" s="197" customFormat="1" ht="12.75" x14ac:dyDescent="0.2"/>
    <row r="39214" s="197" customFormat="1" ht="12.75" x14ac:dyDescent="0.2"/>
    <row r="39215" s="197" customFormat="1" ht="12.75" x14ac:dyDescent="0.2"/>
    <row r="39216" s="197" customFormat="1" ht="12.75" x14ac:dyDescent="0.2"/>
    <row r="39217" s="197" customFormat="1" ht="12.75" x14ac:dyDescent="0.2"/>
    <row r="39218" s="197" customFormat="1" ht="12.75" x14ac:dyDescent="0.2"/>
    <row r="39219" s="197" customFormat="1" ht="12.75" x14ac:dyDescent="0.2"/>
    <row r="39220" s="197" customFormat="1" ht="12.75" x14ac:dyDescent="0.2"/>
    <row r="39221" s="197" customFormat="1" ht="12.75" x14ac:dyDescent="0.2"/>
    <row r="39222" s="197" customFormat="1" ht="12.75" x14ac:dyDescent="0.2"/>
    <row r="39223" s="197" customFormat="1" ht="12.75" x14ac:dyDescent="0.2"/>
    <row r="39224" s="197" customFormat="1" ht="12.75" x14ac:dyDescent="0.2"/>
    <row r="39225" s="197" customFormat="1" ht="12.75" x14ac:dyDescent="0.2"/>
    <row r="39226" s="197" customFormat="1" ht="12.75" x14ac:dyDescent="0.2"/>
    <row r="39227" s="197" customFormat="1" ht="12.75" x14ac:dyDescent="0.2"/>
    <row r="39228" s="197" customFormat="1" ht="12.75" x14ac:dyDescent="0.2"/>
    <row r="39229" s="197" customFormat="1" ht="12.75" x14ac:dyDescent="0.2"/>
    <row r="39230" s="197" customFormat="1" ht="12.75" x14ac:dyDescent="0.2"/>
    <row r="39231" s="197" customFormat="1" ht="12.75" x14ac:dyDescent="0.2"/>
    <row r="39232" s="197" customFormat="1" ht="12.75" x14ac:dyDescent="0.2"/>
    <row r="39233" s="197" customFormat="1" ht="12.75" x14ac:dyDescent="0.2"/>
    <row r="39234" s="197" customFormat="1" ht="12.75" x14ac:dyDescent="0.2"/>
    <row r="39235" s="197" customFormat="1" ht="12.75" x14ac:dyDescent="0.2"/>
    <row r="39236" s="197" customFormat="1" ht="12.75" x14ac:dyDescent="0.2"/>
    <row r="39237" s="197" customFormat="1" ht="12.75" x14ac:dyDescent="0.2"/>
    <row r="39238" s="197" customFormat="1" ht="12.75" x14ac:dyDescent="0.2"/>
    <row r="39239" s="197" customFormat="1" ht="12.75" x14ac:dyDescent="0.2"/>
    <row r="39240" s="197" customFormat="1" ht="12.75" x14ac:dyDescent="0.2"/>
    <row r="39241" s="197" customFormat="1" ht="12.75" x14ac:dyDescent="0.2"/>
    <row r="39242" s="197" customFormat="1" ht="12.75" x14ac:dyDescent="0.2"/>
    <row r="39243" s="197" customFormat="1" ht="12.75" x14ac:dyDescent="0.2"/>
    <row r="39244" s="197" customFormat="1" ht="12.75" x14ac:dyDescent="0.2"/>
    <row r="39245" s="197" customFormat="1" ht="12.75" x14ac:dyDescent="0.2"/>
    <row r="39246" s="197" customFormat="1" ht="12.75" x14ac:dyDescent="0.2"/>
    <row r="39247" s="197" customFormat="1" ht="12.75" x14ac:dyDescent="0.2"/>
    <row r="39248" s="197" customFormat="1" ht="12.75" x14ac:dyDescent="0.2"/>
    <row r="39249" s="197" customFormat="1" ht="12.75" x14ac:dyDescent="0.2"/>
    <row r="39250" s="197" customFormat="1" ht="12.75" x14ac:dyDescent="0.2"/>
    <row r="39251" s="197" customFormat="1" ht="12.75" x14ac:dyDescent="0.2"/>
    <row r="39252" s="197" customFormat="1" ht="12.75" x14ac:dyDescent="0.2"/>
    <row r="39253" s="197" customFormat="1" ht="12.75" x14ac:dyDescent="0.2"/>
    <row r="39254" s="197" customFormat="1" ht="12.75" x14ac:dyDescent="0.2"/>
    <row r="39255" s="197" customFormat="1" ht="12.75" x14ac:dyDescent="0.2"/>
    <row r="39256" s="197" customFormat="1" ht="12.75" x14ac:dyDescent="0.2"/>
    <row r="39257" s="197" customFormat="1" ht="12.75" x14ac:dyDescent="0.2"/>
    <row r="39258" s="197" customFormat="1" ht="12.75" x14ac:dyDescent="0.2"/>
    <row r="39259" s="197" customFormat="1" ht="12.75" x14ac:dyDescent="0.2"/>
    <row r="39260" s="197" customFormat="1" ht="12.75" x14ac:dyDescent="0.2"/>
    <row r="39261" s="197" customFormat="1" ht="12.75" x14ac:dyDescent="0.2"/>
    <row r="39262" s="197" customFormat="1" ht="12.75" x14ac:dyDescent="0.2"/>
    <row r="39263" s="197" customFormat="1" ht="12.75" x14ac:dyDescent="0.2"/>
    <row r="39264" s="197" customFormat="1" ht="12.75" x14ac:dyDescent="0.2"/>
    <row r="39265" s="197" customFormat="1" ht="12.75" x14ac:dyDescent="0.2"/>
    <row r="39266" s="197" customFormat="1" ht="12.75" x14ac:dyDescent="0.2"/>
    <row r="39267" s="197" customFormat="1" ht="12.75" x14ac:dyDescent="0.2"/>
    <row r="39268" s="197" customFormat="1" ht="12.75" x14ac:dyDescent="0.2"/>
    <row r="39269" s="197" customFormat="1" ht="12.75" x14ac:dyDescent="0.2"/>
    <row r="39270" s="197" customFormat="1" ht="12.75" x14ac:dyDescent="0.2"/>
    <row r="39271" s="197" customFormat="1" ht="12.75" x14ac:dyDescent="0.2"/>
    <row r="39272" s="197" customFormat="1" ht="12.75" x14ac:dyDescent="0.2"/>
    <row r="39273" s="197" customFormat="1" ht="12.75" x14ac:dyDescent="0.2"/>
    <row r="39274" s="197" customFormat="1" ht="12.75" x14ac:dyDescent="0.2"/>
    <row r="39275" s="197" customFormat="1" ht="12.75" x14ac:dyDescent="0.2"/>
    <row r="39276" s="197" customFormat="1" ht="12.75" x14ac:dyDescent="0.2"/>
    <row r="39277" s="197" customFormat="1" ht="12.75" x14ac:dyDescent="0.2"/>
    <row r="39278" s="197" customFormat="1" ht="12.75" x14ac:dyDescent="0.2"/>
    <row r="39279" s="197" customFormat="1" ht="12.75" x14ac:dyDescent="0.2"/>
    <row r="39280" s="197" customFormat="1" ht="12.75" x14ac:dyDescent="0.2"/>
    <row r="39281" s="197" customFormat="1" ht="12.75" x14ac:dyDescent="0.2"/>
    <row r="39282" s="197" customFormat="1" ht="12.75" x14ac:dyDescent="0.2"/>
    <row r="39283" s="197" customFormat="1" ht="12.75" x14ac:dyDescent="0.2"/>
    <row r="39284" s="197" customFormat="1" ht="12.75" x14ac:dyDescent="0.2"/>
    <row r="39285" s="197" customFormat="1" ht="12.75" x14ac:dyDescent="0.2"/>
    <row r="39286" s="197" customFormat="1" ht="12.75" x14ac:dyDescent="0.2"/>
    <row r="39287" s="197" customFormat="1" ht="12.75" x14ac:dyDescent="0.2"/>
    <row r="39288" s="197" customFormat="1" ht="12.75" x14ac:dyDescent="0.2"/>
    <row r="39289" s="197" customFormat="1" ht="12.75" x14ac:dyDescent="0.2"/>
    <row r="39290" s="197" customFormat="1" ht="12.75" x14ac:dyDescent="0.2"/>
    <row r="39291" s="197" customFormat="1" ht="12.75" x14ac:dyDescent="0.2"/>
    <row r="39292" s="197" customFormat="1" ht="12.75" x14ac:dyDescent="0.2"/>
    <row r="39293" s="197" customFormat="1" ht="12.75" x14ac:dyDescent="0.2"/>
    <row r="39294" s="197" customFormat="1" ht="12.75" x14ac:dyDescent="0.2"/>
    <row r="39295" s="197" customFormat="1" ht="12.75" x14ac:dyDescent="0.2"/>
    <row r="39296" s="197" customFormat="1" ht="12.75" x14ac:dyDescent="0.2"/>
    <row r="39297" s="197" customFormat="1" ht="12.75" x14ac:dyDescent="0.2"/>
    <row r="39298" s="197" customFormat="1" ht="12.75" x14ac:dyDescent="0.2"/>
    <row r="39299" s="197" customFormat="1" ht="12.75" x14ac:dyDescent="0.2"/>
    <row r="39300" s="197" customFormat="1" ht="12.75" x14ac:dyDescent="0.2"/>
    <row r="39301" s="197" customFormat="1" ht="12.75" x14ac:dyDescent="0.2"/>
    <row r="39302" s="197" customFormat="1" ht="12.75" x14ac:dyDescent="0.2"/>
    <row r="39303" s="197" customFormat="1" ht="12.75" x14ac:dyDescent="0.2"/>
    <row r="39304" s="197" customFormat="1" ht="12.75" x14ac:dyDescent="0.2"/>
    <row r="39305" s="197" customFormat="1" ht="12.75" x14ac:dyDescent="0.2"/>
    <row r="39306" s="197" customFormat="1" ht="12.75" x14ac:dyDescent="0.2"/>
    <row r="39307" s="197" customFormat="1" ht="12.75" x14ac:dyDescent="0.2"/>
    <row r="39308" s="197" customFormat="1" ht="12.75" x14ac:dyDescent="0.2"/>
    <row r="39309" s="197" customFormat="1" ht="12.75" x14ac:dyDescent="0.2"/>
    <row r="39310" s="197" customFormat="1" ht="12.75" x14ac:dyDescent="0.2"/>
    <row r="39311" s="197" customFormat="1" ht="12.75" x14ac:dyDescent="0.2"/>
    <row r="39312" s="197" customFormat="1" ht="12.75" x14ac:dyDescent="0.2"/>
    <row r="39313" s="197" customFormat="1" ht="12.75" x14ac:dyDescent="0.2"/>
    <row r="39314" s="197" customFormat="1" ht="12.75" x14ac:dyDescent="0.2"/>
    <row r="39315" s="197" customFormat="1" ht="12.75" x14ac:dyDescent="0.2"/>
    <row r="39316" s="197" customFormat="1" ht="12.75" x14ac:dyDescent="0.2"/>
    <row r="39317" s="197" customFormat="1" ht="12.75" x14ac:dyDescent="0.2"/>
    <row r="39318" s="197" customFormat="1" ht="12.75" x14ac:dyDescent="0.2"/>
    <row r="39319" s="197" customFormat="1" ht="12.75" x14ac:dyDescent="0.2"/>
    <row r="39320" s="197" customFormat="1" ht="12.75" x14ac:dyDescent="0.2"/>
    <row r="39321" s="197" customFormat="1" ht="12.75" x14ac:dyDescent="0.2"/>
    <row r="39322" s="197" customFormat="1" ht="12.75" x14ac:dyDescent="0.2"/>
    <row r="39323" s="197" customFormat="1" ht="12.75" x14ac:dyDescent="0.2"/>
    <row r="39324" s="197" customFormat="1" ht="12.75" x14ac:dyDescent="0.2"/>
    <row r="39325" s="197" customFormat="1" ht="12.75" x14ac:dyDescent="0.2"/>
    <row r="39326" s="197" customFormat="1" ht="12.75" x14ac:dyDescent="0.2"/>
    <row r="39327" s="197" customFormat="1" ht="12.75" x14ac:dyDescent="0.2"/>
    <row r="39328" s="197" customFormat="1" ht="12.75" x14ac:dyDescent="0.2"/>
    <row r="39329" s="197" customFormat="1" ht="12.75" x14ac:dyDescent="0.2"/>
    <row r="39330" s="197" customFormat="1" ht="12.75" x14ac:dyDescent="0.2"/>
    <row r="39331" s="197" customFormat="1" ht="12.75" x14ac:dyDescent="0.2"/>
    <row r="39332" s="197" customFormat="1" ht="12.75" x14ac:dyDescent="0.2"/>
    <row r="39333" s="197" customFormat="1" ht="12.75" x14ac:dyDescent="0.2"/>
    <row r="39334" s="197" customFormat="1" ht="12.75" x14ac:dyDescent="0.2"/>
    <row r="39335" s="197" customFormat="1" ht="12.75" x14ac:dyDescent="0.2"/>
    <row r="39336" s="197" customFormat="1" ht="12.75" x14ac:dyDescent="0.2"/>
    <row r="39337" s="197" customFormat="1" ht="12.75" x14ac:dyDescent="0.2"/>
    <row r="39338" s="197" customFormat="1" ht="12.75" x14ac:dyDescent="0.2"/>
    <row r="39339" s="197" customFormat="1" ht="12.75" x14ac:dyDescent="0.2"/>
    <row r="39340" s="197" customFormat="1" ht="12.75" x14ac:dyDescent="0.2"/>
    <row r="39341" s="197" customFormat="1" ht="12.75" x14ac:dyDescent="0.2"/>
    <row r="39342" s="197" customFormat="1" ht="12.75" x14ac:dyDescent="0.2"/>
    <row r="39343" s="197" customFormat="1" ht="12.75" x14ac:dyDescent="0.2"/>
    <row r="39344" s="197" customFormat="1" ht="12.75" x14ac:dyDescent="0.2"/>
    <row r="39345" s="197" customFormat="1" ht="12.75" x14ac:dyDescent="0.2"/>
    <row r="39346" s="197" customFormat="1" ht="12.75" x14ac:dyDescent="0.2"/>
    <row r="39347" s="197" customFormat="1" ht="12.75" x14ac:dyDescent="0.2"/>
    <row r="39348" s="197" customFormat="1" ht="12.75" x14ac:dyDescent="0.2"/>
    <row r="39349" s="197" customFormat="1" ht="12.75" x14ac:dyDescent="0.2"/>
    <row r="39350" s="197" customFormat="1" ht="12.75" x14ac:dyDescent="0.2"/>
    <row r="39351" s="197" customFormat="1" ht="12.75" x14ac:dyDescent="0.2"/>
    <row r="39352" s="197" customFormat="1" ht="12.75" x14ac:dyDescent="0.2"/>
    <row r="39353" s="197" customFormat="1" ht="12.75" x14ac:dyDescent="0.2"/>
    <row r="39354" s="197" customFormat="1" ht="12.75" x14ac:dyDescent="0.2"/>
    <row r="39355" s="197" customFormat="1" ht="12.75" x14ac:dyDescent="0.2"/>
    <row r="39356" s="197" customFormat="1" ht="12.75" x14ac:dyDescent="0.2"/>
    <row r="39357" s="197" customFormat="1" ht="12.75" x14ac:dyDescent="0.2"/>
    <row r="39358" s="197" customFormat="1" ht="12.75" x14ac:dyDescent="0.2"/>
    <row r="39359" s="197" customFormat="1" ht="12.75" x14ac:dyDescent="0.2"/>
    <row r="39360" s="197" customFormat="1" ht="12.75" x14ac:dyDescent="0.2"/>
    <row r="39361" s="197" customFormat="1" ht="12.75" x14ac:dyDescent="0.2"/>
    <row r="39362" s="197" customFormat="1" ht="12.75" x14ac:dyDescent="0.2"/>
    <row r="39363" s="197" customFormat="1" ht="12.75" x14ac:dyDescent="0.2"/>
    <row r="39364" s="197" customFormat="1" ht="12.75" x14ac:dyDescent="0.2"/>
    <row r="39365" s="197" customFormat="1" ht="12.75" x14ac:dyDescent="0.2"/>
    <row r="39366" s="197" customFormat="1" ht="12.75" x14ac:dyDescent="0.2"/>
    <row r="39367" s="197" customFormat="1" ht="12.75" x14ac:dyDescent="0.2"/>
    <row r="39368" s="197" customFormat="1" ht="12.75" x14ac:dyDescent="0.2"/>
    <row r="39369" s="197" customFormat="1" ht="12.75" x14ac:dyDescent="0.2"/>
    <row r="39370" s="197" customFormat="1" ht="12.75" x14ac:dyDescent="0.2"/>
    <row r="39371" s="197" customFormat="1" ht="12.75" x14ac:dyDescent="0.2"/>
    <row r="39372" s="197" customFormat="1" ht="12.75" x14ac:dyDescent="0.2"/>
    <row r="39373" s="197" customFormat="1" ht="12.75" x14ac:dyDescent="0.2"/>
    <row r="39374" s="197" customFormat="1" ht="12.75" x14ac:dyDescent="0.2"/>
    <row r="39375" s="197" customFormat="1" ht="12.75" x14ac:dyDescent="0.2"/>
    <row r="39376" s="197" customFormat="1" ht="12.75" x14ac:dyDescent="0.2"/>
    <row r="39377" s="197" customFormat="1" ht="12.75" x14ac:dyDescent="0.2"/>
    <row r="39378" s="197" customFormat="1" ht="12.75" x14ac:dyDescent="0.2"/>
    <row r="39379" s="197" customFormat="1" ht="12.75" x14ac:dyDescent="0.2"/>
    <row r="39380" s="197" customFormat="1" ht="12.75" x14ac:dyDescent="0.2"/>
    <row r="39381" s="197" customFormat="1" ht="12.75" x14ac:dyDescent="0.2"/>
    <row r="39382" s="197" customFormat="1" ht="12.75" x14ac:dyDescent="0.2"/>
    <row r="39383" s="197" customFormat="1" ht="12.75" x14ac:dyDescent="0.2"/>
    <row r="39384" s="197" customFormat="1" ht="12.75" x14ac:dyDescent="0.2"/>
    <row r="39385" s="197" customFormat="1" ht="12.75" x14ac:dyDescent="0.2"/>
    <row r="39386" s="197" customFormat="1" ht="12.75" x14ac:dyDescent="0.2"/>
    <row r="39387" s="197" customFormat="1" ht="12.75" x14ac:dyDescent="0.2"/>
    <row r="39388" s="197" customFormat="1" ht="12.75" x14ac:dyDescent="0.2"/>
    <row r="39389" s="197" customFormat="1" ht="12.75" x14ac:dyDescent="0.2"/>
    <row r="39390" s="197" customFormat="1" ht="12.75" x14ac:dyDescent="0.2"/>
    <row r="39391" s="197" customFormat="1" ht="12.75" x14ac:dyDescent="0.2"/>
    <row r="39392" s="197" customFormat="1" ht="12.75" x14ac:dyDescent="0.2"/>
    <row r="39393" s="197" customFormat="1" ht="12.75" x14ac:dyDescent="0.2"/>
    <row r="39394" s="197" customFormat="1" ht="12.75" x14ac:dyDescent="0.2"/>
    <row r="39395" s="197" customFormat="1" ht="12.75" x14ac:dyDescent="0.2"/>
    <row r="39396" s="197" customFormat="1" ht="12.75" x14ac:dyDescent="0.2"/>
    <row r="39397" s="197" customFormat="1" ht="12.75" x14ac:dyDescent="0.2"/>
    <row r="39398" s="197" customFormat="1" ht="12.75" x14ac:dyDescent="0.2"/>
    <row r="39399" s="197" customFormat="1" ht="12.75" x14ac:dyDescent="0.2"/>
    <row r="39400" s="197" customFormat="1" ht="12.75" x14ac:dyDescent="0.2"/>
    <row r="39401" s="197" customFormat="1" ht="12.75" x14ac:dyDescent="0.2"/>
    <row r="39402" s="197" customFormat="1" ht="12.75" x14ac:dyDescent="0.2"/>
    <row r="39403" s="197" customFormat="1" ht="12.75" x14ac:dyDescent="0.2"/>
    <row r="39404" s="197" customFormat="1" ht="12.75" x14ac:dyDescent="0.2"/>
    <row r="39405" s="197" customFormat="1" ht="12.75" x14ac:dyDescent="0.2"/>
    <row r="39406" s="197" customFormat="1" ht="12.75" x14ac:dyDescent="0.2"/>
    <row r="39407" s="197" customFormat="1" ht="12.75" x14ac:dyDescent="0.2"/>
    <row r="39408" s="197" customFormat="1" ht="12.75" x14ac:dyDescent="0.2"/>
    <row r="39409" s="197" customFormat="1" ht="12.75" x14ac:dyDescent="0.2"/>
    <row r="39410" s="197" customFormat="1" ht="12.75" x14ac:dyDescent="0.2"/>
    <row r="39411" s="197" customFormat="1" ht="12.75" x14ac:dyDescent="0.2"/>
    <row r="39412" s="197" customFormat="1" ht="12.75" x14ac:dyDescent="0.2"/>
    <row r="39413" s="197" customFormat="1" ht="12.75" x14ac:dyDescent="0.2"/>
    <row r="39414" s="197" customFormat="1" ht="12.75" x14ac:dyDescent="0.2"/>
    <row r="39415" s="197" customFormat="1" ht="12.75" x14ac:dyDescent="0.2"/>
    <row r="39416" s="197" customFormat="1" ht="12.75" x14ac:dyDescent="0.2"/>
    <row r="39417" s="197" customFormat="1" ht="12.75" x14ac:dyDescent="0.2"/>
    <row r="39418" s="197" customFormat="1" ht="12.75" x14ac:dyDescent="0.2"/>
    <row r="39419" s="197" customFormat="1" ht="12.75" x14ac:dyDescent="0.2"/>
    <row r="39420" s="197" customFormat="1" ht="12.75" x14ac:dyDescent="0.2"/>
    <row r="39421" s="197" customFormat="1" ht="12.75" x14ac:dyDescent="0.2"/>
    <row r="39422" s="197" customFormat="1" ht="12.75" x14ac:dyDescent="0.2"/>
    <row r="39423" s="197" customFormat="1" ht="12.75" x14ac:dyDescent="0.2"/>
    <row r="39424" s="197" customFormat="1" ht="12.75" x14ac:dyDescent="0.2"/>
    <row r="39425" s="197" customFormat="1" ht="12.75" x14ac:dyDescent="0.2"/>
    <row r="39426" s="197" customFormat="1" ht="12.75" x14ac:dyDescent="0.2"/>
    <row r="39427" s="197" customFormat="1" ht="12.75" x14ac:dyDescent="0.2"/>
    <row r="39428" s="197" customFormat="1" ht="12.75" x14ac:dyDescent="0.2"/>
    <row r="39429" s="197" customFormat="1" ht="12.75" x14ac:dyDescent="0.2"/>
    <row r="39430" s="197" customFormat="1" ht="12.75" x14ac:dyDescent="0.2"/>
    <row r="39431" s="197" customFormat="1" ht="12.75" x14ac:dyDescent="0.2"/>
    <row r="39432" s="197" customFormat="1" ht="12.75" x14ac:dyDescent="0.2"/>
    <row r="39433" s="197" customFormat="1" ht="12.75" x14ac:dyDescent="0.2"/>
    <row r="39434" s="197" customFormat="1" ht="12.75" x14ac:dyDescent="0.2"/>
    <row r="39435" s="197" customFormat="1" ht="12.75" x14ac:dyDescent="0.2"/>
    <row r="39436" s="197" customFormat="1" ht="12.75" x14ac:dyDescent="0.2"/>
    <row r="39437" s="197" customFormat="1" ht="12.75" x14ac:dyDescent="0.2"/>
    <row r="39438" s="197" customFormat="1" ht="12.75" x14ac:dyDescent="0.2"/>
    <row r="39439" s="197" customFormat="1" ht="12.75" x14ac:dyDescent="0.2"/>
    <row r="39440" s="197" customFormat="1" ht="12.75" x14ac:dyDescent="0.2"/>
    <row r="39441" s="197" customFormat="1" ht="12.75" x14ac:dyDescent="0.2"/>
    <row r="39442" s="197" customFormat="1" ht="12.75" x14ac:dyDescent="0.2"/>
    <row r="39443" s="197" customFormat="1" ht="12.75" x14ac:dyDescent="0.2"/>
    <row r="39444" s="197" customFormat="1" ht="12.75" x14ac:dyDescent="0.2"/>
    <row r="39445" s="197" customFormat="1" ht="12.75" x14ac:dyDescent="0.2"/>
    <row r="39446" s="197" customFormat="1" ht="12.75" x14ac:dyDescent="0.2"/>
    <row r="39447" s="197" customFormat="1" ht="12.75" x14ac:dyDescent="0.2"/>
    <row r="39448" s="197" customFormat="1" ht="12.75" x14ac:dyDescent="0.2"/>
    <row r="39449" s="197" customFormat="1" ht="12.75" x14ac:dyDescent="0.2"/>
    <row r="39450" s="197" customFormat="1" ht="12.75" x14ac:dyDescent="0.2"/>
    <row r="39451" s="197" customFormat="1" ht="12.75" x14ac:dyDescent="0.2"/>
    <row r="39452" s="197" customFormat="1" ht="12.75" x14ac:dyDescent="0.2"/>
    <row r="39453" s="197" customFormat="1" ht="12.75" x14ac:dyDescent="0.2"/>
    <row r="39454" s="197" customFormat="1" ht="12.75" x14ac:dyDescent="0.2"/>
    <row r="39455" s="197" customFormat="1" ht="12.75" x14ac:dyDescent="0.2"/>
    <row r="39456" s="197" customFormat="1" ht="12.75" x14ac:dyDescent="0.2"/>
    <row r="39457" s="197" customFormat="1" ht="12.75" x14ac:dyDescent="0.2"/>
    <row r="39458" s="197" customFormat="1" ht="12.75" x14ac:dyDescent="0.2"/>
    <row r="39459" s="197" customFormat="1" ht="12.75" x14ac:dyDescent="0.2"/>
    <row r="39460" s="197" customFormat="1" ht="12.75" x14ac:dyDescent="0.2"/>
    <row r="39461" s="197" customFormat="1" ht="12.75" x14ac:dyDescent="0.2"/>
    <row r="39462" s="197" customFormat="1" ht="12.75" x14ac:dyDescent="0.2"/>
    <row r="39463" s="197" customFormat="1" ht="12.75" x14ac:dyDescent="0.2"/>
    <row r="39464" s="197" customFormat="1" ht="12.75" x14ac:dyDescent="0.2"/>
    <row r="39465" s="197" customFormat="1" ht="12.75" x14ac:dyDescent="0.2"/>
    <row r="39466" s="197" customFormat="1" ht="12.75" x14ac:dyDescent="0.2"/>
    <row r="39467" s="197" customFormat="1" ht="12.75" x14ac:dyDescent="0.2"/>
    <row r="39468" s="197" customFormat="1" ht="12.75" x14ac:dyDescent="0.2"/>
    <row r="39469" s="197" customFormat="1" ht="12.75" x14ac:dyDescent="0.2"/>
    <row r="39470" s="197" customFormat="1" ht="12.75" x14ac:dyDescent="0.2"/>
    <row r="39471" s="197" customFormat="1" ht="12.75" x14ac:dyDescent="0.2"/>
    <row r="39472" s="197" customFormat="1" ht="12.75" x14ac:dyDescent="0.2"/>
    <row r="39473" s="197" customFormat="1" ht="12.75" x14ac:dyDescent="0.2"/>
    <row r="39474" s="197" customFormat="1" ht="12.75" x14ac:dyDescent="0.2"/>
    <row r="39475" s="197" customFormat="1" ht="12.75" x14ac:dyDescent="0.2"/>
    <row r="39476" s="197" customFormat="1" ht="12.75" x14ac:dyDescent="0.2"/>
    <row r="39477" s="197" customFormat="1" ht="12.75" x14ac:dyDescent="0.2"/>
    <row r="39478" s="197" customFormat="1" ht="12.75" x14ac:dyDescent="0.2"/>
    <row r="39479" s="197" customFormat="1" ht="12.75" x14ac:dyDescent="0.2"/>
    <row r="39480" s="197" customFormat="1" ht="12.75" x14ac:dyDescent="0.2"/>
    <row r="39481" s="197" customFormat="1" ht="12.75" x14ac:dyDescent="0.2"/>
    <row r="39482" s="197" customFormat="1" ht="12.75" x14ac:dyDescent="0.2"/>
    <row r="39483" s="197" customFormat="1" ht="12.75" x14ac:dyDescent="0.2"/>
    <row r="39484" s="197" customFormat="1" ht="12.75" x14ac:dyDescent="0.2"/>
    <row r="39485" s="197" customFormat="1" ht="12.75" x14ac:dyDescent="0.2"/>
    <row r="39486" s="197" customFormat="1" ht="12.75" x14ac:dyDescent="0.2"/>
    <row r="39487" s="197" customFormat="1" ht="12.75" x14ac:dyDescent="0.2"/>
    <row r="39488" s="197" customFormat="1" ht="12.75" x14ac:dyDescent="0.2"/>
    <row r="39489" s="197" customFormat="1" ht="12.75" x14ac:dyDescent="0.2"/>
    <row r="39490" s="197" customFormat="1" ht="12.75" x14ac:dyDescent="0.2"/>
    <row r="39491" s="197" customFormat="1" ht="12.75" x14ac:dyDescent="0.2"/>
    <row r="39492" s="197" customFormat="1" ht="12.75" x14ac:dyDescent="0.2"/>
    <row r="39493" s="197" customFormat="1" ht="12.75" x14ac:dyDescent="0.2"/>
    <row r="39494" s="197" customFormat="1" ht="12.75" x14ac:dyDescent="0.2"/>
    <row r="39495" s="197" customFormat="1" ht="12.75" x14ac:dyDescent="0.2"/>
    <row r="39496" s="197" customFormat="1" ht="12.75" x14ac:dyDescent="0.2"/>
    <row r="39497" s="197" customFormat="1" ht="12.75" x14ac:dyDescent="0.2"/>
    <row r="39498" s="197" customFormat="1" ht="12.75" x14ac:dyDescent="0.2"/>
    <row r="39499" s="197" customFormat="1" ht="12.75" x14ac:dyDescent="0.2"/>
    <row r="39500" s="197" customFormat="1" ht="12.75" x14ac:dyDescent="0.2"/>
    <row r="39501" s="197" customFormat="1" ht="12.75" x14ac:dyDescent="0.2"/>
    <row r="39502" s="197" customFormat="1" ht="12.75" x14ac:dyDescent="0.2"/>
    <row r="39503" s="197" customFormat="1" ht="12.75" x14ac:dyDescent="0.2"/>
    <row r="39504" s="197" customFormat="1" ht="12.75" x14ac:dyDescent="0.2"/>
    <row r="39505" s="197" customFormat="1" ht="12.75" x14ac:dyDescent="0.2"/>
    <row r="39506" s="197" customFormat="1" ht="12.75" x14ac:dyDescent="0.2"/>
    <row r="39507" s="197" customFormat="1" ht="12.75" x14ac:dyDescent="0.2"/>
    <row r="39508" s="197" customFormat="1" ht="12.75" x14ac:dyDescent="0.2"/>
    <row r="39509" s="197" customFormat="1" ht="12.75" x14ac:dyDescent="0.2"/>
    <row r="39510" s="197" customFormat="1" ht="12.75" x14ac:dyDescent="0.2"/>
    <row r="39511" s="197" customFormat="1" ht="12.75" x14ac:dyDescent="0.2"/>
    <row r="39512" s="197" customFormat="1" ht="12.75" x14ac:dyDescent="0.2"/>
    <row r="39513" s="197" customFormat="1" ht="12.75" x14ac:dyDescent="0.2"/>
    <row r="39514" s="197" customFormat="1" ht="12.75" x14ac:dyDescent="0.2"/>
    <row r="39515" s="197" customFormat="1" ht="12.75" x14ac:dyDescent="0.2"/>
    <row r="39516" s="197" customFormat="1" ht="12.75" x14ac:dyDescent="0.2"/>
    <row r="39517" s="197" customFormat="1" ht="12.75" x14ac:dyDescent="0.2"/>
    <row r="39518" s="197" customFormat="1" ht="12.75" x14ac:dyDescent="0.2"/>
    <row r="39519" s="197" customFormat="1" ht="12.75" x14ac:dyDescent="0.2"/>
    <row r="39520" s="197" customFormat="1" ht="12.75" x14ac:dyDescent="0.2"/>
    <row r="39521" s="197" customFormat="1" ht="12.75" x14ac:dyDescent="0.2"/>
    <row r="39522" s="197" customFormat="1" ht="12.75" x14ac:dyDescent="0.2"/>
    <row r="39523" s="197" customFormat="1" ht="12.75" x14ac:dyDescent="0.2"/>
    <row r="39524" s="197" customFormat="1" ht="12.75" x14ac:dyDescent="0.2"/>
    <row r="39525" s="197" customFormat="1" ht="12.75" x14ac:dyDescent="0.2"/>
    <row r="39526" s="197" customFormat="1" ht="12.75" x14ac:dyDescent="0.2"/>
    <row r="39527" s="197" customFormat="1" ht="12.75" x14ac:dyDescent="0.2"/>
    <row r="39528" s="197" customFormat="1" ht="12.75" x14ac:dyDescent="0.2"/>
    <row r="39529" s="197" customFormat="1" ht="12.75" x14ac:dyDescent="0.2"/>
    <row r="39530" s="197" customFormat="1" ht="12.75" x14ac:dyDescent="0.2"/>
    <row r="39531" s="197" customFormat="1" ht="12.75" x14ac:dyDescent="0.2"/>
    <row r="39532" s="197" customFormat="1" ht="12.75" x14ac:dyDescent="0.2"/>
    <row r="39533" s="197" customFormat="1" ht="12.75" x14ac:dyDescent="0.2"/>
    <row r="39534" s="197" customFormat="1" ht="12.75" x14ac:dyDescent="0.2"/>
    <row r="39535" s="197" customFormat="1" ht="12.75" x14ac:dyDescent="0.2"/>
    <row r="39536" s="197" customFormat="1" ht="12.75" x14ac:dyDescent="0.2"/>
    <row r="39537" s="197" customFormat="1" ht="12.75" x14ac:dyDescent="0.2"/>
    <row r="39538" s="197" customFormat="1" ht="12.75" x14ac:dyDescent="0.2"/>
    <row r="39539" s="197" customFormat="1" ht="12.75" x14ac:dyDescent="0.2"/>
    <row r="39540" s="197" customFormat="1" ht="12.75" x14ac:dyDescent="0.2"/>
    <row r="39541" s="197" customFormat="1" ht="12.75" x14ac:dyDescent="0.2"/>
    <row r="39542" s="197" customFormat="1" ht="12.75" x14ac:dyDescent="0.2"/>
    <row r="39543" s="197" customFormat="1" ht="12.75" x14ac:dyDescent="0.2"/>
    <row r="39544" s="197" customFormat="1" ht="12.75" x14ac:dyDescent="0.2"/>
    <row r="39545" s="197" customFormat="1" ht="12.75" x14ac:dyDescent="0.2"/>
    <row r="39546" s="197" customFormat="1" ht="12.75" x14ac:dyDescent="0.2"/>
    <row r="39547" s="197" customFormat="1" ht="12.75" x14ac:dyDescent="0.2"/>
    <row r="39548" s="197" customFormat="1" ht="12.75" x14ac:dyDescent="0.2"/>
    <row r="39549" s="197" customFormat="1" ht="12.75" x14ac:dyDescent="0.2"/>
    <row r="39550" s="197" customFormat="1" ht="12.75" x14ac:dyDescent="0.2"/>
    <row r="39551" s="197" customFormat="1" ht="12.75" x14ac:dyDescent="0.2"/>
    <row r="39552" s="197" customFormat="1" ht="12.75" x14ac:dyDescent="0.2"/>
    <row r="39553" s="197" customFormat="1" ht="12.75" x14ac:dyDescent="0.2"/>
    <row r="39554" s="197" customFormat="1" ht="12.75" x14ac:dyDescent="0.2"/>
    <row r="39555" s="197" customFormat="1" ht="12.75" x14ac:dyDescent="0.2"/>
    <row r="39556" s="197" customFormat="1" ht="12.75" x14ac:dyDescent="0.2"/>
    <row r="39557" s="197" customFormat="1" ht="12.75" x14ac:dyDescent="0.2"/>
    <row r="39558" s="197" customFormat="1" ht="12.75" x14ac:dyDescent="0.2"/>
    <row r="39559" s="197" customFormat="1" ht="12.75" x14ac:dyDescent="0.2"/>
    <row r="39560" s="197" customFormat="1" ht="12.75" x14ac:dyDescent="0.2"/>
    <row r="39561" s="197" customFormat="1" ht="12.75" x14ac:dyDescent="0.2"/>
    <row r="39562" s="197" customFormat="1" ht="12.75" x14ac:dyDescent="0.2"/>
    <row r="39563" s="197" customFormat="1" ht="12.75" x14ac:dyDescent="0.2"/>
    <row r="39564" s="197" customFormat="1" ht="12.75" x14ac:dyDescent="0.2"/>
    <row r="39565" s="197" customFormat="1" ht="12.75" x14ac:dyDescent="0.2"/>
    <row r="39566" s="197" customFormat="1" ht="12.75" x14ac:dyDescent="0.2"/>
    <row r="39567" s="197" customFormat="1" ht="12.75" x14ac:dyDescent="0.2"/>
    <row r="39568" s="197" customFormat="1" ht="12.75" x14ac:dyDescent="0.2"/>
    <row r="39569" s="197" customFormat="1" ht="12.75" x14ac:dyDescent="0.2"/>
    <row r="39570" s="197" customFormat="1" ht="12.75" x14ac:dyDescent="0.2"/>
    <row r="39571" s="197" customFormat="1" ht="12.75" x14ac:dyDescent="0.2"/>
    <row r="39572" s="197" customFormat="1" ht="12.75" x14ac:dyDescent="0.2"/>
    <row r="39573" s="197" customFormat="1" ht="12.75" x14ac:dyDescent="0.2"/>
    <row r="39574" s="197" customFormat="1" ht="12.75" x14ac:dyDescent="0.2"/>
    <row r="39575" s="197" customFormat="1" ht="12.75" x14ac:dyDescent="0.2"/>
    <row r="39576" s="197" customFormat="1" ht="12.75" x14ac:dyDescent="0.2"/>
    <row r="39577" s="197" customFormat="1" ht="12.75" x14ac:dyDescent="0.2"/>
    <row r="39578" s="197" customFormat="1" ht="12.75" x14ac:dyDescent="0.2"/>
    <row r="39579" s="197" customFormat="1" ht="12.75" x14ac:dyDescent="0.2"/>
    <row r="39580" s="197" customFormat="1" ht="12.75" x14ac:dyDescent="0.2"/>
    <row r="39581" s="197" customFormat="1" ht="12.75" x14ac:dyDescent="0.2"/>
    <row r="39582" s="197" customFormat="1" ht="12.75" x14ac:dyDescent="0.2"/>
    <row r="39583" s="197" customFormat="1" ht="12.75" x14ac:dyDescent="0.2"/>
    <row r="39584" s="197" customFormat="1" ht="12.75" x14ac:dyDescent="0.2"/>
    <row r="39585" s="197" customFormat="1" ht="12.75" x14ac:dyDescent="0.2"/>
    <row r="39586" s="197" customFormat="1" ht="12.75" x14ac:dyDescent="0.2"/>
    <row r="39587" s="197" customFormat="1" ht="12.75" x14ac:dyDescent="0.2"/>
    <row r="39588" s="197" customFormat="1" ht="12.75" x14ac:dyDescent="0.2"/>
    <row r="39589" s="197" customFormat="1" ht="12.75" x14ac:dyDescent="0.2"/>
    <row r="39590" s="197" customFormat="1" ht="12.75" x14ac:dyDescent="0.2"/>
    <row r="39591" s="197" customFormat="1" ht="12.75" x14ac:dyDescent="0.2"/>
    <row r="39592" s="197" customFormat="1" ht="12.75" x14ac:dyDescent="0.2"/>
    <row r="39593" s="197" customFormat="1" ht="12.75" x14ac:dyDescent="0.2"/>
    <row r="39594" s="197" customFormat="1" ht="12.75" x14ac:dyDescent="0.2"/>
    <row r="39595" s="197" customFormat="1" ht="12.75" x14ac:dyDescent="0.2"/>
    <row r="39596" s="197" customFormat="1" ht="12.75" x14ac:dyDescent="0.2"/>
    <row r="39597" s="197" customFormat="1" ht="12.75" x14ac:dyDescent="0.2"/>
    <row r="39598" s="197" customFormat="1" ht="12.75" x14ac:dyDescent="0.2"/>
    <row r="39599" s="197" customFormat="1" ht="12.75" x14ac:dyDescent="0.2"/>
    <row r="39600" s="197" customFormat="1" ht="12.75" x14ac:dyDescent="0.2"/>
    <row r="39601" s="197" customFormat="1" ht="12.75" x14ac:dyDescent="0.2"/>
    <row r="39602" s="197" customFormat="1" ht="12.75" x14ac:dyDescent="0.2"/>
    <row r="39603" s="197" customFormat="1" ht="12.75" x14ac:dyDescent="0.2"/>
    <row r="39604" s="197" customFormat="1" ht="12.75" x14ac:dyDescent="0.2"/>
    <row r="39605" s="197" customFormat="1" ht="12.75" x14ac:dyDescent="0.2"/>
    <row r="39606" s="197" customFormat="1" ht="12.75" x14ac:dyDescent="0.2"/>
    <row r="39607" s="197" customFormat="1" ht="12.75" x14ac:dyDescent="0.2"/>
    <row r="39608" s="197" customFormat="1" ht="12.75" x14ac:dyDescent="0.2"/>
    <row r="39609" s="197" customFormat="1" ht="12.75" x14ac:dyDescent="0.2"/>
    <row r="39610" s="197" customFormat="1" ht="12.75" x14ac:dyDescent="0.2"/>
    <row r="39611" s="197" customFormat="1" ht="12.75" x14ac:dyDescent="0.2"/>
    <row r="39612" s="197" customFormat="1" ht="12.75" x14ac:dyDescent="0.2"/>
    <row r="39613" s="197" customFormat="1" ht="12.75" x14ac:dyDescent="0.2"/>
    <row r="39614" s="197" customFormat="1" ht="12.75" x14ac:dyDescent="0.2"/>
    <row r="39615" s="197" customFormat="1" ht="12.75" x14ac:dyDescent="0.2"/>
    <row r="39616" s="197" customFormat="1" ht="12.75" x14ac:dyDescent="0.2"/>
    <row r="39617" s="197" customFormat="1" ht="12.75" x14ac:dyDescent="0.2"/>
    <row r="39618" s="197" customFormat="1" ht="12.75" x14ac:dyDescent="0.2"/>
    <row r="39619" s="197" customFormat="1" ht="12.75" x14ac:dyDescent="0.2"/>
    <row r="39620" s="197" customFormat="1" ht="12.75" x14ac:dyDescent="0.2"/>
    <row r="39621" s="197" customFormat="1" ht="12.75" x14ac:dyDescent="0.2"/>
    <row r="39622" s="197" customFormat="1" ht="12.75" x14ac:dyDescent="0.2"/>
    <row r="39623" s="197" customFormat="1" ht="12.75" x14ac:dyDescent="0.2"/>
    <row r="39624" s="197" customFormat="1" ht="12.75" x14ac:dyDescent="0.2"/>
    <row r="39625" s="197" customFormat="1" ht="12.75" x14ac:dyDescent="0.2"/>
    <row r="39626" s="197" customFormat="1" ht="12.75" x14ac:dyDescent="0.2"/>
    <row r="39627" s="197" customFormat="1" ht="12.75" x14ac:dyDescent="0.2"/>
    <row r="39628" s="197" customFormat="1" ht="12.75" x14ac:dyDescent="0.2"/>
    <row r="39629" s="197" customFormat="1" ht="12.75" x14ac:dyDescent="0.2"/>
    <row r="39630" s="197" customFormat="1" ht="12.75" x14ac:dyDescent="0.2"/>
    <row r="39631" s="197" customFormat="1" ht="12.75" x14ac:dyDescent="0.2"/>
    <row r="39632" s="197" customFormat="1" ht="12.75" x14ac:dyDescent="0.2"/>
    <row r="39633" s="197" customFormat="1" ht="12.75" x14ac:dyDescent="0.2"/>
    <row r="39634" s="197" customFormat="1" ht="12.75" x14ac:dyDescent="0.2"/>
    <row r="39635" s="197" customFormat="1" ht="12.75" x14ac:dyDescent="0.2"/>
    <row r="39636" s="197" customFormat="1" ht="12.75" x14ac:dyDescent="0.2"/>
    <row r="39637" s="197" customFormat="1" ht="12.75" x14ac:dyDescent="0.2"/>
    <row r="39638" s="197" customFormat="1" ht="12.75" x14ac:dyDescent="0.2"/>
    <row r="39639" s="197" customFormat="1" ht="12.75" x14ac:dyDescent="0.2"/>
    <row r="39640" s="197" customFormat="1" ht="12.75" x14ac:dyDescent="0.2"/>
    <row r="39641" s="197" customFormat="1" ht="12.75" x14ac:dyDescent="0.2"/>
    <row r="39642" s="197" customFormat="1" ht="12.75" x14ac:dyDescent="0.2"/>
    <row r="39643" s="197" customFormat="1" ht="12.75" x14ac:dyDescent="0.2"/>
    <row r="39644" s="197" customFormat="1" ht="12.75" x14ac:dyDescent="0.2"/>
    <row r="39645" s="197" customFormat="1" ht="12.75" x14ac:dyDescent="0.2"/>
    <row r="39646" s="197" customFormat="1" ht="12.75" x14ac:dyDescent="0.2"/>
    <row r="39647" s="197" customFormat="1" ht="12.75" x14ac:dyDescent="0.2"/>
    <row r="39648" s="197" customFormat="1" ht="12.75" x14ac:dyDescent="0.2"/>
    <row r="39649" s="197" customFormat="1" ht="12.75" x14ac:dyDescent="0.2"/>
    <row r="39650" s="197" customFormat="1" ht="12.75" x14ac:dyDescent="0.2"/>
    <row r="39651" s="197" customFormat="1" ht="12.75" x14ac:dyDescent="0.2"/>
    <row r="39652" s="197" customFormat="1" ht="12.75" x14ac:dyDescent="0.2"/>
    <row r="39653" s="197" customFormat="1" ht="12.75" x14ac:dyDescent="0.2"/>
    <row r="39654" s="197" customFormat="1" ht="12.75" x14ac:dyDescent="0.2"/>
    <row r="39655" s="197" customFormat="1" ht="12.75" x14ac:dyDescent="0.2"/>
    <row r="39656" s="197" customFormat="1" ht="12.75" x14ac:dyDescent="0.2"/>
    <row r="39657" s="197" customFormat="1" ht="12.75" x14ac:dyDescent="0.2"/>
    <row r="39658" s="197" customFormat="1" ht="12.75" x14ac:dyDescent="0.2"/>
    <row r="39659" s="197" customFormat="1" ht="12.75" x14ac:dyDescent="0.2"/>
    <row r="39660" s="197" customFormat="1" ht="12.75" x14ac:dyDescent="0.2"/>
    <row r="39661" s="197" customFormat="1" ht="12.75" x14ac:dyDescent="0.2"/>
    <row r="39662" s="197" customFormat="1" ht="12.75" x14ac:dyDescent="0.2"/>
    <row r="39663" s="197" customFormat="1" ht="12.75" x14ac:dyDescent="0.2"/>
    <row r="39664" s="197" customFormat="1" ht="12.75" x14ac:dyDescent="0.2"/>
    <row r="39665" s="197" customFormat="1" ht="12.75" x14ac:dyDescent="0.2"/>
    <row r="39666" s="197" customFormat="1" ht="12.75" x14ac:dyDescent="0.2"/>
    <row r="39667" s="197" customFormat="1" ht="12.75" x14ac:dyDescent="0.2"/>
    <row r="39668" s="197" customFormat="1" ht="12.75" x14ac:dyDescent="0.2"/>
    <row r="39669" s="197" customFormat="1" ht="12.75" x14ac:dyDescent="0.2"/>
    <row r="39670" s="197" customFormat="1" ht="12.75" x14ac:dyDescent="0.2"/>
    <row r="39671" s="197" customFormat="1" ht="12.75" x14ac:dyDescent="0.2"/>
    <row r="39672" s="197" customFormat="1" ht="12.75" x14ac:dyDescent="0.2"/>
    <row r="39673" s="197" customFormat="1" ht="12.75" x14ac:dyDescent="0.2"/>
    <row r="39674" s="197" customFormat="1" ht="12.75" x14ac:dyDescent="0.2"/>
    <row r="39675" s="197" customFormat="1" ht="12.75" x14ac:dyDescent="0.2"/>
    <row r="39676" s="197" customFormat="1" ht="12.75" x14ac:dyDescent="0.2"/>
    <row r="39677" s="197" customFormat="1" ht="12.75" x14ac:dyDescent="0.2"/>
    <row r="39678" s="197" customFormat="1" ht="12.75" x14ac:dyDescent="0.2"/>
    <row r="39679" s="197" customFormat="1" ht="12.75" x14ac:dyDescent="0.2"/>
    <row r="39680" s="197" customFormat="1" ht="12.75" x14ac:dyDescent="0.2"/>
    <row r="39681" s="197" customFormat="1" ht="12.75" x14ac:dyDescent="0.2"/>
    <row r="39682" s="197" customFormat="1" ht="12.75" x14ac:dyDescent="0.2"/>
    <row r="39683" s="197" customFormat="1" ht="12.75" x14ac:dyDescent="0.2"/>
    <row r="39684" s="197" customFormat="1" ht="12.75" x14ac:dyDescent="0.2"/>
    <row r="39685" s="197" customFormat="1" ht="12.75" x14ac:dyDescent="0.2"/>
    <row r="39686" s="197" customFormat="1" ht="12.75" x14ac:dyDescent="0.2"/>
    <row r="39687" s="197" customFormat="1" ht="12.75" x14ac:dyDescent="0.2"/>
    <row r="39688" s="197" customFormat="1" ht="12.75" x14ac:dyDescent="0.2"/>
    <row r="39689" s="197" customFormat="1" ht="12.75" x14ac:dyDescent="0.2"/>
    <row r="39690" s="197" customFormat="1" ht="12.75" x14ac:dyDescent="0.2"/>
    <row r="39691" s="197" customFormat="1" ht="12.75" x14ac:dyDescent="0.2"/>
    <row r="39692" s="197" customFormat="1" ht="12.75" x14ac:dyDescent="0.2"/>
    <row r="39693" s="197" customFormat="1" ht="12.75" x14ac:dyDescent="0.2"/>
    <row r="39694" s="197" customFormat="1" ht="12.75" x14ac:dyDescent="0.2"/>
    <row r="39695" s="197" customFormat="1" ht="12.75" x14ac:dyDescent="0.2"/>
    <row r="39696" s="197" customFormat="1" ht="12.75" x14ac:dyDescent="0.2"/>
    <row r="39697" s="197" customFormat="1" ht="12.75" x14ac:dyDescent="0.2"/>
    <row r="39698" s="197" customFormat="1" ht="12.75" x14ac:dyDescent="0.2"/>
    <row r="39699" s="197" customFormat="1" ht="12.75" x14ac:dyDescent="0.2"/>
    <row r="39700" s="197" customFormat="1" ht="12.75" x14ac:dyDescent="0.2"/>
    <row r="39701" s="197" customFormat="1" ht="12.75" x14ac:dyDescent="0.2"/>
    <row r="39702" s="197" customFormat="1" ht="12.75" x14ac:dyDescent="0.2"/>
    <row r="39703" s="197" customFormat="1" ht="12.75" x14ac:dyDescent="0.2"/>
    <row r="39704" s="197" customFormat="1" ht="12.75" x14ac:dyDescent="0.2"/>
    <row r="39705" s="197" customFormat="1" ht="12.75" x14ac:dyDescent="0.2"/>
    <row r="39706" s="197" customFormat="1" ht="12.75" x14ac:dyDescent="0.2"/>
    <row r="39707" s="197" customFormat="1" ht="12.75" x14ac:dyDescent="0.2"/>
    <row r="39708" s="197" customFormat="1" ht="12.75" x14ac:dyDescent="0.2"/>
    <row r="39709" s="197" customFormat="1" ht="12.75" x14ac:dyDescent="0.2"/>
    <row r="39710" s="197" customFormat="1" ht="12.75" x14ac:dyDescent="0.2"/>
    <row r="39711" s="197" customFormat="1" ht="12.75" x14ac:dyDescent="0.2"/>
    <row r="39712" s="197" customFormat="1" ht="12.75" x14ac:dyDescent="0.2"/>
    <row r="39713" s="197" customFormat="1" ht="12.75" x14ac:dyDescent="0.2"/>
    <row r="39714" s="197" customFormat="1" ht="12.75" x14ac:dyDescent="0.2"/>
    <row r="39715" s="197" customFormat="1" ht="12.75" x14ac:dyDescent="0.2"/>
    <row r="39716" s="197" customFormat="1" ht="12.75" x14ac:dyDescent="0.2"/>
    <row r="39717" s="197" customFormat="1" ht="12.75" x14ac:dyDescent="0.2"/>
    <row r="39718" s="197" customFormat="1" ht="12.75" x14ac:dyDescent="0.2"/>
    <row r="39719" s="197" customFormat="1" ht="12.75" x14ac:dyDescent="0.2"/>
    <row r="39720" s="197" customFormat="1" ht="12.75" x14ac:dyDescent="0.2"/>
    <row r="39721" s="197" customFormat="1" ht="12.75" x14ac:dyDescent="0.2"/>
    <row r="39722" s="197" customFormat="1" ht="12.75" x14ac:dyDescent="0.2"/>
    <row r="39723" s="197" customFormat="1" ht="12.75" x14ac:dyDescent="0.2"/>
    <row r="39724" s="197" customFormat="1" ht="12.75" x14ac:dyDescent="0.2"/>
    <row r="39725" s="197" customFormat="1" ht="12.75" x14ac:dyDescent="0.2"/>
    <row r="39726" s="197" customFormat="1" ht="12.75" x14ac:dyDescent="0.2"/>
    <row r="39727" s="197" customFormat="1" ht="12.75" x14ac:dyDescent="0.2"/>
    <row r="39728" s="197" customFormat="1" ht="12.75" x14ac:dyDescent="0.2"/>
    <row r="39729" s="197" customFormat="1" ht="12.75" x14ac:dyDescent="0.2"/>
    <row r="39730" s="197" customFormat="1" ht="12.75" x14ac:dyDescent="0.2"/>
    <row r="39731" s="197" customFormat="1" ht="12.75" x14ac:dyDescent="0.2"/>
    <row r="39732" s="197" customFormat="1" ht="12.75" x14ac:dyDescent="0.2"/>
    <row r="39733" s="197" customFormat="1" ht="12.75" x14ac:dyDescent="0.2"/>
    <row r="39734" s="197" customFormat="1" ht="12.75" x14ac:dyDescent="0.2"/>
    <row r="39735" s="197" customFormat="1" ht="12.75" x14ac:dyDescent="0.2"/>
    <row r="39736" s="197" customFormat="1" ht="12.75" x14ac:dyDescent="0.2"/>
    <row r="39737" s="197" customFormat="1" ht="12.75" x14ac:dyDescent="0.2"/>
    <row r="39738" s="197" customFormat="1" ht="12.75" x14ac:dyDescent="0.2"/>
    <row r="39739" s="197" customFormat="1" ht="12.75" x14ac:dyDescent="0.2"/>
    <row r="39740" s="197" customFormat="1" ht="12.75" x14ac:dyDescent="0.2"/>
    <row r="39741" s="197" customFormat="1" ht="12.75" x14ac:dyDescent="0.2"/>
    <row r="39742" s="197" customFormat="1" ht="12.75" x14ac:dyDescent="0.2"/>
    <row r="39743" s="197" customFormat="1" ht="12.75" x14ac:dyDescent="0.2"/>
    <row r="39744" s="197" customFormat="1" ht="12.75" x14ac:dyDescent="0.2"/>
    <row r="39745" s="197" customFormat="1" ht="12.75" x14ac:dyDescent="0.2"/>
    <row r="39746" s="197" customFormat="1" ht="12.75" x14ac:dyDescent="0.2"/>
    <row r="39747" s="197" customFormat="1" ht="12.75" x14ac:dyDescent="0.2"/>
    <row r="39748" s="197" customFormat="1" ht="12.75" x14ac:dyDescent="0.2"/>
    <row r="39749" s="197" customFormat="1" ht="12.75" x14ac:dyDescent="0.2"/>
    <row r="39750" s="197" customFormat="1" ht="12.75" x14ac:dyDescent="0.2"/>
    <row r="39751" s="197" customFormat="1" ht="12.75" x14ac:dyDescent="0.2"/>
    <row r="39752" s="197" customFormat="1" ht="12.75" x14ac:dyDescent="0.2"/>
    <row r="39753" s="197" customFormat="1" ht="12.75" x14ac:dyDescent="0.2"/>
    <row r="39754" s="197" customFormat="1" ht="12.75" x14ac:dyDescent="0.2"/>
    <row r="39755" s="197" customFormat="1" ht="12.75" x14ac:dyDescent="0.2"/>
    <row r="39756" s="197" customFormat="1" ht="12.75" x14ac:dyDescent="0.2"/>
    <row r="39757" s="197" customFormat="1" ht="12.75" x14ac:dyDescent="0.2"/>
    <row r="39758" s="197" customFormat="1" ht="12.75" x14ac:dyDescent="0.2"/>
    <row r="39759" s="197" customFormat="1" ht="12.75" x14ac:dyDescent="0.2"/>
    <row r="39760" s="197" customFormat="1" ht="12.75" x14ac:dyDescent="0.2"/>
    <row r="39761" s="197" customFormat="1" ht="12.75" x14ac:dyDescent="0.2"/>
    <row r="39762" s="197" customFormat="1" ht="12.75" x14ac:dyDescent="0.2"/>
    <row r="39763" s="197" customFormat="1" ht="12.75" x14ac:dyDescent="0.2"/>
    <row r="39764" s="197" customFormat="1" ht="12.75" x14ac:dyDescent="0.2"/>
    <row r="39765" s="197" customFormat="1" ht="12.75" x14ac:dyDescent="0.2"/>
    <row r="39766" s="197" customFormat="1" ht="12.75" x14ac:dyDescent="0.2"/>
    <row r="39767" s="197" customFormat="1" ht="12.75" x14ac:dyDescent="0.2"/>
    <row r="39768" s="197" customFormat="1" ht="12.75" x14ac:dyDescent="0.2"/>
    <row r="39769" s="197" customFormat="1" ht="12.75" x14ac:dyDescent="0.2"/>
    <row r="39770" s="197" customFormat="1" ht="12.75" x14ac:dyDescent="0.2"/>
    <row r="39771" s="197" customFormat="1" ht="12.75" x14ac:dyDescent="0.2"/>
    <row r="39772" s="197" customFormat="1" ht="12.75" x14ac:dyDescent="0.2"/>
    <row r="39773" s="197" customFormat="1" ht="12.75" x14ac:dyDescent="0.2"/>
    <row r="39774" s="197" customFormat="1" ht="12.75" x14ac:dyDescent="0.2"/>
    <row r="39775" s="197" customFormat="1" ht="12.75" x14ac:dyDescent="0.2"/>
    <row r="39776" s="197" customFormat="1" ht="12.75" x14ac:dyDescent="0.2"/>
    <row r="39777" s="197" customFormat="1" ht="12.75" x14ac:dyDescent="0.2"/>
    <row r="39778" s="197" customFormat="1" ht="12.75" x14ac:dyDescent="0.2"/>
    <row r="39779" s="197" customFormat="1" ht="12.75" x14ac:dyDescent="0.2"/>
    <row r="39780" s="197" customFormat="1" ht="12.75" x14ac:dyDescent="0.2"/>
    <row r="39781" s="197" customFormat="1" ht="12.75" x14ac:dyDescent="0.2"/>
    <row r="39782" s="197" customFormat="1" ht="12.75" x14ac:dyDescent="0.2"/>
    <row r="39783" s="197" customFormat="1" ht="12.75" x14ac:dyDescent="0.2"/>
    <row r="39784" s="197" customFormat="1" ht="12.75" x14ac:dyDescent="0.2"/>
    <row r="39785" s="197" customFormat="1" ht="12.75" x14ac:dyDescent="0.2"/>
    <row r="39786" s="197" customFormat="1" ht="12.75" x14ac:dyDescent="0.2"/>
    <row r="39787" s="197" customFormat="1" ht="12.75" x14ac:dyDescent="0.2"/>
    <row r="39788" s="197" customFormat="1" ht="12.75" x14ac:dyDescent="0.2"/>
    <row r="39789" s="197" customFormat="1" ht="12.75" x14ac:dyDescent="0.2"/>
    <row r="39790" s="197" customFormat="1" ht="12.75" x14ac:dyDescent="0.2"/>
    <row r="39791" s="197" customFormat="1" ht="12.75" x14ac:dyDescent="0.2"/>
    <row r="39792" s="197" customFormat="1" ht="12.75" x14ac:dyDescent="0.2"/>
    <row r="39793" s="197" customFormat="1" ht="12.75" x14ac:dyDescent="0.2"/>
    <row r="39794" s="197" customFormat="1" ht="12.75" x14ac:dyDescent="0.2"/>
    <row r="39795" s="197" customFormat="1" ht="12.75" x14ac:dyDescent="0.2"/>
    <row r="39796" s="197" customFormat="1" ht="12.75" x14ac:dyDescent="0.2"/>
    <row r="39797" s="197" customFormat="1" ht="12.75" x14ac:dyDescent="0.2"/>
    <row r="39798" s="197" customFormat="1" ht="12.75" x14ac:dyDescent="0.2"/>
    <row r="39799" s="197" customFormat="1" ht="12.75" x14ac:dyDescent="0.2"/>
    <row r="39800" s="197" customFormat="1" ht="12.75" x14ac:dyDescent="0.2"/>
    <row r="39801" s="197" customFormat="1" ht="12.75" x14ac:dyDescent="0.2"/>
    <row r="39802" s="197" customFormat="1" ht="12.75" x14ac:dyDescent="0.2"/>
    <row r="39803" s="197" customFormat="1" ht="12.75" x14ac:dyDescent="0.2"/>
    <row r="39804" s="197" customFormat="1" ht="12.75" x14ac:dyDescent="0.2"/>
    <row r="39805" s="197" customFormat="1" ht="12.75" x14ac:dyDescent="0.2"/>
    <row r="39806" s="197" customFormat="1" ht="12.75" x14ac:dyDescent="0.2"/>
    <row r="39807" s="197" customFormat="1" ht="12.75" x14ac:dyDescent="0.2"/>
    <row r="39808" s="197" customFormat="1" ht="12.75" x14ac:dyDescent="0.2"/>
    <row r="39809" s="197" customFormat="1" ht="12.75" x14ac:dyDescent="0.2"/>
    <row r="39810" s="197" customFormat="1" ht="12.75" x14ac:dyDescent="0.2"/>
    <row r="39811" s="197" customFormat="1" ht="12.75" x14ac:dyDescent="0.2"/>
    <row r="39812" s="197" customFormat="1" ht="12.75" x14ac:dyDescent="0.2"/>
    <row r="39813" s="197" customFormat="1" ht="12.75" x14ac:dyDescent="0.2"/>
    <row r="39814" s="197" customFormat="1" ht="12.75" x14ac:dyDescent="0.2"/>
    <row r="39815" s="197" customFormat="1" ht="12.75" x14ac:dyDescent="0.2"/>
    <row r="39816" s="197" customFormat="1" ht="12.75" x14ac:dyDescent="0.2"/>
    <row r="39817" s="197" customFormat="1" ht="12.75" x14ac:dyDescent="0.2"/>
    <row r="39818" s="197" customFormat="1" ht="12.75" x14ac:dyDescent="0.2"/>
    <row r="39819" s="197" customFormat="1" ht="12.75" x14ac:dyDescent="0.2"/>
    <row r="39820" s="197" customFormat="1" ht="12.75" x14ac:dyDescent="0.2"/>
    <row r="39821" s="197" customFormat="1" ht="12.75" x14ac:dyDescent="0.2"/>
    <row r="39822" s="197" customFormat="1" ht="12.75" x14ac:dyDescent="0.2"/>
    <row r="39823" s="197" customFormat="1" ht="12.75" x14ac:dyDescent="0.2"/>
    <row r="39824" s="197" customFormat="1" ht="12.75" x14ac:dyDescent="0.2"/>
    <row r="39825" s="197" customFormat="1" ht="12.75" x14ac:dyDescent="0.2"/>
    <row r="39826" s="197" customFormat="1" ht="12.75" x14ac:dyDescent="0.2"/>
    <row r="39827" s="197" customFormat="1" ht="12.75" x14ac:dyDescent="0.2"/>
    <row r="39828" s="197" customFormat="1" ht="12.75" x14ac:dyDescent="0.2"/>
    <row r="39829" s="197" customFormat="1" ht="12.75" x14ac:dyDescent="0.2"/>
    <row r="39830" s="197" customFormat="1" ht="12.75" x14ac:dyDescent="0.2"/>
    <row r="39831" s="197" customFormat="1" ht="12.75" x14ac:dyDescent="0.2"/>
    <row r="39832" s="197" customFormat="1" ht="12.75" x14ac:dyDescent="0.2"/>
    <row r="39833" s="197" customFormat="1" ht="12.75" x14ac:dyDescent="0.2"/>
    <row r="39834" s="197" customFormat="1" ht="12.75" x14ac:dyDescent="0.2"/>
    <row r="39835" s="197" customFormat="1" ht="12.75" x14ac:dyDescent="0.2"/>
    <row r="39836" s="197" customFormat="1" ht="12.75" x14ac:dyDescent="0.2"/>
    <row r="39837" s="197" customFormat="1" ht="12.75" x14ac:dyDescent="0.2"/>
    <row r="39838" s="197" customFormat="1" ht="12.75" x14ac:dyDescent="0.2"/>
    <row r="39839" s="197" customFormat="1" ht="12.75" x14ac:dyDescent="0.2"/>
    <row r="39840" s="197" customFormat="1" ht="12.75" x14ac:dyDescent="0.2"/>
    <row r="39841" s="197" customFormat="1" ht="12.75" x14ac:dyDescent="0.2"/>
    <row r="39842" s="197" customFormat="1" ht="12.75" x14ac:dyDescent="0.2"/>
    <row r="39843" s="197" customFormat="1" ht="12.75" x14ac:dyDescent="0.2"/>
    <row r="39844" s="197" customFormat="1" ht="12.75" x14ac:dyDescent="0.2"/>
    <row r="39845" s="197" customFormat="1" ht="12.75" x14ac:dyDescent="0.2"/>
    <row r="39846" s="197" customFormat="1" ht="12.75" x14ac:dyDescent="0.2"/>
    <row r="39847" s="197" customFormat="1" ht="12.75" x14ac:dyDescent="0.2"/>
    <row r="39848" s="197" customFormat="1" ht="12.75" x14ac:dyDescent="0.2"/>
    <row r="39849" s="197" customFormat="1" ht="12.75" x14ac:dyDescent="0.2"/>
    <row r="39850" s="197" customFormat="1" ht="12.75" x14ac:dyDescent="0.2"/>
    <row r="39851" s="197" customFormat="1" ht="12.75" x14ac:dyDescent="0.2"/>
    <row r="39852" s="197" customFormat="1" ht="12.75" x14ac:dyDescent="0.2"/>
    <row r="39853" s="197" customFormat="1" ht="12.75" x14ac:dyDescent="0.2"/>
    <row r="39854" s="197" customFormat="1" ht="12.75" x14ac:dyDescent="0.2"/>
    <row r="39855" s="197" customFormat="1" ht="12.75" x14ac:dyDescent="0.2"/>
    <row r="39856" s="197" customFormat="1" ht="12.75" x14ac:dyDescent="0.2"/>
    <row r="39857" s="197" customFormat="1" ht="12.75" x14ac:dyDescent="0.2"/>
    <row r="39858" s="197" customFormat="1" ht="12.75" x14ac:dyDescent="0.2"/>
    <row r="39859" s="197" customFormat="1" ht="12.75" x14ac:dyDescent="0.2"/>
    <row r="39860" s="197" customFormat="1" ht="12.75" x14ac:dyDescent="0.2"/>
    <row r="39861" s="197" customFormat="1" ht="12.75" x14ac:dyDescent="0.2"/>
    <row r="39862" s="197" customFormat="1" ht="12.75" x14ac:dyDescent="0.2"/>
    <row r="39863" s="197" customFormat="1" ht="12.75" x14ac:dyDescent="0.2"/>
    <row r="39864" s="197" customFormat="1" ht="12.75" x14ac:dyDescent="0.2"/>
    <row r="39865" s="197" customFormat="1" ht="12.75" x14ac:dyDescent="0.2"/>
    <row r="39866" s="197" customFormat="1" ht="12.75" x14ac:dyDescent="0.2"/>
    <row r="39867" s="197" customFormat="1" ht="12.75" x14ac:dyDescent="0.2"/>
    <row r="39868" s="197" customFormat="1" ht="12.75" x14ac:dyDescent="0.2"/>
    <row r="39869" s="197" customFormat="1" ht="12.75" x14ac:dyDescent="0.2"/>
    <row r="39870" s="197" customFormat="1" ht="12.75" x14ac:dyDescent="0.2"/>
    <row r="39871" s="197" customFormat="1" ht="12.75" x14ac:dyDescent="0.2"/>
    <row r="39872" s="197" customFormat="1" ht="12.75" x14ac:dyDescent="0.2"/>
    <row r="39873" s="197" customFormat="1" ht="12.75" x14ac:dyDescent="0.2"/>
    <row r="39874" s="197" customFormat="1" ht="12.75" x14ac:dyDescent="0.2"/>
    <row r="39875" s="197" customFormat="1" ht="12.75" x14ac:dyDescent="0.2"/>
    <row r="39876" s="197" customFormat="1" ht="12.75" x14ac:dyDescent="0.2"/>
    <row r="39877" s="197" customFormat="1" ht="12.75" x14ac:dyDescent="0.2"/>
    <row r="39878" s="197" customFormat="1" ht="12.75" x14ac:dyDescent="0.2"/>
    <row r="39879" s="197" customFormat="1" ht="12.75" x14ac:dyDescent="0.2"/>
    <row r="39880" s="197" customFormat="1" ht="12.75" x14ac:dyDescent="0.2"/>
    <row r="39881" s="197" customFormat="1" ht="12.75" x14ac:dyDescent="0.2"/>
    <row r="39882" s="197" customFormat="1" ht="12.75" x14ac:dyDescent="0.2"/>
    <row r="39883" s="197" customFormat="1" ht="12.75" x14ac:dyDescent="0.2"/>
    <row r="39884" s="197" customFormat="1" ht="12.75" x14ac:dyDescent="0.2"/>
    <row r="39885" s="197" customFormat="1" ht="12.75" x14ac:dyDescent="0.2"/>
    <row r="39886" s="197" customFormat="1" ht="12.75" x14ac:dyDescent="0.2"/>
    <row r="39887" s="197" customFormat="1" ht="12.75" x14ac:dyDescent="0.2"/>
    <row r="39888" s="197" customFormat="1" ht="12.75" x14ac:dyDescent="0.2"/>
    <row r="39889" s="197" customFormat="1" ht="12.75" x14ac:dyDescent="0.2"/>
    <row r="39890" s="197" customFormat="1" ht="12.75" x14ac:dyDescent="0.2"/>
    <row r="39891" s="197" customFormat="1" ht="12.75" x14ac:dyDescent="0.2"/>
    <row r="39892" s="197" customFormat="1" ht="12.75" x14ac:dyDescent="0.2"/>
    <row r="39893" s="197" customFormat="1" ht="12.75" x14ac:dyDescent="0.2"/>
    <row r="39894" s="197" customFormat="1" ht="12.75" x14ac:dyDescent="0.2"/>
    <row r="39895" s="197" customFormat="1" ht="12.75" x14ac:dyDescent="0.2"/>
    <row r="39896" s="197" customFormat="1" ht="12.75" x14ac:dyDescent="0.2"/>
    <row r="39897" s="197" customFormat="1" ht="12.75" x14ac:dyDescent="0.2"/>
    <row r="39898" s="197" customFormat="1" ht="12.75" x14ac:dyDescent="0.2"/>
    <row r="39899" s="197" customFormat="1" ht="12.75" x14ac:dyDescent="0.2"/>
    <row r="39900" s="197" customFormat="1" ht="12.75" x14ac:dyDescent="0.2"/>
    <row r="39901" s="197" customFormat="1" ht="12.75" x14ac:dyDescent="0.2"/>
    <row r="39902" s="197" customFormat="1" ht="12.75" x14ac:dyDescent="0.2"/>
    <row r="39903" s="197" customFormat="1" ht="12.75" x14ac:dyDescent="0.2"/>
    <row r="39904" s="197" customFormat="1" ht="12.75" x14ac:dyDescent="0.2"/>
    <row r="39905" s="197" customFormat="1" ht="12.75" x14ac:dyDescent="0.2"/>
    <row r="39906" s="197" customFormat="1" ht="12.75" x14ac:dyDescent="0.2"/>
    <row r="39907" s="197" customFormat="1" ht="12.75" x14ac:dyDescent="0.2"/>
    <row r="39908" s="197" customFormat="1" ht="12.75" x14ac:dyDescent="0.2"/>
    <row r="39909" s="197" customFormat="1" ht="12.75" x14ac:dyDescent="0.2"/>
    <row r="39910" s="197" customFormat="1" ht="12.75" x14ac:dyDescent="0.2"/>
    <row r="39911" s="197" customFormat="1" ht="12.75" x14ac:dyDescent="0.2"/>
    <row r="39912" s="197" customFormat="1" ht="12.75" x14ac:dyDescent="0.2"/>
    <row r="39913" s="197" customFormat="1" ht="12.75" x14ac:dyDescent="0.2"/>
    <row r="39914" s="197" customFormat="1" ht="12.75" x14ac:dyDescent="0.2"/>
    <row r="39915" s="197" customFormat="1" ht="12.75" x14ac:dyDescent="0.2"/>
    <row r="39916" s="197" customFormat="1" ht="12.75" x14ac:dyDescent="0.2"/>
    <row r="39917" s="197" customFormat="1" ht="12.75" x14ac:dyDescent="0.2"/>
    <row r="39918" s="197" customFormat="1" ht="12.75" x14ac:dyDescent="0.2"/>
    <row r="39919" s="197" customFormat="1" ht="12.75" x14ac:dyDescent="0.2"/>
    <row r="39920" s="197" customFormat="1" ht="12.75" x14ac:dyDescent="0.2"/>
    <row r="39921" s="197" customFormat="1" ht="12.75" x14ac:dyDescent="0.2"/>
    <row r="39922" s="197" customFormat="1" ht="12.75" x14ac:dyDescent="0.2"/>
    <row r="39923" s="197" customFormat="1" ht="12.75" x14ac:dyDescent="0.2"/>
    <row r="39924" s="197" customFormat="1" ht="12.75" x14ac:dyDescent="0.2"/>
    <row r="39925" s="197" customFormat="1" ht="12.75" x14ac:dyDescent="0.2"/>
    <row r="39926" s="197" customFormat="1" ht="12.75" x14ac:dyDescent="0.2"/>
    <row r="39927" s="197" customFormat="1" ht="12.75" x14ac:dyDescent="0.2"/>
    <row r="39928" s="197" customFormat="1" ht="12.75" x14ac:dyDescent="0.2"/>
    <row r="39929" s="197" customFormat="1" ht="12.75" x14ac:dyDescent="0.2"/>
    <row r="39930" s="197" customFormat="1" ht="12.75" x14ac:dyDescent="0.2"/>
    <row r="39931" s="197" customFormat="1" ht="12.75" x14ac:dyDescent="0.2"/>
    <row r="39932" s="197" customFormat="1" ht="12.75" x14ac:dyDescent="0.2"/>
    <row r="39933" s="197" customFormat="1" ht="12.75" x14ac:dyDescent="0.2"/>
    <row r="39934" s="197" customFormat="1" ht="12.75" x14ac:dyDescent="0.2"/>
    <row r="39935" s="197" customFormat="1" ht="12.75" x14ac:dyDescent="0.2"/>
    <row r="39936" s="197" customFormat="1" ht="12.75" x14ac:dyDescent="0.2"/>
    <row r="39937" s="197" customFormat="1" ht="12.75" x14ac:dyDescent="0.2"/>
    <row r="39938" s="197" customFormat="1" ht="12.75" x14ac:dyDescent="0.2"/>
    <row r="39939" s="197" customFormat="1" ht="12.75" x14ac:dyDescent="0.2"/>
    <row r="39940" s="197" customFormat="1" ht="12.75" x14ac:dyDescent="0.2"/>
    <row r="39941" s="197" customFormat="1" ht="12.75" x14ac:dyDescent="0.2"/>
    <row r="39942" s="197" customFormat="1" ht="12.75" x14ac:dyDescent="0.2"/>
    <row r="39943" s="197" customFormat="1" ht="12.75" x14ac:dyDescent="0.2"/>
    <row r="39944" s="197" customFormat="1" ht="12.75" x14ac:dyDescent="0.2"/>
    <row r="39945" s="197" customFormat="1" ht="12.75" x14ac:dyDescent="0.2"/>
    <row r="39946" s="197" customFormat="1" ht="12.75" x14ac:dyDescent="0.2"/>
    <row r="39947" s="197" customFormat="1" ht="12.75" x14ac:dyDescent="0.2"/>
    <row r="39948" s="197" customFormat="1" ht="12.75" x14ac:dyDescent="0.2"/>
    <row r="39949" s="197" customFormat="1" ht="12.75" x14ac:dyDescent="0.2"/>
    <row r="39950" s="197" customFormat="1" ht="12.75" x14ac:dyDescent="0.2"/>
    <row r="39951" s="197" customFormat="1" ht="12.75" x14ac:dyDescent="0.2"/>
    <row r="39952" s="197" customFormat="1" ht="12.75" x14ac:dyDescent="0.2"/>
    <row r="39953" s="197" customFormat="1" ht="12.75" x14ac:dyDescent="0.2"/>
    <row r="39954" s="197" customFormat="1" ht="12.75" x14ac:dyDescent="0.2"/>
    <row r="39955" s="197" customFormat="1" ht="12.75" x14ac:dyDescent="0.2"/>
    <row r="39956" s="197" customFormat="1" ht="12.75" x14ac:dyDescent="0.2"/>
    <row r="39957" s="197" customFormat="1" ht="12.75" x14ac:dyDescent="0.2"/>
    <row r="39958" s="197" customFormat="1" ht="12.75" x14ac:dyDescent="0.2"/>
    <row r="39959" s="197" customFormat="1" ht="12.75" x14ac:dyDescent="0.2"/>
    <row r="39960" s="197" customFormat="1" ht="12.75" x14ac:dyDescent="0.2"/>
    <row r="39961" s="197" customFormat="1" ht="12.75" x14ac:dyDescent="0.2"/>
    <row r="39962" s="197" customFormat="1" ht="12.75" x14ac:dyDescent="0.2"/>
    <row r="39963" s="197" customFormat="1" ht="12.75" x14ac:dyDescent="0.2"/>
    <row r="39964" s="197" customFormat="1" ht="12.75" x14ac:dyDescent="0.2"/>
    <row r="39965" s="197" customFormat="1" ht="12.75" x14ac:dyDescent="0.2"/>
    <row r="39966" s="197" customFormat="1" ht="12.75" x14ac:dyDescent="0.2"/>
    <row r="39967" s="197" customFormat="1" ht="12.75" x14ac:dyDescent="0.2"/>
    <row r="39968" s="197" customFormat="1" ht="12.75" x14ac:dyDescent="0.2"/>
    <row r="39969" s="197" customFormat="1" ht="12.75" x14ac:dyDescent="0.2"/>
    <row r="39970" s="197" customFormat="1" ht="12.75" x14ac:dyDescent="0.2"/>
    <row r="39971" s="197" customFormat="1" ht="12.75" x14ac:dyDescent="0.2"/>
    <row r="39972" s="197" customFormat="1" ht="12.75" x14ac:dyDescent="0.2"/>
    <row r="39973" s="197" customFormat="1" ht="12.75" x14ac:dyDescent="0.2"/>
    <row r="39974" s="197" customFormat="1" ht="12.75" x14ac:dyDescent="0.2"/>
    <row r="39975" s="197" customFormat="1" ht="12.75" x14ac:dyDescent="0.2"/>
    <row r="39976" s="197" customFormat="1" ht="12.75" x14ac:dyDescent="0.2"/>
    <row r="39977" s="197" customFormat="1" ht="12.75" x14ac:dyDescent="0.2"/>
    <row r="39978" s="197" customFormat="1" ht="12.75" x14ac:dyDescent="0.2"/>
    <row r="39979" s="197" customFormat="1" ht="12.75" x14ac:dyDescent="0.2"/>
    <row r="39980" s="197" customFormat="1" ht="12.75" x14ac:dyDescent="0.2"/>
    <row r="39981" s="197" customFormat="1" ht="12.75" x14ac:dyDescent="0.2"/>
    <row r="39982" s="197" customFormat="1" ht="12.75" x14ac:dyDescent="0.2"/>
    <row r="39983" s="197" customFormat="1" ht="12.75" x14ac:dyDescent="0.2"/>
    <row r="39984" s="197" customFormat="1" ht="12.75" x14ac:dyDescent="0.2"/>
    <row r="39985" s="197" customFormat="1" ht="12.75" x14ac:dyDescent="0.2"/>
    <row r="39986" s="197" customFormat="1" ht="12.75" x14ac:dyDescent="0.2"/>
    <row r="39987" s="197" customFormat="1" ht="12.75" x14ac:dyDescent="0.2"/>
    <row r="39988" s="197" customFormat="1" ht="12.75" x14ac:dyDescent="0.2"/>
    <row r="39989" s="197" customFormat="1" ht="12.75" x14ac:dyDescent="0.2"/>
    <row r="39990" s="197" customFormat="1" ht="12.75" x14ac:dyDescent="0.2"/>
    <row r="39991" s="197" customFormat="1" ht="12.75" x14ac:dyDescent="0.2"/>
    <row r="39992" s="197" customFormat="1" ht="12.75" x14ac:dyDescent="0.2"/>
    <row r="39993" s="197" customFormat="1" ht="12.75" x14ac:dyDescent="0.2"/>
    <row r="39994" s="197" customFormat="1" ht="12.75" x14ac:dyDescent="0.2"/>
    <row r="39995" s="197" customFormat="1" ht="12.75" x14ac:dyDescent="0.2"/>
    <row r="39996" s="197" customFormat="1" ht="12.75" x14ac:dyDescent="0.2"/>
    <row r="39997" s="197" customFormat="1" ht="12.75" x14ac:dyDescent="0.2"/>
    <row r="39998" s="197" customFormat="1" ht="12.75" x14ac:dyDescent="0.2"/>
    <row r="39999" s="197" customFormat="1" ht="12.75" x14ac:dyDescent="0.2"/>
    <row r="40000" s="197" customFormat="1" ht="12.75" x14ac:dyDescent="0.2"/>
    <row r="40001" s="197" customFormat="1" ht="12.75" x14ac:dyDescent="0.2"/>
    <row r="40002" s="197" customFormat="1" ht="12.75" x14ac:dyDescent="0.2"/>
    <row r="40003" s="197" customFormat="1" ht="12.75" x14ac:dyDescent="0.2"/>
    <row r="40004" s="197" customFormat="1" ht="12.75" x14ac:dyDescent="0.2"/>
    <row r="40005" s="197" customFormat="1" ht="12.75" x14ac:dyDescent="0.2"/>
    <row r="40006" s="197" customFormat="1" ht="12.75" x14ac:dyDescent="0.2"/>
    <row r="40007" s="197" customFormat="1" ht="12.75" x14ac:dyDescent="0.2"/>
    <row r="40008" s="197" customFormat="1" ht="12.75" x14ac:dyDescent="0.2"/>
    <row r="40009" s="197" customFormat="1" ht="12.75" x14ac:dyDescent="0.2"/>
    <row r="40010" s="197" customFormat="1" ht="12.75" x14ac:dyDescent="0.2"/>
    <row r="40011" s="197" customFormat="1" ht="12.75" x14ac:dyDescent="0.2"/>
    <row r="40012" s="197" customFormat="1" ht="12.75" x14ac:dyDescent="0.2"/>
    <row r="40013" s="197" customFormat="1" ht="12.75" x14ac:dyDescent="0.2"/>
    <row r="40014" s="197" customFormat="1" ht="12.75" x14ac:dyDescent="0.2"/>
    <row r="40015" s="197" customFormat="1" ht="12.75" x14ac:dyDescent="0.2"/>
    <row r="40016" s="197" customFormat="1" ht="12.75" x14ac:dyDescent="0.2"/>
    <row r="40017" s="197" customFormat="1" ht="12.75" x14ac:dyDescent="0.2"/>
    <row r="40018" s="197" customFormat="1" ht="12.75" x14ac:dyDescent="0.2"/>
    <row r="40019" s="197" customFormat="1" ht="12.75" x14ac:dyDescent="0.2"/>
    <row r="40020" s="197" customFormat="1" ht="12.75" x14ac:dyDescent="0.2"/>
    <row r="40021" s="197" customFormat="1" ht="12.75" x14ac:dyDescent="0.2"/>
    <row r="40022" s="197" customFormat="1" ht="12.75" x14ac:dyDescent="0.2"/>
    <row r="40023" s="197" customFormat="1" ht="12.75" x14ac:dyDescent="0.2"/>
    <row r="40024" s="197" customFormat="1" ht="12.75" x14ac:dyDescent="0.2"/>
    <row r="40025" s="197" customFormat="1" ht="12.75" x14ac:dyDescent="0.2"/>
    <row r="40026" s="197" customFormat="1" ht="12.75" x14ac:dyDescent="0.2"/>
    <row r="40027" s="197" customFormat="1" ht="12.75" x14ac:dyDescent="0.2"/>
    <row r="40028" s="197" customFormat="1" ht="12.75" x14ac:dyDescent="0.2"/>
    <row r="40029" s="197" customFormat="1" ht="12.75" x14ac:dyDescent="0.2"/>
    <row r="40030" s="197" customFormat="1" ht="12.75" x14ac:dyDescent="0.2"/>
    <row r="40031" s="197" customFormat="1" ht="12.75" x14ac:dyDescent="0.2"/>
    <row r="40032" s="197" customFormat="1" ht="12.75" x14ac:dyDescent="0.2"/>
    <row r="40033" s="197" customFormat="1" ht="12.75" x14ac:dyDescent="0.2"/>
    <row r="40034" s="197" customFormat="1" ht="12.75" x14ac:dyDescent="0.2"/>
    <row r="40035" s="197" customFormat="1" ht="12.75" x14ac:dyDescent="0.2"/>
    <row r="40036" s="197" customFormat="1" ht="12.75" x14ac:dyDescent="0.2"/>
    <row r="40037" s="197" customFormat="1" ht="12.75" x14ac:dyDescent="0.2"/>
    <row r="40038" s="197" customFormat="1" ht="12.75" x14ac:dyDescent="0.2"/>
    <row r="40039" s="197" customFormat="1" ht="12.75" x14ac:dyDescent="0.2"/>
    <row r="40040" s="197" customFormat="1" ht="12.75" x14ac:dyDescent="0.2"/>
    <row r="40041" s="197" customFormat="1" ht="12.75" x14ac:dyDescent="0.2"/>
    <row r="40042" s="197" customFormat="1" ht="12.75" x14ac:dyDescent="0.2"/>
    <row r="40043" s="197" customFormat="1" ht="12.75" x14ac:dyDescent="0.2"/>
    <row r="40044" s="197" customFormat="1" ht="12.75" x14ac:dyDescent="0.2"/>
    <row r="40045" s="197" customFormat="1" ht="12.75" x14ac:dyDescent="0.2"/>
    <row r="40046" s="197" customFormat="1" ht="12.75" x14ac:dyDescent="0.2"/>
    <row r="40047" s="197" customFormat="1" ht="12.75" x14ac:dyDescent="0.2"/>
    <row r="40048" s="197" customFormat="1" ht="12.75" x14ac:dyDescent="0.2"/>
    <row r="40049" s="197" customFormat="1" ht="12.75" x14ac:dyDescent="0.2"/>
    <row r="40050" s="197" customFormat="1" ht="12.75" x14ac:dyDescent="0.2"/>
    <row r="40051" s="197" customFormat="1" ht="12.75" x14ac:dyDescent="0.2"/>
    <row r="40052" s="197" customFormat="1" ht="12.75" x14ac:dyDescent="0.2"/>
    <row r="40053" s="197" customFormat="1" ht="12.75" x14ac:dyDescent="0.2"/>
    <row r="40054" s="197" customFormat="1" ht="12.75" x14ac:dyDescent="0.2"/>
    <row r="40055" s="197" customFormat="1" ht="12.75" x14ac:dyDescent="0.2"/>
    <row r="40056" s="197" customFormat="1" ht="12.75" x14ac:dyDescent="0.2"/>
    <row r="40057" s="197" customFormat="1" ht="12.75" x14ac:dyDescent="0.2"/>
    <row r="40058" s="197" customFormat="1" ht="12.75" x14ac:dyDescent="0.2"/>
    <row r="40059" s="197" customFormat="1" ht="12.75" x14ac:dyDescent="0.2"/>
    <row r="40060" s="197" customFormat="1" ht="12.75" x14ac:dyDescent="0.2"/>
    <row r="40061" s="197" customFormat="1" ht="12.75" x14ac:dyDescent="0.2"/>
    <row r="40062" s="197" customFormat="1" ht="12.75" x14ac:dyDescent="0.2"/>
    <row r="40063" s="197" customFormat="1" ht="12.75" x14ac:dyDescent="0.2"/>
    <row r="40064" s="197" customFormat="1" ht="12.75" x14ac:dyDescent="0.2"/>
    <row r="40065" s="197" customFormat="1" ht="12.75" x14ac:dyDescent="0.2"/>
    <row r="40066" s="197" customFormat="1" ht="12.75" x14ac:dyDescent="0.2"/>
    <row r="40067" s="197" customFormat="1" ht="12.75" x14ac:dyDescent="0.2"/>
    <row r="40068" s="197" customFormat="1" ht="12.75" x14ac:dyDescent="0.2"/>
    <row r="40069" s="197" customFormat="1" ht="12.75" x14ac:dyDescent="0.2"/>
    <row r="40070" s="197" customFormat="1" ht="12.75" x14ac:dyDescent="0.2"/>
    <row r="40071" s="197" customFormat="1" ht="12.75" x14ac:dyDescent="0.2"/>
    <row r="40072" s="197" customFormat="1" ht="12.75" x14ac:dyDescent="0.2"/>
    <row r="40073" s="197" customFormat="1" ht="12.75" x14ac:dyDescent="0.2"/>
    <row r="40074" s="197" customFormat="1" ht="12.75" x14ac:dyDescent="0.2"/>
    <row r="40075" s="197" customFormat="1" ht="12.75" x14ac:dyDescent="0.2"/>
    <row r="40076" s="197" customFormat="1" ht="12.75" x14ac:dyDescent="0.2"/>
    <row r="40077" s="197" customFormat="1" ht="12.75" x14ac:dyDescent="0.2"/>
    <row r="40078" s="197" customFormat="1" ht="12.75" x14ac:dyDescent="0.2"/>
    <row r="40079" s="197" customFormat="1" ht="12.75" x14ac:dyDescent="0.2"/>
    <row r="40080" s="197" customFormat="1" ht="12.75" x14ac:dyDescent="0.2"/>
    <row r="40081" s="197" customFormat="1" ht="12.75" x14ac:dyDescent="0.2"/>
    <row r="40082" s="197" customFormat="1" ht="12.75" x14ac:dyDescent="0.2"/>
    <row r="40083" s="197" customFormat="1" ht="12.75" x14ac:dyDescent="0.2"/>
    <row r="40084" s="197" customFormat="1" ht="12.75" x14ac:dyDescent="0.2"/>
    <row r="40085" s="197" customFormat="1" ht="12.75" x14ac:dyDescent="0.2"/>
    <row r="40086" s="197" customFormat="1" ht="12.75" x14ac:dyDescent="0.2"/>
    <row r="40087" s="197" customFormat="1" ht="12.75" x14ac:dyDescent="0.2"/>
    <row r="40088" s="197" customFormat="1" ht="12.75" x14ac:dyDescent="0.2"/>
    <row r="40089" s="197" customFormat="1" ht="12.75" x14ac:dyDescent="0.2"/>
    <row r="40090" s="197" customFormat="1" ht="12.75" x14ac:dyDescent="0.2"/>
    <row r="40091" s="197" customFormat="1" ht="12.75" x14ac:dyDescent="0.2"/>
    <row r="40092" s="197" customFormat="1" ht="12.75" x14ac:dyDescent="0.2"/>
    <row r="40093" s="197" customFormat="1" ht="12.75" x14ac:dyDescent="0.2"/>
    <row r="40094" s="197" customFormat="1" ht="12.75" x14ac:dyDescent="0.2"/>
    <row r="40095" s="197" customFormat="1" ht="12.75" x14ac:dyDescent="0.2"/>
    <row r="40096" s="197" customFormat="1" ht="12.75" x14ac:dyDescent="0.2"/>
    <row r="40097" s="197" customFormat="1" ht="12.75" x14ac:dyDescent="0.2"/>
    <row r="40098" s="197" customFormat="1" ht="12.75" x14ac:dyDescent="0.2"/>
    <row r="40099" s="197" customFormat="1" ht="12.75" x14ac:dyDescent="0.2"/>
    <row r="40100" s="197" customFormat="1" ht="12.75" x14ac:dyDescent="0.2"/>
    <row r="40101" s="197" customFormat="1" ht="12.75" x14ac:dyDescent="0.2"/>
    <row r="40102" s="197" customFormat="1" ht="12.75" x14ac:dyDescent="0.2"/>
    <row r="40103" s="197" customFormat="1" ht="12.75" x14ac:dyDescent="0.2"/>
    <row r="40104" s="197" customFormat="1" ht="12.75" x14ac:dyDescent="0.2"/>
    <row r="40105" s="197" customFormat="1" ht="12.75" x14ac:dyDescent="0.2"/>
    <row r="40106" s="197" customFormat="1" ht="12.75" x14ac:dyDescent="0.2"/>
    <row r="40107" s="197" customFormat="1" ht="12.75" x14ac:dyDescent="0.2"/>
    <row r="40108" s="197" customFormat="1" ht="12.75" x14ac:dyDescent="0.2"/>
    <row r="40109" s="197" customFormat="1" ht="12.75" x14ac:dyDescent="0.2"/>
    <row r="40110" s="197" customFormat="1" ht="12.75" x14ac:dyDescent="0.2"/>
    <row r="40111" s="197" customFormat="1" ht="12.75" x14ac:dyDescent="0.2"/>
    <row r="40112" s="197" customFormat="1" ht="12.75" x14ac:dyDescent="0.2"/>
    <row r="40113" s="197" customFormat="1" ht="12.75" x14ac:dyDescent="0.2"/>
    <row r="40114" s="197" customFormat="1" ht="12.75" x14ac:dyDescent="0.2"/>
    <row r="40115" s="197" customFormat="1" ht="12.75" x14ac:dyDescent="0.2"/>
    <row r="40116" s="197" customFormat="1" ht="12.75" x14ac:dyDescent="0.2"/>
    <row r="40117" s="197" customFormat="1" ht="12.75" x14ac:dyDescent="0.2"/>
    <row r="40118" s="197" customFormat="1" ht="12.75" x14ac:dyDescent="0.2"/>
    <row r="40119" s="197" customFormat="1" ht="12.75" x14ac:dyDescent="0.2"/>
    <row r="40120" s="197" customFormat="1" ht="12.75" x14ac:dyDescent="0.2"/>
    <row r="40121" s="197" customFormat="1" ht="12.75" x14ac:dyDescent="0.2"/>
    <row r="40122" s="197" customFormat="1" ht="12.75" x14ac:dyDescent="0.2"/>
    <row r="40123" s="197" customFormat="1" ht="12.75" x14ac:dyDescent="0.2"/>
    <row r="40124" s="197" customFormat="1" ht="12.75" x14ac:dyDescent="0.2"/>
    <row r="40125" s="197" customFormat="1" ht="12.75" x14ac:dyDescent="0.2"/>
    <row r="40126" s="197" customFormat="1" ht="12.75" x14ac:dyDescent="0.2"/>
    <row r="40127" s="197" customFormat="1" ht="12.75" x14ac:dyDescent="0.2"/>
    <row r="40128" s="197" customFormat="1" ht="12.75" x14ac:dyDescent="0.2"/>
    <row r="40129" s="197" customFormat="1" ht="12.75" x14ac:dyDescent="0.2"/>
    <row r="40130" s="197" customFormat="1" ht="12.75" x14ac:dyDescent="0.2"/>
    <row r="40131" s="197" customFormat="1" ht="12.75" x14ac:dyDescent="0.2"/>
    <row r="40132" s="197" customFormat="1" ht="12.75" x14ac:dyDescent="0.2"/>
    <row r="40133" s="197" customFormat="1" ht="12.75" x14ac:dyDescent="0.2"/>
    <row r="40134" s="197" customFormat="1" ht="12.75" x14ac:dyDescent="0.2"/>
    <row r="40135" s="197" customFormat="1" ht="12.75" x14ac:dyDescent="0.2"/>
    <row r="40136" s="197" customFormat="1" ht="12.75" x14ac:dyDescent="0.2"/>
    <row r="40137" s="197" customFormat="1" ht="12.75" x14ac:dyDescent="0.2"/>
    <row r="40138" s="197" customFormat="1" ht="12.75" x14ac:dyDescent="0.2"/>
    <row r="40139" s="197" customFormat="1" ht="12.75" x14ac:dyDescent="0.2"/>
    <row r="40140" s="197" customFormat="1" ht="12.75" x14ac:dyDescent="0.2"/>
    <row r="40141" s="197" customFormat="1" ht="12.75" x14ac:dyDescent="0.2"/>
    <row r="40142" s="197" customFormat="1" ht="12.75" x14ac:dyDescent="0.2"/>
    <row r="40143" s="197" customFormat="1" ht="12.75" x14ac:dyDescent="0.2"/>
    <row r="40144" s="197" customFormat="1" ht="12.75" x14ac:dyDescent="0.2"/>
    <row r="40145" s="197" customFormat="1" ht="12.75" x14ac:dyDescent="0.2"/>
    <row r="40146" s="197" customFormat="1" ht="12.75" x14ac:dyDescent="0.2"/>
    <row r="40147" s="197" customFormat="1" ht="12.75" x14ac:dyDescent="0.2"/>
    <row r="40148" s="197" customFormat="1" ht="12.75" x14ac:dyDescent="0.2"/>
    <row r="40149" s="197" customFormat="1" ht="12.75" x14ac:dyDescent="0.2"/>
    <row r="40150" s="197" customFormat="1" ht="12.75" x14ac:dyDescent="0.2"/>
    <row r="40151" s="197" customFormat="1" ht="12.75" x14ac:dyDescent="0.2"/>
    <row r="40152" s="197" customFormat="1" ht="12.75" x14ac:dyDescent="0.2"/>
    <row r="40153" s="197" customFormat="1" ht="12.75" x14ac:dyDescent="0.2"/>
    <row r="40154" s="197" customFormat="1" ht="12.75" x14ac:dyDescent="0.2"/>
    <row r="40155" s="197" customFormat="1" ht="12.75" x14ac:dyDescent="0.2"/>
    <row r="40156" s="197" customFormat="1" ht="12.75" x14ac:dyDescent="0.2"/>
    <row r="40157" s="197" customFormat="1" ht="12.75" x14ac:dyDescent="0.2"/>
    <row r="40158" s="197" customFormat="1" ht="12.75" x14ac:dyDescent="0.2"/>
    <row r="40159" s="197" customFormat="1" ht="12.75" x14ac:dyDescent="0.2"/>
    <row r="40160" s="197" customFormat="1" ht="12.75" x14ac:dyDescent="0.2"/>
    <row r="40161" s="197" customFormat="1" ht="12.75" x14ac:dyDescent="0.2"/>
    <row r="40162" s="197" customFormat="1" ht="12.75" x14ac:dyDescent="0.2"/>
    <row r="40163" s="197" customFormat="1" ht="12.75" x14ac:dyDescent="0.2"/>
    <row r="40164" s="197" customFormat="1" ht="12.75" x14ac:dyDescent="0.2"/>
    <row r="40165" s="197" customFormat="1" ht="12.75" x14ac:dyDescent="0.2"/>
    <row r="40166" s="197" customFormat="1" ht="12.75" x14ac:dyDescent="0.2"/>
    <row r="40167" s="197" customFormat="1" ht="12.75" x14ac:dyDescent="0.2"/>
    <row r="40168" s="197" customFormat="1" ht="12.75" x14ac:dyDescent="0.2"/>
    <row r="40169" s="197" customFormat="1" ht="12.75" x14ac:dyDescent="0.2"/>
    <row r="40170" s="197" customFormat="1" ht="12.75" x14ac:dyDescent="0.2"/>
    <row r="40171" s="197" customFormat="1" ht="12.75" x14ac:dyDescent="0.2"/>
    <row r="40172" s="197" customFormat="1" ht="12.75" x14ac:dyDescent="0.2"/>
    <row r="40173" s="197" customFormat="1" ht="12.75" x14ac:dyDescent="0.2"/>
    <row r="40174" s="197" customFormat="1" ht="12.75" x14ac:dyDescent="0.2"/>
    <row r="40175" s="197" customFormat="1" ht="12.75" x14ac:dyDescent="0.2"/>
    <row r="40176" s="197" customFormat="1" ht="12.75" x14ac:dyDescent="0.2"/>
    <row r="40177" s="197" customFormat="1" ht="12.75" x14ac:dyDescent="0.2"/>
    <row r="40178" s="197" customFormat="1" ht="12.75" x14ac:dyDescent="0.2"/>
    <row r="40179" s="197" customFormat="1" ht="12.75" x14ac:dyDescent="0.2"/>
    <row r="40180" s="197" customFormat="1" ht="12.75" x14ac:dyDescent="0.2"/>
    <row r="40181" s="197" customFormat="1" ht="12.75" x14ac:dyDescent="0.2"/>
    <row r="40182" s="197" customFormat="1" ht="12.75" x14ac:dyDescent="0.2"/>
    <row r="40183" s="197" customFormat="1" ht="12.75" x14ac:dyDescent="0.2"/>
    <row r="40184" s="197" customFormat="1" ht="12.75" x14ac:dyDescent="0.2"/>
    <row r="40185" s="197" customFormat="1" ht="12.75" x14ac:dyDescent="0.2"/>
    <row r="40186" s="197" customFormat="1" ht="12.75" x14ac:dyDescent="0.2"/>
    <row r="40187" s="197" customFormat="1" ht="12.75" x14ac:dyDescent="0.2"/>
    <row r="40188" s="197" customFormat="1" ht="12.75" x14ac:dyDescent="0.2"/>
    <row r="40189" s="197" customFormat="1" ht="12.75" x14ac:dyDescent="0.2"/>
    <row r="40190" s="197" customFormat="1" ht="12.75" x14ac:dyDescent="0.2"/>
    <row r="40191" s="197" customFormat="1" ht="12.75" x14ac:dyDescent="0.2"/>
    <row r="40192" s="197" customFormat="1" ht="12.75" x14ac:dyDescent="0.2"/>
    <row r="40193" s="197" customFormat="1" ht="12.75" x14ac:dyDescent="0.2"/>
    <row r="40194" s="197" customFormat="1" ht="12.75" x14ac:dyDescent="0.2"/>
    <row r="40195" s="197" customFormat="1" ht="12.75" x14ac:dyDescent="0.2"/>
    <row r="40196" s="197" customFormat="1" ht="12.75" x14ac:dyDescent="0.2"/>
    <row r="40197" s="197" customFormat="1" ht="12.75" x14ac:dyDescent="0.2"/>
    <row r="40198" s="197" customFormat="1" ht="12.75" x14ac:dyDescent="0.2"/>
    <row r="40199" s="197" customFormat="1" ht="12.75" x14ac:dyDescent="0.2"/>
    <row r="40200" s="197" customFormat="1" ht="12.75" x14ac:dyDescent="0.2"/>
    <row r="40201" s="197" customFormat="1" ht="12.75" x14ac:dyDescent="0.2"/>
    <row r="40202" s="197" customFormat="1" ht="12.75" x14ac:dyDescent="0.2"/>
    <row r="40203" s="197" customFormat="1" ht="12.75" x14ac:dyDescent="0.2"/>
    <row r="40204" s="197" customFormat="1" ht="12.75" x14ac:dyDescent="0.2"/>
    <row r="40205" s="197" customFormat="1" ht="12.75" x14ac:dyDescent="0.2"/>
    <row r="40206" s="197" customFormat="1" ht="12.75" x14ac:dyDescent="0.2"/>
    <row r="40207" s="197" customFormat="1" ht="12.75" x14ac:dyDescent="0.2"/>
    <row r="40208" s="197" customFormat="1" ht="12.75" x14ac:dyDescent="0.2"/>
    <row r="40209" s="197" customFormat="1" ht="12.75" x14ac:dyDescent="0.2"/>
    <row r="40210" s="197" customFormat="1" ht="12.75" x14ac:dyDescent="0.2"/>
    <row r="40211" s="197" customFormat="1" ht="12.75" x14ac:dyDescent="0.2"/>
    <row r="40212" s="197" customFormat="1" ht="12.75" x14ac:dyDescent="0.2"/>
    <row r="40213" s="197" customFormat="1" ht="12.75" x14ac:dyDescent="0.2"/>
    <row r="40214" s="197" customFormat="1" ht="12.75" x14ac:dyDescent="0.2"/>
    <row r="40215" s="197" customFormat="1" ht="12.75" x14ac:dyDescent="0.2"/>
    <row r="40216" s="197" customFormat="1" ht="12.75" x14ac:dyDescent="0.2"/>
    <row r="40217" s="197" customFormat="1" ht="12.75" x14ac:dyDescent="0.2"/>
    <row r="40218" s="197" customFormat="1" ht="12.75" x14ac:dyDescent="0.2"/>
    <row r="40219" s="197" customFormat="1" ht="12.75" x14ac:dyDescent="0.2"/>
    <row r="40220" s="197" customFormat="1" ht="12.75" x14ac:dyDescent="0.2"/>
    <row r="40221" s="197" customFormat="1" ht="12.75" x14ac:dyDescent="0.2"/>
    <row r="40222" s="197" customFormat="1" ht="12.75" x14ac:dyDescent="0.2"/>
    <row r="40223" s="197" customFormat="1" ht="12.75" x14ac:dyDescent="0.2"/>
    <row r="40224" s="197" customFormat="1" ht="12.75" x14ac:dyDescent="0.2"/>
    <row r="40225" s="197" customFormat="1" ht="12.75" x14ac:dyDescent="0.2"/>
    <row r="40226" s="197" customFormat="1" ht="12.75" x14ac:dyDescent="0.2"/>
    <row r="40227" s="197" customFormat="1" ht="12.75" x14ac:dyDescent="0.2"/>
    <row r="40228" s="197" customFormat="1" ht="12.75" x14ac:dyDescent="0.2"/>
    <row r="40229" s="197" customFormat="1" ht="12.75" x14ac:dyDescent="0.2"/>
    <row r="40230" s="197" customFormat="1" ht="12.75" x14ac:dyDescent="0.2"/>
    <row r="40231" s="197" customFormat="1" ht="12.75" x14ac:dyDescent="0.2"/>
    <row r="40232" s="197" customFormat="1" ht="12.75" x14ac:dyDescent="0.2"/>
    <row r="40233" s="197" customFormat="1" ht="12.75" x14ac:dyDescent="0.2"/>
    <row r="40234" s="197" customFormat="1" ht="12.75" x14ac:dyDescent="0.2"/>
    <row r="40235" s="197" customFormat="1" ht="12.75" x14ac:dyDescent="0.2"/>
    <row r="40236" s="197" customFormat="1" ht="12.75" x14ac:dyDescent="0.2"/>
    <row r="40237" s="197" customFormat="1" ht="12.75" x14ac:dyDescent="0.2"/>
    <row r="40238" s="197" customFormat="1" ht="12.75" x14ac:dyDescent="0.2"/>
    <row r="40239" s="197" customFormat="1" ht="12.75" x14ac:dyDescent="0.2"/>
    <row r="40240" s="197" customFormat="1" ht="12.75" x14ac:dyDescent="0.2"/>
    <row r="40241" s="197" customFormat="1" ht="12.75" x14ac:dyDescent="0.2"/>
    <row r="40242" s="197" customFormat="1" ht="12.75" x14ac:dyDescent="0.2"/>
    <row r="40243" s="197" customFormat="1" ht="12.75" x14ac:dyDescent="0.2"/>
    <row r="40244" s="197" customFormat="1" ht="12.75" x14ac:dyDescent="0.2"/>
    <row r="40245" s="197" customFormat="1" ht="12.75" x14ac:dyDescent="0.2"/>
    <row r="40246" s="197" customFormat="1" ht="12.75" x14ac:dyDescent="0.2"/>
    <row r="40247" s="197" customFormat="1" ht="12.75" x14ac:dyDescent="0.2"/>
    <row r="40248" s="197" customFormat="1" ht="12.75" x14ac:dyDescent="0.2"/>
    <row r="40249" s="197" customFormat="1" ht="12.75" x14ac:dyDescent="0.2"/>
    <row r="40250" s="197" customFormat="1" ht="12.75" x14ac:dyDescent="0.2"/>
    <row r="40251" s="197" customFormat="1" ht="12.75" x14ac:dyDescent="0.2"/>
    <row r="40252" s="197" customFormat="1" ht="12.75" x14ac:dyDescent="0.2"/>
    <row r="40253" s="197" customFormat="1" ht="12.75" x14ac:dyDescent="0.2"/>
    <row r="40254" s="197" customFormat="1" ht="12.75" x14ac:dyDescent="0.2"/>
    <row r="40255" s="197" customFormat="1" ht="12.75" x14ac:dyDescent="0.2"/>
    <row r="40256" s="197" customFormat="1" ht="12.75" x14ac:dyDescent="0.2"/>
    <row r="40257" s="197" customFormat="1" ht="12.75" x14ac:dyDescent="0.2"/>
    <row r="40258" s="197" customFormat="1" ht="12.75" x14ac:dyDescent="0.2"/>
    <row r="40259" s="197" customFormat="1" ht="12.75" x14ac:dyDescent="0.2"/>
    <row r="40260" s="197" customFormat="1" ht="12.75" x14ac:dyDescent="0.2"/>
    <row r="40261" s="197" customFormat="1" ht="12.75" x14ac:dyDescent="0.2"/>
    <row r="40262" s="197" customFormat="1" ht="12.75" x14ac:dyDescent="0.2"/>
    <row r="40263" s="197" customFormat="1" ht="12.75" x14ac:dyDescent="0.2"/>
    <row r="40264" s="197" customFormat="1" ht="12.75" x14ac:dyDescent="0.2"/>
    <row r="40265" s="197" customFormat="1" ht="12.75" x14ac:dyDescent="0.2"/>
    <row r="40266" s="197" customFormat="1" ht="12.75" x14ac:dyDescent="0.2"/>
    <row r="40267" s="197" customFormat="1" ht="12.75" x14ac:dyDescent="0.2"/>
    <row r="40268" s="197" customFormat="1" ht="12.75" x14ac:dyDescent="0.2"/>
    <row r="40269" s="197" customFormat="1" ht="12.75" x14ac:dyDescent="0.2"/>
    <row r="40270" s="197" customFormat="1" ht="12.75" x14ac:dyDescent="0.2"/>
    <row r="40271" s="197" customFormat="1" ht="12.75" x14ac:dyDescent="0.2"/>
    <row r="40272" s="197" customFormat="1" ht="12.75" x14ac:dyDescent="0.2"/>
    <row r="40273" s="197" customFormat="1" ht="12.75" x14ac:dyDescent="0.2"/>
    <row r="40274" s="197" customFormat="1" ht="12.75" x14ac:dyDescent="0.2"/>
    <row r="40275" s="197" customFormat="1" ht="12.75" x14ac:dyDescent="0.2"/>
    <row r="40276" s="197" customFormat="1" ht="12.75" x14ac:dyDescent="0.2"/>
    <row r="40277" s="197" customFormat="1" ht="12.75" x14ac:dyDescent="0.2"/>
    <row r="40278" s="197" customFormat="1" ht="12.75" x14ac:dyDescent="0.2"/>
    <row r="40279" s="197" customFormat="1" ht="12.75" x14ac:dyDescent="0.2"/>
    <row r="40280" s="197" customFormat="1" ht="12.75" x14ac:dyDescent="0.2"/>
    <row r="40281" s="197" customFormat="1" ht="12.75" x14ac:dyDescent="0.2"/>
    <row r="40282" s="197" customFormat="1" ht="12.75" x14ac:dyDescent="0.2"/>
    <row r="40283" s="197" customFormat="1" ht="12.75" x14ac:dyDescent="0.2"/>
    <row r="40284" s="197" customFormat="1" ht="12.75" x14ac:dyDescent="0.2"/>
    <row r="40285" s="197" customFormat="1" ht="12.75" x14ac:dyDescent="0.2"/>
    <row r="40286" s="197" customFormat="1" ht="12.75" x14ac:dyDescent="0.2"/>
    <row r="40287" s="197" customFormat="1" ht="12.75" x14ac:dyDescent="0.2"/>
    <row r="40288" s="197" customFormat="1" ht="12.75" x14ac:dyDescent="0.2"/>
    <row r="40289" s="197" customFormat="1" ht="12.75" x14ac:dyDescent="0.2"/>
    <row r="40290" s="197" customFormat="1" ht="12.75" x14ac:dyDescent="0.2"/>
    <row r="40291" s="197" customFormat="1" ht="12.75" x14ac:dyDescent="0.2"/>
    <row r="40292" s="197" customFormat="1" ht="12.75" x14ac:dyDescent="0.2"/>
    <row r="40293" s="197" customFormat="1" ht="12.75" x14ac:dyDescent="0.2"/>
    <row r="40294" s="197" customFormat="1" ht="12.75" x14ac:dyDescent="0.2"/>
    <row r="40295" s="197" customFormat="1" ht="12.75" x14ac:dyDescent="0.2"/>
    <row r="40296" s="197" customFormat="1" ht="12.75" x14ac:dyDescent="0.2"/>
    <row r="40297" s="197" customFormat="1" ht="12.75" x14ac:dyDescent="0.2"/>
    <row r="40298" s="197" customFormat="1" ht="12.75" x14ac:dyDescent="0.2"/>
    <row r="40299" s="197" customFormat="1" ht="12.75" x14ac:dyDescent="0.2"/>
    <row r="40300" s="197" customFormat="1" ht="12.75" x14ac:dyDescent="0.2"/>
    <row r="40301" s="197" customFormat="1" ht="12.75" x14ac:dyDescent="0.2"/>
    <row r="40302" s="197" customFormat="1" ht="12.75" x14ac:dyDescent="0.2"/>
    <row r="40303" s="197" customFormat="1" ht="12.75" x14ac:dyDescent="0.2"/>
    <row r="40304" s="197" customFormat="1" ht="12.75" x14ac:dyDescent="0.2"/>
    <row r="40305" s="197" customFormat="1" ht="12.75" x14ac:dyDescent="0.2"/>
    <row r="40306" s="197" customFormat="1" ht="12.75" x14ac:dyDescent="0.2"/>
    <row r="40307" s="197" customFormat="1" ht="12.75" x14ac:dyDescent="0.2"/>
    <row r="40308" s="197" customFormat="1" ht="12.75" x14ac:dyDescent="0.2"/>
    <row r="40309" s="197" customFormat="1" ht="12.75" x14ac:dyDescent="0.2"/>
    <row r="40310" s="197" customFormat="1" ht="12.75" x14ac:dyDescent="0.2"/>
    <row r="40311" s="197" customFormat="1" ht="12.75" x14ac:dyDescent="0.2"/>
    <row r="40312" s="197" customFormat="1" ht="12.75" x14ac:dyDescent="0.2"/>
    <row r="40313" s="197" customFormat="1" ht="12.75" x14ac:dyDescent="0.2"/>
    <row r="40314" s="197" customFormat="1" ht="12.75" x14ac:dyDescent="0.2"/>
    <row r="40315" s="197" customFormat="1" ht="12.75" x14ac:dyDescent="0.2"/>
    <row r="40316" s="197" customFormat="1" ht="12.75" x14ac:dyDescent="0.2"/>
    <row r="40317" s="197" customFormat="1" ht="12.75" x14ac:dyDescent="0.2"/>
    <row r="40318" s="197" customFormat="1" ht="12.75" x14ac:dyDescent="0.2"/>
    <row r="40319" s="197" customFormat="1" ht="12.75" x14ac:dyDescent="0.2"/>
    <row r="40320" s="197" customFormat="1" ht="12.75" x14ac:dyDescent="0.2"/>
    <row r="40321" s="197" customFormat="1" ht="12.75" x14ac:dyDescent="0.2"/>
    <row r="40322" s="197" customFormat="1" ht="12.75" x14ac:dyDescent="0.2"/>
    <row r="40323" s="197" customFormat="1" ht="12.75" x14ac:dyDescent="0.2"/>
    <row r="40324" s="197" customFormat="1" ht="12.75" x14ac:dyDescent="0.2"/>
    <row r="40325" s="197" customFormat="1" ht="12.75" x14ac:dyDescent="0.2"/>
    <row r="40326" s="197" customFormat="1" ht="12.75" x14ac:dyDescent="0.2"/>
    <row r="40327" s="197" customFormat="1" ht="12.75" x14ac:dyDescent="0.2"/>
    <row r="40328" s="197" customFormat="1" ht="12.75" x14ac:dyDescent="0.2"/>
    <row r="40329" s="197" customFormat="1" ht="12.75" x14ac:dyDescent="0.2"/>
    <row r="40330" s="197" customFormat="1" ht="12.75" x14ac:dyDescent="0.2"/>
    <row r="40331" s="197" customFormat="1" ht="12.75" x14ac:dyDescent="0.2"/>
    <row r="40332" s="197" customFormat="1" ht="12.75" x14ac:dyDescent="0.2"/>
    <row r="40333" s="197" customFormat="1" ht="12.75" x14ac:dyDescent="0.2"/>
    <row r="40334" s="197" customFormat="1" ht="12.75" x14ac:dyDescent="0.2"/>
    <row r="40335" s="197" customFormat="1" ht="12.75" x14ac:dyDescent="0.2"/>
    <row r="40336" s="197" customFormat="1" ht="12.75" x14ac:dyDescent="0.2"/>
    <row r="40337" s="197" customFormat="1" ht="12.75" x14ac:dyDescent="0.2"/>
    <row r="40338" s="197" customFormat="1" ht="12.75" x14ac:dyDescent="0.2"/>
    <row r="40339" s="197" customFormat="1" ht="12.75" x14ac:dyDescent="0.2"/>
    <row r="40340" s="197" customFormat="1" ht="12.75" x14ac:dyDescent="0.2"/>
    <row r="40341" s="197" customFormat="1" ht="12.75" x14ac:dyDescent="0.2"/>
    <row r="40342" s="197" customFormat="1" ht="12.75" x14ac:dyDescent="0.2"/>
    <row r="40343" s="197" customFormat="1" ht="12.75" x14ac:dyDescent="0.2"/>
    <row r="40344" s="197" customFormat="1" ht="12.75" x14ac:dyDescent="0.2"/>
    <row r="40345" s="197" customFormat="1" ht="12.75" x14ac:dyDescent="0.2"/>
    <row r="40346" s="197" customFormat="1" ht="12.75" x14ac:dyDescent="0.2"/>
    <row r="40347" s="197" customFormat="1" ht="12.75" x14ac:dyDescent="0.2"/>
    <row r="40348" s="197" customFormat="1" ht="12.75" x14ac:dyDescent="0.2"/>
    <row r="40349" s="197" customFormat="1" ht="12.75" x14ac:dyDescent="0.2"/>
    <row r="40350" s="197" customFormat="1" ht="12.75" x14ac:dyDescent="0.2"/>
    <row r="40351" s="197" customFormat="1" ht="12.75" x14ac:dyDescent="0.2"/>
    <row r="40352" s="197" customFormat="1" ht="12.75" x14ac:dyDescent="0.2"/>
    <row r="40353" s="197" customFormat="1" ht="12.75" x14ac:dyDescent="0.2"/>
    <row r="40354" s="197" customFormat="1" ht="12.75" x14ac:dyDescent="0.2"/>
    <row r="40355" s="197" customFormat="1" ht="12.75" x14ac:dyDescent="0.2"/>
    <row r="40356" s="197" customFormat="1" ht="12.75" x14ac:dyDescent="0.2"/>
    <row r="40357" s="197" customFormat="1" ht="12.75" x14ac:dyDescent="0.2"/>
    <row r="40358" s="197" customFormat="1" ht="12.75" x14ac:dyDescent="0.2"/>
    <row r="40359" s="197" customFormat="1" ht="12.75" x14ac:dyDescent="0.2"/>
    <row r="40360" s="197" customFormat="1" ht="12.75" x14ac:dyDescent="0.2"/>
    <row r="40361" s="197" customFormat="1" ht="12.75" x14ac:dyDescent="0.2"/>
    <row r="40362" s="197" customFormat="1" ht="12.75" x14ac:dyDescent="0.2"/>
    <row r="40363" s="197" customFormat="1" ht="12.75" x14ac:dyDescent="0.2"/>
    <row r="40364" s="197" customFormat="1" ht="12.75" x14ac:dyDescent="0.2"/>
    <row r="40365" s="197" customFormat="1" ht="12.75" x14ac:dyDescent="0.2"/>
    <row r="40366" s="197" customFormat="1" ht="12.75" x14ac:dyDescent="0.2"/>
    <row r="40367" s="197" customFormat="1" ht="12.75" x14ac:dyDescent="0.2"/>
    <row r="40368" s="197" customFormat="1" ht="12.75" x14ac:dyDescent="0.2"/>
    <row r="40369" s="197" customFormat="1" ht="12.75" x14ac:dyDescent="0.2"/>
    <row r="40370" s="197" customFormat="1" ht="12.75" x14ac:dyDescent="0.2"/>
    <row r="40371" s="197" customFormat="1" ht="12.75" x14ac:dyDescent="0.2"/>
    <row r="40372" s="197" customFormat="1" ht="12.75" x14ac:dyDescent="0.2"/>
    <row r="40373" s="197" customFormat="1" ht="12.75" x14ac:dyDescent="0.2"/>
    <row r="40374" s="197" customFormat="1" ht="12.75" x14ac:dyDescent="0.2"/>
    <row r="40375" s="197" customFormat="1" ht="12.75" x14ac:dyDescent="0.2"/>
    <row r="40376" s="197" customFormat="1" ht="12.75" x14ac:dyDescent="0.2"/>
    <row r="40377" s="197" customFormat="1" ht="12.75" x14ac:dyDescent="0.2"/>
    <row r="40378" s="197" customFormat="1" ht="12.75" x14ac:dyDescent="0.2"/>
    <row r="40379" s="197" customFormat="1" ht="12.75" x14ac:dyDescent="0.2"/>
    <row r="40380" s="197" customFormat="1" ht="12.75" x14ac:dyDescent="0.2"/>
    <row r="40381" s="197" customFormat="1" ht="12.75" x14ac:dyDescent="0.2"/>
    <row r="40382" s="197" customFormat="1" ht="12.75" x14ac:dyDescent="0.2"/>
    <row r="40383" s="197" customFormat="1" ht="12.75" x14ac:dyDescent="0.2"/>
    <row r="40384" s="197" customFormat="1" ht="12.75" x14ac:dyDescent="0.2"/>
    <row r="40385" s="197" customFormat="1" ht="12.75" x14ac:dyDescent="0.2"/>
    <row r="40386" s="197" customFormat="1" ht="12.75" x14ac:dyDescent="0.2"/>
    <row r="40387" s="197" customFormat="1" ht="12.75" x14ac:dyDescent="0.2"/>
    <row r="40388" s="197" customFormat="1" ht="12.75" x14ac:dyDescent="0.2"/>
    <row r="40389" s="197" customFormat="1" ht="12.75" x14ac:dyDescent="0.2"/>
    <row r="40390" s="197" customFormat="1" ht="12.75" x14ac:dyDescent="0.2"/>
    <row r="40391" s="197" customFormat="1" ht="12.75" x14ac:dyDescent="0.2"/>
    <row r="40392" s="197" customFormat="1" ht="12.75" x14ac:dyDescent="0.2"/>
    <row r="40393" s="197" customFormat="1" ht="12.75" x14ac:dyDescent="0.2"/>
    <row r="40394" s="197" customFormat="1" ht="12.75" x14ac:dyDescent="0.2"/>
    <row r="40395" s="197" customFormat="1" ht="12.75" x14ac:dyDescent="0.2"/>
    <row r="40396" s="197" customFormat="1" ht="12.75" x14ac:dyDescent="0.2"/>
    <row r="40397" s="197" customFormat="1" ht="12.75" x14ac:dyDescent="0.2"/>
    <row r="40398" s="197" customFormat="1" ht="12.75" x14ac:dyDescent="0.2"/>
    <row r="40399" s="197" customFormat="1" ht="12.75" x14ac:dyDescent="0.2"/>
    <row r="40400" s="197" customFormat="1" ht="12.75" x14ac:dyDescent="0.2"/>
    <row r="40401" s="197" customFormat="1" ht="12.75" x14ac:dyDescent="0.2"/>
    <row r="40402" s="197" customFormat="1" ht="12.75" x14ac:dyDescent="0.2"/>
    <row r="40403" s="197" customFormat="1" ht="12.75" x14ac:dyDescent="0.2"/>
    <row r="40404" s="197" customFormat="1" ht="12.75" x14ac:dyDescent="0.2"/>
    <row r="40405" s="197" customFormat="1" ht="12.75" x14ac:dyDescent="0.2"/>
    <row r="40406" s="197" customFormat="1" ht="12.75" x14ac:dyDescent="0.2"/>
    <row r="40407" s="197" customFormat="1" ht="12.75" x14ac:dyDescent="0.2"/>
    <row r="40408" s="197" customFormat="1" ht="12.75" x14ac:dyDescent="0.2"/>
    <row r="40409" s="197" customFormat="1" ht="12.75" x14ac:dyDescent="0.2"/>
    <row r="40410" s="197" customFormat="1" ht="12.75" x14ac:dyDescent="0.2"/>
    <row r="40411" s="197" customFormat="1" ht="12.75" x14ac:dyDescent="0.2"/>
    <row r="40412" s="197" customFormat="1" ht="12.75" x14ac:dyDescent="0.2"/>
    <row r="40413" s="197" customFormat="1" ht="12.75" x14ac:dyDescent="0.2"/>
    <row r="40414" s="197" customFormat="1" ht="12.75" x14ac:dyDescent="0.2"/>
    <row r="40415" s="197" customFormat="1" ht="12.75" x14ac:dyDescent="0.2"/>
    <row r="40416" s="197" customFormat="1" ht="12.75" x14ac:dyDescent="0.2"/>
    <row r="40417" s="197" customFormat="1" ht="12.75" x14ac:dyDescent="0.2"/>
    <row r="40418" s="197" customFormat="1" ht="12.75" x14ac:dyDescent="0.2"/>
    <row r="40419" s="197" customFormat="1" ht="12.75" x14ac:dyDescent="0.2"/>
    <row r="40420" s="197" customFormat="1" ht="12.75" x14ac:dyDescent="0.2"/>
    <row r="40421" s="197" customFormat="1" ht="12.75" x14ac:dyDescent="0.2"/>
    <row r="40422" s="197" customFormat="1" ht="12.75" x14ac:dyDescent="0.2"/>
    <row r="40423" s="197" customFormat="1" ht="12.75" x14ac:dyDescent="0.2"/>
    <row r="40424" s="197" customFormat="1" ht="12.75" x14ac:dyDescent="0.2"/>
    <row r="40425" s="197" customFormat="1" ht="12.75" x14ac:dyDescent="0.2"/>
    <row r="40426" s="197" customFormat="1" ht="12.75" x14ac:dyDescent="0.2"/>
    <row r="40427" s="197" customFormat="1" ht="12.75" x14ac:dyDescent="0.2"/>
    <row r="40428" s="197" customFormat="1" ht="12.75" x14ac:dyDescent="0.2"/>
    <row r="40429" s="197" customFormat="1" ht="12.75" x14ac:dyDescent="0.2"/>
    <row r="40430" s="197" customFormat="1" ht="12.75" x14ac:dyDescent="0.2"/>
    <row r="40431" s="197" customFormat="1" ht="12.75" x14ac:dyDescent="0.2"/>
    <row r="40432" s="197" customFormat="1" ht="12.75" x14ac:dyDescent="0.2"/>
    <row r="40433" s="197" customFormat="1" ht="12.75" x14ac:dyDescent="0.2"/>
    <row r="40434" s="197" customFormat="1" ht="12.75" x14ac:dyDescent="0.2"/>
    <row r="40435" s="197" customFormat="1" ht="12.75" x14ac:dyDescent="0.2"/>
    <row r="40436" s="197" customFormat="1" ht="12.75" x14ac:dyDescent="0.2"/>
    <row r="40437" s="197" customFormat="1" ht="12.75" x14ac:dyDescent="0.2"/>
    <row r="40438" s="197" customFormat="1" ht="12.75" x14ac:dyDescent="0.2"/>
    <row r="40439" s="197" customFormat="1" ht="12.75" x14ac:dyDescent="0.2"/>
    <row r="40440" s="197" customFormat="1" ht="12.75" x14ac:dyDescent="0.2"/>
    <row r="40441" s="197" customFormat="1" ht="12.75" x14ac:dyDescent="0.2"/>
    <row r="40442" s="197" customFormat="1" ht="12.75" x14ac:dyDescent="0.2"/>
    <row r="40443" s="197" customFormat="1" ht="12.75" x14ac:dyDescent="0.2"/>
    <row r="40444" s="197" customFormat="1" ht="12.75" x14ac:dyDescent="0.2"/>
    <row r="40445" s="197" customFormat="1" ht="12.75" x14ac:dyDescent="0.2"/>
    <row r="40446" s="197" customFormat="1" ht="12.75" x14ac:dyDescent="0.2"/>
    <row r="40447" s="197" customFormat="1" ht="12.75" x14ac:dyDescent="0.2"/>
    <row r="40448" s="197" customFormat="1" ht="12.75" x14ac:dyDescent="0.2"/>
    <row r="40449" s="197" customFormat="1" ht="12.75" x14ac:dyDescent="0.2"/>
    <row r="40450" s="197" customFormat="1" ht="12.75" x14ac:dyDescent="0.2"/>
    <row r="40451" s="197" customFormat="1" ht="12.75" x14ac:dyDescent="0.2"/>
    <row r="40452" s="197" customFormat="1" ht="12.75" x14ac:dyDescent="0.2"/>
    <row r="40453" s="197" customFormat="1" ht="12.75" x14ac:dyDescent="0.2"/>
    <row r="40454" s="197" customFormat="1" ht="12.75" x14ac:dyDescent="0.2"/>
    <row r="40455" s="197" customFormat="1" ht="12.75" x14ac:dyDescent="0.2"/>
    <row r="40456" s="197" customFormat="1" ht="12.75" x14ac:dyDescent="0.2"/>
    <row r="40457" s="197" customFormat="1" ht="12.75" x14ac:dyDescent="0.2"/>
    <row r="40458" s="197" customFormat="1" ht="12.75" x14ac:dyDescent="0.2"/>
    <row r="40459" s="197" customFormat="1" ht="12.75" x14ac:dyDescent="0.2"/>
    <row r="40460" s="197" customFormat="1" ht="12.75" x14ac:dyDescent="0.2"/>
    <row r="40461" s="197" customFormat="1" ht="12.75" x14ac:dyDescent="0.2"/>
    <row r="40462" s="197" customFormat="1" ht="12.75" x14ac:dyDescent="0.2"/>
    <row r="40463" s="197" customFormat="1" ht="12.75" x14ac:dyDescent="0.2"/>
    <row r="40464" s="197" customFormat="1" ht="12.75" x14ac:dyDescent="0.2"/>
    <row r="40465" s="197" customFormat="1" ht="12.75" x14ac:dyDescent="0.2"/>
    <row r="40466" s="197" customFormat="1" ht="12.75" x14ac:dyDescent="0.2"/>
    <row r="40467" s="197" customFormat="1" ht="12.75" x14ac:dyDescent="0.2"/>
    <row r="40468" s="197" customFormat="1" ht="12.75" x14ac:dyDescent="0.2"/>
    <row r="40469" s="197" customFormat="1" ht="12.75" x14ac:dyDescent="0.2"/>
    <row r="40470" s="197" customFormat="1" ht="12.75" x14ac:dyDescent="0.2"/>
    <row r="40471" s="197" customFormat="1" ht="12.75" x14ac:dyDescent="0.2"/>
    <row r="40472" s="197" customFormat="1" ht="12.75" x14ac:dyDescent="0.2"/>
    <row r="40473" s="197" customFormat="1" ht="12.75" x14ac:dyDescent="0.2"/>
    <row r="40474" s="197" customFormat="1" ht="12.75" x14ac:dyDescent="0.2"/>
    <row r="40475" s="197" customFormat="1" ht="12.75" x14ac:dyDescent="0.2"/>
    <row r="40476" s="197" customFormat="1" ht="12.75" x14ac:dyDescent="0.2"/>
    <row r="40477" s="197" customFormat="1" ht="12.75" x14ac:dyDescent="0.2"/>
    <row r="40478" s="197" customFormat="1" ht="12.75" x14ac:dyDescent="0.2"/>
    <row r="40479" s="197" customFormat="1" ht="12.75" x14ac:dyDescent="0.2"/>
    <row r="40480" s="197" customFormat="1" ht="12.75" x14ac:dyDescent="0.2"/>
    <row r="40481" s="197" customFormat="1" ht="12.75" x14ac:dyDescent="0.2"/>
    <row r="40482" s="197" customFormat="1" ht="12.75" x14ac:dyDescent="0.2"/>
    <row r="40483" s="197" customFormat="1" ht="12.75" x14ac:dyDescent="0.2"/>
    <row r="40484" s="197" customFormat="1" ht="12.75" x14ac:dyDescent="0.2"/>
    <row r="40485" s="197" customFormat="1" ht="12.75" x14ac:dyDescent="0.2"/>
    <row r="40486" s="197" customFormat="1" ht="12.75" x14ac:dyDescent="0.2"/>
    <row r="40487" s="197" customFormat="1" ht="12.75" x14ac:dyDescent="0.2"/>
    <row r="40488" s="197" customFormat="1" ht="12.75" x14ac:dyDescent="0.2"/>
    <row r="40489" s="197" customFormat="1" ht="12.75" x14ac:dyDescent="0.2"/>
    <row r="40490" s="197" customFormat="1" ht="12.75" x14ac:dyDescent="0.2"/>
    <row r="40491" s="197" customFormat="1" ht="12.75" x14ac:dyDescent="0.2"/>
    <row r="40492" s="197" customFormat="1" ht="12.75" x14ac:dyDescent="0.2"/>
    <row r="40493" s="197" customFormat="1" ht="12.75" x14ac:dyDescent="0.2"/>
    <row r="40494" s="197" customFormat="1" ht="12.75" x14ac:dyDescent="0.2"/>
    <row r="40495" s="197" customFormat="1" ht="12.75" x14ac:dyDescent="0.2"/>
    <row r="40496" s="197" customFormat="1" ht="12.75" x14ac:dyDescent="0.2"/>
    <row r="40497" s="197" customFormat="1" ht="12.75" x14ac:dyDescent="0.2"/>
    <row r="40498" s="197" customFormat="1" ht="12.75" x14ac:dyDescent="0.2"/>
    <row r="40499" s="197" customFormat="1" ht="12.75" x14ac:dyDescent="0.2"/>
    <row r="40500" s="197" customFormat="1" ht="12.75" x14ac:dyDescent="0.2"/>
    <row r="40501" s="197" customFormat="1" ht="12.75" x14ac:dyDescent="0.2"/>
    <row r="40502" s="197" customFormat="1" ht="12.75" x14ac:dyDescent="0.2"/>
    <row r="40503" s="197" customFormat="1" ht="12.75" x14ac:dyDescent="0.2"/>
    <row r="40504" s="197" customFormat="1" ht="12.75" x14ac:dyDescent="0.2"/>
    <row r="40505" s="197" customFormat="1" ht="12.75" x14ac:dyDescent="0.2"/>
    <row r="40506" s="197" customFormat="1" ht="12.75" x14ac:dyDescent="0.2"/>
    <row r="40507" s="197" customFormat="1" ht="12.75" x14ac:dyDescent="0.2"/>
    <row r="40508" s="197" customFormat="1" ht="12.75" x14ac:dyDescent="0.2"/>
    <row r="40509" s="197" customFormat="1" ht="12.75" x14ac:dyDescent="0.2"/>
    <row r="40510" s="197" customFormat="1" ht="12.75" x14ac:dyDescent="0.2"/>
    <row r="40511" s="197" customFormat="1" ht="12.75" x14ac:dyDescent="0.2"/>
    <row r="40512" s="197" customFormat="1" ht="12.75" x14ac:dyDescent="0.2"/>
    <row r="40513" s="197" customFormat="1" ht="12.75" x14ac:dyDescent="0.2"/>
    <row r="40514" s="197" customFormat="1" ht="12.75" x14ac:dyDescent="0.2"/>
    <row r="40515" s="197" customFormat="1" ht="12.75" x14ac:dyDescent="0.2"/>
    <row r="40516" s="197" customFormat="1" ht="12.75" x14ac:dyDescent="0.2"/>
    <row r="40517" s="197" customFormat="1" ht="12.75" x14ac:dyDescent="0.2"/>
    <row r="40518" s="197" customFormat="1" ht="12.75" x14ac:dyDescent="0.2"/>
    <row r="40519" s="197" customFormat="1" ht="12.75" x14ac:dyDescent="0.2"/>
    <row r="40520" s="197" customFormat="1" ht="12.75" x14ac:dyDescent="0.2"/>
    <row r="40521" s="197" customFormat="1" ht="12.75" x14ac:dyDescent="0.2"/>
    <row r="40522" s="197" customFormat="1" ht="12.75" x14ac:dyDescent="0.2"/>
    <row r="40523" s="197" customFormat="1" ht="12.75" x14ac:dyDescent="0.2"/>
    <row r="40524" s="197" customFormat="1" ht="12.75" x14ac:dyDescent="0.2"/>
    <row r="40525" s="197" customFormat="1" ht="12.75" x14ac:dyDescent="0.2"/>
    <row r="40526" s="197" customFormat="1" ht="12.75" x14ac:dyDescent="0.2"/>
    <row r="40527" s="197" customFormat="1" ht="12.75" x14ac:dyDescent="0.2"/>
    <row r="40528" s="197" customFormat="1" ht="12.75" x14ac:dyDescent="0.2"/>
    <row r="40529" s="197" customFormat="1" ht="12.75" x14ac:dyDescent="0.2"/>
    <row r="40530" s="197" customFormat="1" ht="12.75" x14ac:dyDescent="0.2"/>
    <row r="40531" s="197" customFormat="1" ht="12.75" x14ac:dyDescent="0.2"/>
    <row r="40532" s="197" customFormat="1" ht="12.75" x14ac:dyDescent="0.2"/>
    <row r="40533" s="197" customFormat="1" ht="12.75" x14ac:dyDescent="0.2"/>
    <row r="40534" s="197" customFormat="1" ht="12.75" x14ac:dyDescent="0.2"/>
    <row r="40535" s="197" customFormat="1" ht="12.75" x14ac:dyDescent="0.2"/>
    <row r="40536" s="197" customFormat="1" ht="12.75" x14ac:dyDescent="0.2"/>
    <row r="40537" s="197" customFormat="1" ht="12.75" x14ac:dyDescent="0.2"/>
    <row r="40538" s="197" customFormat="1" ht="12.75" x14ac:dyDescent="0.2"/>
    <row r="40539" s="197" customFormat="1" ht="12.75" x14ac:dyDescent="0.2"/>
    <row r="40540" s="197" customFormat="1" ht="12.75" x14ac:dyDescent="0.2"/>
    <row r="40541" s="197" customFormat="1" ht="12.75" x14ac:dyDescent="0.2"/>
    <row r="40542" s="197" customFormat="1" ht="12.75" x14ac:dyDescent="0.2"/>
    <row r="40543" s="197" customFormat="1" ht="12.75" x14ac:dyDescent="0.2"/>
    <row r="40544" s="197" customFormat="1" ht="12.75" x14ac:dyDescent="0.2"/>
    <row r="40545" s="197" customFormat="1" ht="12.75" x14ac:dyDescent="0.2"/>
    <row r="40546" s="197" customFormat="1" ht="12.75" x14ac:dyDescent="0.2"/>
    <row r="40547" s="197" customFormat="1" ht="12.75" x14ac:dyDescent="0.2"/>
    <row r="40548" s="197" customFormat="1" ht="12.75" x14ac:dyDescent="0.2"/>
    <row r="40549" s="197" customFormat="1" ht="12.75" x14ac:dyDescent="0.2"/>
    <row r="40550" s="197" customFormat="1" ht="12.75" x14ac:dyDescent="0.2"/>
    <row r="40551" s="197" customFormat="1" ht="12.75" x14ac:dyDescent="0.2"/>
    <row r="40552" s="197" customFormat="1" ht="12.75" x14ac:dyDescent="0.2"/>
    <row r="40553" s="197" customFormat="1" ht="12.75" x14ac:dyDescent="0.2"/>
    <row r="40554" s="197" customFormat="1" ht="12.75" x14ac:dyDescent="0.2"/>
    <row r="40555" s="197" customFormat="1" ht="12.75" x14ac:dyDescent="0.2"/>
    <row r="40556" s="197" customFormat="1" ht="12.75" x14ac:dyDescent="0.2"/>
    <row r="40557" s="197" customFormat="1" ht="12.75" x14ac:dyDescent="0.2"/>
    <row r="40558" s="197" customFormat="1" ht="12.75" x14ac:dyDescent="0.2"/>
    <row r="40559" s="197" customFormat="1" ht="12.75" x14ac:dyDescent="0.2"/>
    <row r="40560" s="197" customFormat="1" ht="12.75" x14ac:dyDescent="0.2"/>
    <row r="40561" s="197" customFormat="1" ht="12.75" x14ac:dyDescent="0.2"/>
    <row r="40562" s="197" customFormat="1" ht="12.75" x14ac:dyDescent="0.2"/>
    <row r="40563" s="197" customFormat="1" ht="12.75" x14ac:dyDescent="0.2"/>
    <row r="40564" s="197" customFormat="1" ht="12.75" x14ac:dyDescent="0.2"/>
    <row r="40565" s="197" customFormat="1" ht="12.75" x14ac:dyDescent="0.2"/>
    <row r="40566" s="197" customFormat="1" ht="12.75" x14ac:dyDescent="0.2"/>
    <row r="40567" s="197" customFormat="1" ht="12.75" x14ac:dyDescent="0.2"/>
    <row r="40568" s="197" customFormat="1" ht="12.75" x14ac:dyDescent="0.2"/>
    <row r="40569" s="197" customFormat="1" ht="12.75" x14ac:dyDescent="0.2"/>
    <row r="40570" s="197" customFormat="1" ht="12.75" x14ac:dyDescent="0.2"/>
    <row r="40571" s="197" customFormat="1" ht="12.75" x14ac:dyDescent="0.2"/>
    <row r="40572" s="197" customFormat="1" ht="12.75" x14ac:dyDescent="0.2"/>
    <row r="40573" s="197" customFormat="1" ht="12.75" x14ac:dyDescent="0.2"/>
    <row r="40574" s="197" customFormat="1" ht="12.75" x14ac:dyDescent="0.2"/>
    <row r="40575" s="197" customFormat="1" ht="12.75" x14ac:dyDescent="0.2"/>
    <row r="40576" s="197" customFormat="1" ht="12.75" x14ac:dyDescent="0.2"/>
    <row r="40577" s="197" customFormat="1" ht="12.75" x14ac:dyDescent="0.2"/>
    <row r="40578" s="197" customFormat="1" ht="12.75" x14ac:dyDescent="0.2"/>
    <row r="40579" s="197" customFormat="1" ht="12.75" x14ac:dyDescent="0.2"/>
    <row r="40580" s="197" customFormat="1" ht="12.75" x14ac:dyDescent="0.2"/>
    <row r="40581" s="197" customFormat="1" ht="12.75" x14ac:dyDescent="0.2"/>
    <row r="40582" s="197" customFormat="1" ht="12.75" x14ac:dyDescent="0.2"/>
    <row r="40583" s="197" customFormat="1" ht="12.75" x14ac:dyDescent="0.2"/>
    <row r="40584" s="197" customFormat="1" ht="12.75" x14ac:dyDescent="0.2"/>
    <row r="40585" s="197" customFormat="1" ht="12.75" x14ac:dyDescent="0.2"/>
    <row r="40586" s="197" customFormat="1" ht="12.75" x14ac:dyDescent="0.2"/>
    <row r="40587" s="197" customFormat="1" ht="12.75" x14ac:dyDescent="0.2"/>
    <row r="40588" s="197" customFormat="1" ht="12.75" x14ac:dyDescent="0.2"/>
    <row r="40589" s="197" customFormat="1" ht="12.75" x14ac:dyDescent="0.2"/>
    <row r="40590" s="197" customFormat="1" ht="12.75" x14ac:dyDescent="0.2"/>
    <row r="40591" s="197" customFormat="1" ht="12.75" x14ac:dyDescent="0.2"/>
    <row r="40592" s="197" customFormat="1" ht="12.75" x14ac:dyDescent="0.2"/>
    <row r="40593" s="197" customFormat="1" ht="12.75" x14ac:dyDescent="0.2"/>
    <row r="40594" s="197" customFormat="1" ht="12.75" x14ac:dyDescent="0.2"/>
    <row r="40595" s="197" customFormat="1" ht="12.75" x14ac:dyDescent="0.2"/>
    <row r="40596" s="197" customFormat="1" ht="12.75" x14ac:dyDescent="0.2"/>
    <row r="40597" s="197" customFormat="1" ht="12.75" x14ac:dyDescent="0.2"/>
    <row r="40598" s="197" customFormat="1" ht="12.75" x14ac:dyDescent="0.2"/>
    <row r="40599" s="197" customFormat="1" ht="12.75" x14ac:dyDescent="0.2"/>
    <row r="40600" s="197" customFormat="1" ht="12.75" x14ac:dyDescent="0.2"/>
    <row r="40601" s="197" customFormat="1" ht="12.75" x14ac:dyDescent="0.2"/>
    <row r="40602" s="197" customFormat="1" ht="12.75" x14ac:dyDescent="0.2"/>
    <row r="40603" s="197" customFormat="1" ht="12.75" x14ac:dyDescent="0.2"/>
    <row r="40604" s="197" customFormat="1" ht="12.75" x14ac:dyDescent="0.2"/>
    <row r="40605" s="197" customFormat="1" ht="12.75" x14ac:dyDescent="0.2"/>
    <row r="40606" s="197" customFormat="1" ht="12.75" x14ac:dyDescent="0.2"/>
    <row r="40607" s="197" customFormat="1" ht="12.75" x14ac:dyDescent="0.2"/>
    <row r="40608" s="197" customFormat="1" ht="12.75" x14ac:dyDescent="0.2"/>
    <row r="40609" s="197" customFormat="1" ht="12.75" x14ac:dyDescent="0.2"/>
    <row r="40610" s="197" customFormat="1" ht="12.75" x14ac:dyDescent="0.2"/>
    <row r="40611" s="197" customFormat="1" ht="12.75" x14ac:dyDescent="0.2"/>
    <row r="40612" s="197" customFormat="1" ht="12.75" x14ac:dyDescent="0.2"/>
    <row r="40613" s="197" customFormat="1" ht="12.75" x14ac:dyDescent="0.2"/>
    <row r="40614" s="197" customFormat="1" ht="12.75" x14ac:dyDescent="0.2"/>
    <row r="40615" s="197" customFormat="1" ht="12.75" x14ac:dyDescent="0.2"/>
    <row r="40616" s="197" customFormat="1" ht="12.75" x14ac:dyDescent="0.2"/>
    <row r="40617" s="197" customFormat="1" ht="12.75" x14ac:dyDescent="0.2"/>
    <row r="40618" s="197" customFormat="1" ht="12.75" x14ac:dyDescent="0.2"/>
    <row r="40619" s="197" customFormat="1" ht="12.75" x14ac:dyDescent="0.2"/>
    <row r="40620" s="197" customFormat="1" ht="12.75" x14ac:dyDescent="0.2"/>
    <row r="40621" s="197" customFormat="1" ht="12.75" x14ac:dyDescent="0.2"/>
    <row r="40622" s="197" customFormat="1" ht="12.75" x14ac:dyDescent="0.2"/>
    <row r="40623" s="197" customFormat="1" ht="12.75" x14ac:dyDescent="0.2"/>
    <row r="40624" s="197" customFormat="1" ht="12.75" x14ac:dyDescent="0.2"/>
    <row r="40625" s="197" customFormat="1" ht="12.75" x14ac:dyDescent="0.2"/>
    <row r="40626" s="197" customFormat="1" ht="12.75" x14ac:dyDescent="0.2"/>
    <row r="40627" s="197" customFormat="1" ht="12.75" x14ac:dyDescent="0.2"/>
    <row r="40628" s="197" customFormat="1" ht="12.75" x14ac:dyDescent="0.2"/>
    <row r="40629" s="197" customFormat="1" ht="12.75" x14ac:dyDescent="0.2"/>
    <row r="40630" s="197" customFormat="1" ht="12.75" x14ac:dyDescent="0.2"/>
    <row r="40631" s="197" customFormat="1" ht="12.75" x14ac:dyDescent="0.2"/>
    <row r="40632" s="197" customFormat="1" ht="12.75" x14ac:dyDescent="0.2"/>
    <row r="40633" s="197" customFormat="1" ht="12.75" x14ac:dyDescent="0.2"/>
    <row r="40634" s="197" customFormat="1" ht="12.75" x14ac:dyDescent="0.2"/>
    <row r="40635" s="197" customFormat="1" ht="12.75" x14ac:dyDescent="0.2"/>
    <row r="40636" s="197" customFormat="1" ht="12.75" x14ac:dyDescent="0.2"/>
    <row r="40637" s="197" customFormat="1" ht="12.75" x14ac:dyDescent="0.2"/>
    <row r="40638" s="197" customFormat="1" ht="12.75" x14ac:dyDescent="0.2"/>
    <row r="40639" s="197" customFormat="1" ht="12.75" x14ac:dyDescent="0.2"/>
    <row r="40640" s="197" customFormat="1" ht="12.75" x14ac:dyDescent="0.2"/>
    <row r="40641" s="197" customFormat="1" ht="12.75" x14ac:dyDescent="0.2"/>
    <row r="40642" s="197" customFormat="1" ht="12.75" x14ac:dyDescent="0.2"/>
    <row r="40643" s="197" customFormat="1" ht="12.75" x14ac:dyDescent="0.2"/>
    <row r="40644" s="197" customFormat="1" ht="12.75" x14ac:dyDescent="0.2"/>
    <row r="40645" s="197" customFormat="1" ht="12.75" x14ac:dyDescent="0.2"/>
    <row r="40646" s="197" customFormat="1" ht="12.75" x14ac:dyDescent="0.2"/>
    <row r="40647" s="197" customFormat="1" ht="12.75" x14ac:dyDescent="0.2"/>
    <row r="40648" s="197" customFormat="1" ht="12.75" x14ac:dyDescent="0.2"/>
    <row r="40649" s="197" customFormat="1" ht="12.75" x14ac:dyDescent="0.2"/>
    <row r="40650" s="197" customFormat="1" ht="12.75" x14ac:dyDescent="0.2"/>
    <row r="40651" s="197" customFormat="1" ht="12.75" x14ac:dyDescent="0.2"/>
    <row r="40652" s="197" customFormat="1" ht="12.75" x14ac:dyDescent="0.2"/>
    <row r="40653" s="197" customFormat="1" ht="12.75" x14ac:dyDescent="0.2"/>
    <row r="40654" s="197" customFormat="1" ht="12.75" x14ac:dyDescent="0.2"/>
    <row r="40655" s="197" customFormat="1" ht="12.75" x14ac:dyDescent="0.2"/>
    <row r="40656" s="197" customFormat="1" ht="12.75" x14ac:dyDescent="0.2"/>
    <row r="40657" s="197" customFormat="1" ht="12.75" x14ac:dyDescent="0.2"/>
    <row r="40658" s="197" customFormat="1" ht="12.75" x14ac:dyDescent="0.2"/>
    <row r="40659" s="197" customFormat="1" ht="12.75" x14ac:dyDescent="0.2"/>
    <row r="40660" s="197" customFormat="1" ht="12.75" x14ac:dyDescent="0.2"/>
    <row r="40661" s="197" customFormat="1" ht="12.75" x14ac:dyDescent="0.2"/>
    <row r="40662" s="197" customFormat="1" ht="12.75" x14ac:dyDescent="0.2"/>
    <row r="40663" s="197" customFormat="1" ht="12.75" x14ac:dyDescent="0.2"/>
    <row r="40664" s="197" customFormat="1" ht="12.75" x14ac:dyDescent="0.2"/>
    <row r="40665" s="197" customFormat="1" ht="12.75" x14ac:dyDescent="0.2"/>
    <row r="40666" s="197" customFormat="1" ht="12.75" x14ac:dyDescent="0.2"/>
    <row r="40667" s="197" customFormat="1" ht="12.75" x14ac:dyDescent="0.2"/>
    <row r="40668" s="197" customFormat="1" ht="12.75" x14ac:dyDescent="0.2"/>
    <row r="40669" s="197" customFormat="1" ht="12.75" x14ac:dyDescent="0.2"/>
    <row r="40670" s="197" customFormat="1" ht="12.75" x14ac:dyDescent="0.2"/>
    <row r="40671" s="197" customFormat="1" ht="12.75" x14ac:dyDescent="0.2"/>
    <row r="40672" s="197" customFormat="1" ht="12.75" x14ac:dyDescent="0.2"/>
    <row r="40673" s="197" customFormat="1" ht="12.75" x14ac:dyDescent="0.2"/>
    <row r="40674" s="197" customFormat="1" ht="12.75" x14ac:dyDescent="0.2"/>
    <row r="40675" s="197" customFormat="1" ht="12.75" x14ac:dyDescent="0.2"/>
    <row r="40676" s="197" customFormat="1" ht="12.75" x14ac:dyDescent="0.2"/>
    <row r="40677" s="197" customFormat="1" ht="12.75" x14ac:dyDescent="0.2"/>
    <row r="40678" s="197" customFormat="1" ht="12.75" x14ac:dyDescent="0.2"/>
    <row r="40679" s="197" customFormat="1" ht="12.75" x14ac:dyDescent="0.2"/>
    <row r="40680" s="197" customFormat="1" ht="12.75" x14ac:dyDescent="0.2"/>
    <row r="40681" s="197" customFormat="1" ht="12.75" x14ac:dyDescent="0.2"/>
    <row r="40682" s="197" customFormat="1" ht="12.75" x14ac:dyDescent="0.2"/>
    <row r="40683" s="197" customFormat="1" ht="12.75" x14ac:dyDescent="0.2"/>
    <row r="40684" s="197" customFormat="1" ht="12.75" x14ac:dyDescent="0.2"/>
    <row r="40685" s="197" customFormat="1" ht="12.75" x14ac:dyDescent="0.2"/>
    <row r="40686" s="197" customFormat="1" ht="12.75" x14ac:dyDescent="0.2"/>
    <row r="40687" s="197" customFormat="1" ht="12.75" x14ac:dyDescent="0.2"/>
    <row r="40688" s="197" customFormat="1" ht="12.75" x14ac:dyDescent="0.2"/>
    <row r="40689" s="197" customFormat="1" ht="12.75" x14ac:dyDescent="0.2"/>
    <row r="40690" s="197" customFormat="1" ht="12.75" x14ac:dyDescent="0.2"/>
    <row r="40691" s="197" customFormat="1" ht="12.75" x14ac:dyDescent="0.2"/>
    <row r="40692" s="197" customFormat="1" ht="12.75" x14ac:dyDescent="0.2"/>
    <row r="40693" s="197" customFormat="1" ht="12.75" x14ac:dyDescent="0.2"/>
    <row r="40694" s="197" customFormat="1" ht="12.75" x14ac:dyDescent="0.2"/>
    <row r="40695" s="197" customFormat="1" ht="12.75" x14ac:dyDescent="0.2"/>
    <row r="40696" s="197" customFormat="1" ht="12.75" x14ac:dyDescent="0.2"/>
    <row r="40697" s="197" customFormat="1" ht="12.75" x14ac:dyDescent="0.2"/>
    <row r="40698" s="197" customFormat="1" ht="12.75" x14ac:dyDescent="0.2"/>
    <row r="40699" s="197" customFormat="1" ht="12.75" x14ac:dyDescent="0.2"/>
    <row r="40700" s="197" customFormat="1" ht="12.75" x14ac:dyDescent="0.2"/>
    <row r="40701" s="197" customFormat="1" ht="12.75" x14ac:dyDescent="0.2"/>
    <row r="40702" s="197" customFormat="1" ht="12.75" x14ac:dyDescent="0.2"/>
    <row r="40703" s="197" customFormat="1" ht="12.75" x14ac:dyDescent="0.2"/>
    <row r="40704" s="197" customFormat="1" ht="12.75" x14ac:dyDescent="0.2"/>
    <row r="40705" s="197" customFormat="1" ht="12.75" x14ac:dyDescent="0.2"/>
    <row r="40706" s="197" customFormat="1" ht="12.75" x14ac:dyDescent="0.2"/>
    <row r="40707" s="197" customFormat="1" ht="12.75" x14ac:dyDescent="0.2"/>
    <row r="40708" s="197" customFormat="1" ht="12.75" x14ac:dyDescent="0.2"/>
    <row r="40709" s="197" customFormat="1" ht="12.75" x14ac:dyDescent="0.2"/>
    <row r="40710" s="197" customFormat="1" ht="12.75" x14ac:dyDescent="0.2"/>
    <row r="40711" s="197" customFormat="1" ht="12.75" x14ac:dyDescent="0.2"/>
    <row r="40712" s="197" customFormat="1" ht="12.75" x14ac:dyDescent="0.2"/>
    <row r="40713" s="197" customFormat="1" ht="12.75" x14ac:dyDescent="0.2"/>
    <row r="40714" s="197" customFormat="1" ht="12.75" x14ac:dyDescent="0.2"/>
    <row r="40715" s="197" customFormat="1" ht="12.75" x14ac:dyDescent="0.2"/>
    <row r="40716" s="197" customFormat="1" ht="12.75" x14ac:dyDescent="0.2"/>
    <row r="40717" s="197" customFormat="1" ht="12.75" x14ac:dyDescent="0.2"/>
    <row r="40718" s="197" customFormat="1" ht="12.75" x14ac:dyDescent="0.2"/>
    <row r="40719" s="197" customFormat="1" ht="12.75" x14ac:dyDescent="0.2"/>
    <row r="40720" s="197" customFormat="1" ht="12.75" x14ac:dyDescent="0.2"/>
    <row r="40721" s="197" customFormat="1" ht="12.75" x14ac:dyDescent="0.2"/>
    <row r="40722" s="197" customFormat="1" ht="12.75" x14ac:dyDescent="0.2"/>
    <row r="40723" s="197" customFormat="1" ht="12.75" x14ac:dyDescent="0.2"/>
    <row r="40724" s="197" customFormat="1" ht="12.75" x14ac:dyDescent="0.2"/>
    <row r="40725" s="197" customFormat="1" ht="12.75" x14ac:dyDescent="0.2"/>
    <row r="40726" s="197" customFormat="1" ht="12.75" x14ac:dyDescent="0.2"/>
    <row r="40727" s="197" customFormat="1" ht="12.75" x14ac:dyDescent="0.2"/>
    <row r="40728" s="197" customFormat="1" ht="12.75" x14ac:dyDescent="0.2"/>
    <row r="40729" s="197" customFormat="1" ht="12.75" x14ac:dyDescent="0.2"/>
    <row r="40730" s="197" customFormat="1" ht="12.75" x14ac:dyDescent="0.2"/>
    <row r="40731" s="197" customFormat="1" ht="12.75" x14ac:dyDescent="0.2"/>
    <row r="40732" s="197" customFormat="1" ht="12.75" x14ac:dyDescent="0.2"/>
    <row r="40733" s="197" customFormat="1" ht="12.75" x14ac:dyDescent="0.2"/>
    <row r="40734" s="197" customFormat="1" ht="12.75" x14ac:dyDescent="0.2"/>
    <row r="40735" s="197" customFormat="1" ht="12.75" x14ac:dyDescent="0.2"/>
    <row r="40736" s="197" customFormat="1" ht="12.75" x14ac:dyDescent="0.2"/>
    <row r="40737" s="197" customFormat="1" ht="12.75" x14ac:dyDescent="0.2"/>
    <row r="40738" s="197" customFormat="1" ht="12.75" x14ac:dyDescent="0.2"/>
    <row r="40739" s="197" customFormat="1" ht="12.75" x14ac:dyDescent="0.2"/>
    <row r="40740" s="197" customFormat="1" ht="12.75" x14ac:dyDescent="0.2"/>
    <row r="40741" s="197" customFormat="1" ht="12.75" x14ac:dyDescent="0.2"/>
    <row r="40742" s="197" customFormat="1" ht="12.75" x14ac:dyDescent="0.2"/>
    <row r="40743" s="197" customFormat="1" ht="12.75" x14ac:dyDescent="0.2"/>
    <row r="40744" s="197" customFormat="1" ht="12.75" x14ac:dyDescent="0.2"/>
    <row r="40745" s="197" customFormat="1" ht="12.75" x14ac:dyDescent="0.2"/>
    <row r="40746" s="197" customFormat="1" ht="12.75" x14ac:dyDescent="0.2"/>
    <row r="40747" s="197" customFormat="1" ht="12.75" x14ac:dyDescent="0.2"/>
    <row r="40748" s="197" customFormat="1" ht="12.75" x14ac:dyDescent="0.2"/>
    <row r="40749" s="197" customFormat="1" ht="12.75" x14ac:dyDescent="0.2"/>
    <row r="40750" s="197" customFormat="1" ht="12.75" x14ac:dyDescent="0.2"/>
    <row r="40751" s="197" customFormat="1" ht="12.75" x14ac:dyDescent="0.2"/>
    <row r="40752" s="197" customFormat="1" ht="12.75" x14ac:dyDescent="0.2"/>
    <row r="40753" s="197" customFormat="1" ht="12.75" x14ac:dyDescent="0.2"/>
    <row r="40754" s="197" customFormat="1" ht="12.75" x14ac:dyDescent="0.2"/>
    <row r="40755" s="197" customFormat="1" ht="12.75" x14ac:dyDescent="0.2"/>
    <row r="40756" s="197" customFormat="1" ht="12.75" x14ac:dyDescent="0.2"/>
    <row r="40757" s="197" customFormat="1" ht="12.75" x14ac:dyDescent="0.2"/>
    <row r="40758" s="197" customFormat="1" ht="12.75" x14ac:dyDescent="0.2"/>
    <row r="40759" s="197" customFormat="1" ht="12.75" x14ac:dyDescent="0.2"/>
    <row r="40760" s="197" customFormat="1" ht="12.75" x14ac:dyDescent="0.2"/>
    <row r="40761" s="197" customFormat="1" ht="12.75" x14ac:dyDescent="0.2"/>
    <row r="40762" s="197" customFormat="1" ht="12.75" x14ac:dyDescent="0.2"/>
    <row r="40763" s="197" customFormat="1" ht="12.75" x14ac:dyDescent="0.2"/>
    <row r="40764" s="197" customFormat="1" ht="12.75" x14ac:dyDescent="0.2"/>
    <row r="40765" s="197" customFormat="1" ht="12.75" x14ac:dyDescent="0.2"/>
    <row r="40766" s="197" customFormat="1" ht="12.75" x14ac:dyDescent="0.2"/>
    <row r="40767" s="197" customFormat="1" ht="12.75" x14ac:dyDescent="0.2"/>
    <row r="40768" s="197" customFormat="1" ht="12.75" x14ac:dyDescent="0.2"/>
    <row r="40769" s="197" customFormat="1" ht="12.75" x14ac:dyDescent="0.2"/>
    <row r="40770" s="197" customFormat="1" ht="12.75" x14ac:dyDescent="0.2"/>
    <row r="40771" s="197" customFormat="1" ht="12.75" x14ac:dyDescent="0.2"/>
    <row r="40772" s="197" customFormat="1" ht="12.75" x14ac:dyDescent="0.2"/>
    <row r="40773" s="197" customFormat="1" ht="12.75" x14ac:dyDescent="0.2"/>
    <row r="40774" s="197" customFormat="1" ht="12.75" x14ac:dyDescent="0.2"/>
    <row r="40775" s="197" customFormat="1" ht="12.75" x14ac:dyDescent="0.2"/>
    <row r="40776" s="197" customFormat="1" ht="12.75" x14ac:dyDescent="0.2"/>
    <row r="40777" s="197" customFormat="1" ht="12.75" x14ac:dyDescent="0.2"/>
    <row r="40778" s="197" customFormat="1" ht="12.75" x14ac:dyDescent="0.2"/>
    <row r="40779" s="197" customFormat="1" ht="12.75" x14ac:dyDescent="0.2"/>
    <row r="40780" s="197" customFormat="1" ht="12.75" x14ac:dyDescent="0.2"/>
    <row r="40781" s="197" customFormat="1" ht="12.75" x14ac:dyDescent="0.2"/>
    <row r="40782" s="197" customFormat="1" ht="12.75" x14ac:dyDescent="0.2"/>
    <row r="40783" s="197" customFormat="1" ht="12.75" x14ac:dyDescent="0.2"/>
    <row r="40784" s="197" customFormat="1" ht="12.75" x14ac:dyDescent="0.2"/>
    <row r="40785" s="197" customFormat="1" ht="12.75" x14ac:dyDescent="0.2"/>
    <row r="40786" s="197" customFormat="1" ht="12.75" x14ac:dyDescent="0.2"/>
    <row r="40787" s="197" customFormat="1" ht="12.75" x14ac:dyDescent="0.2"/>
    <row r="40788" s="197" customFormat="1" ht="12.75" x14ac:dyDescent="0.2"/>
    <row r="40789" s="197" customFormat="1" ht="12.75" x14ac:dyDescent="0.2"/>
    <row r="40790" s="197" customFormat="1" ht="12.75" x14ac:dyDescent="0.2"/>
    <row r="40791" s="197" customFormat="1" ht="12.75" x14ac:dyDescent="0.2"/>
    <row r="40792" s="197" customFormat="1" ht="12.75" x14ac:dyDescent="0.2"/>
    <row r="40793" s="197" customFormat="1" ht="12.75" x14ac:dyDescent="0.2"/>
    <row r="40794" s="197" customFormat="1" ht="12.75" x14ac:dyDescent="0.2"/>
    <row r="40795" s="197" customFormat="1" ht="12.75" x14ac:dyDescent="0.2"/>
    <row r="40796" s="197" customFormat="1" ht="12.75" x14ac:dyDescent="0.2"/>
    <row r="40797" s="197" customFormat="1" ht="12.75" x14ac:dyDescent="0.2"/>
    <row r="40798" s="197" customFormat="1" ht="12.75" x14ac:dyDescent="0.2"/>
    <row r="40799" s="197" customFormat="1" ht="12.75" x14ac:dyDescent="0.2"/>
    <row r="40800" s="197" customFormat="1" ht="12.75" x14ac:dyDescent="0.2"/>
    <row r="40801" s="197" customFormat="1" ht="12.75" x14ac:dyDescent="0.2"/>
    <row r="40802" s="197" customFormat="1" ht="12.75" x14ac:dyDescent="0.2"/>
    <row r="40803" s="197" customFormat="1" ht="12.75" x14ac:dyDescent="0.2"/>
    <row r="40804" s="197" customFormat="1" ht="12.75" x14ac:dyDescent="0.2"/>
    <row r="40805" s="197" customFormat="1" ht="12.75" x14ac:dyDescent="0.2"/>
    <row r="40806" s="197" customFormat="1" ht="12.75" x14ac:dyDescent="0.2"/>
    <row r="40807" s="197" customFormat="1" ht="12.75" x14ac:dyDescent="0.2"/>
    <row r="40808" s="197" customFormat="1" ht="12.75" x14ac:dyDescent="0.2"/>
    <row r="40809" s="197" customFormat="1" ht="12.75" x14ac:dyDescent="0.2"/>
    <row r="40810" s="197" customFormat="1" ht="12.75" x14ac:dyDescent="0.2"/>
    <row r="40811" s="197" customFormat="1" ht="12.75" x14ac:dyDescent="0.2"/>
    <row r="40812" s="197" customFormat="1" ht="12.75" x14ac:dyDescent="0.2"/>
    <row r="40813" s="197" customFormat="1" ht="12.75" x14ac:dyDescent="0.2"/>
    <row r="40814" s="197" customFormat="1" ht="12.75" x14ac:dyDescent="0.2"/>
    <row r="40815" s="197" customFormat="1" ht="12.75" x14ac:dyDescent="0.2"/>
    <row r="40816" s="197" customFormat="1" ht="12.75" x14ac:dyDescent="0.2"/>
    <row r="40817" s="197" customFormat="1" ht="12.75" x14ac:dyDescent="0.2"/>
    <row r="40818" s="197" customFormat="1" ht="12.75" x14ac:dyDescent="0.2"/>
    <row r="40819" s="197" customFormat="1" ht="12.75" x14ac:dyDescent="0.2"/>
    <row r="40820" s="197" customFormat="1" ht="12.75" x14ac:dyDescent="0.2"/>
    <row r="40821" s="197" customFormat="1" ht="12.75" x14ac:dyDescent="0.2"/>
    <row r="40822" s="197" customFormat="1" ht="12.75" x14ac:dyDescent="0.2"/>
    <row r="40823" s="197" customFormat="1" ht="12.75" x14ac:dyDescent="0.2"/>
    <row r="40824" s="197" customFormat="1" ht="12.75" x14ac:dyDescent="0.2"/>
    <row r="40825" s="197" customFormat="1" ht="12.75" x14ac:dyDescent="0.2"/>
    <row r="40826" s="197" customFormat="1" ht="12.75" x14ac:dyDescent="0.2"/>
    <row r="40827" s="197" customFormat="1" ht="12.75" x14ac:dyDescent="0.2"/>
    <row r="40828" s="197" customFormat="1" ht="12.75" x14ac:dyDescent="0.2"/>
    <row r="40829" s="197" customFormat="1" ht="12.75" x14ac:dyDescent="0.2"/>
    <row r="40830" s="197" customFormat="1" ht="12.75" x14ac:dyDescent="0.2"/>
    <row r="40831" s="197" customFormat="1" ht="12.75" x14ac:dyDescent="0.2"/>
    <row r="40832" s="197" customFormat="1" ht="12.75" x14ac:dyDescent="0.2"/>
    <row r="40833" s="197" customFormat="1" ht="12.75" x14ac:dyDescent="0.2"/>
    <row r="40834" s="197" customFormat="1" ht="12.75" x14ac:dyDescent="0.2"/>
    <row r="40835" s="197" customFormat="1" ht="12.75" x14ac:dyDescent="0.2"/>
    <row r="40836" s="197" customFormat="1" ht="12.75" x14ac:dyDescent="0.2"/>
    <row r="40837" s="197" customFormat="1" ht="12.75" x14ac:dyDescent="0.2"/>
    <row r="40838" s="197" customFormat="1" ht="12.75" x14ac:dyDescent="0.2"/>
    <row r="40839" s="197" customFormat="1" ht="12.75" x14ac:dyDescent="0.2"/>
    <row r="40840" s="197" customFormat="1" ht="12.75" x14ac:dyDescent="0.2"/>
    <row r="40841" s="197" customFormat="1" ht="12.75" x14ac:dyDescent="0.2"/>
    <row r="40842" s="197" customFormat="1" ht="12.75" x14ac:dyDescent="0.2"/>
    <row r="40843" s="197" customFormat="1" ht="12.75" x14ac:dyDescent="0.2"/>
    <row r="40844" s="197" customFormat="1" ht="12.75" x14ac:dyDescent="0.2"/>
    <row r="40845" s="197" customFormat="1" ht="12.75" x14ac:dyDescent="0.2"/>
    <row r="40846" s="197" customFormat="1" ht="12.75" x14ac:dyDescent="0.2"/>
    <row r="40847" s="197" customFormat="1" ht="12.75" x14ac:dyDescent="0.2"/>
    <row r="40848" s="197" customFormat="1" ht="12.75" x14ac:dyDescent="0.2"/>
    <row r="40849" s="197" customFormat="1" ht="12.75" x14ac:dyDescent="0.2"/>
    <row r="40850" s="197" customFormat="1" ht="12.75" x14ac:dyDescent="0.2"/>
    <row r="40851" s="197" customFormat="1" ht="12.75" x14ac:dyDescent="0.2"/>
    <row r="40852" s="197" customFormat="1" ht="12.75" x14ac:dyDescent="0.2"/>
    <row r="40853" s="197" customFormat="1" ht="12.75" x14ac:dyDescent="0.2"/>
    <row r="40854" s="197" customFormat="1" ht="12.75" x14ac:dyDescent="0.2"/>
    <row r="40855" s="197" customFormat="1" ht="12.75" x14ac:dyDescent="0.2"/>
    <row r="40856" s="197" customFormat="1" ht="12.75" x14ac:dyDescent="0.2"/>
    <row r="40857" s="197" customFormat="1" ht="12.75" x14ac:dyDescent="0.2"/>
    <row r="40858" s="197" customFormat="1" ht="12.75" x14ac:dyDescent="0.2"/>
    <row r="40859" s="197" customFormat="1" ht="12.75" x14ac:dyDescent="0.2"/>
    <row r="40860" s="197" customFormat="1" ht="12.75" x14ac:dyDescent="0.2"/>
    <row r="40861" s="197" customFormat="1" ht="12.75" x14ac:dyDescent="0.2"/>
    <row r="40862" s="197" customFormat="1" ht="12.75" x14ac:dyDescent="0.2"/>
    <row r="40863" s="197" customFormat="1" ht="12.75" x14ac:dyDescent="0.2"/>
    <row r="40864" s="197" customFormat="1" ht="12.75" x14ac:dyDescent="0.2"/>
    <row r="40865" s="197" customFormat="1" ht="12.75" x14ac:dyDescent="0.2"/>
    <row r="40866" s="197" customFormat="1" ht="12.75" x14ac:dyDescent="0.2"/>
    <row r="40867" s="197" customFormat="1" ht="12.75" x14ac:dyDescent="0.2"/>
    <row r="40868" s="197" customFormat="1" ht="12.75" x14ac:dyDescent="0.2"/>
    <row r="40869" s="197" customFormat="1" ht="12.75" x14ac:dyDescent="0.2"/>
    <row r="40870" s="197" customFormat="1" ht="12.75" x14ac:dyDescent="0.2"/>
    <row r="40871" s="197" customFormat="1" ht="12.75" x14ac:dyDescent="0.2"/>
    <row r="40872" s="197" customFormat="1" ht="12.75" x14ac:dyDescent="0.2"/>
    <row r="40873" s="197" customFormat="1" ht="12.75" x14ac:dyDescent="0.2"/>
    <row r="40874" s="197" customFormat="1" ht="12.75" x14ac:dyDescent="0.2"/>
    <row r="40875" s="197" customFormat="1" ht="12.75" x14ac:dyDescent="0.2"/>
    <row r="40876" s="197" customFormat="1" ht="12.75" x14ac:dyDescent="0.2"/>
    <row r="40877" s="197" customFormat="1" ht="12.75" x14ac:dyDescent="0.2"/>
    <row r="40878" s="197" customFormat="1" ht="12.75" x14ac:dyDescent="0.2"/>
    <row r="40879" s="197" customFormat="1" ht="12.75" x14ac:dyDescent="0.2"/>
    <row r="40880" s="197" customFormat="1" ht="12.75" x14ac:dyDescent="0.2"/>
    <row r="40881" s="197" customFormat="1" ht="12.75" x14ac:dyDescent="0.2"/>
    <row r="40882" s="197" customFormat="1" ht="12.75" x14ac:dyDescent="0.2"/>
    <row r="40883" s="197" customFormat="1" ht="12.75" x14ac:dyDescent="0.2"/>
    <row r="40884" s="197" customFormat="1" ht="12.75" x14ac:dyDescent="0.2"/>
    <row r="40885" s="197" customFormat="1" ht="12.75" x14ac:dyDescent="0.2"/>
    <row r="40886" s="197" customFormat="1" ht="12.75" x14ac:dyDescent="0.2"/>
    <row r="40887" s="197" customFormat="1" ht="12.75" x14ac:dyDescent="0.2"/>
    <row r="40888" s="197" customFormat="1" ht="12.75" x14ac:dyDescent="0.2"/>
    <row r="40889" s="197" customFormat="1" ht="12.75" x14ac:dyDescent="0.2"/>
    <row r="40890" s="197" customFormat="1" ht="12.75" x14ac:dyDescent="0.2"/>
    <row r="40891" s="197" customFormat="1" ht="12.75" x14ac:dyDescent="0.2"/>
    <row r="40892" s="197" customFormat="1" ht="12.75" x14ac:dyDescent="0.2"/>
    <row r="40893" s="197" customFormat="1" ht="12.75" x14ac:dyDescent="0.2"/>
    <row r="40894" s="197" customFormat="1" ht="12.75" x14ac:dyDescent="0.2"/>
    <row r="40895" s="197" customFormat="1" ht="12.75" x14ac:dyDescent="0.2"/>
    <row r="40896" s="197" customFormat="1" ht="12.75" x14ac:dyDescent="0.2"/>
    <row r="40897" s="197" customFormat="1" ht="12.75" x14ac:dyDescent="0.2"/>
    <row r="40898" s="197" customFormat="1" ht="12.75" x14ac:dyDescent="0.2"/>
    <row r="40899" s="197" customFormat="1" ht="12.75" x14ac:dyDescent="0.2"/>
    <row r="40900" s="197" customFormat="1" ht="12.75" x14ac:dyDescent="0.2"/>
    <row r="40901" s="197" customFormat="1" ht="12.75" x14ac:dyDescent="0.2"/>
    <row r="40902" s="197" customFormat="1" ht="12.75" x14ac:dyDescent="0.2"/>
    <row r="40903" s="197" customFormat="1" ht="12.75" x14ac:dyDescent="0.2"/>
    <row r="40904" s="197" customFormat="1" ht="12.75" x14ac:dyDescent="0.2"/>
    <row r="40905" s="197" customFormat="1" ht="12.75" x14ac:dyDescent="0.2"/>
    <row r="40906" s="197" customFormat="1" ht="12.75" x14ac:dyDescent="0.2"/>
    <row r="40907" s="197" customFormat="1" ht="12.75" x14ac:dyDescent="0.2"/>
    <row r="40908" s="197" customFormat="1" ht="12.75" x14ac:dyDescent="0.2"/>
    <row r="40909" s="197" customFormat="1" ht="12.75" x14ac:dyDescent="0.2"/>
    <row r="40910" s="197" customFormat="1" ht="12.75" x14ac:dyDescent="0.2"/>
    <row r="40911" s="197" customFormat="1" ht="12.75" x14ac:dyDescent="0.2"/>
    <row r="40912" s="197" customFormat="1" ht="12.75" x14ac:dyDescent="0.2"/>
    <row r="40913" s="197" customFormat="1" ht="12.75" x14ac:dyDescent="0.2"/>
    <row r="40914" s="197" customFormat="1" ht="12.75" x14ac:dyDescent="0.2"/>
    <row r="40915" s="197" customFormat="1" ht="12.75" x14ac:dyDescent="0.2"/>
    <row r="40916" s="197" customFormat="1" ht="12.75" x14ac:dyDescent="0.2"/>
    <row r="40917" s="197" customFormat="1" ht="12.75" x14ac:dyDescent="0.2"/>
    <row r="40918" s="197" customFormat="1" ht="12.75" x14ac:dyDescent="0.2"/>
    <row r="40919" s="197" customFormat="1" ht="12.75" x14ac:dyDescent="0.2"/>
    <row r="40920" s="197" customFormat="1" ht="12.75" x14ac:dyDescent="0.2"/>
    <row r="40921" s="197" customFormat="1" ht="12.75" x14ac:dyDescent="0.2"/>
    <row r="40922" s="197" customFormat="1" ht="12.75" x14ac:dyDescent="0.2"/>
    <row r="40923" s="197" customFormat="1" ht="12.75" x14ac:dyDescent="0.2"/>
    <row r="40924" s="197" customFormat="1" ht="12.75" x14ac:dyDescent="0.2"/>
    <row r="40925" s="197" customFormat="1" ht="12.75" x14ac:dyDescent="0.2"/>
    <row r="40926" s="197" customFormat="1" ht="12.75" x14ac:dyDescent="0.2"/>
    <row r="40927" s="197" customFormat="1" ht="12.75" x14ac:dyDescent="0.2"/>
    <row r="40928" s="197" customFormat="1" ht="12.75" x14ac:dyDescent="0.2"/>
    <row r="40929" s="197" customFormat="1" ht="12.75" x14ac:dyDescent="0.2"/>
    <row r="40930" s="197" customFormat="1" ht="12.75" x14ac:dyDescent="0.2"/>
    <row r="40931" s="197" customFormat="1" ht="12.75" x14ac:dyDescent="0.2"/>
    <row r="40932" s="197" customFormat="1" ht="12.75" x14ac:dyDescent="0.2"/>
    <row r="40933" s="197" customFormat="1" ht="12.75" x14ac:dyDescent="0.2"/>
    <row r="40934" s="197" customFormat="1" ht="12.75" x14ac:dyDescent="0.2"/>
    <row r="40935" s="197" customFormat="1" ht="12.75" x14ac:dyDescent="0.2"/>
    <row r="40936" s="197" customFormat="1" ht="12.75" x14ac:dyDescent="0.2"/>
    <row r="40937" s="197" customFormat="1" ht="12.75" x14ac:dyDescent="0.2"/>
    <row r="40938" s="197" customFormat="1" ht="12.75" x14ac:dyDescent="0.2"/>
    <row r="40939" s="197" customFormat="1" ht="12.75" x14ac:dyDescent="0.2"/>
    <row r="40940" s="197" customFormat="1" ht="12.75" x14ac:dyDescent="0.2"/>
    <row r="40941" s="197" customFormat="1" ht="12.75" x14ac:dyDescent="0.2"/>
    <row r="40942" s="197" customFormat="1" ht="12.75" x14ac:dyDescent="0.2"/>
    <row r="40943" s="197" customFormat="1" ht="12.75" x14ac:dyDescent="0.2"/>
    <row r="40944" s="197" customFormat="1" ht="12.75" x14ac:dyDescent="0.2"/>
    <row r="40945" s="197" customFormat="1" ht="12.75" x14ac:dyDescent="0.2"/>
    <row r="40946" s="197" customFormat="1" ht="12.75" x14ac:dyDescent="0.2"/>
    <row r="40947" s="197" customFormat="1" ht="12.75" x14ac:dyDescent="0.2"/>
    <row r="40948" s="197" customFormat="1" ht="12.75" x14ac:dyDescent="0.2"/>
    <row r="40949" s="197" customFormat="1" ht="12.75" x14ac:dyDescent="0.2"/>
    <row r="40950" s="197" customFormat="1" ht="12.75" x14ac:dyDescent="0.2"/>
    <row r="40951" s="197" customFormat="1" ht="12.75" x14ac:dyDescent="0.2"/>
    <row r="40952" s="197" customFormat="1" ht="12.75" x14ac:dyDescent="0.2"/>
    <row r="40953" s="197" customFormat="1" ht="12.75" x14ac:dyDescent="0.2"/>
    <row r="40954" s="197" customFormat="1" ht="12.75" x14ac:dyDescent="0.2"/>
    <row r="40955" s="197" customFormat="1" ht="12.75" x14ac:dyDescent="0.2"/>
    <row r="40956" s="197" customFormat="1" ht="12.75" x14ac:dyDescent="0.2"/>
    <row r="40957" s="197" customFormat="1" ht="12.75" x14ac:dyDescent="0.2"/>
    <row r="40958" s="197" customFormat="1" ht="12.75" x14ac:dyDescent="0.2"/>
    <row r="40959" s="197" customFormat="1" ht="12.75" x14ac:dyDescent="0.2"/>
    <row r="40960" s="197" customFormat="1" ht="12.75" x14ac:dyDescent="0.2"/>
    <row r="40961" s="197" customFormat="1" ht="12.75" x14ac:dyDescent="0.2"/>
    <row r="40962" s="197" customFormat="1" ht="12.75" x14ac:dyDescent="0.2"/>
    <row r="40963" s="197" customFormat="1" ht="12.75" x14ac:dyDescent="0.2"/>
    <row r="40964" s="197" customFormat="1" ht="12.75" x14ac:dyDescent="0.2"/>
    <row r="40965" s="197" customFormat="1" ht="12.75" x14ac:dyDescent="0.2"/>
    <row r="40966" s="197" customFormat="1" ht="12.75" x14ac:dyDescent="0.2"/>
    <row r="40967" s="197" customFormat="1" ht="12.75" x14ac:dyDescent="0.2"/>
    <row r="40968" s="197" customFormat="1" ht="12.75" x14ac:dyDescent="0.2"/>
    <row r="40969" s="197" customFormat="1" ht="12.75" x14ac:dyDescent="0.2"/>
    <row r="40970" s="197" customFormat="1" ht="12.75" x14ac:dyDescent="0.2"/>
    <row r="40971" s="197" customFormat="1" ht="12.75" x14ac:dyDescent="0.2"/>
    <row r="40972" s="197" customFormat="1" ht="12.75" x14ac:dyDescent="0.2"/>
    <row r="40973" s="197" customFormat="1" ht="12.75" x14ac:dyDescent="0.2"/>
    <row r="40974" s="197" customFormat="1" ht="12.75" x14ac:dyDescent="0.2"/>
    <row r="40975" s="197" customFormat="1" ht="12.75" x14ac:dyDescent="0.2"/>
    <row r="40976" s="197" customFormat="1" ht="12.75" x14ac:dyDescent="0.2"/>
    <row r="40977" s="197" customFormat="1" ht="12.75" x14ac:dyDescent="0.2"/>
    <row r="40978" s="197" customFormat="1" ht="12.75" x14ac:dyDescent="0.2"/>
    <row r="40979" s="197" customFormat="1" ht="12.75" x14ac:dyDescent="0.2"/>
    <row r="40980" s="197" customFormat="1" ht="12.75" x14ac:dyDescent="0.2"/>
    <row r="40981" s="197" customFormat="1" ht="12.75" x14ac:dyDescent="0.2"/>
    <row r="40982" s="197" customFormat="1" ht="12.75" x14ac:dyDescent="0.2"/>
    <row r="40983" s="197" customFormat="1" ht="12.75" x14ac:dyDescent="0.2"/>
    <row r="40984" s="197" customFormat="1" ht="12.75" x14ac:dyDescent="0.2"/>
    <row r="40985" s="197" customFormat="1" ht="12.75" x14ac:dyDescent="0.2"/>
    <row r="40986" s="197" customFormat="1" ht="12.75" x14ac:dyDescent="0.2"/>
    <row r="40987" s="197" customFormat="1" ht="12.75" x14ac:dyDescent="0.2"/>
    <row r="40988" s="197" customFormat="1" ht="12.75" x14ac:dyDescent="0.2"/>
    <row r="40989" s="197" customFormat="1" ht="12.75" x14ac:dyDescent="0.2"/>
    <row r="40990" s="197" customFormat="1" ht="12.75" x14ac:dyDescent="0.2"/>
    <row r="40991" s="197" customFormat="1" ht="12.75" x14ac:dyDescent="0.2"/>
    <row r="40992" s="197" customFormat="1" ht="12.75" x14ac:dyDescent="0.2"/>
    <row r="40993" s="197" customFormat="1" ht="12.75" x14ac:dyDescent="0.2"/>
    <row r="40994" s="197" customFormat="1" ht="12.75" x14ac:dyDescent="0.2"/>
    <row r="40995" s="197" customFormat="1" ht="12.75" x14ac:dyDescent="0.2"/>
    <row r="40996" s="197" customFormat="1" ht="12.75" x14ac:dyDescent="0.2"/>
    <row r="40997" s="197" customFormat="1" ht="12.75" x14ac:dyDescent="0.2"/>
    <row r="40998" s="197" customFormat="1" ht="12.75" x14ac:dyDescent="0.2"/>
    <row r="40999" s="197" customFormat="1" ht="12.75" x14ac:dyDescent="0.2"/>
    <row r="41000" s="197" customFormat="1" ht="12.75" x14ac:dyDescent="0.2"/>
    <row r="41001" s="197" customFormat="1" ht="12.75" x14ac:dyDescent="0.2"/>
    <row r="41002" s="197" customFormat="1" ht="12.75" x14ac:dyDescent="0.2"/>
    <row r="41003" s="197" customFormat="1" ht="12.75" x14ac:dyDescent="0.2"/>
    <row r="41004" s="197" customFormat="1" ht="12.75" x14ac:dyDescent="0.2"/>
    <row r="41005" s="197" customFormat="1" ht="12.75" x14ac:dyDescent="0.2"/>
    <row r="41006" s="197" customFormat="1" ht="12.75" x14ac:dyDescent="0.2"/>
    <row r="41007" s="197" customFormat="1" ht="12.75" x14ac:dyDescent="0.2"/>
    <row r="41008" s="197" customFormat="1" ht="12.75" x14ac:dyDescent="0.2"/>
    <row r="41009" s="197" customFormat="1" ht="12.75" x14ac:dyDescent="0.2"/>
    <row r="41010" s="197" customFormat="1" ht="12.75" x14ac:dyDescent="0.2"/>
    <row r="41011" s="197" customFormat="1" ht="12.75" x14ac:dyDescent="0.2"/>
    <row r="41012" s="197" customFormat="1" ht="12.75" x14ac:dyDescent="0.2"/>
    <row r="41013" s="197" customFormat="1" ht="12.75" x14ac:dyDescent="0.2"/>
    <row r="41014" s="197" customFormat="1" ht="12.75" x14ac:dyDescent="0.2"/>
    <row r="41015" s="197" customFormat="1" ht="12.75" x14ac:dyDescent="0.2"/>
    <row r="41016" s="197" customFormat="1" ht="12.75" x14ac:dyDescent="0.2"/>
    <row r="41017" s="197" customFormat="1" ht="12.75" x14ac:dyDescent="0.2"/>
    <row r="41018" s="197" customFormat="1" ht="12.75" x14ac:dyDescent="0.2"/>
    <row r="41019" s="197" customFormat="1" ht="12.75" x14ac:dyDescent="0.2"/>
    <row r="41020" s="197" customFormat="1" ht="12.75" x14ac:dyDescent="0.2"/>
    <row r="41021" s="197" customFormat="1" ht="12.75" x14ac:dyDescent="0.2"/>
    <row r="41022" s="197" customFormat="1" ht="12.75" x14ac:dyDescent="0.2"/>
    <row r="41023" s="197" customFormat="1" ht="12.75" x14ac:dyDescent="0.2"/>
    <row r="41024" s="197" customFormat="1" ht="12.75" x14ac:dyDescent="0.2"/>
    <row r="41025" s="197" customFormat="1" ht="12.75" x14ac:dyDescent="0.2"/>
    <row r="41026" s="197" customFormat="1" ht="12.75" x14ac:dyDescent="0.2"/>
    <row r="41027" s="197" customFormat="1" ht="12.75" x14ac:dyDescent="0.2"/>
    <row r="41028" s="197" customFormat="1" ht="12.75" x14ac:dyDescent="0.2"/>
    <row r="41029" s="197" customFormat="1" ht="12.75" x14ac:dyDescent="0.2"/>
    <row r="41030" s="197" customFormat="1" ht="12.75" x14ac:dyDescent="0.2"/>
    <row r="41031" s="197" customFormat="1" ht="12.75" x14ac:dyDescent="0.2"/>
    <row r="41032" s="197" customFormat="1" ht="12.75" x14ac:dyDescent="0.2"/>
    <row r="41033" s="197" customFormat="1" ht="12.75" x14ac:dyDescent="0.2"/>
    <row r="41034" s="197" customFormat="1" ht="12.75" x14ac:dyDescent="0.2"/>
    <row r="41035" s="197" customFormat="1" ht="12.75" x14ac:dyDescent="0.2"/>
    <row r="41036" s="197" customFormat="1" ht="12.75" x14ac:dyDescent="0.2"/>
    <row r="41037" s="197" customFormat="1" ht="12.75" x14ac:dyDescent="0.2"/>
    <row r="41038" s="197" customFormat="1" ht="12.75" x14ac:dyDescent="0.2"/>
    <row r="41039" s="197" customFormat="1" ht="12.75" x14ac:dyDescent="0.2"/>
    <row r="41040" s="197" customFormat="1" ht="12.75" x14ac:dyDescent="0.2"/>
    <row r="41041" s="197" customFormat="1" ht="12.75" x14ac:dyDescent="0.2"/>
    <row r="41042" s="197" customFormat="1" ht="12.75" x14ac:dyDescent="0.2"/>
    <row r="41043" s="197" customFormat="1" ht="12.75" x14ac:dyDescent="0.2"/>
    <row r="41044" s="197" customFormat="1" ht="12.75" x14ac:dyDescent="0.2"/>
    <row r="41045" s="197" customFormat="1" ht="12.75" x14ac:dyDescent="0.2"/>
    <row r="41046" s="197" customFormat="1" ht="12.75" x14ac:dyDescent="0.2"/>
    <row r="41047" s="197" customFormat="1" ht="12.75" x14ac:dyDescent="0.2"/>
    <row r="41048" s="197" customFormat="1" ht="12.75" x14ac:dyDescent="0.2"/>
    <row r="41049" s="197" customFormat="1" ht="12.75" x14ac:dyDescent="0.2"/>
    <row r="41050" s="197" customFormat="1" ht="12.75" x14ac:dyDescent="0.2"/>
    <row r="41051" s="197" customFormat="1" ht="12.75" x14ac:dyDescent="0.2"/>
    <row r="41052" s="197" customFormat="1" ht="12.75" x14ac:dyDescent="0.2"/>
    <row r="41053" s="197" customFormat="1" ht="12.75" x14ac:dyDescent="0.2"/>
    <row r="41054" s="197" customFormat="1" ht="12.75" x14ac:dyDescent="0.2"/>
    <row r="41055" s="197" customFormat="1" ht="12.75" x14ac:dyDescent="0.2"/>
    <row r="41056" s="197" customFormat="1" ht="12.75" x14ac:dyDescent="0.2"/>
    <row r="41057" s="197" customFormat="1" ht="12.75" x14ac:dyDescent="0.2"/>
    <row r="41058" s="197" customFormat="1" ht="12.75" x14ac:dyDescent="0.2"/>
    <row r="41059" s="197" customFormat="1" ht="12.75" x14ac:dyDescent="0.2"/>
    <row r="41060" s="197" customFormat="1" ht="12.75" x14ac:dyDescent="0.2"/>
    <row r="41061" s="197" customFormat="1" ht="12.75" x14ac:dyDescent="0.2"/>
    <row r="41062" s="197" customFormat="1" ht="12.75" x14ac:dyDescent="0.2"/>
    <row r="41063" s="197" customFormat="1" ht="12.75" x14ac:dyDescent="0.2"/>
    <row r="41064" s="197" customFormat="1" ht="12.75" x14ac:dyDescent="0.2"/>
    <row r="41065" s="197" customFormat="1" ht="12.75" x14ac:dyDescent="0.2"/>
    <row r="41066" s="197" customFormat="1" ht="12.75" x14ac:dyDescent="0.2"/>
    <row r="41067" s="197" customFormat="1" ht="12.75" x14ac:dyDescent="0.2"/>
    <row r="41068" s="197" customFormat="1" ht="12.75" x14ac:dyDescent="0.2"/>
    <row r="41069" s="197" customFormat="1" ht="12.75" x14ac:dyDescent="0.2"/>
    <row r="41070" s="197" customFormat="1" ht="12.75" x14ac:dyDescent="0.2"/>
    <row r="41071" s="197" customFormat="1" ht="12.75" x14ac:dyDescent="0.2"/>
    <row r="41072" s="197" customFormat="1" ht="12.75" x14ac:dyDescent="0.2"/>
    <row r="41073" s="197" customFormat="1" ht="12.75" x14ac:dyDescent="0.2"/>
    <row r="41074" s="197" customFormat="1" ht="12.75" x14ac:dyDescent="0.2"/>
    <row r="41075" s="197" customFormat="1" ht="12.75" x14ac:dyDescent="0.2"/>
    <row r="41076" s="197" customFormat="1" ht="12.75" x14ac:dyDescent="0.2"/>
    <row r="41077" s="197" customFormat="1" ht="12.75" x14ac:dyDescent="0.2"/>
    <row r="41078" s="197" customFormat="1" ht="12.75" x14ac:dyDescent="0.2"/>
    <row r="41079" s="197" customFormat="1" ht="12.75" x14ac:dyDescent="0.2"/>
    <row r="41080" s="197" customFormat="1" ht="12.75" x14ac:dyDescent="0.2"/>
    <row r="41081" s="197" customFormat="1" ht="12.75" x14ac:dyDescent="0.2"/>
    <row r="41082" s="197" customFormat="1" ht="12.75" x14ac:dyDescent="0.2"/>
    <row r="41083" s="197" customFormat="1" ht="12.75" x14ac:dyDescent="0.2"/>
    <row r="41084" s="197" customFormat="1" ht="12.75" x14ac:dyDescent="0.2"/>
    <row r="41085" s="197" customFormat="1" ht="12.75" x14ac:dyDescent="0.2"/>
    <row r="41086" s="197" customFormat="1" ht="12.75" x14ac:dyDescent="0.2"/>
    <row r="41087" s="197" customFormat="1" ht="12.75" x14ac:dyDescent="0.2"/>
    <row r="41088" s="197" customFormat="1" ht="12.75" x14ac:dyDescent="0.2"/>
    <row r="41089" s="197" customFormat="1" ht="12.75" x14ac:dyDescent="0.2"/>
    <row r="41090" s="197" customFormat="1" ht="12.75" x14ac:dyDescent="0.2"/>
    <row r="41091" s="197" customFormat="1" ht="12.75" x14ac:dyDescent="0.2"/>
    <row r="41092" s="197" customFormat="1" ht="12.75" x14ac:dyDescent="0.2"/>
    <row r="41093" s="197" customFormat="1" ht="12.75" x14ac:dyDescent="0.2"/>
    <row r="41094" s="197" customFormat="1" ht="12.75" x14ac:dyDescent="0.2"/>
    <row r="41095" s="197" customFormat="1" ht="12.75" x14ac:dyDescent="0.2"/>
    <row r="41096" s="197" customFormat="1" ht="12.75" x14ac:dyDescent="0.2"/>
    <row r="41097" s="197" customFormat="1" ht="12.75" x14ac:dyDescent="0.2"/>
    <row r="41098" s="197" customFormat="1" ht="12.75" x14ac:dyDescent="0.2"/>
    <row r="41099" s="197" customFormat="1" ht="12.75" x14ac:dyDescent="0.2"/>
    <row r="41100" s="197" customFormat="1" ht="12.75" x14ac:dyDescent="0.2"/>
    <row r="41101" s="197" customFormat="1" ht="12.75" x14ac:dyDescent="0.2"/>
    <row r="41102" s="197" customFormat="1" ht="12.75" x14ac:dyDescent="0.2"/>
    <row r="41103" s="197" customFormat="1" ht="12.75" x14ac:dyDescent="0.2"/>
    <row r="41104" s="197" customFormat="1" ht="12.75" x14ac:dyDescent="0.2"/>
    <row r="41105" s="197" customFormat="1" ht="12.75" x14ac:dyDescent="0.2"/>
    <row r="41106" s="197" customFormat="1" ht="12.75" x14ac:dyDescent="0.2"/>
    <row r="41107" s="197" customFormat="1" ht="12.75" x14ac:dyDescent="0.2"/>
    <row r="41108" s="197" customFormat="1" ht="12.75" x14ac:dyDescent="0.2"/>
    <row r="41109" s="197" customFormat="1" ht="12.75" x14ac:dyDescent="0.2"/>
    <row r="41110" s="197" customFormat="1" ht="12.75" x14ac:dyDescent="0.2"/>
    <row r="41111" s="197" customFormat="1" ht="12.75" x14ac:dyDescent="0.2"/>
    <row r="41112" s="197" customFormat="1" ht="12.75" x14ac:dyDescent="0.2"/>
    <row r="41113" s="197" customFormat="1" ht="12.75" x14ac:dyDescent="0.2"/>
    <row r="41114" s="197" customFormat="1" ht="12.75" x14ac:dyDescent="0.2"/>
    <row r="41115" s="197" customFormat="1" ht="12.75" x14ac:dyDescent="0.2"/>
    <row r="41116" s="197" customFormat="1" ht="12.75" x14ac:dyDescent="0.2"/>
    <row r="41117" s="197" customFormat="1" ht="12.75" x14ac:dyDescent="0.2"/>
    <row r="41118" s="197" customFormat="1" ht="12.75" x14ac:dyDescent="0.2"/>
    <row r="41119" s="197" customFormat="1" ht="12.75" x14ac:dyDescent="0.2"/>
    <row r="41120" s="197" customFormat="1" ht="12.75" x14ac:dyDescent="0.2"/>
    <row r="41121" s="197" customFormat="1" ht="12.75" x14ac:dyDescent="0.2"/>
    <row r="41122" s="197" customFormat="1" ht="12.75" x14ac:dyDescent="0.2"/>
    <row r="41123" s="197" customFormat="1" ht="12.75" x14ac:dyDescent="0.2"/>
    <row r="41124" s="197" customFormat="1" ht="12.75" x14ac:dyDescent="0.2"/>
    <row r="41125" s="197" customFormat="1" ht="12.75" x14ac:dyDescent="0.2"/>
    <row r="41126" s="197" customFormat="1" ht="12.75" x14ac:dyDescent="0.2"/>
    <row r="41127" s="197" customFormat="1" ht="12.75" x14ac:dyDescent="0.2"/>
    <row r="41128" s="197" customFormat="1" ht="12.75" x14ac:dyDescent="0.2"/>
    <row r="41129" s="197" customFormat="1" ht="12.75" x14ac:dyDescent="0.2"/>
    <row r="41130" s="197" customFormat="1" ht="12.75" x14ac:dyDescent="0.2"/>
    <row r="41131" s="197" customFormat="1" ht="12.75" x14ac:dyDescent="0.2"/>
    <row r="41132" s="197" customFormat="1" ht="12.75" x14ac:dyDescent="0.2"/>
    <row r="41133" s="197" customFormat="1" ht="12.75" x14ac:dyDescent="0.2"/>
    <row r="41134" s="197" customFormat="1" ht="12.75" x14ac:dyDescent="0.2"/>
    <row r="41135" s="197" customFormat="1" ht="12.75" x14ac:dyDescent="0.2"/>
    <row r="41136" s="197" customFormat="1" ht="12.75" x14ac:dyDescent="0.2"/>
    <row r="41137" s="197" customFormat="1" ht="12.75" x14ac:dyDescent="0.2"/>
    <row r="41138" s="197" customFormat="1" ht="12.75" x14ac:dyDescent="0.2"/>
    <row r="41139" s="197" customFormat="1" ht="12.75" x14ac:dyDescent="0.2"/>
    <row r="41140" s="197" customFormat="1" ht="12.75" x14ac:dyDescent="0.2"/>
    <row r="41141" s="197" customFormat="1" ht="12.75" x14ac:dyDescent="0.2"/>
    <row r="41142" s="197" customFormat="1" ht="12.75" x14ac:dyDescent="0.2"/>
    <row r="41143" s="197" customFormat="1" ht="12.75" x14ac:dyDescent="0.2"/>
    <row r="41144" s="197" customFormat="1" ht="12.75" x14ac:dyDescent="0.2"/>
    <row r="41145" s="197" customFormat="1" ht="12.75" x14ac:dyDescent="0.2"/>
    <row r="41146" s="197" customFormat="1" ht="12.75" x14ac:dyDescent="0.2"/>
    <row r="41147" s="197" customFormat="1" ht="12.75" x14ac:dyDescent="0.2"/>
    <row r="41148" s="197" customFormat="1" ht="12.75" x14ac:dyDescent="0.2"/>
    <row r="41149" s="197" customFormat="1" ht="12.75" x14ac:dyDescent="0.2"/>
    <row r="41150" s="197" customFormat="1" ht="12.75" x14ac:dyDescent="0.2"/>
    <row r="41151" s="197" customFormat="1" ht="12.75" x14ac:dyDescent="0.2"/>
    <row r="41152" s="197" customFormat="1" ht="12.75" x14ac:dyDescent="0.2"/>
    <row r="41153" s="197" customFormat="1" ht="12.75" x14ac:dyDescent="0.2"/>
    <row r="41154" s="197" customFormat="1" ht="12.75" x14ac:dyDescent="0.2"/>
    <row r="41155" s="197" customFormat="1" ht="12.75" x14ac:dyDescent="0.2"/>
    <row r="41156" s="197" customFormat="1" ht="12.75" x14ac:dyDescent="0.2"/>
    <row r="41157" s="197" customFormat="1" ht="12.75" x14ac:dyDescent="0.2"/>
    <row r="41158" s="197" customFormat="1" ht="12.75" x14ac:dyDescent="0.2"/>
    <row r="41159" s="197" customFormat="1" ht="12.75" x14ac:dyDescent="0.2"/>
    <row r="41160" s="197" customFormat="1" ht="12.75" x14ac:dyDescent="0.2"/>
    <row r="41161" s="197" customFormat="1" ht="12.75" x14ac:dyDescent="0.2"/>
    <row r="41162" s="197" customFormat="1" ht="12.75" x14ac:dyDescent="0.2"/>
    <row r="41163" s="197" customFormat="1" ht="12.75" x14ac:dyDescent="0.2"/>
    <row r="41164" s="197" customFormat="1" ht="12.75" x14ac:dyDescent="0.2"/>
    <row r="41165" s="197" customFormat="1" ht="12.75" x14ac:dyDescent="0.2"/>
    <row r="41166" s="197" customFormat="1" ht="12.75" x14ac:dyDescent="0.2"/>
    <row r="41167" s="197" customFormat="1" ht="12.75" x14ac:dyDescent="0.2"/>
    <row r="41168" s="197" customFormat="1" ht="12.75" x14ac:dyDescent="0.2"/>
    <row r="41169" s="197" customFormat="1" ht="12.75" x14ac:dyDescent="0.2"/>
    <row r="41170" s="197" customFormat="1" ht="12.75" x14ac:dyDescent="0.2"/>
    <row r="41171" s="197" customFormat="1" ht="12.75" x14ac:dyDescent="0.2"/>
    <row r="41172" s="197" customFormat="1" ht="12.75" x14ac:dyDescent="0.2"/>
    <row r="41173" s="197" customFormat="1" ht="12.75" x14ac:dyDescent="0.2"/>
    <row r="41174" s="197" customFormat="1" ht="12.75" x14ac:dyDescent="0.2"/>
    <row r="41175" s="197" customFormat="1" ht="12.75" x14ac:dyDescent="0.2"/>
    <row r="41176" s="197" customFormat="1" ht="12.75" x14ac:dyDescent="0.2"/>
    <row r="41177" s="197" customFormat="1" ht="12.75" x14ac:dyDescent="0.2"/>
    <row r="41178" s="197" customFormat="1" ht="12.75" x14ac:dyDescent="0.2"/>
    <row r="41179" s="197" customFormat="1" ht="12.75" x14ac:dyDescent="0.2"/>
    <row r="41180" s="197" customFormat="1" ht="12.75" x14ac:dyDescent="0.2"/>
    <row r="41181" s="197" customFormat="1" ht="12.75" x14ac:dyDescent="0.2"/>
    <row r="41182" s="197" customFormat="1" ht="12.75" x14ac:dyDescent="0.2"/>
    <row r="41183" s="197" customFormat="1" ht="12.75" x14ac:dyDescent="0.2"/>
    <row r="41184" s="197" customFormat="1" ht="12.75" x14ac:dyDescent="0.2"/>
    <row r="41185" s="197" customFormat="1" ht="12.75" x14ac:dyDescent="0.2"/>
    <row r="41186" s="197" customFormat="1" ht="12.75" x14ac:dyDescent="0.2"/>
    <row r="41187" s="197" customFormat="1" ht="12.75" x14ac:dyDescent="0.2"/>
    <row r="41188" s="197" customFormat="1" ht="12.75" x14ac:dyDescent="0.2"/>
    <row r="41189" s="197" customFormat="1" ht="12.75" x14ac:dyDescent="0.2"/>
    <row r="41190" s="197" customFormat="1" ht="12.75" x14ac:dyDescent="0.2"/>
    <row r="41191" s="197" customFormat="1" ht="12.75" x14ac:dyDescent="0.2"/>
    <row r="41192" s="197" customFormat="1" ht="12.75" x14ac:dyDescent="0.2"/>
    <row r="41193" s="197" customFormat="1" ht="12.75" x14ac:dyDescent="0.2"/>
    <row r="41194" s="197" customFormat="1" ht="12.75" x14ac:dyDescent="0.2"/>
    <row r="41195" s="197" customFormat="1" ht="12.75" x14ac:dyDescent="0.2"/>
    <row r="41196" s="197" customFormat="1" ht="12.75" x14ac:dyDescent="0.2"/>
    <row r="41197" s="197" customFormat="1" ht="12.75" x14ac:dyDescent="0.2"/>
    <row r="41198" s="197" customFormat="1" ht="12.75" x14ac:dyDescent="0.2"/>
    <row r="41199" s="197" customFormat="1" ht="12.75" x14ac:dyDescent="0.2"/>
    <row r="41200" s="197" customFormat="1" ht="12.75" x14ac:dyDescent="0.2"/>
    <row r="41201" s="197" customFormat="1" ht="12.75" x14ac:dyDescent="0.2"/>
    <row r="41202" s="197" customFormat="1" ht="12.75" x14ac:dyDescent="0.2"/>
    <row r="41203" s="197" customFormat="1" ht="12.75" x14ac:dyDescent="0.2"/>
    <row r="41204" s="197" customFormat="1" ht="12.75" x14ac:dyDescent="0.2"/>
    <row r="41205" s="197" customFormat="1" ht="12.75" x14ac:dyDescent="0.2"/>
    <row r="41206" s="197" customFormat="1" ht="12.75" x14ac:dyDescent="0.2"/>
    <row r="41207" s="197" customFormat="1" ht="12.75" x14ac:dyDescent="0.2"/>
    <row r="41208" s="197" customFormat="1" ht="12.75" x14ac:dyDescent="0.2"/>
    <row r="41209" s="197" customFormat="1" ht="12.75" x14ac:dyDescent="0.2"/>
    <row r="41210" s="197" customFormat="1" ht="12.75" x14ac:dyDescent="0.2"/>
    <row r="41211" s="197" customFormat="1" ht="12.75" x14ac:dyDescent="0.2"/>
    <row r="41212" s="197" customFormat="1" ht="12.75" x14ac:dyDescent="0.2"/>
    <row r="41213" s="197" customFormat="1" ht="12.75" x14ac:dyDescent="0.2"/>
    <row r="41214" s="197" customFormat="1" ht="12.75" x14ac:dyDescent="0.2"/>
    <row r="41215" s="197" customFormat="1" ht="12.75" x14ac:dyDescent="0.2"/>
    <row r="41216" s="197" customFormat="1" ht="12.75" x14ac:dyDescent="0.2"/>
    <row r="41217" s="197" customFormat="1" ht="12.75" x14ac:dyDescent="0.2"/>
    <row r="41218" s="197" customFormat="1" ht="12.75" x14ac:dyDescent="0.2"/>
    <row r="41219" s="197" customFormat="1" ht="12.75" x14ac:dyDescent="0.2"/>
    <row r="41220" s="197" customFormat="1" ht="12.75" x14ac:dyDescent="0.2"/>
    <row r="41221" s="197" customFormat="1" ht="12.75" x14ac:dyDescent="0.2"/>
    <row r="41222" s="197" customFormat="1" ht="12.75" x14ac:dyDescent="0.2"/>
    <row r="41223" s="197" customFormat="1" ht="12.75" x14ac:dyDescent="0.2"/>
    <row r="41224" s="197" customFormat="1" ht="12.75" x14ac:dyDescent="0.2"/>
    <row r="41225" s="197" customFormat="1" ht="12.75" x14ac:dyDescent="0.2"/>
    <row r="41226" s="197" customFormat="1" ht="12.75" x14ac:dyDescent="0.2"/>
    <row r="41227" s="197" customFormat="1" ht="12.75" x14ac:dyDescent="0.2"/>
    <row r="41228" s="197" customFormat="1" ht="12.75" x14ac:dyDescent="0.2"/>
    <row r="41229" s="197" customFormat="1" ht="12.75" x14ac:dyDescent="0.2"/>
    <row r="41230" s="197" customFormat="1" ht="12.75" x14ac:dyDescent="0.2"/>
    <row r="41231" s="197" customFormat="1" ht="12.75" x14ac:dyDescent="0.2"/>
    <row r="41232" s="197" customFormat="1" ht="12.75" x14ac:dyDescent="0.2"/>
    <row r="41233" s="197" customFormat="1" ht="12.75" x14ac:dyDescent="0.2"/>
    <row r="41234" s="197" customFormat="1" ht="12.75" x14ac:dyDescent="0.2"/>
    <row r="41235" s="197" customFormat="1" ht="12.75" x14ac:dyDescent="0.2"/>
    <row r="41236" s="197" customFormat="1" ht="12.75" x14ac:dyDescent="0.2"/>
    <row r="41237" s="197" customFormat="1" ht="12.75" x14ac:dyDescent="0.2"/>
    <row r="41238" s="197" customFormat="1" ht="12.75" x14ac:dyDescent="0.2"/>
    <row r="41239" s="197" customFormat="1" ht="12.75" x14ac:dyDescent="0.2"/>
    <row r="41240" s="197" customFormat="1" ht="12.75" x14ac:dyDescent="0.2"/>
    <row r="41241" s="197" customFormat="1" ht="12.75" x14ac:dyDescent="0.2"/>
    <row r="41242" s="197" customFormat="1" ht="12.75" x14ac:dyDescent="0.2"/>
    <row r="41243" s="197" customFormat="1" ht="12.75" x14ac:dyDescent="0.2"/>
    <row r="41244" s="197" customFormat="1" ht="12.75" x14ac:dyDescent="0.2"/>
    <row r="41245" s="197" customFormat="1" ht="12.75" x14ac:dyDescent="0.2"/>
    <row r="41246" s="197" customFormat="1" ht="12.75" x14ac:dyDescent="0.2"/>
    <row r="41247" s="197" customFormat="1" ht="12.75" x14ac:dyDescent="0.2"/>
    <row r="41248" s="197" customFormat="1" ht="12.75" x14ac:dyDescent="0.2"/>
    <row r="41249" s="197" customFormat="1" ht="12.75" x14ac:dyDescent="0.2"/>
    <row r="41250" s="197" customFormat="1" ht="12.75" x14ac:dyDescent="0.2"/>
    <row r="41251" s="197" customFormat="1" ht="12.75" x14ac:dyDescent="0.2"/>
    <row r="41252" s="197" customFormat="1" ht="12.75" x14ac:dyDescent="0.2"/>
    <row r="41253" s="197" customFormat="1" ht="12.75" x14ac:dyDescent="0.2"/>
    <row r="41254" s="197" customFormat="1" ht="12.75" x14ac:dyDescent="0.2"/>
    <row r="41255" s="197" customFormat="1" ht="12.75" x14ac:dyDescent="0.2"/>
    <row r="41256" s="197" customFormat="1" ht="12.75" x14ac:dyDescent="0.2"/>
    <row r="41257" s="197" customFormat="1" ht="12.75" x14ac:dyDescent="0.2"/>
    <row r="41258" s="197" customFormat="1" ht="12.75" x14ac:dyDescent="0.2"/>
    <row r="41259" s="197" customFormat="1" ht="12.75" x14ac:dyDescent="0.2"/>
    <row r="41260" s="197" customFormat="1" ht="12.75" x14ac:dyDescent="0.2"/>
    <row r="41261" s="197" customFormat="1" ht="12.75" x14ac:dyDescent="0.2"/>
    <row r="41262" s="197" customFormat="1" ht="12.75" x14ac:dyDescent="0.2"/>
    <row r="41263" s="197" customFormat="1" ht="12.75" x14ac:dyDescent="0.2"/>
    <row r="41264" s="197" customFormat="1" ht="12.75" x14ac:dyDescent="0.2"/>
    <row r="41265" s="197" customFormat="1" ht="12.75" x14ac:dyDescent="0.2"/>
    <row r="41266" s="197" customFormat="1" ht="12.75" x14ac:dyDescent="0.2"/>
    <row r="41267" s="197" customFormat="1" ht="12.75" x14ac:dyDescent="0.2"/>
    <row r="41268" s="197" customFormat="1" ht="12.75" x14ac:dyDescent="0.2"/>
    <row r="41269" s="197" customFormat="1" ht="12.75" x14ac:dyDescent="0.2"/>
    <row r="41270" s="197" customFormat="1" ht="12.75" x14ac:dyDescent="0.2"/>
    <row r="41271" s="197" customFormat="1" ht="12.75" x14ac:dyDescent="0.2"/>
    <row r="41272" s="197" customFormat="1" ht="12.75" x14ac:dyDescent="0.2"/>
    <row r="41273" s="197" customFormat="1" ht="12.75" x14ac:dyDescent="0.2"/>
    <row r="41274" s="197" customFormat="1" ht="12.75" x14ac:dyDescent="0.2"/>
    <row r="41275" s="197" customFormat="1" ht="12.75" x14ac:dyDescent="0.2"/>
    <row r="41276" s="197" customFormat="1" ht="12.75" x14ac:dyDescent="0.2"/>
    <row r="41277" s="197" customFormat="1" ht="12.75" x14ac:dyDescent="0.2"/>
    <row r="41278" s="197" customFormat="1" ht="12.75" x14ac:dyDescent="0.2"/>
    <row r="41279" s="197" customFormat="1" ht="12.75" x14ac:dyDescent="0.2"/>
    <row r="41280" s="197" customFormat="1" ht="12.75" x14ac:dyDescent="0.2"/>
    <row r="41281" s="197" customFormat="1" ht="12.75" x14ac:dyDescent="0.2"/>
    <row r="41282" s="197" customFormat="1" ht="12.75" x14ac:dyDescent="0.2"/>
    <row r="41283" s="197" customFormat="1" ht="12.75" x14ac:dyDescent="0.2"/>
    <row r="41284" s="197" customFormat="1" ht="12.75" x14ac:dyDescent="0.2"/>
    <row r="41285" s="197" customFormat="1" ht="12.75" x14ac:dyDescent="0.2"/>
    <row r="41286" s="197" customFormat="1" ht="12.75" x14ac:dyDescent="0.2"/>
    <row r="41287" s="197" customFormat="1" ht="12.75" x14ac:dyDescent="0.2"/>
    <row r="41288" s="197" customFormat="1" ht="12.75" x14ac:dyDescent="0.2"/>
    <row r="41289" s="197" customFormat="1" ht="12.75" x14ac:dyDescent="0.2"/>
    <row r="41290" s="197" customFormat="1" ht="12.75" x14ac:dyDescent="0.2"/>
    <row r="41291" s="197" customFormat="1" ht="12.75" x14ac:dyDescent="0.2"/>
    <row r="41292" s="197" customFormat="1" ht="12.75" x14ac:dyDescent="0.2"/>
    <row r="41293" s="197" customFormat="1" ht="12.75" x14ac:dyDescent="0.2"/>
    <row r="41294" s="197" customFormat="1" ht="12.75" x14ac:dyDescent="0.2"/>
    <row r="41295" s="197" customFormat="1" ht="12.75" x14ac:dyDescent="0.2"/>
    <row r="41296" s="197" customFormat="1" ht="12.75" x14ac:dyDescent="0.2"/>
    <row r="41297" s="197" customFormat="1" ht="12.75" x14ac:dyDescent="0.2"/>
    <row r="41298" s="197" customFormat="1" ht="12.75" x14ac:dyDescent="0.2"/>
    <row r="41299" s="197" customFormat="1" ht="12.75" x14ac:dyDescent="0.2"/>
    <row r="41300" s="197" customFormat="1" ht="12.75" x14ac:dyDescent="0.2"/>
    <row r="41301" s="197" customFormat="1" ht="12.75" x14ac:dyDescent="0.2"/>
    <row r="41302" s="197" customFormat="1" ht="12.75" x14ac:dyDescent="0.2"/>
    <row r="41303" s="197" customFormat="1" ht="12.75" x14ac:dyDescent="0.2"/>
    <row r="41304" s="197" customFormat="1" ht="12.75" x14ac:dyDescent="0.2"/>
    <row r="41305" s="197" customFormat="1" ht="12.75" x14ac:dyDescent="0.2"/>
    <row r="41306" s="197" customFormat="1" ht="12.75" x14ac:dyDescent="0.2"/>
    <row r="41307" s="197" customFormat="1" ht="12.75" x14ac:dyDescent="0.2"/>
    <row r="41308" s="197" customFormat="1" ht="12.75" x14ac:dyDescent="0.2"/>
    <row r="41309" s="197" customFormat="1" ht="12.75" x14ac:dyDescent="0.2"/>
    <row r="41310" s="197" customFormat="1" ht="12.75" x14ac:dyDescent="0.2"/>
    <row r="41311" s="197" customFormat="1" ht="12.75" x14ac:dyDescent="0.2"/>
    <row r="41312" s="197" customFormat="1" ht="12.75" x14ac:dyDescent="0.2"/>
    <row r="41313" s="197" customFormat="1" ht="12.75" x14ac:dyDescent="0.2"/>
    <row r="41314" s="197" customFormat="1" ht="12.75" x14ac:dyDescent="0.2"/>
    <row r="41315" s="197" customFormat="1" ht="12.75" x14ac:dyDescent="0.2"/>
    <row r="41316" s="197" customFormat="1" ht="12.75" x14ac:dyDescent="0.2"/>
    <row r="41317" s="197" customFormat="1" ht="12.75" x14ac:dyDescent="0.2"/>
    <row r="41318" s="197" customFormat="1" ht="12.75" x14ac:dyDescent="0.2"/>
    <row r="41319" s="197" customFormat="1" ht="12.75" x14ac:dyDescent="0.2"/>
    <row r="41320" s="197" customFormat="1" ht="12.75" x14ac:dyDescent="0.2"/>
    <row r="41321" s="197" customFormat="1" ht="12.75" x14ac:dyDescent="0.2"/>
    <row r="41322" s="197" customFormat="1" ht="12.75" x14ac:dyDescent="0.2"/>
    <row r="41323" s="197" customFormat="1" ht="12.75" x14ac:dyDescent="0.2"/>
    <row r="41324" s="197" customFormat="1" ht="12.75" x14ac:dyDescent="0.2"/>
    <row r="41325" s="197" customFormat="1" ht="12.75" x14ac:dyDescent="0.2"/>
    <row r="41326" s="197" customFormat="1" ht="12.75" x14ac:dyDescent="0.2"/>
    <row r="41327" s="197" customFormat="1" ht="12.75" x14ac:dyDescent="0.2"/>
    <row r="41328" s="197" customFormat="1" ht="12.75" x14ac:dyDescent="0.2"/>
    <row r="41329" s="197" customFormat="1" ht="12.75" x14ac:dyDescent="0.2"/>
    <row r="41330" s="197" customFormat="1" ht="12.75" x14ac:dyDescent="0.2"/>
    <row r="41331" s="197" customFormat="1" ht="12.75" x14ac:dyDescent="0.2"/>
    <row r="41332" s="197" customFormat="1" ht="12.75" x14ac:dyDescent="0.2"/>
    <row r="41333" s="197" customFormat="1" ht="12.75" x14ac:dyDescent="0.2"/>
    <row r="41334" s="197" customFormat="1" ht="12.75" x14ac:dyDescent="0.2"/>
    <row r="41335" s="197" customFormat="1" ht="12.75" x14ac:dyDescent="0.2"/>
    <row r="41336" s="197" customFormat="1" ht="12.75" x14ac:dyDescent="0.2"/>
    <row r="41337" s="197" customFormat="1" ht="12.75" x14ac:dyDescent="0.2"/>
    <row r="41338" s="197" customFormat="1" ht="12.75" x14ac:dyDescent="0.2"/>
    <row r="41339" s="197" customFormat="1" ht="12.75" x14ac:dyDescent="0.2"/>
    <row r="41340" s="197" customFormat="1" ht="12.75" x14ac:dyDescent="0.2"/>
    <row r="41341" s="197" customFormat="1" ht="12.75" x14ac:dyDescent="0.2"/>
    <row r="41342" s="197" customFormat="1" ht="12.75" x14ac:dyDescent="0.2"/>
    <row r="41343" s="197" customFormat="1" ht="12.75" x14ac:dyDescent="0.2"/>
    <row r="41344" s="197" customFormat="1" ht="12.75" x14ac:dyDescent="0.2"/>
    <row r="41345" s="197" customFormat="1" ht="12.75" x14ac:dyDescent="0.2"/>
    <row r="41346" s="197" customFormat="1" ht="12.75" x14ac:dyDescent="0.2"/>
    <row r="41347" s="197" customFormat="1" ht="12.75" x14ac:dyDescent="0.2"/>
    <row r="41348" s="197" customFormat="1" ht="12.75" x14ac:dyDescent="0.2"/>
    <row r="41349" s="197" customFormat="1" ht="12.75" x14ac:dyDescent="0.2"/>
    <row r="41350" s="197" customFormat="1" ht="12.75" x14ac:dyDescent="0.2"/>
    <row r="41351" s="197" customFormat="1" ht="12.75" x14ac:dyDescent="0.2"/>
    <row r="41352" s="197" customFormat="1" ht="12.75" x14ac:dyDescent="0.2"/>
    <row r="41353" s="197" customFormat="1" ht="12.75" x14ac:dyDescent="0.2"/>
    <row r="41354" s="197" customFormat="1" ht="12.75" x14ac:dyDescent="0.2"/>
    <row r="41355" s="197" customFormat="1" ht="12.75" x14ac:dyDescent="0.2"/>
    <row r="41356" s="197" customFormat="1" ht="12.75" x14ac:dyDescent="0.2"/>
    <row r="41357" s="197" customFormat="1" ht="12.75" x14ac:dyDescent="0.2"/>
    <row r="41358" s="197" customFormat="1" ht="12.75" x14ac:dyDescent="0.2"/>
    <row r="41359" s="197" customFormat="1" ht="12.75" x14ac:dyDescent="0.2"/>
    <row r="41360" s="197" customFormat="1" ht="12.75" x14ac:dyDescent="0.2"/>
    <row r="41361" s="197" customFormat="1" ht="12.75" x14ac:dyDescent="0.2"/>
    <row r="41362" s="197" customFormat="1" ht="12.75" x14ac:dyDescent="0.2"/>
    <row r="41363" s="197" customFormat="1" ht="12.75" x14ac:dyDescent="0.2"/>
    <row r="41364" s="197" customFormat="1" ht="12.75" x14ac:dyDescent="0.2"/>
    <row r="41365" s="197" customFormat="1" ht="12.75" x14ac:dyDescent="0.2"/>
    <row r="41366" s="197" customFormat="1" ht="12.75" x14ac:dyDescent="0.2"/>
    <row r="41367" s="197" customFormat="1" ht="12.75" x14ac:dyDescent="0.2"/>
    <row r="41368" s="197" customFormat="1" ht="12.75" x14ac:dyDescent="0.2"/>
    <row r="41369" s="197" customFormat="1" ht="12.75" x14ac:dyDescent="0.2"/>
    <row r="41370" s="197" customFormat="1" ht="12.75" x14ac:dyDescent="0.2"/>
    <row r="41371" s="197" customFormat="1" ht="12.75" x14ac:dyDescent="0.2"/>
    <row r="41372" s="197" customFormat="1" ht="12.75" x14ac:dyDescent="0.2"/>
    <row r="41373" s="197" customFormat="1" ht="12.75" x14ac:dyDescent="0.2"/>
    <row r="41374" s="197" customFormat="1" ht="12.75" x14ac:dyDescent="0.2"/>
    <row r="41375" s="197" customFormat="1" ht="12.75" x14ac:dyDescent="0.2"/>
    <row r="41376" s="197" customFormat="1" ht="12.75" x14ac:dyDescent="0.2"/>
    <row r="41377" s="197" customFormat="1" ht="12.75" x14ac:dyDescent="0.2"/>
    <row r="41378" s="197" customFormat="1" ht="12.75" x14ac:dyDescent="0.2"/>
    <row r="41379" s="197" customFormat="1" ht="12.75" x14ac:dyDescent="0.2"/>
    <row r="41380" s="197" customFormat="1" ht="12.75" x14ac:dyDescent="0.2"/>
    <row r="41381" s="197" customFormat="1" ht="12.75" x14ac:dyDescent="0.2"/>
    <row r="41382" s="197" customFormat="1" ht="12.75" x14ac:dyDescent="0.2"/>
    <row r="41383" s="197" customFormat="1" ht="12.75" x14ac:dyDescent="0.2"/>
    <row r="41384" s="197" customFormat="1" ht="12.75" x14ac:dyDescent="0.2"/>
    <row r="41385" s="197" customFormat="1" ht="12.75" x14ac:dyDescent="0.2"/>
    <row r="41386" s="197" customFormat="1" ht="12.75" x14ac:dyDescent="0.2"/>
    <row r="41387" s="197" customFormat="1" ht="12.75" x14ac:dyDescent="0.2"/>
    <row r="41388" s="197" customFormat="1" ht="12.75" x14ac:dyDescent="0.2"/>
    <row r="41389" s="197" customFormat="1" ht="12.75" x14ac:dyDescent="0.2"/>
    <row r="41390" s="197" customFormat="1" ht="12.75" x14ac:dyDescent="0.2"/>
    <row r="41391" s="197" customFormat="1" ht="12.75" x14ac:dyDescent="0.2"/>
    <row r="41392" s="197" customFormat="1" ht="12.75" x14ac:dyDescent="0.2"/>
    <row r="41393" s="197" customFormat="1" ht="12.75" x14ac:dyDescent="0.2"/>
    <row r="41394" s="197" customFormat="1" ht="12.75" x14ac:dyDescent="0.2"/>
    <row r="41395" s="197" customFormat="1" ht="12.75" x14ac:dyDescent="0.2"/>
    <row r="41396" s="197" customFormat="1" ht="12.75" x14ac:dyDescent="0.2"/>
    <row r="41397" s="197" customFormat="1" ht="12.75" x14ac:dyDescent="0.2"/>
    <row r="41398" s="197" customFormat="1" ht="12.75" x14ac:dyDescent="0.2"/>
    <row r="41399" s="197" customFormat="1" ht="12.75" x14ac:dyDescent="0.2"/>
    <row r="41400" s="197" customFormat="1" ht="12.75" x14ac:dyDescent="0.2"/>
    <row r="41401" s="197" customFormat="1" ht="12.75" x14ac:dyDescent="0.2"/>
    <row r="41402" s="197" customFormat="1" ht="12.75" x14ac:dyDescent="0.2"/>
    <row r="41403" s="197" customFormat="1" ht="12.75" x14ac:dyDescent="0.2"/>
    <row r="41404" s="197" customFormat="1" ht="12.75" x14ac:dyDescent="0.2"/>
    <row r="41405" s="197" customFormat="1" ht="12.75" x14ac:dyDescent="0.2"/>
    <row r="41406" s="197" customFormat="1" ht="12.75" x14ac:dyDescent="0.2"/>
    <row r="41407" s="197" customFormat="1" ht="12.75" x14ac:dyDescent="0.2"/>
    <row r="41408" s="197" customFormat="1" ht="12.75" x14ac:dyDescent="0.2"/>
    <row r="41409" s="197" customFormat="1" ht="12.75" x14ac:dyDescent="0.2"/>
    <row r="41410" s="197" customFormat="1" ht="12.75" x14ac:dyDescent="0.2"/>
    <row r="41411" s="197" customFormat="1" ht="12.75" x14ac:dyDescent="0.2"/>
    <row r="41412" s="197" customFormat="1" ht="12.75" x14ac:dyDescent="0.2"/>
    <row r="41413" s="197" customFormat="1" ht="12.75" x14ac:dyDescent="0.2"/>
    <row r="41414" s="197" customFormat="1" ht="12.75" x14ac:dyDescent="0.2"/>
    <row r="41415" s="197" customFormat="1" ht="12.75" x14ac:dyDescent="0.2"/>
    <row r="41416" s="197" customFormat="1" ht="12.75" x14ac:dyDescent="0.2"/>
    <row r="41417" s="197" customFormat="1" ht="12.75" x14ac:dyDescent="0.2"/>
    <row r="41418" s="197" customFormat="1" ht="12.75" x14ac:dyDescent="0.2"/>
    <row r="41419" s="197" customFormat="1" ht="12.75" x14ac:dyDescent="0.2"/>
    <row r="41420" s="197" customFormat="1" ht="12.75" x14ac:dyDescent="0.2"/>
    <row r="41421" s="197" customFormat="1" ht="12.75" x14ac:dyDescent="0.2"/>
    <row r="41422" s="197" customFormat="1" ht="12.75" x14ac:dyDescent="0.2"/>
    <row r="41423" s="197" customFormat="1" ht="12.75" x14ac:dyDescent="0.2"/>
    <row r="41424" s="197" customFormat="1" ht="12.75" x14ac:dyDescent="0.2"/>
    <row r="41425" s="197" customFormat="1" ht="12.75" x14ac:dyDescent="0.2"/>
    <row r="41426" s="197" customFormat="1" ht="12.75" x14ac:dyDescent="0.2"/>
    <row r="41427" s="197" customFormat="1" ht="12.75" x14ac:dyDescent="0.2"/>
    <row r="41428" s="197" customFormat="1" ht="12.75" x14ac:dyDescent="0.2"/>
    <row r="41429" s="197" customFormat="1" ht="12.75" x14ac:dyDescent="0.2"/>
    <row r="41430" s="197" customFormat="1" ht="12.75" x14ac:dyDescent="0.2"/>
    <row r="41431" s="197" customFormat="1" ht="12.75" x14ac:dyDescent="0.2"/>
    <row r="41432" s="197" customFormat="1" ht="12.75" x14ac:dyDescent="0.2"/>
    <row r="41433" s="197" customFormat="1" ht="12.75" x14ac:dyDescent="0.2"/>
    <row r="41434" s="197" customFormat="1" ht="12.75" x14ac:dyDescent="0.2"/>
    <row r="41435" s="197" customFormat="1" ht="12.75" x14ac:dyDescent="0.2"/>
    <row r="41436" s="197" customFormat="1" ht="12.75" x14ac:dyDescent="0.2"/>
    <row r="41437" s="197" customFormat="1" ht="12.75" x14ac:dyDescent="0.2"/>
    <row r="41438" s="197" customFormat="1" ht="12.75" x14ac:dyDescent="0.2"/>
    <row r="41439" s="197" customFormat="1" ht="12.75" x14ac:dyDescent="0.2"/>
    <row r="41440" s="197" customFormat="1" ht="12.75" x14ac:dyDescent="0.2"/>
    <row r="41441" s="197" customFormat="1" ht="12.75" x14ac:dyDescent="0.2"/>
    <row r="41442" s="197" customFormat="1" ht="12.75" x14ac:dyDescent="0.2"/>
    <row r="41443" s="197" customFormat="1" ht="12.75" x14ac:dyDescent="0.2"/>
    <row r="41444" s="197" customFormat="1" ht="12.75" x14ac:dyDescent="0.2"/>
    <row r="41445" s="197" customFormat="1" ht="12.75" x14ac:dyDescent="0.2"/>
    <row r="41446" s="197" customFormat="1" ht="12.75" x14ac:dyDescent="0.2"/>
    <row r="41447" s="197" customFormat="1" ht="12.75" x14ac:dyDescent="0.2"/>
    <row r="41448" s="197" customFormat="1" ht="12.75" x14ac:dyDescent="0.2"/>
    <row r="41449" s="197" customFormat="1" ht="12.75" x14ac:dyDescent="0.2"/>
    <row r="41450" s="197" customFormat="1" ht="12.75" x14ac:dyDescent="0.2"/>
    <row r="41451" s="197" customFormat="1" ht="12.75" x14ac:dyDescent="0.2"/>
    <row r="41452" s="197" customFormat="1" ht="12.75" x14ac:dyDescent="0.2"/>
    <row r="41453" s="197" customFormat="1" ht="12.75" x14ac:dyDescent="0.2"/>
    <row r="41454" s="197" customFormat="1" ht="12.75" x14ac:dyDescent="0.2"/>
    <row r="41455" s="197" customFormat="1" ht="12.75" x14ac:dyDescent="0.2"/>
    <row r="41456" s="197" customFormat="1" ht="12.75" x14ac:dyDescent="0.2"/>
    <row r="41457" s="197" customFormat="1" ht="12.75" x14ac:dyDescent="0.2"/>
    <row r="41458" s="197" customFormat="1" ht="12.75" x14ac:dyDescent="0.2"/>
    <row r="41459" s="197" customFormat="1" ht="12.75" x14ac:dyDescent="0.2"/>
    <row r="41460" s="197" customFormat="1" ht="12.75" x14ac:dyDescent="0.2"/>
    <row r="41461" s="197" customFormat="1" ht="12.75" x14ac:dyDescent="0.2"/>
    <row r="41462" s="197" customFormat="1" ht="12.75" x14ac:dyDescent="0.2"/>
    <row r="41463" s="197" customFormat="1" ht="12.75" x14ac:dyDescent="0.2"/>
    <row r="41464" s="197" customFormat="1" ht="12.75" x14ac:dyDescent="0.2"/>
    <row r="41465" s="197" customFormat="1" ht="12.75" x14ac:dyDescent="0.2"/>
    <row r="41466" s="197" customFormat="1" ht="12.75" x14ac:dyDescent="0.2"/>
    <row r="41467" s="197" customFormat="1" ht="12.75" x14ac:dyDescent="0.2"/>
    <row r="41468" s="197" customFormat="1" ht="12.75" x14ac:dyDescent="0.2"/>
    <row r="41469" s="197" customFormat="1" ht="12.75" x14ac:dyDescent="0.2"/>
    <row r="41470" s="197" customFormat="1" ht="12.75" x14ac:dyDescent="0.2"/>
    <row r="41471" s="197" customFormat="1" ht="12.75" x14ac:dyDescent="0.2"/>
    <row r="41472" s="197" customFormat="1" ht="12.75" x14ac:dyDescent="0.2"/>
    <row r="41473" s="197" customFormat="1" ht="12.75" x14ac:dyDescent="0.2"/>
    <row r="41474" s="197" customFormat="1" ht="12.75" x14ac:dyDescent="0.2"/>
    <row r="41475" s="197" customFormat="1" ht="12.75" x14ac:dyDescent="0.2"/>
    <row r="41476" s="197" customFormat="1" ht="12.75" x14ac:dyDescent="0.2"/>
    <row r="41477" s="197" customFormat="1" ht="12.75" x14ac:dyDescent="0.2"/>
    <row r="41478" s="197" customFormat="1" ht="12.75" x14ac:dyDescent="0.2"/>
    <row r="41479" s="197" customFormat="1" ht="12.75" x14ac:dyDescent="0.2"/>
    <row r="41480" s="197" customFormat="1" ht="12.75" x14ac:dyDescent="0.2"/>
    <row r="41481" s="197" customFormat="1" ht="12.75" x14ac:dyDescent="0.2"/>
    <row r="41482" s="197" customFormat="1" ht="12.75" x14ac:dyDescent="0.2"/>
    <row r="41483" s="197" customFormat="1" ht="12.75" x14ac:dyDescent="0.2"/>
    <row r="41484" s="197" customFormat="1" ht="12.75" x14ac:dyDescent="0.2"/>
    <row r="41485" s="197" customFormat="1" ht="12.75" x14ac:dyDescent="0.2"/>
    <row r="41486" s="197" customFormat="1" ht="12.75" x14ac:dyDescent="0.2"/>
    <row r="41487" s="197" customFormat="1" ht="12.75" x14ac:dyDescent="0.2"/>
    <row r="41488" s="197" customFormat="1" ht="12.75" x14ac:dyDescent="0.2"/>
    <row r="41489" s="197" customFormat="1" ht="12.75" x14ac:dyDescent="0.2"/>
    <row r="41490" s="197" customFormat="1" ht="12.75" x14ac:dyDescent="0.2"/>
    <row r="41491" s="197" customFormat="1" ht="12.75" x14ac:dyDescent="0.2"/>
    <row r="41492" s="197" customFormat="1" ht="12.75" x14ac:dyDescent="0.2"/>
    <row r="41493" s="197" customFormat="1" ht="12.75" x14ac:dyDescent="0.2"/>
    <row r="41494" s="197" customFormat="1" ht="12.75" x14ac:dyDescent="0.2"/>
    <row r="41495" s="197" customFormat="1" ht="12.75" x14ac:dyDescent="0.2"/>
    <row r="41496" s="197" customFormat="1" ht="12.75" x14ac:dyDescent="0.2"/>
    <row r="41497" s="197" customFormat="1" ht="12.75" x14ac:dyDescent="0.2"/>
    <row r="41498" s="197" customFormat="1" ht="12.75" x14ac:dyDescent="0.2"/>
    <row r="41499" s="197" customFormat="1" ht="12.75" x14ac:dyDescent="0.2"/>
    <row r="41500" s="197" customFormat="1" ht="12.75" x14ac:dyDescent="0.2"/>
    <row r="41501" s="197" customFormat="1" ht="12.75" x14ac:dyDescent="0.2"/>
    <row r="41502" s="197" customFormat="1" ht="12.75" x14ac:dyDescent="0.2"/>
    <row r="41503" s="197" customFormat="1" ht="12.75" x14ac:dyDescent="0.2"/>
    <row r="41504" s="197" customFormat="1" ht="12.75" x14ac:dyDescent="0.2"/>
    <row r="41505" s="197" customFormat="1" ht="12.75" x14ac:dyDescent="0.2"/>
    <row r="41506" s="197" customFormat="1" ht="12.75" x14ac:dyDescent="0.2"/>
    <row r="41507" s="197" customFormat="1" ht="12.75" x14ac:dyDescent="0.2"/>
    <row r="41508" s="197" customFormat="1" ht="12.75" x14ac:dyDescent="0.2"/>
    <row r="41509" s="197" customFormat="1" ht="12.75" x14ac:dyDescent="0.2"/>
    <row r="41510" s="197" customFormat="1" ht="12.75" x14ac:dyDescent="0.2"/>
    <row r="41511" s="197" customFormat="1" ht="12.75" x14ac:dyDescent="0.2"/>
    <row r="41512" s="197" customFormat="1" ht="12.75" x14ac:dyDescent="0.2"/>
    <row r="41513" s="197" customFormat="1" ht="12.75" x14ac:dyDescent="0.2"/>
    <row r="41514" s="197" customFormat="1" ht="12.75" x14ac:dyDescent="0.2"/>
    <row r="41515" s="197" customFormat="1" ht="12.75" x14ac:dyDescent="0.2"/>
    <row r="41516" s="197" customFormat="1" ht="12.75" x14ac:dyDescent="0.2"/>
    <row r="41517" s="197" customFormat="1" ht="12.75" x14ac:dyDescent="0.2"/>
    <row r="41518" s="197" customFormat="1" ht="12.75" x14ac:dyDescent="0.2"/>
    <row r="41519" s="197" customFormat="1" ht="12.75" x14ac:dyDescent="0.2"/>
    <row r="41520" s="197" customFormat="1" ht="12.75" x14ac:dyDescent="0.2"/>
    <row r="41521" s="197" customFormat="1" ht="12.75" x14ac:dyDescent="0.2"/>
    <row r="41522" s="197" customFormat="1" ht="12.75" x14ac:dyDescent="0.2"/>
    <row r="41523" s="197" customFormat="1" ht="12.75" x14ac:dyDescent="0.2"/>
    <row r="41524" s="197" customFormat="1" ht="12.75" x14ac:dyDescent="0.2"/>
    <row r="41525" s="197" customFormat="1" ht="12.75" x14ac:dyDescent="0.2"/>
    <row r="41526" s="197" customFormat="1" ht="12.75" x14ac:dyDescent="0.2"/>
    <row r="41527" s="197" customFormat="1" ht="12.75" x14ac:dyDescent="0.2"/>
    <row r="41528" s="197" customFormat="1" ht="12.75" x14ac:dyDescent="0.2"/>
    <row r="41529" s="197" customFormat="1" ht="12.75" x14ac:dyDescent="0.2"/>
    <row r="41530" s="197" customFormat="1" ht="12.75" x14ac:dyDescent="0.2"/>
    <row r="41531" s="197" customFormat="1" ht="12.75" x14ac:dyDescent="0.2"/>
    <row r="41532" s="197" customFormat="1" ht="12.75" x14ac:dyDescent="0.2"/>
    <row r="41533" s="197" customFormat="1" ht="12.75" x14ac:dyDescent="0.2"/>
    <row r="41534" s="197" customFormat="1" ht="12.75" x14ac:dyDescent="0.2"/>
    <row r="41535" s="197" customFormat="1" ht="12.75" x14ac:dyDescent="0.2"/>
    <row r="41536" s="197" customFormat="1" ht="12.75" x14ac:dyDescent="0.2"/>
    <row r="41537" s="197" customFormat="1" ht="12.75" x14ac:dyDescent="0.2"/>
    <row r="41538" s="197" customFormat="1" ht="12.75" x14ac:dyDescent="0.2"/>
    <row r="41539" s="197" customFormat="1" ht="12.75" x14ac:dyDescent="0.2"/>
    <row r="41540" s="197" customFormat="1" ht="12.75" x14ac:dyDescent="0.2"/>
    <row r="41541" s="197" customFormat="1" ht="12.75" x14ac:dyDescent="0.2"/>
    <row r="41542" s="197" customFormat="1" ht="12.75" x14ac:dyDescent="0.2"/>
    <row r="41543" s="197" customFormat="1" ht="12.75" x14ac:dyDescent="0.2"/>
    <row r="41544" s="197" customFormat="1" ht="12.75" x14ac:dyDescent="0.2"/>
    <row r="41545" s="197" customFormat="1" ht="12.75" x14ac:dyDescent="0.2"/>
    <row r="41546" s="197" customFormat="1" ht="12.75" x14ac:dyDescent="0.2"/>
    <row r="41547" s="197" customFormat="1" ht="12.75" x14ac:dyDescent="0.2"/>
    <row r="41548" s="197" customFormat="1" ht="12.75" x14ac:dyDescent="0.2"/>
    <row r="41549" s="197" customFormat="1" ht="12.75" x14ac:dyDescent="0.2"/>
    <row r="41550" s="197" customFormat="1" ht="12.75" x14ac:dyDescent="0.2"/>
    <row r="41551" s="197" customFormat="1" ht="12.75" x14ac:dyDescent="0.2"/>
    <row r="41552" s="197" customFormat="1" ht="12.75" x14ac:dyDescent="0.2"/>
    <row r="41553" s="197" customFormat="1" ht="12.75" x14ac:dyDescent="0.2"/>
    <row r="41554" s="197" customFormat="1" ht="12.75" x14ac:dyDescent="0.2"/>
    <row r="41555" s="197" customFormat="1" ht="12.75" x14ac:dyDescent="0.2"/>
    <row r="41556" s="197" customFormat="1" ht="12.75" x14ac:dyDescent="0.2"/>
    <row r="41557" s="197" customFormat="1" ht="12.75" x14ac:dyDescent="0.2"/>
    <row r="41558" s="197" customFormat="1" ht="12.75" x14ac:dyDescent="0.2"/>
    <row r="41559" s="197" customFormat="1" ht="12.75" x14ac:dyDescent="0.2"/>
    <row r="41560" s="197" customFormat="1" ht="12.75" x14ac:dyDescent="0.2"/>
    <row r="41561" s="197" customFormat="1" ht="12.75" x14ac:dyDescent="0.2"/>
    <row r="41562" s="197" customFormat="1" ht="12.75" x14ac:dyDescent="0.2"/>
    <row r="41563" s="197" customFormat="1" ht="12.75" x14ac:dyDescent="0.2"/>
    <row r="41564" s="197" customFormat="1" ht="12.75" x14ac:dyDescent="0.2"/>
    <row r="41565" s="197" customFormat="1" ht="12.75" x14ac:dyDescent="0.2"/>
    <row r="41566" s="197" customFormat="1" ht="12.75" x14ac:dyDescent="0.2"/>
    <row r="41567" s="197" customFormat="1" ht="12.75" x14ac:dyDescent="0.2"/>
    <row r="41568" s="197" customFormat="1" ht="12.75" x14ac:dyDescent="0.2"/>
    <row r="41569" s="197" customFormat="1" ht="12.75" x14ac:dyDescent="0.2"/>
    <row r="41570" s="197" customFormat="1" ht="12.75" x14ac:dyDescent="0.2"/>
    <row r="41571" s="197" customFormat="1" ht="12.75" x14ac:dyDescent="0.2"/>
    <row r="41572" s="197" customFormat="1" ht="12.75" x14ac:dyDescent="0.2"/>
    <row r="41573" s="197" customFormat="1" ht="12.75" x14ac:dyDescent="0.2"/>
    <row r="41574" s="197" customFormat="1" ht="12.75" x14ac:dyDescent="0.2"/>
    <row r="41575" s="197" customFormat="1" ht="12.75" x14ac:dyDescent="0.2"/>
    <row r="41576" s="197" customFormat="1" ht="12.75" x14ac:dyDescent="0.2"/>
    <row r="41577" s="197" customFormat="1" ht="12.75" x14ac:dyDescent="0.2"/>
    <row r="41578" s="197" customFormat="1" ht="12.75" x14ac:dyDescent="0.2"/>
    <row r="41579" s="197" customFormat="1" ht="12.75" x14ac:dyDescent="0.2"/>
    <row r="41580" s="197" customFormat="1" ht="12.75" x14ac:dyDescent="0.2"/>
    <row r="41581" s="197" customFormat="1" ht="12.75" x14ac:dyDescent="0.2"/>
    <row r="41582" s="197" customFormat="1" ht="12.75" x14ac:dyDescent="0.2"/>
    <row r="41583" s="197" customFormat="1" ht="12.75" x14ac:dyDescent="0.2"/>
    <row r="41584" s="197" customFormat="1" ht="12.75" x14ac:dyDescent="0.2"/>
    <row r="41585" s="197" customFormat="1" ht="12.75" x14ac:dyDescent="0.2"/>
    <row r="41586" s="197" customFormat="1" ht="12.75" x14ac:dyDescent="0.2"/>
    <row r="41587" s="197" customFormat="1" ht="12.75" x14ac:dyDescent="0.2"/>
    <row r="41588" s="197" customFormat="1" ht="12.75" x14ac:dyDescent="0.2"/>
    <row r="41589" s="197" customFormat="1" ht="12.75" x14ac:dyDescent="0.2"/>
    <row r="41590" s="197" customFormat="1" ht="12.75" x14ac:dyDescent="0.2"/>
    <row r="41591" s="197" customFormat="1" ht="12.75" x14ac:dyDescent="0.2"/>
    <row r="41592" s="197" customFormat="1" ht="12.75" x14ac:dyDescent="0.2"/>
    <row r="41593" s="197" customFormat="1" ht="12.75" x14ac:dyDescent="0.2"/>
    <row r="41594" s="197" customFormat="1" ht="12.75" x14ac:dyDescent="0.2"/>
    <row r="41595" s="197" customFormat="1" ht="12.75" x14ac:dyDescent="0.2"/>
    <row r="41596" s="197" customFormat="1" ht="12.75" x14ac:dyDescent="0.2"/>
    <row r="41597" s="197" customFormat="1" ht="12.75" x14ac:dyDescent="0.2"/>
    <row r="41598" s="197" customFormat="1" ht="12.75" x14ac:dyDescent="0.2"/>
    <row r="41599" s="197" customFormat="1" ht="12.75" x14ac:dyDescent="0.2"/>
    <row r="41600" s="197" customFormat="1" ht="12.75" x14ac:dyDescent="0.2"/>
    <row r="41601" s="197" customFormat="1" ht="12.75" x14ac:dyDescent="0.2"/>
    <row r="41602" s="197" customFormat="1" ht="12.75" x14ac:dyDescent="0.2"/>
    <row r="41603" s="197" customFormat="1" ht="12.75" x14ac:dyDescent="0.2"/>
    <row r="41604" s="197" customFormat="1" ht="12.75" x14ac:dyDescent="0.2"/>
    <row r="41605" s="197" customFormat="1" ht="12.75" x14ac:dyDescent="0.2"/>
    <row r="41606" s="197" customFormat="1" ht="12.75" x14ac:dyDescent="0.2"/>
    <row r="41607" s="197" customFormat="1" ht="12.75" x14ac:dyDescent="0.2"/>
    <row r="41608" s="197" customFormat="1" ht="12.75" x14ac:dyDescent="0.2"/>
    <row r="41609" s="197" customFormat="1" ht="12.75" x14ac:dyDescent="0.2"/>
    <row r="41610" s="197" customFormat="1" ht="12.75" x14ac:dyDescent="0.2"/>
    <row r="41611" s="197" customFormat="1" ht="12.75" x14ac:dyDescent="0.2"/>
    <row r="41612" s="197" customFormat="1" ht="12.75" x14ac:dyDescent="0.2"/>
    <row r="41613" s="197" customFormat="1" ht="12.75" x14ac:dyDescent="0.2"/>
    <row r="41614" s="197" customFormat="1" ht="12.75" x14ac:dyDescent="0.2"/>
    <row r="41615" s="197" customFormat="1" ht="12.75" x14ac:dyDescent="0.2"/>
    <row r="41616" s="197" customFormat="1" ht="12.75" x14ac:dyDescent="0.2"/>
    <row r="41617" s="197" customFormat="1" ht="12.75" x14ac:dyDescent="0.2"/>
    <row r="41618" s="197" customFormat="1" ht="12.75" x14ac:dyDescent="0.2"/>
    <row r="41619" s="197" customFormat="1" ht="12.75" x14ac:dyDescent="0.2"/>
    <row r="41620" s="197" customFormat="1" ht="12.75" x14ac:dyDescent="0.2"/>
    <row r="41621" s="197" customFormat="1" ht="12.75" x14ac:dyDescent="0.2"/>
    <row r="41622" s="197" customFormat="1" ht="12.75" x14ac:dyDescent="0.2"/>
    <row r="41623" s="197" customFormat="1" ht="12.75" x14ac:dyDescent="0.2"/>
    <row r="41624" s="197" customFormat="1" ht="12.75" x14ac:dyDescent="0.2"/>
    <row r="41625" s="197" customFormat="1" ht="12.75" x14ac:dyDescent="0.2"/>
    <row r="41626" s="197" customFormat="1" ht="12.75" x14ac:dyDescent="0.2"/>
    <row r="41627" s="197" customFormat="1" ht="12.75" x14ac:dyDescent="0.2"/>
    <row r="41628" s="197" customFormat="1" ht="12.75" x14ac:dyDescent="0.2"/>
    <row r="41629" s="197" customFormat="1" ht="12.75" x14ac:dyDescent="0.2"/>
    <row r="41630" s="197" customFormat="1" ht="12.75" x14ac:dyDescent="0.2"/>
    <row r="41631" s="197" customFormat="1" ht="12.75" x14ac:dyDescent="0.2"/>
    <row r="41632" s="197" customFormat="1" ht="12.75" x14ac:dyDescent="0.2"/>
    <row r="41633" s="197" customFormat="1" ht="12.75" x14ac:dyDescent="0.2"/>
    <row r="41634" s="197" customFormat="1" ht="12.75" x14ac:dyDescent="0.2"/>
    <row r="41635" s="197" customFormat="1" ht="12.75" x14ac:dyDescent="0.2"/>
    <row r="41636" s="197" customFormat="1" ht="12.75" x14ac:dyDescent="0.2"/>
    <row r="41637" s="197" customFormat="1" ht="12.75" x14ac:dyDescent="0.2"/>
    <row r="41638" s="197" customFormat="1" ht="12.75" x14ac:dyDescent="0.2"/>
    <row r="41639" s="197" customFormat="1" ht="12.75" x14ac:dyDescent="0.2"/>
    <row r="41640" s="197" customFormat="1" ht="12.75" x14ac:dyDescent="0.2"/>
    <row r="41641" s="197" customFormat="1" ht="12.75" x14ac:dyDescent="0.2"/>
    <row r="41642" s="197" customFormat="1" ht="12.75" x14ac:dyDescent="0.2"/>
    <row r="41643" s="197" customFormat="1" ht="12.75" x14ac:dyDescent="0.2"/>
    <row r="41644" s="197" customFormat="1" ht="12.75" x14ac:dyDescent="0.2"/>
    <row r="41645" s="197" customFormat="1" ht="12.75" x14ac:dyDescent="0.2"/>
    <row r="41646" s="197" customFormat="1" ht="12.75" x14ac:dyDescent="0.2"/>
    <row r="41647" s="197" customFormat="1" ht="12.75" x14ac:dyDescent="0.2"/>
    <row r="41648" s="197" customFormat="1" ht="12.75" x14ac:dyDescent="0.2"/>
    <row r="41649" s="197" customFormat="1" ht="12.75" x14ac:dyDescent="0.2"/>
    <row r="41650" s="197" customFormat="1" ht="12.75" x14ac:dyDescent="0.2"/>
    <row r="41651" s="197" customFormat="1" ht="12.75" x14ac:dyDescent="0.2"/>
    <row r="41652" s="197" customFormat="1" ht="12.75" x14ac:dyDescent="0.2"/>
    <row r="41653" s="197" customFormat="1" ht="12.75" x14ac:dyDescent="0.2"/>
    <row r="41654" s="197" customFormat="1" ht="12.75" x14ac:dyDescent="0.2"/>
    <row r="41655" s="197" customFormat="1" ht="12.75" x14ac:dyDescent="0.2"/>
    <row r="41656" s="197" customFormat="1" ht="12.75" x14ac:dyDescent="0.2"/>
    <row r="41657" s="197" customFormat="1" ht="12.75" x14ac:dyDescent="0.2"/>
    <row r="41658" s="197" customFormat="1" ht="12.75" x14ac:dyDescent="0.2"/>
    <row r="41659" s="197" customFormat="1" ht="12.75" x14ac:dyDescent="0.2"/>
    <row r="41660" s="197" customFormat="1" ht="12.75" x14ac:dyDescent="0.2"/>
    <row r="41661" s="197" customFormat="1" ht="12.75" x14ac:dyDescent="0.2"/>
    <row r="41662" s="197" customFormat="1" ht="12.75" x14ac:dyDescent="0.2"/>
    <row r="41663" s="197" customFormat="1" ht="12.75" x14ac:dyDescent="0.2"/>
    <row r="41664" s="197" customFormat="1" ht="12.75" x14ac:dyDescent="0.2"/>
    <row r="41665" s="197" customFormat="1" ht="12.75" x14ac:dyDescent="0.2"/>
    <row r="41666" s="197" customFormat="1" ht="12.75" x14ac:dyDescent="0.2"/>
    <row r="41667" s="197" customFormat="1" ht="12.75" x14ac:dyDescent="0.2"/>
    <row r="41668" s="197" customFormat="1" ht="12.75" x14ac:dyDescent="0.2"/>
    <row r="41669" s="197" customFormat="1" ht="12.75" x14ac:dyDescent="0.2"/>
    <row r="41670" s="197" customFormat="1" ht="12.75" x14ac:dyDescent="0.2"/>
    <row r="41671" s="197" customFormat="1" ht="12.75" x14ac:dyDescent="0.2"/>
    <row r="41672" s="197" customFormat="1" ht="12.75" x14ac:dyDescent="0.2"/>
    <row r="41673" s="197" customFormat="1" ht="12.75" x14ac:dyDescent="0.2"/>
    <row r="41674" s="197" customFormat="1" ht="12.75" x14ac:dyDescent="0.2"/>
    <row r="41675" s="197" customFormat="1" ht="12.75" x14ac:dyDescent="0.2"/>
    <row r="41676" s="197" customFormat="1" ht="12.75" x14ac:dyDescent="0.2"/>
    <row r="41677" s="197" customFormat="1" ht="12.75" x14ac:dyDescent="0.2"/>
    <row r="41678" s="197" customFormat="1" ht="12.75" x14ac:dyDescent="0.2"/>
    <row r="41679" s="197" customFormat="1" ht="12.75" x14ac:dyDescent="0.2"/>
    <row r="41680" s="197" customFormat="1" ht="12.75" x14ac:dyDescent="0.2"/>
    <row r="41681" s="197" customFormat="1" ht="12.75" x14ac:dyDescent="0.2"/>
    <row r="41682" s="197" customFormat="1" ht="12.75" x14ac:dyDescent="0.2"/>
    <row r="41683" s="197" customFormat="1" ht="12.75" x14ac:dyDescent="0.2"/>
    <row r="41684" s="197" customFormat="1" ht="12.75" x14ac:dyDescent="0.2"/>
    <row r="41685" s="197" customFormat="1" ht="12.75" x14ac:dyDescent="0.2"/>
    <row r="41686" s="197" customFormat="1" ht="12.75" x14ac:dyDescent="0.2"/>
    <row r="41687" s="197" customFormat="1" ht="12.75" x14ac:dyDescent="0.2"/>
    <row r="41688" s="197" customFormat="1" ht="12.75" x14ac:dyDescent="0.2"/>
    <row r="41689" s="197" customFormat="1" ht="12.75" x14ac:dyDescent="0.2"/>
    <row r="41690" s="197" customFormat="1" ht="12.75" x14ac:dyDescent="0.2"/>
    <row r="41691" s="197" customFormat="1" ht="12.75" x14ac:dyDescent="0.2"/>
    <row r="41692" s="197" customFormat="1" ht="12.75" x14ac:dyDescent="0.2"/>
    <row r="41693" s="197" customFormat="1" ht="12.75" x14ac:dyDescent="0.2"/>
    <row r="41694" s="197" customFormat="1" ht="12.75" x14ac:dyDescent="0.2"/>
    <row r="41695" s="197" customFormat="1" ht="12.75" x14ac:dyDescent="0.2"/>
    <row r="41696" s="197" customFormat="1" ht="12.75" x14ac:dyDescent="0.2"/>
    <row r="41697" s="197" customFormat="1" ht="12.75" x14ac:dyDescent="0.2"/>
    <row r="41698" s="197" customFormat="1" ht="12.75" x14ac:dyDescent="0.2"/>
    <row r="41699" s="197" customFormat="1" ht="12.75" x14ac:dyDescent="0.2"/>
    <row r="41700" s="197" customFormat="1" ht="12.75" x14ac:dyDescent="0.2"/>
    <row r="41701" s="197" customFormat="1" ht="12.75" x14ac:dyDescent="0.2"/>
    <row r="41702" s="197" customFormat="1" ht="12.75" x14ac:dyDescent="0.2"/>
    <row r="41703" s="197" customFormat="1" ht="12.75" x14ac:dyDescent="0.2"/>
    <row r="41704" s="197" customFormat="1" ht="12.75" x14ac:dyDescent="0.2"/>
    <row r="41705" s="197" customFormat="1" ht="12.75" x14ac:dyDescent="0.2"/>
    <row r="41706" s="197" customFormat="1" ht="12.75" x14ac:dyDescent="0.2"/>
    <row r="41707" s="197" customFormat="1" ht="12.75" x14ac:dyDescent="0.2"/>
    <row r="41708" s="197" customFormat="1" ht="12.75" x14ac:dyDescent="0.2"/>
    <row r="41709" s="197" customFormat="1" ht="12.75" x14ac:dyDescent="0.2"/>
    <row r="41710" s="197" customFormat="1" ht="12.75" x14ac:dyDescent="0.2"/>
    <row r="41711" s="197" customFormat="1" ht="12.75" x14ac:dyDescent="0.2"/>
    <row r="41712" s="197" customFormat="1" ht="12.75" x14ac:dyDescent="0.2"/>
    <row r="41713" s="197" customFormat="1" ht="12.75" x14ac:dyDescent="0.2"/>
    <row r="41714" s="197" customFormat="1" ht="12.75" x14ac:dyDescent="0.2"/>
    <row r="41715" s="197" customFormat="1" ht="12.75" x14ac:dyDescent="0.2"/>
    <row r="41716" s="197" customFormat="1" ht="12.75" x14ac:dyDescent="0.2"/>
    <row r="41717" s="197" customFormat="1" ht="12.75" x14ac:dyDescent="0.2"/>
    <row r="41718" s="197" customFormat="1" ht="12.75" x14ac:dyDescent="0.2"/>
    <row r="41719" s="197" customFormat="1" ht="12.75" x14ac:dyDescent="0.2"/>
    <row r="41720" s="197" customFormat="1" ht="12.75" x14ac:dyDescent="0.2"/>
    <row r="41721" s="197" customFormat="1" ht="12.75" x14ac:dyDescent="0.2"/>
    <row r="41722" s="197" customFormat="1" ht="12.75" x14ac:dyDescent="0.2"/>
    <row r="41723" s="197" customFormat="1" ht="12.75" x14ac:dyDescent="0.2"/>
    <row r="41724" s="197" customFormat="1" ht="12.75" x14ac:dyDescent="0.2"/>
    <row r="41725" s="197" customFormat="1" ht="12.75" x14ac:dyDescent="0.2"/>
    <row r="41726" s="197" customFormat="1" ht="12.75" x14ac:dyDescent="0.2"/>
    <row r="41727" s="197" customFormat="1" ht="12.75" x14ac:dyDescent="0.2"/>
    <row r="41728" s="197" customFormat="1" ht="12.75" x14ac:dyDescent="0.2"/>
    <row r="41729" s="197" customFormat="1" ht="12.75" x14ac:dyDescent="0.2"/>
    <row r="41730" s="197" customFormat="1" ht="12.75" x14ac:dyDescent="0.2"/>
    <row r="41731" s="197" customFormat="1" ht="12.75" x14ac:dyDescent="0.2"/>
    <row r="41732" s="197" customFormat="1" ht="12.75" x14ac:dyDescent="0.2"/>
    <row r="41733" s="197" customFormat="1" ht="12.75" x14ac:dyDescent="0.2"/>
    <row r="41734" s="197" customFormat="1" ht="12.75" x14ac:dyDescent="0.2"/>
    <row r="41735" s="197" customFormat="1" ht="12.75" x14ac:dyDescent="0.2"/>
    <row r="41736" s="197" customFormat="1" ht="12.75" x14ac:dyDescent="0.2"/>
    <row r="41737" s="197" customFormat="1" ht="12.75" x14ac:dyDescent="0.2"/>
    <row r="41738" s="197" customFormat="1" ht="12.75" x14ac:dyDescent="0.2"/>
    <row r="41739" s="197" customFormat="1" ht="12.75" x14ac:dyDescent="0.2"/>
    <row r="41740" s="197" customFormat="1" ht="12.75" x14ac:dyDescent="0.2"/>
    <row r="41741" s="197" customFormat="1" ht="12.75" x14ac:dyDescent="0.2"/>
    <row r="41742" s="197" customFormat="1" ht="12.75" x14ac:dyDescent="0.2"/>
    <row r="41743" s="197" customFormat="1" ht="12.75" x14ac:dyDescent="0.2"/>
    <row r="41744" s="197" customFormat="1" ht="12.75" x14ac:dyDescent="0.2"/>
    <row r="41745" s="197" customFormat="1" ht="12.75" x14ac:dyDescent="0.2"/>
    <row r="41746" s="197" customFormat="1" ht="12.75" x14ac:dyDescent="0.2"/>
    <row r="41747" s="197" customFormat="1" ht="12.75" x14ac:dyDescent="0.2"/>
    <row r="41748" s="197" customFormat="1" ht="12.75" x14ac:dyDescent="0.2"/>
    <row r="41749" s="197" customFormat="1" ht="12.75" x14ac:dyDescent="0.2"/>
    <row r="41750" s="197" customFormat="1" ht="12.75" x14ac:dyDescent="0.2"/>
    <row r="41751" s="197" customFormat="1" ht="12.75" x14ac:dyDescent="0.2"/>
    <row r="41752" s="197" customFormat="1" ht="12.75" x14ac:dyDescent="0.2"/>
    <row r="41753" s="197" customFormat="1" ht="12.75" x14ac:dyDescent="0.2"/>
    <row r="41754" s="197" customFormat="1" ht="12.75" x14ac:dyDescent="0.2"/>
    <row r="41755" s="197" customFormat="1" ht="12.75" x14ac:dyDescent="0.2"/>
    <row r="41756" s="197" customFormat="1" ht="12.75" x14ac:dyDescent="0.2"/>
    <row r="41757" s="197" customFormat="1" ht="12.75" x14ac:dyDescent="0.2"/>
    <row r="41758" s="197" customFormat="1" ht="12.75" x14ac:dyDescent="0.2"/>
    <row r="41759" s="197" customFormat="1" ht="12.75" x14ac:dyDescent="0.2"/>
    <row r="41760" s="197" customFormat="1" ht="12.75" x14ac:dyDescent="0.2"/>
    <row r="41761" s="197" customFormat="1" ht="12.75" x14ac:dyDescent="0.2"/>
    <row r="41762" s="197" customFormat="1" ht="12.75" x14ac:dyDescent="0.2"/>
    <row r="41763" s="197" customFormat="1" ht="12.75" x14ac:dyDescent="0.2"/>
    <row r="41764" s="197" customFormat="1" ht="12.75" x14ac:dyDescent="0.2"/>
    <row r="41765" s="197" customFormat="1" ht="12.75" x14ac:dyDescent="0.2"/>
    <row r="41766" s="197" customFormat="1" ht="12.75" x14ac:dyDescent="0.2"/>
    <row r="41767" s="197" customFormat="1" ht="12.75" x14ac:dyDescent="0.2"/>
    <row r="41768" s="197" customFormat="1" ht="12.75" x14ac:dyDescent="0.2"/>
    <row r="41769" s="197" customFormat="1" ht="12.75" x14ac:dyDescent="0.2"/>
    <row r="41770" s="197" customFormat="1" ht="12.75" x14ac:dyDescent="0.2"/>
    <row r="41771" s="197" customFormat="1" ht="12.75" x14ac:dyDescent="0.2"/>
    <row r="41772" s="197" customFormat="1" ht="12.75" x14ac:dyDescent="0.2"/>
    <row r="41773" s="197" customFormat="1" ht="12.75" x14ac:dyDescent="0.2"/>
    <row r="41774" s="197" customFormat="1" ht="12.75" x14ac:dyDescent="0.2"/>
    <row r="41775" s="197" customFormat="1" ht="12.75" x14ac:dyDescent="0.2"/>
    <row r="41776" s="197" customFormat="1" ht="12.75" x14ac:dyDescent="0.2"/>
    <row r="41777" s="197" customFormat="1" ht="12.75" x14ac:dyDescent="0.2"/>
    <row r="41778" s="197" customFormat="1" ht="12.75" x14ac:dyDescent="0.2"/>
    <row r="41779" s="197" customFormat="1" ht="12.75" x14ac:dyDescent="0.2"/>
    <row r="41780" s="197" customFormat="1" ht="12.75" x14ac:dyDescent="0.2"/>
    <row r="41781" s="197" customFormat="1" ht="12.75" x14ac:dyDescent="0.2"/>
    <row r="41782" s="197" customFormat="1" ht="12.75" x14ac:dyDescent="0.2"/>
    <row r="41783" s="197" customFormat="1" ht="12.75" x14ac:dyDescent="0.2"/>
    <row r="41784" s="197" customFormat="1" ht="12.75" x14ac:dyDescent="0.2"/>
    <row r="41785" s="197" customFormat="1" ht="12.75" x14ac:dyDescent="0.2"/>
    <row r="41786" s="197" customFormat="1" ht="12.75" x14ac:dyDescent="0.2"/>
    <row r="41787" s="197" customFormat="1" ht="12.75" x14ac:dyDescent="0.2"/>
    <row r="41788" s="197" customFormat="1" ht="12.75" x14ac:dyDescent="0.2"/>
    <row r="41789" s="197" customFormat="1" ht="12.75" x14ac:dyDescent="0.2"/>
    <row r="41790" s="197" customFormat="1" ht="12.75" x14ac:dyDescent="0.2"/>
    <row r="41791" s="197" customFormat="1" ht="12.75" x14ac:dyDescent="0.2"/>
    <row r="41792" s="197" customFormat="1" ht="12.75" x14ac:dyDescent="0.2"/>
    <row r="41793" s="197" customFormat="1" ht="12.75" x14ac:dyDescent="0.2"/>
    <row r="41794" s="197" customFormat="1" ht="12.75" x14ac:dyDescent="0.2"/>
    <row r="41795" s="197" customFormat="1" ht="12.75" x14ac:dyDescent="0.2"/>
    <row r="41796" s="197" customFormat="1" ht="12.75" x14ac:dyDescent="0.2"/>
    <row r="41797" s="197" customFormat="1" ht="12.75" x14ac:dyDescent="0.2"/>
    <row r="41798" s="197" customFormat="1" ht="12.75" x14ac:dyDescent="0.2"/>
    <row r="41799" s="197" customFormat="1" ht="12.75" x14ac:dyDescent="0.2"/>
    <row r="41800" s="197" customFormat="1" ht="12.75" x14ac:dyDescent="0.2"/>
    <row r="41801" s="197" customFormat="1" ht="12.75" x14ac:dyDescent="0.2"/>
    <row r="41802" s="197" customFormat="1" ht="12.75" x14ac:dyDescent="0.2"/>
    <row r="41803" s="197" customFormat="1" ht="12.75" x14ac:dyDescent="0.2"/>
    <row r="41804" s="197" customFormat="1" ht="12.75" x14ac:dyDescent="0.2"/>
    <row r="41805" s="197" customFormat="1" ht="12.75" x14ac:dyDescent="0.2"/>
    <row r="41806" s="197" customFormat="1" ht="12.75" x14ac:dyDescent="0.2"/>
    <row r="41807" s="197" customFormat="1" ht="12.75" x14ac:dyDescent="0.2"/>
    <row r="41808" s="197" customFormat="1" ht="12.75" x14ac:dyDescent="0.2"/>
    <row r="41809" s="197" customFormat="1" ht="12.75" x14ac:dyDescent="0.2"/>
    <row r="41810" s="197" customFormat="1" ht="12.75" x14ac:dyDescent="0.2"/>
    <row r="41811" s="197" customFormat="1" ht="12.75" x14ac:dyDescent="0.2"/>
    <row r="41812" s="197" customFormat="1" ht="12.75" x14ac:dyDescent="0.2"/>
    <row r="41813" s="197" customFormat="1" ht="12.75" x14ac:dyDescent="0.2"/>
    <row r="41814" s="197" customFormat="1" ht="12.75" x14ac:dyDescent="0.2"/>
    <row r="41815" s="197" customFormat="1" ht="12.75" x14ac:dyDescent="0.2"/>
    <row r="41816" s="197" customFormat="1" ht="12.75" x14ac:dyDescent="0.2"/>
    <row r="41817" s="197" customFormat="1" ht="12.75" x14ac:dyDescent="0.2"/>
    <row r="41818" s="197" customFormat="1" ht="12.75" x14ac:dyDescent="0.2"/>
    <row r="41819" s="197" customFormat="1" ht="12.75" x14ac:dyDescent="0.2"/>
    <row r="41820" s="197" customFormat="1" ht="12.75" x14ac:dyDescent="0.2"/>
    <row r="41821" s="197" customFormat="1" ht="12.75" x14ac:dyDescent="0.2"/>
    <row r="41822" s="197" customFormat="1" ht="12.75" x14ac:dyDescent="0.2"/>
    <row r="41823" s="197" customFormat="1" ht="12.75" x14ac:dyDescent="0.2"/>
    <row r="41824" s="197" customFormat="1" ht="12.75" x14ac:dyDescent="0.2"/>
    <row r="41825" s="197" customFormat="1" ht="12.75" x14ac:dyDescent="0.2"/>
    <row r="41826" s="197" customFormat="1" ht="12.75" x14ac:dyDescent="0.2"/>
    <row r="41827" s="197" customFormat="1" ht="12.75" x14ac:dyDescent="0.2"/>
    <row r="41828" s="197" customFormat="1" ht="12.75" x14ac:dyDescent="0.2"/>
    <row r="41829" s="197" customFormat="1" ht="12.75" x14ac:dyDescent="0.2"/>
    <row r="41830" s="197" customFormat="1" ht="12.75" x14ac:dyDescent="0.2"/>
    <row r="41831" s="197" customFormat="1" ht="12.75" x14ac:dyDescent="0.2"/>
    <row r="41832" s="197" customFormat="1" ht="12.75" x14ac:dyDescent="0.2"/>
    <row r="41833" s="197" customFormat="1" ht="12.75" x14ac:dyDescent="0.2"/>
    <row r="41834" s="197" customFormat="1" ht="12.75" x14ac:dyDescent="0.2"/>
    <row r="41835" s="197" customFormat="1" ht="12.75" x14ac:dyDescent="0.2"/>
    <row r="41836" s="197" customFormat="1" ht="12.75" x14ac:dyDescent="0.2"/>
    <row r="41837" s="197" customFormat="1" ht="12.75" x14ac:dyDescent="0.2"/>
    <row r="41838" s="197" customFormat="1" ht="12.75" x14ac:dyDescent="0.2"/>
    <row r="41839" s="197" customFormat="1" ht="12.75" x14ac:dyDescent="0.2"/>
    <row r="41840" s="197" customFormat="1" ht="12.75" x14ac:dyDescent="0.2"/>
    <row r="41841" s="197" customFormat="1" ht="12.75" x14ac:dyDescent="0.2"/>
    <row r="41842" s="197" customFormat="1" ht="12.75" x14ac:dyDescent="0.2"/>
    <row r="41843" s="197" customFormat="1" ht="12.75" x14ac:dyDescent="0.2"/>
    <row r="41844" s="197" customFormat="1" ht="12.75" x14ac:dyDescent="0.2"/>
    <row r="41845" s="197" customFormat="1" ht="12.75" x14ac:dyDescent="0.2"/>
    <row r="41846" s="197" customFormat="1" ht="12.75" x14ac:dyDescent="0.2"/>
    <row r="41847" s="197" customFormat="1" ht="12.75" x14ac:dyDescent="0.2"/>
    <row r="41848" s="197" customFormat="1" ht="12.75" x14ac:dyDescent="0.2"/>
    <row r="41849" s="197" customFormat="1" ht="12.75" x14ac:dyDescent="0.2"/>
    <row r="41850" s="197" customFormat="1" ht="12.75" x14ac:dyDescent="0.2"/>
    <row r="41851" s="197" customFormat="1" ht="12.75" x14ac:dyDescent="0.2"/>
    <row r="41852" s="197" customFormat="1" ht="12.75" x14ac:dyDescent="0.2"/>
    <row r="41853" s="197" customFormat="1" ht="12.75" x14ac:dyDescent="0.2"/>
    <row r="41854" s="197" customFormat="1" ht="12.75" x14ac:dyDescent="0.2"/>
    <row r="41855" s="197" customFormat="1" ht="12.75" x14ac:dyDescent="0.2"/>
    <row r="41856" s="197" customFormat="1" ht="12.75" x14ac:dyDescent="0.2"/>
    <row r="41857" s="197" customFormat="1" ht="12.75" x14ac:dyDescent="0.2"/>
    <row r="41858" s="197" customFormat="1" ht="12.75" x14ac:dyDescent="0.2"/>
    <row r="41859" s="197" customFormat="1" ht="12.75" x14ac:dyDescent="0.2"/>
    <row r="41860" s="197" customFormat="1" ht="12.75" x14ac:dyDescent="0.2"/>
    <row r="41861" s="197" customFormat="1" ht="12.75" x14ac:dyDescent="0.2"/>
    <row r="41862" s="197" customFormat="1" ht="12.75" x14ac:dyDescent="0.2"/>
    <row r="41863" s="197" customFormat="1" ht="12.75" x14ac:dyDescent="0.2"/>
    <row r="41864" s="197" customFormat="1" ht="12.75" x14ac:dyDescent="0.2"/>
    <row r="41865" s="197" customFormat="1" ht="12.75" x14ac:dyDescent="0.2"/>
    <row r="41866" s="197" customFormat="1" ht="12.75" x14ac:dyDescent="0.2"/>
    <row r="41867" s="197" customFormat="1" ht="12.75" x14ac:dyDescent="0.2"/>
    <row r="41868" s="197" customFormat="1" ht="12.75" x14ac:dyDescent="0.2"/>
    <row r="41869" s="197" customFormat="1" ht="12.75" x14ac:dyDescent="0.2"/>
    <row r="41870" s="197" customFormat="1" ht="12.75" x14ac:dyDescent="0.2"/>
    <row r="41871" s="197" customFormat="1" ht="12.75" x14ac:dyDescent="0.2"/>
    <row r="41872" s="197" customFormat="1" ht="12.75" x14ac:dyDescent="0.2"/>
    <row r="41873" s="197" customFormat="1" ht="12.75" x14ac:dyDescent="0.2"/>
    <row r="41874" s="197" customFormat="1" ht="12.75" x14ac:dyDescent="0.2"/>
    <row r="41875" s="197" customFormat="1" ht="12.75" x14ac:dyDescent="0.2"/>
    <row r="41876" s="197" customFormat="1" ht="12.75" x14ac:dyDescent="0.2"/>
    <row r="41877" s="197" customFormat="1" ht="12.75" x14ac:dyDescent="0.2"/>
    <row r="41878" s="197" customFormat="1" ht="12.75" x14ac:dyDescent="0.2"/>
    <row r="41879" s="197" customFormat="1" ht="12.75" x14ac:dyDescent="0.2"/>
    <row r="41880" s="197" customFormat="1" ht="12.75" x14ac:dyDescent="0.2"/>
    <row r="41881" s="197" customFormat="1" ht="12.75" x14ac:dyDescent="0.2"/>
    <row r="41882" s="197" customFormat="1" ht="12.75" x14ac:dyDescent="0.2"/>
    <row r="41883" s="197" customFormat="1" ht="12.75" x14ac:dyDescent="0.2"/>
    <row r="41884" s="197" customFormat="1" ht="12.75" x14ac:dyDescent="0.2"/>
    <row r="41885" s="197" customFormat="1" ht="12.75" x14ac:dyDescent="0.2"/>
    <row r="41886" s="197" customFormat="1" ht="12.75" x14ac:dyDescent="0.2"/>
    <row r="41887" s="197" customFormat="1" ht="12.75" x14ac:dyDescent="0.2"/>
    <row r="41888" s="197" customFormat="1" ht="12.75" x14ac:dyDescent="0.2"/>
    <row r="41889" s="197" customFormat="1" ht="12.75" x14ac:dyDescent="0.2"/>
    <row r="41890" s="197" customFormat="1" ht="12.75" x14ac:dyDescent="0.2"/>
    <row r="41891" s="197" customFormat="1" ht="12.75" x14ac:dyDescent="0.2"/>
    <row r="41892" s="197" customFormat="1" ht="12.75" x14ac:dyDescent="0.2"/>
    <row r="41893" s="197" customFormat="1" ht="12.75" x14ac:dyDescent="0.2"/>
    <row r="41894" s="197" customFormat="1" ht="12.75" x14ac:dyDescent="0.2"/>
    <row r="41895" s="197" customFormat="1" ht="12.75" x14ac:dyDescent="0.2"/>
    <row r="41896" s="197" customFormat="1" ht="12.75" x14ac:dyDescent="0.2"/>
    <row r="41897" s="197" customFormat="1" ht="12.75" x14ac:dyDescent="0.2"/>
    <row r="41898" s="197" customFormat="1" ht="12.75" x14ac:dyDescent="0.2"/>
    <row r="41899" s="197" customFormat="1" ht="12.75" x14ac:dyDescent="0.2"/>
    <row r="41900" s="197" customFormat="1" ht="12.75" x14ac:dyDescent="0.2"/>
    <row r="41901" s="197" customFormat="1" ht="12.75" x14ac:dyDescent="0.2"/>
    <row r="41902" s="197" customFormat="1" ht="12.75" x14ac:dyDescent="0.2"/>
    <row r="41903" s="197" customFormat="1" ht="12.75" x14ac:dyDescent="0.2"/>
    <row r="41904" s="197" customFormat="1" ht="12.75" x14ac:dyDescent="0.2"/>
    <row r="41905" s="197" customFormat="1" ht="12.75" x14ac:dyDescent="0.2"/>
    <row r="41906" s="197" customFormat="1" ht="12.75" x14ac:dyDescent="0.2"/>
    <row r="41907" s="197" customFormat="1" ht="12.75" x14ac:dyDescent="0.2"/>
    <row r="41908" s="197" customFormat="1" ht="12.75" x14ac:dyDescent="0.2"/>
    <row r="41909" s="197" customFormat="1" ht="12.75" x14ac:dyDescent="0.2"/>
    <row r="41910" s="197" customFormat="1" ht="12.75" x14ac:dyDescent="0.2"/>
    <row r="41911" s="197" customFormat="1" ht="12.75" x14ac:dyDescent="0.2"/>
    <row r="41912" s="197" customFormat="1" ht="12.75" x14ac:dyDescent="0.2"/>
    <row r="41913" s="197" customFormat="1" ht="12.75" x14ac:dyDescent="0.2"/>
    <row r="41914" s="197" customFormat="1" ht="12.75" x14ac:dyDescent="0.2"/>
    <row r="41915" s="197" customFormat="1" ht="12.75" x14ac:dyDescent="0.2"/>
    <row r="41916" s="197" customFormat="1" ht="12.75" x14ac:dyDescent="0.2"/>
    <row r="41917" s="197" customFormat="1" ht="12.75" x14ac:dyDescent="0.2"/>
    <row r="41918" s="197" customFormat="1" ht="12.75" x14ac:dyDescent="0.2"/>
    <row r="41919" s="197" customFormat="1" ht="12.75" x14ac:dyDescent="0.2"/>
    <row r="41920" s="197" customFormat="1" ht="12.75" x14ac:dyDescent="0.2"/>
    <row r="41921" s="197" customFormat="1" ht="12.75" x14ac:dyDescent="0.2"/>
    <row r="41922" s="197" customFormat="1" ht="12.75" x14ac:dyDescent="0.2"/>
    <row r="41923" s="197" customFormat="1" ht="12.75" x14ac:dyDescent="0.2"/>
    <row r="41924" s="197" customFormat="1" ht="12.75" x14ac:dyDescent="0.2"/>
    <row r="41925" s="197" customFormat="1" ht="12.75" x14ac:dyDescent="0.2"/>
    <row r="41926" s="197" customFormat="1" ht="12.75" x14ac:dyDescent="0.2"/>
    <row r="41927" s="197" customFormat="1" ht="12.75" x14ac:dyDescent="0.2"/>
    <row r="41928" s="197" customFormat="1" ht="12.75" x14ac:dyDescent="0.2"/>
    <row r="41929" s="197" customFormat="1" ht="12.75" x14ac:dyDescent="0.2"/>
    <row r="41930" s="197" customFormat="1" ht="12.75" x14ac:dyDescent="0.2"/>
    <row r="41931" s="197" customFormat="1" ht="12.75" x14ac:dyDescent="0.2"/>
    <row r="41932" s="197" customFormat="1" ht="12.75" x14ac:dyDescent="0.2"/>
    <row r="41933" s="197" customFormat="1" ht="12.75" x14ac:dyDescent="0.2"/>
    <row r="41934" s="197" customFormat="1" ht="12.75" x14ac:dyDescent="0.2"/>
    <row r="41935" s="197" customFormat="1" ht="12.75" x14ac:dyDescent="0.2"/>
    <row r="41936" s="197" customFormat="1" ht="12.75" x14ac:dyDescent="0.2"/>
    <row r="41937" s="197" customFormat="1" ht="12.75" x14ac:dyDescent="0.2"/>
    <row r="41938" s="197" customFormat="1" ht="12.75" x14ac:dyDescent="0.2"/>
    <row r="41939" s="197" customFormat="1" ht="12.75" x14ac:dyDescent="0.2"/>
    <row r="41940" s="197" customFormat="1" ht="12.75" x14ac:dyDescent="0.2"/>
    <row r="41941" s="197" customFormat="1" ht="12.75" x14ac:dyDescent="0.2"/>
    <row r="41942" s="197" customFormat="1" ht="12.75" x14ac:dyDescent="0.2"/>
    <row r="41943" s="197" customFormat="1" ht="12.75" x14ac:dyDescent="0.2"/>
    <row r="41944" s="197" customFormat="1" ht="12.75" x14ac:dyDescent="0.2"/>
    <row r="41945" s="197" customFormat="1" ht="12.75" x14ac:dyDescent="0.2"/>
    <row r="41946" s="197" customFormat="1" ht="12.75" x14ac:dyDescent="0.2"/>
    <row r="41947" s="197" customFormat="1" ht="12.75" x14ac:dyDescent="0.2"/>
    <row r="41948" s="197" customFormat="1" ht="12.75" x14ac:dyDescent="0.2"/>
    <row r="41949" s="197" customFormat="1" ht="12.75" x14ac:dyDescent="0.2"/>
    <row r="41950" s="197" customFormat="1" ht="12.75" x14ac:dyDescent="0.2"/>
    <row r="41951" s="197" customFormat="1" ht="12.75" x14ac:dyDescent="0.2"/>
    <row r="41952" s="197" customFormat="1" ht="12.75" x14ac:dyDescent="0.2"/>
    <row r="41953" s="197" customFormat="1" ht="12.75" x14ac:dyDescent="0.2"/>
    <row r="41954" s="197" customFormat="1" ht="12.75" x14ac:dyDescent="0.2"/>
    <row r="41955" s="197" customFormat="1" ht="12.75" x14ac:dyDescent="0.2"/>
    <row r="41956" s="197" customFormat="1" ht="12.75" x14ac:dyDescent="0.2"/>
    <row r="41957" s="197" customFormat="1" ht="12.75" x14ac:dyDescent="0.2"/>
    <row r="41958" s="197" customFormat="1" ht="12.75" x14ac:dyDescent="0.2"/>
    <row r="41959" s="197" customFormat="1" ht="12.75" x14ac:dyDescent="0.2"/>
    <row r="41960" s="197" customFormat="1" ht="12.75" x14ac:dyDescent="0.2"/>
    <row r="41961" s="197" customFormat="1" ht="12.75" x14ac:dyDescent="0.2"/>
    <row r="41962" s="197" customFormat="1" ht="12.75" x14ac:dyDescent="0.2"/>
    <row r="41963" s="197" customFormat="1" ht="12.75" x14ac:dyDescent="0.2"/>
    <row r="41964" s="197" customFormat="1" ht="12.75" x14ac:dyDescent="0.2"/>
    <row r="41965" s="197" customFormat="1" ht="12.75" x14ac:dyDescent="0.2"/>
    <row r="41966" s="197" customFormat="1" ht="12.75" x14ac:dyDescent="0.2"/>
    <row r="41967" s="197" customFormat="1" ht="12.75" x14ac:dyDescent="0.2"/>
    <row r="41968" s="197" customFormat="1" ht="12.75" x14ac:dyDescent="0.2"/>
    <row r="41969" s="197" customFormat="1" ht="12.75" x14ac:dyDescent="0.2"/>
    <row r="41970" s="197" customFormat="1" ht="12.75" x14ac:dyDescent="0.2"/>
    <row r="41971" s="197" customFormat="1" ht="12.75" x14ac:dyDescent="0.2"/>
    <row r="41972" s="197" customFormat="1" ht="12.75" x14ac:dyDescent="0.2"/>
    <row r="41973" s="197" customFormat="1" ht="12.75" x14ac:dyDescent="0.2"/>
    <row r="41974" s="197" customFormat="1" ht="12.75" x14ac:dyDescent="0.2"/>
    <row r="41975" s="197" customFormat="1" ht="12.75" x14ac:dyDescent="0.2"/>
    <row r="41976" s="197" customFormat="1" ht="12.75" x14ac:dyDescent="0.2"/>
    <row r="41977" s="197" customFormat="1" ht="12.75" x14ac:dyDescent="0.2"/>
    <row r="41978" s="197" customFormat="1" ht="12.75" x14ac:dyDescent="0.2"/>
    <row r="41979" s="197" customFormat="1" ht="12.75" x14ac:dyDescent="0.2"/>
    <row r="41980" s="197" customFormat="1" ht="12.75" x14ac:dyDescent="0.2"/>
    <row r="41981" s="197" customFormat="1" ht="12.75" x14ac:dyDescent="0.2"/>
    <row r="41982" s="197" customFormat="1" ht="12.75" x14ac:dyDescent="0.2"/>
    <row r="41983" s="197" customFormat="1" ht="12.75" x14ac:dyDescent="0.2"/>
    <row r="41984" s="197" customFormat="1" ht="12.75" x14ac:dyDescent="0.2"/>
    <row r="41985" s="197" customFormat="1" ht="12.75" x14ac:dyDescent="0.2"/>
    <row r="41986" s="197" customFormat="1" ht="12.75" x14ac:dyDescent="0.2"/>
    <row r="41987" s="197" customFormat="1" ht="12.75" x14ac:dyDescent="0.2"/>
    <row r="41988" s="197" customFormat="1" ht="12.75" x14ac:dyDescent="0.2"/>
    <row r="41989" s="197" customFormat="1" ht="12.75" x14ac:dyDescent="0.2"/>
    <row r="41990" s="197" customFormat="1" ht="12.75" x14ac:dyDescent="0.2"/>
    <row r="41991" s="197" customFormat="1" ht="12.75" x14ac:dyDescent="0.2"/>
    <row r="41992" s="197" customFormat="1" ht="12.75" x14ac:dyDescent="0.2"/>
    <row r="41993" s="197" customFormat="1" ht="12.75" x14ac:dyDescent="0.2"/>
    <row r="41994" s="197" customFormat="1" ht="12.75" x14ac:dyDescent="0.2"/>
    <row r="41995" s="197" customFormat="1" ht="12.75" x14ac:dyDescent="0.2"/>
    <row r="41996" s="197" customFormat="1" ht="12.75" x14ac:dyDescent="0.2"/>
    <row r="41997" s="197" customFormat="1" ht="12.75" x14ac:dyDescent="0.2"/>
    <row r="41998" s="197" customFormat="1" ht="12.75" x14ac:dyDescent="0.2"/>
    <row r="41999" s="197" customFormat="1" ht="12.75" x14ac:dyDescent="0.2"/>
    <row r="42000" s="197" customFormat="1" ht="12.75" x14ac:dyDescent="0.2"/>
    <row r="42001" s="197" customFormat="1" ht="12.75" x14ac:dyDescent="0.2"/>
    <row r="42002" s="197" customFormat="1" ht="12.75" x14ac:dyDescent="0.2"/>
    <row r="42003" s="197" customFormat="1" ht="12.75" x14ac:dyDescent="0.2"/>
    <row r="42004" s="197" customFormat="1" ht="12.75" x14ac:dyDescent="0.2"/>
    <row r="42005" s="197" customFormat="1" ht="12.75" x14ac:dyDescent="0.2"/>
    <row r="42006" s="197" customFormat="1" ht="12.75" x14ac:dyDescent="0.2"/>
    <row r="42007" s="197" customFormat="1" ht="12.75" x14ac:dyDescent="0.2"/>
    <row r="42008" s="197" customFormat="1" ht="12.75" x14ac:dyDescent="0.2"/>
    <row r="42009" s="197" customFormat="1" ht="12.75" x14ac:dyDescent="0.2"/>
    <row r="42010" s="197" customFormat="1" ht="12.75" x14ac:dyDescent="0.2"/>
    <row r="42011" s="197" customFormat="1" ht="12.75" x14ac:dyDescent="0.2"/>
    <row r="42012" s="197" customFormat="1" ht="12.75" x14ac:dyDescent="0.2"/>
    <row r="42013" s="197" customFormat="1" ht="12.75" x14ac:dyDescent="0.2"/>
    <row r="42014" s="197" customFormat="1" ht="12.75" x14ac:dyDescent="0.2"/>
    <row r="42015" s="197" customFormat="1" ht="12.75" x14ac:dyDescent="0.2"/>
    <row r="42016" s="197" customFormat="1" ht="12.75" x14ac:dyDescent="0.2"/>
    <row r="42017" s="197" customFormat="1" ht="12.75" x14ac:dyDescent="0.2"/>
    <row r="42018" s="197" customFormat="1" ht="12.75" x14ac:dyDescent="0.2"/>
    <row r="42019" s="197" customFormat="1" ht="12.75" x14ac:dyDescent="0.2"/>
    <row r="42020" s="197" customFormat="1" ht="12.75" x14ac:dyDescent="0.2"/>
    <row r="42021" s="197" customFormat="1" ht="12.75" x14ac:dyDescent="0.2"/>
    <row r="42022" s="197" customFormat="1" ht="12.75" x14ac:dyDescent="0.2"/>
    <row r="42023" s="197" customFormat="1" ht="12.75" x14ac:dyDescent="0.2"/>
    <row r="42024" s="197" customFormat="1" ht="12.75" x14ac:dyDescent="0.2"/>
    <row r="42025" s="197" customFormat="1" ht="12.75" x14ac:dyDescent="0.2"/>
    <row r="42026" s="197" customFormat="1" ht="12.75" x14ac:dyDescent="0.2"/>
    <row r="42027" s="197" customFormat="1" ht="12.75" x14ac:dyDescent="0.2"/>
    <row r="42028" s="197" customFormat="1" ht="12.75" x14ac:dyDescent="0.2"/>
    <row r="42029" s="197" customFormat="1" ht="12.75" x14ac:dyDescent="0.2"/>
    <row r="42030" s="197" customFormat="1" ht="12.75" x14ac:dyDescent="0.2"/>
    <row r="42031" s="197" customFormat="1" ht="12.75" x14ac:dyDescent="0.2"/>
    <row r="42032" s="197" customFormat="1" ht="12.75" x14ac:dyDescent="0.2"/>
    <row r="42033" s="197" customFormat="1" ht="12.75" x14ac:dyDescent="0.2"/>
    <row r="42034" s="197" customFormat="1" ht="12.75" x14ac:dyDescent="0.2"/>
    <row r="42035" s="197" customFormat="1" ht="12.75" x14ac:dyDescent="0.2"/>
    <row r="42036" s="197" customFormat="1" ht="12.75" x14ac:dyDescent="0.2"/>
    <row r="42037" s="197" customFormat="1" ht="12.75" x14ac:dyDescent="0.2"/>
    <row r="42038" s="197" customFormat="1" ht="12.75" x14ac:dyDescent="0.2"/>
    <row r="42039" s="197" customFormat="1" ht="12.75" x14ac:dyDescent="0.2"/>
    <row r="42040" s="197" customFormat="1" ht="12.75" x14ac:dyDescent="0.2"/>
    <row r="42041" s="197" customFormat="1" ht="12.75" x14ac:dyDescent="0.2"/>
    <row r="42042" s="197" customFormat="1" ht="12.75" x14ac:dyDescent="0.2"/>
    <row r="42043" s="197" customFormat="1" ht="12.75" x14ac:dyDescent="0.2"/>
    <row r="42044" s="197" customFormat="1" ht="12.75" x14ac:dyDescent="0.2"/>
    <row r="42045" s="197" customFormat="1" ht="12.75" x14ac:dyDescent="0.2"/>
    <row r="42046" s="197" customFormat="1" ht="12.75" x14ac:dyDescent="0.2"/>
    <row r="42047" s="197" customFormat="1" ht="12.75" x14ac:dyDescent="0.2"/>
    <row r="42048" s="197" customFormat="1" ht="12.75" x14ac:dyDescent="0.2"/>
    <row r="42049" s="197" customFormat="1" ht="12.75" x14ac:dyDescent="0.2"/>
    <row r="42050" s="197" customFormat="1" ht="12.75" x14ac:dyDescent="0.2"/>
    <row r="42051" s="197" customFormat="1" ht="12.75" x14ac:dyDescent="0.2"/>
    <row r="42052" s="197" customFormat="1" ht="12.75" x14ac:dyDescent="0.2"/>
    <row r="42053" s="197" customFormat="1" ht="12.75" x14ac:dyDescent="0.2"/>
    <row r="42054" s="197" customFormat="1" ht="12.75" x14ac:dyDescent="0.2"/>
    <row r="42055" s="197" customFormat="1" ht="12.75" x14ac:dyDescent="0.2"/>
    <row r="42056" s="197" customFormat="1" ht="12.75" x14ac:dyDescent="0.2"/>
    <row r="42057" s="197" customFormat="1" ht="12.75" x14ac:dyDescent="0.2"/>
    <row r="42058" s="197" customFormat="1" ht="12.75" x14ac:dyDescent="0.2"/>
    <row r="42059" s="197" customFormat="1" ht="12.75" x14ac:dyDescent="0.2"/>
    <row r="42060" s="197" customFormat="1" ht="12.75" x14ac:dyDescent="0.2"/>
    <row r="42061" s="197" customFormat="1" ht="12.75" x14ac:dyDescent="0.2"/>
    <row r="42062" s="197" customFormat="1" ht="12.75" x14ac:dyDescent="0.2"/>
    <row r="42063" s="197" customFormat="1" ht="12.75" x14ac:dyDescent="0.2"/>
    <row r="42064" s="197" customFormat="1" ht="12.75" x14ac:dyDescent="0.2"/>
    <row r="42065" s="197" customFormat="1" ht="12.75" x14ac:dyDescent="0.2"/>
    <row r="42066" s="197" customFormat="1" ht="12.75" x14ac:dyDescent="0.2"/>
    <row r="42067" s="197" customFormat="1" ht="12.75" x14ac:dyDescent="0.2"/>
    <row r="42068" s="197" customFormat="1" ht="12.75" x14ac:dyDescent="0.2"/>
    <row r="42069" s="197" customFormat="1" ht="12.75" x14ac:dyDescent="0.2"/>
    <row r="42070" s="197" customFormat="1" ht="12.75" x14ac:dyDescent="0.2"/>
    <row r="42071" s="197" customFormat="1" ht="12.75" x14ac:dyDescent="0.2"/>
    <row r="42072" s="197" customFormat="1" ht="12.75" x14ac:dyDescent="0.2"/>
    <row r="42073" s="197" customFormat="1" ht="12.75" x14ac:dyDescent="0.2"/>
    <row r="42074" s="197" customFormat="1" ht="12.75" x14ac:dyDescent="0.2"/>
    <row r="42075" s="197" customFormat="1" ht="12.75" x14ac:dyDescent="0.2"/>
    <row r="42076" s="197" customFormat="1" ht="12.75" x14ac:dyDescent="0.2"/>
    <row r="42077" s="197" customFormat="1" ht="12.75" x14ac:dyDescent="0.2"/>
    <row r="42078" s="197" customFormat="1" ht="12.75" x14ac:dyDescent="0.2"/>
    <row r="42079" s="197" customFormat="1" ht="12.75" x14ac:dyDescent="0.2"/>
    <row r="42080" s="197" customFormat="1" ht="12.75" x14ac:dyDescent="0.2"/>
    <row r="42081" s="197" customFormat="1" ht="12.75" x14ac:dyDescent="0.2"/>
    <row r="42082" s="197" customFormat="1" ht="12.75" x14ac:dyDescent="0.2"/>
    <row r="42083" s="197" customFormat="1" ht="12.75" x14ac:dyDescent="0.2"/>
    <row r="42084" s="197" customFormat="1" ht="12.75" x14ac:dyDescent="0.2"/>
    <row r="42085" s="197" customFormat="1" ht="12.75" x14ac:dyDescent="0.2"/>
    <row r="42086" s="197" customFormat="1" ht="12.75" x14ac:dyDescent="0.2"/>
    <row r="42087" s="197" customFormat="1" ht="12.75" x14ac:dyDescent="0.2"/>
    <row r="42088" s="197" customFormat="1" ht="12.75" x14ac:dyDescent="0.2"/>
    <row r="42089" s="197" customFormat="1" ht="12.75" x14ac:dyDescent="0.2"/>
    <row r="42090" s="197" customFormat="1" ht="12.75" x14ac:dyDescent="0.2"/>
    <row r="42091" s="197" customFormat="1" ht="12.75" x14ac:dyDescent="0.2"/>
    <row r="42092" s="197" customFormat="1" ht="12.75" x14ac:dyDescent="0.2"/>
    <row r="42093" s="197" customFormat="1" ht="12.75" x14ac:dyDescent="0.2"/>
    <row r="42094" s="197" customFormat="1" ht="12.75" x14ac:dyDescent="0.2"/>
    <row r="42095" s="197" customFormat="1" ht="12.75" x14ac:dyDescent="0.2"/>
    <row r="42096" s="197" customFormat="1" ht="12.75" x14ac:dyDescent="0.2"/>
    <row r="42097" s="197" customFormat="1" ht="12.75" x14ac:dyDescent="0.2"/>
    <row r="42098" s="197" customFormat="1" ht="12.75" x14ac:dyDescent="0.2"/>
    <row r="42099" s="197" customFormat="1" ht="12.75" x14ac:dyDescent="0.2"/>
    <row r="42100" s="197" customFormat="1" ht="12.75" x14ac:dyDescent="0.2"/>
    <row r="42101" s="197" customFormat="1" ht="12.75" x14ac:dyDescent="0.2"/>
    <row r="42102" s="197" customFormat="1" ht="12.75" x14ac:dyDescent="0.2"/>
    <row r="42103" s="197" customFormat="1" ht="12.75" x14ac:dyDescent="0.2"/>
    <row r="42104" s="197" customFormat="1" ht="12.75" x14ac:dyDescent="0.2"/>
    <row r="42105" s="197" customFormat="1" ht="12.75" x14ac:dyDescent="0.2"/>
    <row r="42106" s="197" customFormat="1" ht="12.75" x14ac:dyDescent="0.2"/>
    <row r="42107" s="197" customFormat="1" ht="12.75" x14ac:dyDescent="0.2"/>
    <row r="42108" s="197" customFormat="1" ht="12.75" x14ac:dyDescent="0.2"/>
    <row r="42109" s="197" customFormat="1" ht="12.75" x14ac:dyDescent="0.2"/>
    <row r="42110" s="197" customFormat="1" ht="12.75" x14ac:dyDescent="0.2"/>
    <row r="42111" s="197" customFormat="1" ht="12.75" x14ac:dyDescent="0.2"/>
    <row r="42112" s="197" customFormat="1" ht="12.75" x14ac:dyDescent="0.2"/>
    <row r="42113" s="197" customFormat="1" ht="12.75" x14ac:dyDescent="0.2"/>
    <row r="42114" s="197" customFormat="1" ht="12.75" x14ac:dyDescent="0.2"/>
    <row r="42115" s="197" customFormat="1" ht="12.75" x14ac:dyDescent="0.2"/>
    <row r="42116" s="197" customFormat="1" ht="12.75" x14ac:dyDescent="0.2"/>
    <row r="42117" s="197" customFormat="1" ht="12.75" x14ac:dyDescent="0.2"/>
    <row r="42118" s="197" customFormat="1" ht="12.75" x14ac:dyDescent="0.2"/>
    <row r="42119" s="197" customFormat="1" ht="12.75" x14ac:dyDescent="0.2"/>
    <row r="42120" s="197" customFormat="1" ht="12.75" x14ac:dyDescent="0.2"/>
    <row r="42121" s="197" customFormat="1" ht="12.75" x14ac:dyDescent="0.2"/>
    <row r="42122" s="197" customFormat="1" ht="12.75" x14ac:dyDescent="0.2"/>
    <row r="42123" s="197" customFormat="1" ht="12.75" x14ac:dyDescent="0.2"/>
    <row r="42124" s="197" customFormat="1" ht="12.75" x14ac:dyDescent="0.2"/>
    <row r="42125" s="197" customFormat="1" ht="12.75" x14ac:dyDescent="0.2"/>
    <row r="42126" s="197" customFormat="1" ht="12.75" x14ac:dyDescent="0.2"/>
    <row r="42127" s="197" customFormat="1" ht="12.75" x14ac:dyDescent="0.2"/>
    <row r="42128" s="197" customFormat="1" ht="12.75" x14ac:dyDescent="0.2"/>
    <row r="42129" s="197" customFormat="1" ht="12.75" x14ac:dyDescent="0.2"/>
    <row r="42130" s="197" customFormat="1" ht="12.75" x14ac:dyDescent="0.2"/>
    <row r="42131" s="197" customFormat="1" ht="12.75" x14ac:dyDescent="0.2"/>
    <row r="42132" s="197" customFormat="1" ht="12.75" x14ac:dyDescent="0.2"/>
    <row r="42133" s="197" customFormat="1" ht="12.75" x14ac:dyDescent="0.2"/>
    <row r="42134" s="197" customFormat="1" ht="12.75" x14ac:dyDescent="0.2"/>
    <row r="42135" s="197" customFormat="1" ht="12.75" x14ac:dyDescent="0.2"/>
    <row r="42136" s="197" customFormat="1" ht="12.75" x14ac:dyDescent="0.2"/>
    <row r="42137" s="197" customFormat="1" ht="12.75" x14ac:dyDescent="0.2"/>
    <row r="42138" s="197" customFormat="1" ht="12.75" x14ac:dyDescent="0.2"/>
    <row r="42139" s="197" customFormat="1" ht="12.75" x14ac:dyDescent="0.2"/>
    <row r="42140" s="197" customFormat="1" ht="12.75" x14ac:dyDescent="0.2"/>
    <row r="42141" s="197" customFormat="1" ht="12.75" x14ac:dyDescent="0.2"/>
    <row r="42142" s="197" customFormat="1" ht="12.75" x14ac:dyDescent="0.2"/>
    <row r="42143" s="197" customFormat="1" ht="12.75" x14ac:dyDescent="0.2"/>
    <row r="42144" s="197" customFormat="1" ht="12.75" x14ac:dyDescent="0.2"/>
    <row r="42145" s="197" customFormat="1" ht="12.75" x14ac:dyDescent="0.2"/>
    <row r="42146" s="197" customFormat="1" ht="12.75" x14ac:dyDescent="0.2"/>
    <row r="42147" s="197" customFormat="1" ht="12.75" x14ac:dyDescent="0.2"/>
    <row r="42148" s="197" customFormat="1" ht="12.75" x14ac:dyDescent="0.2"/>
    <row r="42149" s="197" customFormat="1" ht="12.75" x14ac:dyDescent="0.2"/>
    <row r="42150" s="197" customFormat="1" ht="12.75" x14ac:dyDescent="0.2"/>
    <row r="42151" s="197" customFormat="1" ht="12.75" x14ac:dyDescent="0.2"/>
    <row r="42152" s="197" customFormat="1" ht="12.75" x14ac:dyDescent="0.2"/>
    <row r="42153" s="197" customFormat="1" ht="12.75" x14ac:dyDescent="0.2"/>
    <row r="42154" s="197" customFormat="1" ht="12.75" x14ac:dyDescent="0.2"/>
    <row r="42155" s="197" customFormat="1" ht="12.75" x14ac:dyDescent="0.2"/>
    <row r="42156" s="197" customFormat="1" ht="12.75" x14ac:dyDescent="0.2"/>
    <row r="42157" s="197" customFormat="1" ht="12.75" x14ac:dyDescent="0.2"/>
    <row r="42158" s="197" customFormat="1" ht="12.75" x14ac:dyDescent="0.2"/>
    <row r="42159" s="197" customFormat="1" ht="12.75" x14ac:dyDescent="0.2"/>
    <row r="42160" s="197" customFormat="1" ht="12.75" x14ac:dyDescent="0.2"/>
    <row r="42161" s="197" customFormat="1" ht="12.75" x14ac:dyDescent="0.2"/>
    <row r="42162" s="197" customFormat="1" ht="12.75" x14ac:dyDescent="0.2"/>
    <row r="42163" s="197" customFormat="1" ht="12.75" x14ac:dyDescent="0.2"/>
    <row r="42164" s="197" customFormat="1" ht="12.75" x14ac:dyDescent="0.2"/>
    <row r="42165" s="197" customFormat="1" ht="12.75" x14ac:dyDescent="0.2"/>
    <row r="42166" s="197" customFormat="1" ht="12.75" x14ac:dyDescent="0.2"/>
    <row r="42167" s="197" customFormat="1" ht="12.75" x14ac:dyDescent="0.2"/>
    <row r="42168" s="197" customFormat="1" ht="12.75" x14ac:dyDescent="0.2"/>
    <row r="42169" s="197" customFormat="1" ht="12.75" x14ac:dyDescent="0.2"/>
    <row r="42170" s="197" customFormat="1" ht="12.75" x14ac:dyDescent="0.2"/>
    <row r="42171" s="197" customFormat="1" ht="12.75" x14ac:dyDescent="0.2"/>
    <row r="42172" s="197" customFormat="1" ht="12.75" x14ac:dyDescent="0.2"/>
    <row r="42173" s="197" customFormat="1" ht="12.75" x14ac:dyDescent="0.2"/>
    <row r="42174" s="197" customFormat="1" ht="12.75" x14ac:dyDescent="0.2"/>
    <row r="42175" s="197" customFormat="1" ht="12.75" x14ac:dyDescent="0.2"/>
    <row r="42176" s="197" customFormat="1" ht="12.75" x14ac:dyDescent="0.2"/>
    <row r="42177" s="197" customFormat="1" ht="12.75" x14ac:dyDescent="0.2"/>
    <row r="42178" s="197" customFormat="1" ht="12.75" x14ac:dyDescent="0.2"/>
    <row r="42179" s="197" customFormat="1" ht="12.75" x14ac:dyDescent="0.2"/>
    <row r="42180" s="197" customFormat="1" ht="12.75" x14ac:dyDescent="0.2"/>
    <row r="42181" s="197" customFormat="1" ht="12.75" x14ac:dyDescent="0.2"/>
    <row r="42182" s="197" customFormat="1" ht="12.75" x14ac:dyDescent="0.2"/>
    <row r="42183" s="197" customFormat="1" ht="12.75" x14ac:dyDescent="0.2"/>
    <row r="42184" s="197" customFormat="1" ht="12.75" x14ac:dyDescent="0.2"/>
    <row r="42185" s="197" customFormat="1" ht="12.75" x14ac:dyDescent="0.2"/>
    <row r="42186" s="197" customFormat="1" ht="12.75" x14ac:dyDescent="0.2"/>
    <row r="42187" s="197" customFormat="1" ht="12.75" x14ac:dyDescent="0.2"/>
    <row r="42188" s="197" customFormat="1" ht="12.75" x14ac:dyDescent="0.2"/>
    <row r="42189" s="197" customFormat="1" ht="12.75" x14ac:dyDescent="0.2"/>
    <row r="42190" s="197" customFormat="1" ht="12.75" x14ac:dyDescent="0.2"/>
    <row r="42191" s="197" customFormat="1" ht="12.75" x14ac:dyDescent="0.2"/>
    <row r="42192" s="197" customFormat="1" ht="12.75" x14ac:dyDescent="0.2"/>
    <row r="42193" s="197" customFormat="1" ht="12.75" x14ac:dyDescent="0.2"/>
    <row r="42194" s="197" customFormat="1" ht="12.75" x14ac:dyDescent="0.2"/>
    <row r="42195" s="197" customFormat="1" ht="12.75" x14ac:dyDescent="0.2"/>
    <row r="42196" s="197" customFormat="1" ht="12.75" x14ac:dyDescent="0.2"/>
    <row r="42197" s="197" customFormat="1" ht="12.75" x14ac:dyDescent="0.2"/>
    <row r="42198" s="197" customFormat="1" ht="12.75" x14ac:dyDescent="0.2"/>
    <row r="42199" s="197" customFormat="1" ht="12.75" x14ac:dyDescent="0.2"/>
    <row r="42200" s="197" customFormat="1" ht="12.75" x14ac:dyDescent="0.2"/>
    <row r="42201" s="197" customFormat="1" ht="12.75" x14ac:dyDescent="0.2"/>
    <row r="42202" s="197" customFormat="1" ht="12.75" x14ac:dyDescent="0.2"/>
    <row r="42203" s="197" customFormat="1" ht="12.75" x14ac:dyDescent="0.2"/>
    <row r="42204" s="197" customFormat="1" ht="12.75" x14ac:dyDescent="0.2"/>
    <row r="42205" s="197" customFormat="1" ht="12.75" x14ac:dyDescent="0.2"/>
    <row r="42206" s="197" customFormat="1" ht="12.75" x14ac:dyDescent="0.2"/>
    <row r="42207" s="197" customFormat="1" ht="12.75" x14ac:dyDescent="0.2"/>
    <row r="42208" s="197" customFormat="1" ht="12.75" x14ac:dyDescent="0.2"/>
    <row r="42209" s="197" customFormat="1" ht="12.75" x14ac:dyDescent="0.2"/>
    <row r="42210" s="197" customFormat="1" ht="12.75" x14ac:dyDescent="0.2"/>
    <row r="42211" s="197" customFormat="1" ht="12.75" x14ac:dyDescent="0.2"/>
    <row r="42212" s="197" customFormat="1" ht="12.75" x14ac:dyDescent="0.2"/>
    <row r="42213" s="197" customFormat="1" ht="12.75" x14ac:dyDescent="0.2"/>
    <row r="42214" s="197" customFormat="1" ht="12.75" x14ac:dyDescent="0.2"/>
    <row r="42215" s="197" customFormat="1" ht="12.75" x14ac:dyDescent="0.2"/>
    <row r="42216" s="197" customFormat="1" ht="12.75" x14ac:dyDescent="0.2"/>
    <row r="42217" s="197" customFormat="1" ht="12.75" x14ac:dyDescent="0.2"/>
    <row r="42218" s="197" customFormat="1" ht="12.75" x14ac:dyDescent="0.2"/>
    <row r="42219" s="197" customFormat="1" ht="12.75" x14ac:dyDescent="0.2"/>
    <row r="42220" s="197" customFormat="1" ht="12.75" x14ac:dyDescent="0.2"/>
    <row r="42221" s="197" customFormat="1" ht="12.75" x14ac:dyDescent="0.2"/>
    <row r="42222" s="197" customFormat="1" ht="12.75" x14ac:dyDescent="0.2"/>
    <row r="42223" s="197" customFormat="1" ht="12.75" x14ac:dyDescent="0.2"/>
    <row r="42224" s="197" customFormat="1" ht="12.75" x14ac:dyDescent="0.2"/>
    <row r="42225" s="197" customFormat="1" ht="12.75" x14ac:dyDescent="0.2"/>
    <row r="42226" s="197" customFormat="1" ht="12.75" x14ac:dyDescent="0.2"/>
    <row r="42227" s="197" customFormat="1" ht="12.75" x14ac:dyDescent="0.2"/>
    <row r="42228" s="197" customFormat="1" ht="12.75" x14ac:dyDescent="0.2"/>
    <row r="42229" s="197" customFormat="1" ht="12.75" x14ac:dyDescent="0.2"/>
    <row r="42230" s="197" customFormat="1" ht="12.75" x14ac:dyDescent="0.2"/>
    <row r="42231" s="197" customFormat="1" ht="12.75" x14ac:dyDescent="0.2"/>
    <row r="42232" s="197" customFormat="1" ht="12.75" x14ac:dyDescent="0.2"/>
    <row r="42233" s="197" customFormat="1" ht="12.75" x14ac:dyDescent="0.2"/>
    <row r="42234" s="197" customFormat="1" ht="12.75" x14ac:dyDescent="0.2"/>
    <row r="42235" s="197" customFormat="1" ht="12.75" x14ac:dyDescent="0.2"/>
    <row r="42236" s="197" customFormat="1" ht="12.75" x14ac:dyDescent="0.2"/>
    <row r="42237" s="197" customFormat="1" ht="12.75" x14ac:dyDescent="0.2"/>
    <row r="42238" s="197" customFormat="1" ht="12.75" x14ac:dyDescent="0.2"/>
    <row r="42239" s="197" customFormat="1" ht="12.75" x14ac:dyDescent="0.2"/>
    <row r="42240" s="197" customFormat="1" ht="12.75" x14ac:dyDescent="0.2"/>
    <row r="42241" s="197" customFormat="1" ht="12.75" x14ac:dyDescent="0.2"/>
    <row r="42242" s="197" customFormat="1" ht="12.75" x14ac:dyDescent="0.2"/>
    <row r="42243" s="197" customFormat="1" ht="12.75" x14ac:dyDescent="0.2"/>
    <row r="42244" s="197" customFormat="1" ht="12.75" x14ac:dyDescent="0.2"/>
    <row r="42245" s="197" customFormat="1" ht="12.75" x14ac:dyDescent="0.2"/>
    <row r="42246" s="197" customFormat="1" ht="12.75" x14ac:dyDescent="0.2"/>
    <row r="42247" s="197" customFormat="1" ht="12.75" x14ac:dyDescent="0.2"/>
    <row r="42248" s="197" customFormat="1" ht="12.75" x14ac:dyDescent="0.2"/>
    <row r="42249" s="197" customFormat="1" ht="12.75" x14ac:dyDescent="0.2"/>
    <row r="42250" s="197" customFormat="1" ht="12.75" x14ac:dyDescent="0.2"/>
    <row r="42251" s="197" customFormat="1" ht="12.75" x14ac:dyDescent="0.2"/>
    <row r="42252" s="197" customFormat="1" ht="12.75" x14ac:dyDescent="0.2"/>
    <row r="42253" s="197" customFormat="1" ht="12.75" x14ac:dyDescent="0.2"/>
    <row r="42254" s="197" customFormat="1" ht="12.75" x14ac:dyDescent="0.2"/>
    <row r="42255" s="197" customFormat="1" ht="12.75" x14ac:dyDescent="0.2"/>
    <row r="42256" s="197" customFormat="1" ht="12.75" x14ac:dyDescent="0.2"/>
    <row r="42257" s="197" customFormat="1" ht="12.75" x14ac:dyDescent="0.2"/>
    <row r="42258" s="197" customFormat="1" ht="12.75" x14ac:dyDescent="0.2"/>
    <row r="42259" s="197" customFormat="1" ht="12.75" x14ac:dyDescent="0.2"/>
    <row r="42260" s="197" customFormat="1" ht="12.75" x14ac:dyDescent="0.2"/>
    <row r="42261" s="197" customFormat="1" ht="12.75" x14ac:dyDescent="0.2"/>
    <row r="42262" s="197" customFormat="1" ht="12.75" x14ac:dyDescent="0.2"/>
    <row r="42263" s="197" customFormat="1" ht="12.75" x14ac:dyDescent="0.2"/>
    <row r="42264" s="197" customFormat="1" ht="12.75" x14ac:dyDescent="0.2"/>
    <row r="42265" s="197" customFormat="1" ht="12.75" x14ac:dyDescent="0.2"/>
    <row r="42266" s="197" customFormat="1" ht="12.75" x14ac:dyDescent="0.2"/>
    <row r="42267" s="197" customFormat="1" ht="12.75" x14ac:dyDescent="0.2"/>
    <row r="42268" s="197" customFormat="1" ht="12.75" x14ac:dyDescent="0.2"/>
    <row r="42269" s="197" customFormat="1" ht="12.75" x14ac:dyDescent="0.2"/>
    <row r="42270" s="197" customFormat="1" ht="12.75" x14ac:dyDescent="0.2"/>
    <row r="42271" s="197" customFormat="1" ht="12.75" x14ac:dyDescent="0.2"/>
    <row r="42272" s="197" customFormat="1" ht="12.75" x14ac:dyDescent="0.2"/>
    <row r="42273" s="197" customFormat="1" ht="12.75" x14ac:dyDescent="0.2"/>
    <row r="42274" s="197" customFormat="1" ht="12.75" x14ac:dyDescent="0.2"/>
    <row r="42275" s="197" customFormat="1" ht="12.75" x14ac:dyDescent="0.2"/>
    <row r="42276" s="197" customFormat="1" ht="12.75" x14ac:dyDescent="0.2"/>
    <row r="42277" s="197" customFormat="1" ht="12.75" x14ac:dyDescent="0.2"/>
    <row r="42278" s="197" customFormat="1" ht="12.75" x14ac:dyDescent="0.2"/>
    <row r="42279" s="197" customFormat="1" ht="12.75" x14ac:dyDescent="0.2"/>
    <row r="42280" s="197" customFormat="1" ht="12.75" x14ac:dyDescent="0.2"/>
    <row r="42281" s="197" customFormat="1" ht="12.75" x14ac:dyDescent="0.2"/>
    <row r="42282" s="197" customFormat="1" ht="12.75" x14ac:dyDescent="0.2"/>
    <row r="42283" s="197" customFormat="1" ht="12.75" x14ac:dyDescent="0.2"/>
    <row r="42284" s="197" customFormat="1" ht="12.75" x14ac:dyDescent="0.2"/>
    <row r="42285" s="197" customFormat="1" ht="12.75" x14ac:dyDescent="0.2"/>
    <row r="42286" s="197" customFormat="1" ht="12.75" x14ac:dyDescent="0.2"/>
    <row r="42287" s="197" customFormat="1" ht="12.75" x14ac:dyDescent="0.2"/>
    <row r="42288" s="197" customFormat="1" ht="12.75" x14ac:dyDescent="0.2"/>
    <row r="42289" s="197" customFormat="1" ht="12.75" x14ac:dyDescent="0.2"/>
    <row r="42290" s="197" customFormat="1" ht="12.75" x14ac:dyDescent="0.2"/>
    <row r="42291" s="197" customFormat="1" ht="12.75" x14ac:dyDescent="0.2"/>
    <row r="42292" s="197" customFormat="1" ht="12.75" x14ac:dyDescent="0.2"/>
    <row r="42293" s="197" customFormat="1" ht="12.75" x14ac:dyDescent="0.2"/>
    <row r="42294" s="197" customFormat="1" ht="12.75" x14ac:dyDescent="0.2"/>
    <row r="42295" s="197" customFormat="1" ht="12.75" x14ac:dyDescent="0.2"/>
    <row r="42296" s="197" customFormat="1" ht="12.75" x14ac:dyDescent="0.2"/>
    <row r="42297" s="197" customFormat="1" ht="12.75" x14ac:dyDescent="0.2"/>
    <row r="42298" s="197" customFormat="1" ht="12.75" x14ac:dyDescent="0.2"/>
    <row r="42299" s="197" customFormat="1" ht="12.75" x14ac:dyDescent="0.2"/>
    <row r="42300" s="197" customFormat="1" ht="12.75" x14ac:dyDescent="0.2"/>
    <row r="42301" s="197" customFormat="1" ht="12.75" x14ac:dyDescent="0.2"/>
    <row r="42302" s="197" customFormat="1" ht="12.75" x14ac:dyDescent="0.2"/>
    <row r="42303" s="197" customFormat="1" ht="12.75" x14ac:dyDescent="0.2"/>
    <row r="42304" s="197" customFormat="1" ht="12.75" x14ac:dyDescent="0.2"/>
    <row r="42305" s="197" customFormat="1" ht="12.75" x14ac:dyDescent="0.2"/>
    <row r="42306" s="197" customFormat="1" ht="12.75" x14ac:dyDescent="0.2"/>
    <row r="42307" s="197" customFormat="1" ht="12.75" x14ac:dyDescent="0.2"/>
    <row r="42308" s="197" customFormat="1" ht="12.75" x14ac:dyDescent="0.2"/>
    <row r="42309" s="197" customFormat="1" ht="12.75" x14ac:dyDescent="0.2"/>
    <row r="42310" s="197" customFormat="1" ht="12.75" x14ac:dyDescent="0.2"/>
    <row r="42311" s="197" customFormat="1" ht="12.75" x14ac:dyDescent="0.2"/>
    <row r="42312" s="197" customFormat="1" ht="12.75" x14ac:dyDescent="0.2"/>
    <row r="42313" s="197" customFormat="1" ht="12.75" x14ac:dyDescent="0.2"/>
    <row r="42314" s="197" customFormat="1" ht="12.75" x14ac:dyDescent="0.2"/>
    <row r="42315" s="197" customFormat="1" ht="12.75" x14ac:dyDescent="0.2"/>
    <row r="42316" s="197" customFormat="1" ht="12.75" x14ac:dyDescent="0.2"/>
    <row r="42317" s="197" customFormat="1" ht="12.75" x14ac:dyDescent="0.2"/>
    <row r="42318" s="197" customFormat="1" ht="12.75" x14ac:dyDescent="0.2"/>
    <row r="42319" s="197" customFormat="1" ht="12.75" x14ac:dyDescent="0.2"/>
    <row r="42320" s="197" customFormat="1" ht="12.75" x14ac:dyDescent="0.2"/>
    <row r="42321" s="197" customFormat="1" ht="12.75" x14ac:dyDescent="0.2"/>
    <row r="42322" s="197" customFormat="1" ht="12.75" x14ac:dyDescent="0.2"/>
    <row r="42323" s="197" customFormat="1" ht="12.75" x14ac:dyDescent="0.2"/>
    <row r="42324" s="197" customFormat="1" ht="12.75" x14ac:dyDescent="0.2"/>
    <row r="42325" s="197" customFormat="1" ht="12.75" x14ac:dyDescent="0.2"/>
    <row r="42326" s="197" customFormat="1" ht="12.75" x14ac:dyDescent="0.2"/>
    <row r="42327" s="197" customFormat="1" ht="12.75" x14ac:dyDescent="0.2"/>
    <row r="42328" s="197" customFormat="1" ht="12.75" x14ac:dyDescent="0.2"/>
    <row r="42329" s="197" customFormat="1" ht="12.75" x14ac:dyDescent="0.2"/>
    <row r="42330" s="197" customFormat="1" ht="12.75" x14ac:dyDescent="0.2"/>
    <row r="42331" s="197" customFormat="1" ht="12.75" x14ac:dyDescent="0.2"/>
    <row r="42332" s="197" customFormat="1" ht="12.75" x14ac:dyDescent="0.2"/>
    <row r="42333" s="197" customFormat="1" ht="12.75" x14ac:dyDescent="0.2"/>
    <row r="42334" s="197" customFormat="1" ht="12.75" x14ac:dyDescent="0.2"/>
    <row r="42335" s="197" customFormat="1" ht="12.75" x14ac:dyDescent="0.2"/>
    <row r="42336" s="197" customFormat="1" ht="12.75" x14ac:dyDescent="0.2"/>
    <row r="42337" s="197" customFormat="1" ht="12.75" x14ac:dyDescent="0.2"/>
    <row r="42338" s="197" customFormat="1" ht="12.75" x14ac:dyDescent="0.2"/>
    <row r="42339" s="197" customFormat="1" ht="12.75" x14ac:dyDescent="0.2"/>
    <row r="42340" s="197" customFormat="1" ht="12.75" x14ac:dyDescent="0.2"/>
    <row r="42341" s="197" customFormat="1" ht="12.75" x14ac:dyDescent="0.2"/>
    <row r="42342" s="197" customFormat="1" ht="12.75" x14ac:dyDescent="0.2"/>
    <row r="42343" s="197" customFormat="1" ht="12.75" x14ac:dyDescent="0.2"/>
    <row r="42344" s="197" customFormat="1" ht="12.75" x14ac:dyDescent="0.2"/>
    <row r="42345" s="197" customFormat="1" ht="12.75" x14ac:dyDescent="0.2"/>
    <row r="42346" s="197" customFormat="1" ht="12.75" x14ac:dyDescent="0.2"/>
    <row r="42347" s="197" customFormat="1" ht="12.75" x14ac:dyDescent="0.2"/>
    <row r="42348" s="197" customFormat="1" ht="12.75" x14ac:dyDescent="0.2"/>
    <row r="42349" s="197" customFormat="1" ht="12.75" x14ac:dyDescent="0.2"/>
    <row r="42350" s="197" customFormat="1" ht="12.75" x14ac:dyDescent="0.2"/>
    <row r="42351" s="197" customFormat="1" ht="12.75" x14ac:dyDescent="0.2"/>
    <row r="42352" s="197" customFormat="1" ht="12.75" x14ac:dyDescent="0.2"/>
    <row r="42353" s="197" customFormat="1" ht="12.75" x14ac:dyDescent="0.2"/>
    <row r="42354" s="197" customFormat="1" ht="12.75" x14ac:dyDescent="0.2"/>
    <row r="42355" s="197" customFormat="1" ht="12.75" x14ac:dyDescent="0.2"/>
    <row r="42356" s="197" customFormat="1" ht="12.75" x14ac:dyDescent="0.2"/>
    <row r="42357" s="197" customFormat="1" ht="12.75" x14ac:dyDescent="0.2"/>
    <row r="42358" s="197" customFormat="1" ht="12.75" x14ac:dyDescent="0.2"/>
    <row r="42359" s="197" customFormat="1" ht="12.75" x14ac:dyDescent="0.2"/>
    <row r="42360" s="197" customFormat="1" ht="12.75" x14ac:dyDescent="0.2"/>
    <row r="42361" s="197" customFormat="1" ht="12.75" x14ac:dyDescent="0.2"/>
    <row r="42362" s="197" customFormat="1" ht="12.75" x14ac:dyDescent="0.2"/>
    <row r="42363" s="197" customFormat="1" ht="12.75" x14ac:dyDescent="0.2"/>
    <row r="42364" s="197" customFormat="1" ht="12.75" x14ac:dyDescent="0.2"/>
    <row r="42365" s="197" customFormat="1" ht="12.75" x14ac:dyDescent="0.2"/>
    <row r="42366" s="197" customFormat="1" ht="12.75" x14ac:dyDescent="0.2"/>
    <row r="42367" s="197" customFormat="1" ht="12.75" x14ac:dyDescent="0.2"/>
    <row r="42368" s="197" customFormat="1" ht="12.75" x14ac:dyDescent="0.2"/>
    <row r="42369" s="197" customFormat="1" ht="12.75" x14ac:dyDescent="0.2"/>
    <row r="42370" s="197" customFormat="1" ht="12.75" x14ac:dyDescent="0.2"/>
    <row r="42371" s="197" customFormat="1" ht="12.75" x14ac:dyDescent="0.2"/>
    <row r="42372" s="197" customFormat="1" ht="12.75" x14ac:dyDescent="0.2"/>
    <row r="42373" s="197" customFormat="1" ht="12.75" x14ac:dyDescent="0.2"/>
    <row r="42374" s="197" customFormat="1" ht="12.75" x14ac:dyDescent="0.2"/>
    <row r="42375" s="197" customFormat="1" ht="12.75" x14ac:dyDescent="0.2"/>
    <row r="42376" s="197" customFormat="1" ht="12.75" x14ac:dyDescent="0.2"/>
    <row r="42377" s="197" customFormat="1" ht="12.75" x14ac:dyDescent="0.2"/>
    <row r="42378" s="197" customFormat="1" ht="12.75" x14ac:dyDescent="0.2"/>
    <row r="42379" s="197" customFormat="1" ht="12.75" x14ac:dyDescent="0.2"/>
    <row r="42380" s="197" customFormat="1" ht="12.75" x14ac:dyDescent="0.2"/>
    <row r="42381" s="197" customFormat="1" ht="12.75" x14ac:dyDescent="0.2"/>
    <row r="42382" s="197" customFormat="1" ht="12.75" x14ac:dyDescent="0.2"/>
    <row r="42383" s="197" customFormat="1" ht="12.75" x14ac:dyDescent="0.2"/>
    <row r="42384" s="197" customFormat="1" ht="12.75" x14ac:dyDescent="0.2"/>
    <row r="42385" s="197" customFormat="1" ht="12.75" x14ac:dyDescent="0.2"/>
    <row r="42386" s="197" customFormat="1" ht="12.75" x14ac:dyDescent="0.2"/>
    <row r="42387" s="197" customFormat="1" ht="12.75" x14ac:dyDescent="0.2"/>
    <row r="42388" s="197" customFormat="1" ht="12.75" x14ac:dyDescent="0.2"/>
    <row r="42389" s="197" customFormat="1" ht="12.75" x14ac:dyDescent="0.2"/>
    <row r="42390" s="197" customFormat="1" ht="12.75" x14ac:dyDescent="0.2"/>
    <row r="42391" s="197" customFormat="1" ht="12.75" x14ac:dyDescent="0.2"/>
    <row r="42392" s="197" customFormat="1" ht="12.75" x14ac:dyDescent="0.2"/>
    <row r="42393" s="197" customFormat="1" ht="12.75" x14ac:dyDescent="0.2"/>
    <row r="42394" s="197" customFormat="1" ht="12.75" x14ac:dyDescent="0.2"/>
    <row r="42395" s="197" customFormat="1" ht="12.75" x14ac:dyDescent="0.2"/>
    <row r="42396" s="197" customFormat="1" ht="12.75" x14ac:dyDescent="0.2"/>
    <row r="42397" s="197" customFormat="1" ht="12.75" x14ac:dyDescent="0.2"/>
    <row r="42398" s="197" customFormat="1" ht="12.75" x14ac:dyDescent="0.2"/>
    <row r="42399" s="197" customFormat="1" ht="12.75" x14ac:dyDescent="0.2"/>
    <row r="42400" s="197" customFormat="1" ht="12.75" x14ac:dyDescent="0.2"/>
    <row r="42401" s="197" customFormat="1" ht="12.75" x14ac:dyDescent="0.2"/>
    <row r="42402" s="197" customFormat="1" ht="12.75" x14ac:dyDescent="0.2"/>
    <row r="42403" s="197" customFormat="1" ht="12.75" x14ac:dyDescent="0.2"/>
    <row r="42404" s="197" customFormat="1" ht="12.75" x14ac:dyDescent="0.2"/>
    <row r="42405" s="197" customFormat="1" ht="12.75" x14ac:dyDescent="0.2"/>
    <row r="42406" s="197" customFormat="1" ht="12.75" x14ac:dyDescent="0.2"/>
    <row r="42407" s="197" customFormat="1" ht="12.75" x14ac:dyDescent="0.2"/>
    <row r="42408" s="197" customFormat="1" ht="12.75" x14ac:dyDescent="0.2"/>
    <row r="42409" s="197" customFormat="1" ht="12.75" x14ac:dyDescent="0.2"/>
    <row r="42410" s="197" customFormat="1" ht="12.75" x14ac:dyDescent="0.2"/>
    <row r="42411" s="197" customFormat="1" ht="12.75" x14ac:dyDescent="0.2"/>
    <row r="42412" s="197" customFormat="1" ht="12.75" x14ac:dyDescent="0.2"/>
    <row r="42413" s="197" customFormat="1" ht="12.75" x14ac:dyDescent="0.2"/>
    <row r="42414" s="197" customFormat="1" ht="12.75" x14ac:dyDescent="0.2"/>
    <row r="42415" s="197" customFormat="1" ht="12.75" x14ac:dyDescent="0.2"/>
    <row r="42416" s="197" customFormat="1" ht="12.75" x14ac:dyDescent="0.2"/>
    <row r="42417" s="197" customFormat="1" ht="12.75" x14ac:dyDescent="0.2"/>
    <row r="42418" s="197" customFormat="1" ht="12.75" x14ac:dyDescent="0.2"/>
    <row r="42419" s="197" customFormat="1" ht="12.75" x14ac:dyDescent="0.2"/>
    <row r="42420" s="197" customFormat="1" ht="12.75" x14ac:dyDescent="0.2"/>
    <row r="42421" s="197" customFormat="1" ht="12.75" x14ac:dyDescent="0.2"/>
    <row r="42422" s="197" customFormat="1" ht="12.75" x14ac:dyDescent="0.2"/>
    <row r="42423" s="197" customFormat="1" ht="12.75" x14ac:dyDescent="0.2"/>
    <row r="42424" s="197" customFormat="1" ht="12.75" x14ac:dyDescent="0.2"/>
    <row r="42425" s="197" customFormat="1" ht="12.75" x14ac:dyDescent="0.2"/>
    <row r="42426" s="197" customFormat="1" ht="12.75" x14ac:dyDescent="0.2"/>
    <row r="42427" s="197" customFormat="1" ht="12.75" x14ac:dyDescent="0.2"/>
    <row r="42428" s="197" customFormat="1" ht="12.75" x14ac:dyDescent="0.2"/>
    <row r="42429" s="197" customFormat="1" ht="12.75" x14ac:dyDescent="0.2"/>
    <row r="42430" s="197" customFormat="1" ht="12.75" x14ac:dyDescent="0.2"/>
    <row r="42431" s="197" customFormat="1" ht="12.75" x14ac:dyDescent="0.2"/>
    <row r="42432" s="197" customFormat="1" ht="12.75" x14ac:dyDescent="0.2"/>
    <row r="42433" s="197" customFormat="1" ht="12.75" x14ac:dyDescent="0.2"/>
    <row r="42434" s="197" customFormat="1" ht="12.75" x14ac:dyDescent="0.2"/>
    <row r="42435" s="197" customFormat="1" ht="12.75" x14ac:dyDescent="0.2"/>
    <row r="42436" s="197" customFormat="1" ht="12.75" x14ac:dyDescent="0.2"/>
    <row r="42437" s="197" customFormat="1" ht="12.75" x14ac:dyDescent="0.2"/>
    <row r="42438" s="197" customFormat="1" ht="12.75" x14ac:dyDescent="0.2"/>
    <row r="42439" s="197" customFormat="1" ht="12.75" x14ac:dyDescent="0.2"/>
    <row r="42440" s="197" customFormat="1" ht="12.75" x14ac:dyDescent="0.2"/>
    <row r="42441" s="197" customFormat="1" ht="12.75" x14ac:dyDescent="0.2"/>
    <row r="42442" s="197" customFormat="1" ht="12.75" x14ac:dyDescent="0.2"/>
    <row r="42443" s="197" customFormat="1" ht="12.75" x14ac:dyDescent="0.2"/>
    <row r="42444" s="197" customFormat="1" ht="12.75" x14ac:dyDescent="0.2"/>
    <row r="42445" s="197" customFormat="1" ht="12.75" x14ac:dyDescent="0.2"/>
    <row r="42446" s="197" customFormat="1" ht="12.75" x14ac:dyDescent="0.2"/>
    <row r="42447" s="197" customFormat="1" ht="12.75" x14ac:dyDescent="0.2"/>
    <row r="42448" s="197" customFormat="1" ht="12.75" x14ac:dyDescent="0.2"/>
    <row r="42449" s="197" customFormat="1" ht="12.75" x14ac:dyDescent="0.2"/>
    <row r="42450" s="197" customFormat="1" ht="12.75" x14ac:dyDescent="0.2"/>
    <row r="42451" s="197" customFormat="1" ht="12.75" x14ac:dyDescent="0.2"/>
    <row r="42452" s="197" customFormat="1" ht="12.75" x14ac:dyDescent="0.2"/>
    <row r="42453" s="197" customFormat="1" ht="12.75" x14ac:dyDescent="0.2"/>
    <row r="42454" s="197" customFormat="1" ht="12.75" x14ac:dyDescent="0.2"/>
    <row r="42455" s="197" customFormat="1" ht="12.75" x14ac:dyDescent="0.2"/>
    <row r="42456" s="197" customFormat="1" ht="12.75" x14ac:dyDescent="0.2"/>
    <row r="42457" s="197" customFormat="1" ht="12.75" x14ac:dyDescent="0.2"/>
    <row r="42458" s="197" customFormat="1" ht="12.75" x14ac:dyDescent="0.2"/>
    <row r="42459" s="197" customFormat="1" ht="12.75" x14ac:dyDescent="0.2"/>
    <row r="42460" s="197" customFormat="1" ht="12.75" x14ac:dyDescent="0.2"/>
    <row r="42461" s="197" customFormat="1" ht="12.75" x14ac:dyDescent="0.2"/>
    <row r="42462" s="197" customFormat="1" ht="12.75" x14ac:dyDescent="0.2"/>
    <row r="42463" s="197" customFormat="1" ht="12.75" x14ac:dyDescent="0.2"/>
    <row r="42464" s="197" customFormat="1" ht="12.75" x14ac:dyDescent="0.2"/>
    <row r="42465" s="197" customFormat="1" ht="12.75" x14ac:dyDescent="0.2"/>
    <row r="42466" s="197" customFormat="1" ht="12.75" x14ac:dyDescent="0.2"/>
    <row r="42467" s="197" customFormat="1" ht="12.75" x14ac:dyDescent="0.2"/>
    <row r="42468" s="197" customFormat="1" ht="12.75" x14ac:dyDescent="0.2"/>
    <row r="42469" s="197" customFormat="1" ht="12.75" x14ac:dyDescent="0.2"/>
    <row r="42470" s="197" customFormat="1" ht="12.75" x14ac:dyDescent="0.2"/>
    <row r="42471" s="197" customFormat="1" ht="12.75" x14ac:dyDescent="0.2"/>
    <row r="42472" s="197" customFormat="1" ht="12.75" x14ac:dyDescent="0.2"/>
    <row r="42473" s="197" customFormat="1" ht="12.75" x14ac:dyDescent="0.2"/>
    <row r="42474" s="197" customFormat="1" ht="12.75" x14ac:dyDescent="0.2"/>
    <row r="42475" s="197" customFormat="1" ht="12.75" x14ac:dyDescent="0.2"/>
    <row r="42476" s="197" customFormat="1" ht="12.75" x14ac:dyDescent="0.2"/>
    <row r="42477" s="197" customFormat="1" ht="12.75" x14ac:dyDescent="0.2"/>
    <row r="42478" s="197" customFormat="1" ht="12.75" x14ac:dyDescent="0.2"/>
    <row r="42479" s="197" customFormat="1" ht="12.75" x14ac:dyDescent="0.2"/>
    <row r="42480" s="197" customFormat="1" ht="12.75" x14ac:dyDescent="0.2"/>
    <row r="42481" s="197" customFormat="1" ht="12.75" x14ac:dyDescent="0.2"/>
    <row r="42482" s="197" customFormat="1" ht="12.75" x14ac:dyDescent="0.2"/>
    <row r="42483" s="197" customFormat="1" ht="12.75" x14ac:dyDescent="0.2"/>
    <row r="42484" s="197" customFormat="1" ht="12.75" x14ac:dyDescent="0.2"/>
    <row r="42485" s="197" customFormat="1" ht="12.75" x14ac:dyDescent="0.2"/>
    <row r="42486" s="197" customFormat="1" ht="12.75" x14ac:dyDescent="0.2"/>
    <row r="42487" s="197" customFormat="1" ht="12.75" x14ac:dyDescent="0.2"/>
    <row r="42488" s="197" customFormat="1" ht="12.75" x14ac:dyDescent="0.2"/>
    <row r="42489" s="197" customFormat="1" ht="12.75" x14ac:dyDescent="0.2"/>
    <row r="42490" s="197" customFormat="1" ht="12.75" x14ac:dyDescent="0.2"/>
    <row r="42491" s="197" customFormat="1" ht="12.75" x14ac:dyDescent="0.2"/>
    <row r="42492" s="197" customFormat="1" ht="12.75" x14ac:dyDescent="0.2"/>
    <row r="42493" s="197" customFormat="1" ht="12.75" x14ac:dyDescent="0.2"/>
    <row r="42494" s="197" customFormat="1" ht="12.75" x14ac:dyDescent="0.2"/>
    <row r="42495" s="197" customFormat="1" ht="12.75" x14ac:dyDescent="0.2"/>
    <row r="42496" s="197" customFormat="1" ht="12.75" x14ac:dyDescent="0.2"/>
    <row r="42497" s="197" customFormat="1" ht="12.75" x14ac:dyDescent="0.2"/>
    <row r="42498" s="197" customFormat="1" ht="12.75" x14ac:dyDescent="0.2"/>
    <row r="42499" s="197" customFormat="1" ht="12.75" x14ac:dyDescent="0.2"/>
    <row r="42500" s="197" customFormat="1" ht="12.75" x14ac:dyDescent="0.2"/>
    <row r="42501" s="197" customFormat="1" ht="12.75" x14ac:dyDescent="0.2"/>
    <row r="42502" s="197" customFormat="1" ht="12.75" x14ac:dyDescent="0.2"/>
    <row r="42503" s="197" customFormat="1" ht="12.75" x14ac:dyDescent="0.2"/>
    <row r="42504" s="197" customFormat="1" ht="12.75" x14ac:dyDescent="0.2"/>
    <row r="42505" s="197" customFormat="1" ht="12.75" x14ac:dyDescent="0.2"/>
    <row r="42506" s="197" customFormat="1" ht="12.75" x14ac:dyDescent="0.2"/>
    <row r="42507" s="197" customFormat="1" ht="12.75" x14ac:dyDescent="0.2"/>
    <row r="42508" s="197" customFormat="1" ht="12.75" x14ac:dyDescent="0.2"/>
    <row r="42509" s="197" customFormat="1" ht="12.75" x14ac:dyDescent="0.2"/>
    <row r="42510" s="197" customFormat="1" ht="12.75" x14ac:dyDescent="0.2"/>
    <row r="42511" s="197" customFormat="1" ht="12.75" x14ac:dyDescent="0.2"/>
    <row r="42512" s="197" customFormat="1" ht="12.75" x14ac:dyDescent="0.2"/>
    <row r="42513" s="197" customFormat="1" ht="12.75" x14ac:dyDescent="0.2"/>
    <row r="42514" s="197" customFormat="1" ht="12.75" x14ac:dyDescent="0.2"/>
    <row r="42515" s="197" customFormat="1" ht="12.75" x14ac:dyDescent="0.2"/>
    <row r="42516" s="197" customFormat="1" ht="12.75" x14ac:dyDescent="0.2"/>
    <row r="42517" s="197" customFormat="1" ht="12.75" x14ac:dyDescent="0.2"/>
    <row r="42518" s="197" customFormat="1" ht="12.75" x14ac:dyDescent="0.2"/>
    <row r="42519" s="197" customFormat="1" ht="12.75" x14ac:dyDescent="0.2"/>
    <row r="42520" s="197" customFormat="1" ht="12.75" x14ac:dyDescent="0.2"/>
    <row r="42521" s="197" customFormat="1" ht="12.75" x14ac:dyDescent="0.2"/>
    <row r="42522" s="197" customFormat="1" ht="12.75" x14ac:dyDescent="0.2"/>
    <row r="42523" s="197" customFormat="1" ht="12.75" x14ac:dyDescent="0.2"/>
    <row r="42524" s="197" customFormat="1" ht="12.75" x14ac:dyDescent="0.2"/>
    <row r="42525" s="197" customFormat="1" ht="12.75" x14ac:dyDescent="0.2"/>
    <row r="42526" s="197" customFormat="1" ht="12.75" x14ac:dyDescent="0.2"/>
    <row r="42527" s="197" customFormat="1" ht="12.75" x14ac:dyDescent="0.2"/>
    <row r="42528" s="197" customFormat="1" ht="12.75" x14ac:dyDescent="0.2"/>
    <row r="42529" s="197" customFormat="1" ht="12.75" x14ac:dyDescent="0.2"/>
    <row r="42530" s="197" customFormat="1" ht="12.75" x14ac:dyDescent="0.2"/>
    <row r="42531" s="197" customFormat="1" ht="12.75" x14ac:dyDescent="0.2"/>
    <row r="42532" s="197" customFormat="1" ht="12.75" x14ac:dyDescent="0.2"/>
    <row r="42533" s="197" customFormat="1" ht="12.75" x14ac:dyDescent="0.2"/>
    <row r="42534" s="197" customFormat="1" ht="12.75" x14ac:dyDescent="0.2"/>
    <row r="42535" s="197" customFormat="1" ht="12.75" x14ac:dyDescent="0.2"/>
    <row r="42536" s="197" customFormat="1" ht="12.75" x14ac:dyDescent="0.2"/>
    <row r="42537" s="197" customFormat="1" ht="12.75" x14ac:dyDescent="0.2"/>
    <row r="42538" s="197" customFormat="1" ht="12.75" x14ac:dyDescent="0.2"/>
    <row r="42539" s="197" customFormat="1" ht="12.75" x14ac:dyDescent="0.2"/>
    <row r="42540" s="197" customFormat="1" ht="12.75" x14ac:dyDescent="0.2"/>
    <row r="42541" s="197" customFormat="1" ht="12.75" x14ac:dyDescent="0.2"/>
    <row r="42542" s="197" customFormat="1" ht="12.75" x14ac:dyDescent="0.2"/>
    <row r="42543" s="197" customFormat="1" ht="12.75" x14ac:dyDescent="0.2"/>
    <row r="42544" s="197" customFormat="1" ht="12.75" x14ac:dyDescent="0.2"/>
    <row r="42545" s="197" customFormat="1" ht="12.75" x14ac:dyDescent="0.2"/>
    <row r="42546" s="197" customFormat="1" ht="12.75" x14ac:dyDescent="0.2"/>
    <row r="42547" s="197" customFormat="1" ht="12.75" x14ac:dyDescent="0.2"/>
    <row r="42548" s="197" customFormat="1" ht="12.75" x14ac:dyDescent="0.2"/>
    <row r="42549" s="197" customFormat="1" ht="12.75" x14ac:dyDescent="0.2"/>
    <row r="42550" s="197" customFormat="1" ht="12.75" x14ac:dyDescent="0.2"/>
    <row r="42551" s="197" customFormat="1" ht="12.75" x14ac:dyDescent="0.2"/>
    <row r="42552" s="197" customFormat="1" ht="12.75" x14ac:dyDescent="0.2"/>
    <row r="42553" s="197" customFormat="1" ht="12.75" x14ac:dyDescent="0.2"/>
    <row r="42554" s="197" customFormat="1" ht="12.75" x14ac:dyDescent="0.2"/>
    <row r="42555" s="197" customFormat="1" ht="12.75" x14ac:dyDescent="0.2"/>
    <row r="42556" s="197" customFormat="1" ht="12.75" x14ac:dyDescent="0.2"/>
    <row r="42557" s="197" customFormat="1" ht="12.75" x14ac:dyDescent="0.2"/>
    <row r="42558" s="197" customFormat="1" ht="12.75" x14ac:dyDescent="0.2"/>
    <row r="42559" s="197" customFormat="1" ht="12.75" x14ac:dyDescent="0.2"/>
    <row r="42560" s="197" customFormat="1" ht="12.75" x14ac:dyDescent="0.2"/>
    <row r="42561" s="197" customFormat="1" ht="12.75" x14ac:dyDescent="0.2"/>
    <row r="42562" s="197" customFormat="1" ht="12.75" x14ac:dyDescent="0.2"/>
    <row r="42563" s="197" customFormat="1" ht="12.75" x14ac:dyDescent="0.2"/>
    <row r="42564" s="197" customFormat="1" ht="12.75" x14ac:dyDescent="0.2"/>
    <row r="42565" s="197" customFormat="1" ht="12.75" x14ac:dyDescent="0.2"/>
    <row r="42566" s="197" customFormat="1" ht="12.75" x14ac:dyDescent="0.2"/>
    <row r="42567" s="197" customFormat="1" ht="12.75" x14ac:dyDescent="0.2"/>
    <row r="42568" s="197" customFormat="1" ht="12.75" x14ac:dyDescent="0.2"/>
    <row r="42569" s="197" customFormat="1" ht="12.75" x14ac:dyDescent="0.2"/>
    <row r="42570" s="197" customFormat="1" ht="12.75" x14ac:dyDescent="0.2"/>
    <row r="42571" s="197" customFormat="1" ht="12.75" x14ac:dyDescent="0.2"/>
    <row r="42572" s="197" customFormat="1" ht="12.75" x14ac:dyDescent="0.2"/>
    <row r="42573" s="197" customFormat="1" ht="12.75" x14ac:dyDescent="0.2"/>
    <row r="42574" s="197" customFormat="1" ht="12.75" x14ac:dyDescent="0.2"/>
    <row r="42575" s="197" customFormat="1" ht="12.75" x14ac:dyDescent="0.2"/>
    <row r="42576" s="197" customFormat="1" ht="12.75" x14ac:dyDescent="0.2"/>
    <row r="42577" s="197" customFormat="1" ht="12.75" x14ac:dyDescent="0.2"/>
    <row r="42578" s="197" customFormat="1" ht="12.75" x14ac:dyDescent="0.2"/>
    <row r="42579" s="197" customFormat="1" ht="12.75" x14ac:dyDescent="0.2"/>
    <row r="42580" s="197" customFormat="1" ht="12.75" x14ac:dyDescent="0.2"/>
    <row r="42581" s="197" customFormat="1" ht="12.75" x14ac:dyDescent="0.2"/>
    <row r="42582" s="197" customFormat="1" ht="12.75" x14ac:dyDescent="0.2"/>
    <row r="42583" s="197" customFormat="1" ht="12.75" x14ac:dyDescent="0.2"/>
    <row r="42584" s="197" customFormat="1" ht="12.75" x14ac:dyDescent="0.2"/>
    <row r="42585" s="197" customFormat="1" ht="12.75" x14ac:dyDescent="0.2"/>
    <row r="42586" s="197" customFormat="1" ht="12.75" x14ac:dyDescent="0.2"/>
    <row r="42587" s="197" customFormat="1" ht="12.75" x14ac:dyDescent="0.2"/>
    <row r="42588" s="197" customFormat="1" ht="12.75" x14ac:dyDescent="0.2"/>
    <row r="42589" s="197" customFormat="1" ht="12.75" x14ac:dyDescent="0.2"/>
    <row r="42590" s="197" customFormat="1" ht="12.75" x14ac:dyDescent="0.2"/>
    <row r="42591" s="197" customFormat="1" ht="12.75" x14ac:dyDescent="0.2"/>
    <row r="42592" s="197" customFormat="1" ht="12.75" x14ac:dyDescent="0.2"/>
    <row r="42593" s="197" customFormat="1" ht="12.75" x14ac:dyDescent="0.2"/>
    <row r="42594" s="197" customFormat="1" ht="12.75" x14ac:dyDescent="0.2"/>
    <row r="42595" s="197" customFormat="1" ht="12.75" x14ac:dyDescent="0.2"/>
    <row r="42596" s="197" customFormat="1" ht="12.75" x14ac:dyDescent="0.2"/>
    <row r="42597" s="197" customFormat="1" ht="12.75" x14ac:dyDescent="0.2"/>
    <row r="42598" s="197" customFormat="1" ht="12.75" x14ac:dyDescent="0.2"/>
    <row r="42599" s="197" customFormat="1" ht="12.75" x14ac:dyDescent="0.2"/>
    <row r="42600" s="197" customFormat="1" ht="12.75" x14ac:dyDescent="0.2"/>
    <row r="42601" s="197" customFormat="1" ht="12.75" x14ac:dyDescent="0.2"/>
    <row r="42602" s="197" customFormat="1" ht="12.75" x14ac:dyDescent="0.2"/>
    <row r="42603" s="197" customFormat="1" ht="12.75" x14ac:dyDescent="0.2"/>
    <row r="42604" s="197" customFormat="1" ht="12.75" x14ac:dyDescent="0.2"/>
    <row r="42605" s="197" customFormat="1" ht="12.75" x14ac:dyDescent="0.2"/>
    <row r="42606" s="197" customFormat="1" ht="12.75" x14ac:dyDescent="0.2"/>
    <row r="42607" s="197" customFormat="1" ht="12.75" x14ac:dyDescent="0.2"/>
    <row r="42608" s="197" customFormat="1" ht="12.75" x14ac:dyDescent="0.2"/>
    <row r="42609" s="197" customFormat="1" ht="12.75" x14ac:dyDescent="0.2"/>
    <row r="42610" s="197" customFormat="1" ht="12.75" x14ac:dyDescent="0.2"/>
    <row r="42611" s="197" customFormat="1" ht="12.75" x14ac:dyDescent="0.2"/>
    <row r="42612" s="197" customFormat="1" ht="12.75" x14ac:dyDescent="0.2"/>
    <row r="42613" s="197" customFormat="1" ht="12.75" x14ac:dyDescent="0.2"/>
    <row r="42614" s="197" customFormat="1" ht="12.75" x14ac:dyDescent="0.2"/>
    <row r="42615" s="197" customFormat="1" ht="12.75" x14ac:dyDescent="0.2"/>
    <row r="42616" s="197" customFormat="1" ht="12.75" x14ac:dyDescent="0.2"/>
    <row r="42617" s="197" customFormat="1" ht="12.75" x14ac:dyDescent="0.2"/>
    <row r="42618" s="197" customFormat="1" ht="12.75" x14ac:dyDescent="0.2"/>
    <row r="42619" s="197" customFormat="1" ht="12.75" x14ac:dyDescent="0.2"/>
    <row r="42620" s="197" customFormat="1" ht="12.75" x14ac:dyDescent="0.2"/>
    <row r="42621" s="197" customFormat="1" ht="12.75" x14ac:dyDescent="0.2"/>
    <row r="42622" s="197" customFormat="1" ht="12.75" x14ac:dyDescent="0.2"/>
    <row r="42623" s="197" customFormat="1" ht="12.75" x14ac:dyDescent="0.2"/>
    <row r="42624" s="197" customFormat="1" ht="12.75" x14ac:dyDescent="0.2"/>
    <row r="42625" s="197" customFormat="1" ht="12.75" x14ac:dyDescent="0.2"/>
    <row r="42626" s="197" customFormat="1" ht="12.75" x14ac:dyDescent="0.2"/>
    <row r="42627" s="197" customFormat="1" ht="12.75" x14ac:dyDescent="0.2"/>
    <row r="42628" s="197" customFormat="1" ht="12.75" x14ac:dyDescent="0.2"/>
    <row r="42629" s="197" customFormat="1" ht="12.75" x14ac:dyDescent="0.2"/>
    <row r="42630" s="197" customFormat="1" ht="12.75" x14ac:dyDescent="0.2"/>
    <row r="42631" s="197" customFormat="1" ht="12.75" x14ac:dyDescent="0.2"/>
    <row r="42632" s="197" customFormat="1" ht="12.75" x14ac:dyDescent="0.2"/>
    <row r="42633" s="197" customFormat="1" ht="12.75" x14ac:dyDescent="0.2"/>
    <row r="42634" s="197" customFormat="1" ht="12.75" x14ac:dyDescent="0.2"/>
    <row r="42635" s="197" customFormat="1" ht="12.75" x14ac:dyDescent="0.2"/>
    <row r="42636" s="197" customFormat="1" ht="12.75" x14ac:dyDescent="0.2"/>
    <row r="42637" s="197" customFormat="1" ht="12.75" x14ac:dyDescent="0.2"/>
    <row r="42638" s="197" customFormat="1" ht="12.75" x14ac:dyDescent="0.2"/>
    <row r="42639" s="197" customFormat="1" ht="12.75" x14ac:dyDescent="0.2"/>
    <row r="42640" s="197" customFormat="1" ht="12.75" x14ac:dyDescent="0.2"/>
    <row r="42641" s="197" customFormat="1" ht="12.75" x14ac:dyDescent="0.2"/>
    <row r="42642" s="197" customFormat="1" ht="12.75" x14ac:dyDescent="0.2"/>
    <row r="42643" s="197" customFormat="1" ht="12.75" x14ac:dyDescent="0.2"/>
    <row r="42644" s="197" customFormat="1" ht="12.75" x14ac:dyDescent="0.2"/>
    <row r="42645" s="197" customFormat="1" ht="12.75" x14ac:dyDescent="0.2"/>
    <row r="42646" s="197" customFormat="1" ht="12.75" x14ac:dyDescent="0.2"/>
    <row r="42647" s="197" customFormat="1" ht="12.75" x14ac:dyDescent="0.2"/>
    <row r="42648" s="197" customFormat="1" ht="12.75" x14ac:dyDescent="0.2"/>
    <row r="42649" s="197" customFormat="1" ht="12.75" x14ac:dyDescent="0.2"/>
    <row r="42650" s="197" customFormat="1" ht="12.75" x14ac:dyDescent="0.2"/>
    <row r="42651" s="197" customFormat="1" ht="12.75" x14ac:dyDescent="0.2"/>
    <row r="42652" s="197" customFormat="1" ht="12.75" x14ac:dyDescent="0.2"/>
    <row r="42653" s="197" customFormat="1" ht="12.75" x14ac:dyDescent="0.2"/>
    <row r="42654" s="197" customFormat="1" ht="12.75" x14ac:dyDescent="0.2"/>
    <row r="42655" s="197" customFormat="1" ht="12.75" x14ac:dyDescent="0.2"/>
    <row r="42656" s="197" customFormat="1" ht="12.75" x14ac:dyDescent="0.2"/>
    <row r="42657" s="197" customFormat="1" ht="12.75" x14ac:dyDescent="0.2"/>
    <row r="42658" s="197" customFormat="1" ht="12.75" x14ac:dyDescent="0.2"/>
    <row r="42659" s="197" customFormat="1" ht="12.75" x14ac:dyDescent="0.2"/>
    <row r="42660" s="197" customFormat="1" ht="12.75" x14ac:dyDescent="0.2"/>
    <row r="42661" s="197" customFormat="1" ht="12.75" x14ac:dyDescent="0.2"/>
    <row r="42662" s="197" customFormat="1" ht="12.75" x14ac:dyDescent="0.2"/>
    <row r="42663" s="197" customFormat="1" ht="12.75" x14ac:dyDescent="0.2"/>
    <row r="42664" s="197" customFormat="1" ht="12.75" x14ac:dyDescent="0.2"/>
    <row r="42665" s="197" customFormat="1" ht="12.75" x14ac:dyDescent="0.2"/>
    <row r="42666" s="197" customFormat="1" ht="12.75" x14ac:dyDescent="0.2"/>
    <row r="42667" s="197" customFormat="1" ht="12.75" x14ac:dyDescent="0.2"/>
    <row r="42668" s="197" customFormat="1" ht="12.75" x14ac:dyDescent="0.2"/>
    <row r="42669" s="197" customFormat="1" ht="12.75" x14ac:dyDescent="0.2"/>
    <row r="42670" s="197" customFormat="1" ht="12.75" x14ac:dyDescent="0.2"/>
    <row r="42671" s="197" customFormat="1" ht="12.75" x14ac:dyDescent="0.2"/>
    <row r="42672" s="197" customFormat="1" ht="12.75" x14ac:dyDescent="0.2"/>
    <row r="42673" s="197" customFormat="1" ht="12.75" x14ac:dyDescent="0.2"/>
    <row r="42674" s="197" customFormat="1" ht="12.75" x14ac:dyDescent="0.2"/>
    <row r="42675" s="197" customFormat="1" ht="12.75" x14ac:dyDescent="0.2"/>
    <row r="42676" s="197" customFormat="1" ht="12.75" x14ac:dyDescent="0.2"/>
    <row r="42677" s="197" customFormat="1" ht="12.75" x14ac:dyDescent="0.2"/>
    <row r="42678" s="197" customFormat="1" ht="12.75" x14ac:dyDescent="0.2"/>
    <row r="42679" s="197" customFormat="1" ht="12.75" x14ac:dyDescent="0.2"/>
    <row r="42680" s="197" customFormat="1" ht="12.75" x14ac:dyDescent="0.2"/>
    <row r="42681" s="197" customFormat="1" ht="12.75" x14ac:dyDescent="0.2"/>
    <row r="42682" s="197" customFormat="1" ht="12.75" x14ac:dyDescent="0.2"/>
    <row r="42683" s="197" customFormat="1" ht="12.75" x14ac:dyDescent="0.2"/>
    <row r="42684" s="197" customFormat="1" ht="12.75" x14ac:dyDescent="0.2"/>
    <row r="42685" s="197" customFormat="1" ht="12.75" x14ac:dyDescent="0.2"/>
    <row r="42686" s="197" customFormat="1" ht="12.75" x14ac:dyDescent="0.2"/>
    <row r="42687" s="197" customFormat="1" ht="12.75" x14ac:dyDescent="0.2"/>
    <row r="42688" s="197" customFormat="1" ht="12.75" x14ac:dyDescent="0.2"/>
    <row r="42689" s="197" customFormat="1" ht="12.75" x14ac:dyDescent="0.2"/>
    <row r="42690" s="197" customFormat="1" ht="12.75" x14ac:dyDescent="0.2"/>
    <row r="42691" s="197" customFormat="1" ht="12.75" x14ac:dyDescent="0.2"/>
    <row r="42692" s="197" customFormat="1" ht="12.75" x14ac:dyDescent="0.2"/>
    <row r="42693" s="197" customFormat="1" ht="12.75" x14ac:dyDescent="0.2"/>
    <row r="42694" s="197" customFormat="1" ht="12.75" x14ac:dyDescent="0.2"/>
    <row r="42695" s="197" customFormat="1" ht="12.75" x14ac:dyDescent="0.2"/>
    <row r="42696" s="197" customFormat="1" ht="12.75" x14ac:dyDescent="0.2"/>
    <row r="42697" s="197" customFormat="1" ht="12.75" x14ac:dyDescent="0.2"/>
    <row r="42698" s="197" customFormat="1" ht="12.75" x14ac:dyDescent="0.2"/>
    <row r="42699" s="197" customFormat="1" ht="12.75" x14ac:dyDescent="0.2"/>
    <row r="42700" s="197" customFormat="1" ht="12.75" x14ac:dyDescent="0.2"/>
    <row r="42701" s="197" customFormat="1" ht="12.75" x14ac:dyDescent="0.2"/>
    <row r="42702" s="197" customFormat="1" ht="12.75" x14ac:dyDescent="0.2"/>
    <row r="42703" s="197" customFormat="1" ht="12.75" x14ac:dyDescent="0.2"/>
    <row r="42704" s="197" customFormat="1" ht="12.75" x14ac:dyDescent="0.2"/>
    <row r="42705" s="197" customFormat="1" ht="12.75" x14ac:dyDescent="0.2"/>
    <row r="42706" s="197" customFormat="1" ht="12.75" x14ac:dyDescent="0.2"/>
    <row r="42707" s="197" customFormat="1" ht="12.75" x14ac:dyDescent="0.2"/>
    <row r="42708" s="197" customFormat="1" ht="12.75" x14ac:dyDescent="0.2"/>
    <row r="42709" s="197" customFormat="1" ht="12.75" x14ac:dyDescent="0.2"/>
    <row r="42710" s="197" customFormat="1" ht="12.75" x14ac:dyDescent="0.2"/>
    <row r="42711" s="197" customFormat="1" ht="12.75" x14ac:dyDescent="0.2"/>
    <row r="42712" s="197" customFormat="1" ht="12.75" x14ac:dyDescent="0.2"/>
    <row r="42713" s="197" customFormat="1" ht="12.75" x14ac:dyDescent="0.2"/>
    <row r="42714" s="197" customFormat="1" ht="12.75" x14ac:dyDescent="0.2"/>
    <row r="42715" s="197" customFormat="1" ht="12.75" x14ac:dyDescent="0.2"/>
    <row r="42716" s="197" customFormat="1" ht="12.75" x14ac:dyDescent="0.2"/>
    <row r="42717" s="197" customFormat="1" ht="12.75" x14ac:dyDescent="0.2"/>
    <row r="42718" s="197" customFormat="1" ht="12.75" x14ac:dyDescent="0.2"/>
    <row r="42719" s="197" customFormat="1" ht="12.75" x14ac:dyDescent="0.2"/>
    <row r="42720" s="197" customFormat="1" ht="12.75" x14ac:dyDescent="0.2"/>
    <row r="42721" s="197" customFormat="1" ht="12.75" x14ac:dyDescent="0.2"/>
    <row r="42722" s="197" customFormat="1" ht="12.75" x14ac:dyDescent="0.2"/>
    <row r="42723" s="197" customFormat="1" ht="12.75" x14ac:dyDescent="0.2"/>
    <row r="42724" s="197" customFormat="1" ht="12.75" x14ac:dyDescent="0.2"/>
    <row r="42725" s="197" customFormat="1" ht="12.75" x14ac:dyDescent="0.2"/>
    <row r="42726" s="197" customFormat="1" ht="12.75" x14ac:dyDescent="0.2"/>
    <row r="42727" s="197" customFormat="1" ht="12.75" x14ac:dyDescent="0.2"/>
    <row r="42728" s="197" customFormat="1" ht="12.75" x14ac:dyDescent="0.2"/>
    <row r="42729" s="197" customFormat="1" ht="12.75" x14ac:dyDescent="0.2"/>
    <row r="42730" s="197" customFormat="1" ht="12.75" x14ac:dyDescent="0.2"/>
    <row r="42731" s="197" customFormat="1" ht="12.75" x14ac:dyDescent="0.2"/>
    <row r="42732" s="197" customFormat="1" ht="12.75" x14ac:dyDescent="0.2"/>
    <row r="42733" s="197" customFormat="1" ht="12.75" x14ac:dyDescent="0.2"/>
    <row r="42734" s="197" customFormat="1" ht="12.75" x14ac:dyDescent="0.2"/>
    <row r="42735" s="197" customFormat="1" ht="12.75" x14ac:dyDescent="0.2"/>
    <row r="42736" s="197" customFormat="1" ht="12.75" x14ac:dyDescent="0.2"/>
    <row r="42737" s="197" customFormat="1" ht="12.75" x14ac:dyDescent="0.2"/>
    <row r="42738" s="197" customFormat="1" ht="12.75" x14ac:dyDescent="0.2"/>
    <row r="42739" s="197" customFormat="1" ht="12.75" x14ac:dyDescent="0.2"/>
    <row r="42740" s="197" customFormat="1" ht="12.75" x14ac:dyDescent="0.2"/>
    <row r="42741" s="197" customFormat="1" ht="12.75" x14ac:dyDescent="0.2"/>
    <row r="42742" s="197" customFormat="1" ht="12.75" x14ac:dyDescent="0.2"/>
    <row r="42743" s="197" customFormat="1" ht="12.75" x14ac:dyDescent="0.2"/>
    <row r="42744" s="197" customFormat="1" ht="12.75" x14ac:dyDescent="0.2"/>
    <row r="42745" s="197" customFormat="1" ht="12.75" x14ac:dyDescent="0.2"/>
    <row r="42746" s="197" customFormat="1" ht="12.75" x14ac:dyDescent="0.2"/>
    <row r="42747" s="197" customFormat="1" ht="12.75" x14ac:dyDescent="0.2"/>
    <row r="42748" s="197" customFormat="1" ht="12.75" x14ac:dyDescent="0.2"/>
    <row r="42749" s="197" customFormat="1" ht="12.75" x14ac:dyDescent="0.2"/>
    <row r="42750" s="197" customFormat="1" ht="12.75" x14ac:dyDescent="0.2"/>
    <row r="42751" s="197" customFormat="1" ht="12.75" x14ac:dyDescent="0.2"/>
    <row r="42752" s="197" customFormat="1" ht="12.75" x14ac:dyDescent="0.2"/>
    <row r="42753" s="197" customFormat="1" ht="12.75" x14ac:dyDescent="0.2"/>
    <row r="42754" s="197" customFormat="1" ht="12.75" x14ac:dyDescent="0.2"/>
    <row r="42755" s="197" customFormat="1" ht="12.75" x14ac:dyDescent="0.2"/>
    <row r="42756" s="197" customFormat="1" ht="12.75" x14ac:dyDescent="0.2"/>
    <row r="42757" s="197" customFormat="1" ht="12.75" x14ac:dyDescent="0.2"/>
    <row r="42758" s="197" customFormat="1" ht="12.75" x14ac:dyDescent="0.2"/>
    <row r="42759" s="197" customFormat="1" ht="12.75" x14ac:dyDescent="0.2"/>
    <row r="42760" s="197" customFormat="1" ht="12.75" x14ac:dyDescent="0.2"/>
    <row r="42761" s="197" customFormat="1" ht="12.75" x14ac:dyDescent="0.2"/>
    <row r="42762" s="197" customFormat="1" ht="12.75" x14ac:dyDescent="0.2"/>
    <row r="42763" s="197" customFormat="1" ht="12.75" x14ac:dyDescent="0.2"/>
    <row r="42764" s="197" customFormat="1" ht="12.75" x14ac:dyDescent="0.2"/>
    <row r="42765" s="197" customFormat="1" ht="12.75" x14ac:dyDescent="0.2"/>
    <row r="42766" s="197" customFormat="1" ht="12.75" x14ac:dyDescent="0.2"/>
    <row r="42767" s="197" customFormat="1" ht="12.75" x14ac:dyDescent="0.2"/>
    <row r="42768" s="197" customFormat="1" ht="12.75" x14ac:dyDescent="0.2"/>
    <row r="42769" s="197" customFormat="1" ht="12.75" x14ac:dyDescent="0.2"/>
    <row r="42770" s="197" customFormat="1" ht="12.75" x14ac:dyDescent="0.2"/>
    <row r="42771" s="197" customFormat="1" ht="12.75" x14ac:dyDescent="0.2"/>
    <row r="42772" s="197" customFormat="1" ht="12.75" x14ac:dyDescent="0.2"/>
    <row r="42773" s="197" customFormat="1" ht="12.75" x14ac:dyDescent="0.2"/>
    <row r="42774" s="197" customFormat="1" ht="12.75" x14ac:dyDescent="0.2"/>
    <row r="42775" s="197" customFormat="1" ht="12.75" x14ac:dyDescent="0.2"/>
    <row r="42776" s="197" customFormat="1" ht="12.75" x14ac:dyDescent="0.2"/>
    <row r="42777" s="197" customFormat="1" ht="12.75" x14ac:dyDescent="0.2"/>
    <row r="42778" s="197" customFormat="1" ht="12.75" x14ac:dyDescent="0.2"/>
    <row r="42779" s="197" customFormat="1" ht="12.75" x14ac:dyDescent="0.2"/>
    <row r="42780" s="197" customFormat="1" ht="12.75" x14ac:dyDescent="0.2"/>
    <row r="42781" s="197" customFormat="1" ht="12.75" x14ac:dyDescent="0.2"/>
    <row r="42782" s="197" customFormat="1" ht="12.75" x14ac:dyDescent="0.2"/>
    <row r="42783" s="197" customFormat="1" ht="12.75" x14ac:dyDescent="0.2"/>
    <row r="42784" s="197" customFormat="1" ht="12.75" x14ac:dyDescent="0.2"/>
    <row r="42785" s="197" customFormat="1" ht="12.75" x14ac:dyDescent="0.2"/>
    <row r="42786" s="197" customFormat="1" ht="12.75" x14ac:dyDescent="0.2"/>
    <row r="42787" s="197" customFormat="1" ht="12.75" x14ac:dyDescent="0.2"/>
    <row r="42788" s="197" customFormat="1" ht="12.75" x14ac:dyDescent="0.2"/>
    <row r="42789" s="197" customFormat="1" ht="12.75" x14ac:dyDescent="0.2"/>
    <row r="42790" s="197" customFormat="1" ht="12.75" x14ac:dyDescent="0.2"/>
    <row r="42791" s="197" customFormat="1" ht="12.75" x14ac:dyDescent="0.2"/>
    <row r="42792" s="197" customFormat="1" ht="12.75" x14ac:dyDescent="0.2"/>
    <row r="42793" s="197" customFormat="1" ht="12.75" x14ac:dyDescent="0.2"/>
    <row r="42794" s="197" customFormat="1" ht="12.75" x14ac:dyDescent="0.2"/>
    <row r="42795" s="197" customFormat="1" ht="12.75" x14ac:dyDescent="0.2"/>
    <row r="42796" s="197" customFormat="1" ht="12.75" x14ac:dyDescent="0.2"/>
    <row r="42797" s="197" customFormat="1" ht="12.75" x14ac:dyDescent="0.2"/>
    <row r="42798" s="197" customFormat="1" ht="12.75" x14ac:dyDescent="0.2"/>
    <row r="42799" s="197" customFormat="1" ht="12.75" x14ac:dyDescent="0.2"/>
    <row r="42800" s="197" customFormat="1" ht="12.75" x14ac:dyDescent="0.2"/>
    <row r="42801" s="197" customFormat="1" ht="12.75" x14ac:dyDescent="0.2"/>
    <row r="42802" s="197" customFormat="1" ht="12.75" x14ac:dyDescent="0.2"/>
    <row r="42803" s="197" customFormat="1" ht="12.75" x14ac:dyDescent="0.2"/>
    <row r="42804" s="197" customFormat="1" ht="12.75" x14ac:dyDescent="0.2"/>
    <row r="42805" s="197" customFormat="1" ht="12.75" x14ac:dyDescent="0.2"/>
    <row r="42806" s="197" customFormat="1" ht="12.75" x14ac:dyDescent="0.2"/>
    <row r="42807" s="197" customFormat="1" ht="12.75" x14ac:dyDescent="0.2"/>
    <row r="42808" s="197" customFormat="1" ht="12.75" x14ac:dyDescent="0.2"/>
    <row r="42809" s="197" customFormat="1" ht="12.75" x14ac:dyDescent="0.2"/>
    <row r="42810" s="197" customFormat="1" ht="12.75" x14ac:dyDescent="0.2"/>
    <row r="42811" s="197" customFormat="1" ht="12.75" x14ac:dyDescent="0.2"/>
    <row r="42812" s="197" customFormat="1" ht="12.75" x14ac:dyDescent="0.2"/>
    <row r="42813" s="197" customFormat="1" ht="12.75" x14ac:dyDescent="0.2"/>
    <row r="42814" s="197" customFormat="1" ht="12.75" x14ac:dyDescent="0.2"/>
    <row r="42815" s="197" customFormat="1" ht="12.75" x14ac:dyDescent="0.2"/>
    <row r="42816" s="197" customFormat="1" ht="12.75" x14ac:dyDescent="0.2"/>
    <row r="42817" s="197" customFormat="1" ht="12.75" x14ac:dyDescent="0.2"/>
    <row r="42818" s="197" customFormat="1" ht="12.75" x14ac:dyDescent="0.2"/>
    <row r="42819" s="197" customFormat="1" ht="12.75" x14ac:dyDescent="0.2"/>
    <row r="42820" s="197" customFormat="1" ht="12.75" x14ac:dyDescent="0.2"/>
    <row r="42821" s="197" customFormat="1" ht="12.75" x14ac:dyDescent="0.2"/>
    <row r="42822" s="197" customFormat="1" ht="12.75" x14ac:dyDescent="0.2"/>
    <row r="42823" s="197" customFormat="1" ht="12.75" x14ac:dyDescent="0.2"/>
    <row r="42824" s="197" customFormat="1" ht="12.75" x14ac:dyDescent="0.2"/>
    <row r="42825" s="197" customFormat="1" ht="12.75" x14ac:dyDescent="0.2"/>
    <row r="42826" s="197" customFormat="1" ht="12.75" x14ac:dyDescent="0.2"/>
    <row r="42827" s="197" customFormat="1" ht="12.75" x14ac:dyDescent="0.2"/>
    <row r="42828" s="197" customFormat="1" ht="12.75" x14ac:dyDescent="0.2"/>
    <row r="42829" s="197" customFormat="1" ht="12.75" x14ac:dyDescent="0.2"/>
    <row r="42830" s="197" customFormat="1" ht="12.75" x14ac:dyDescent="0.2"/>
    <row r="42831" s="197" customFormat="1" ht="12.75" x14ac:dyDescent="0.2"/>
    <row r="42832" s="197" customFormat="1" ht="12.75" x14ac:dyDescent="0.2"/>
    <row r="42833" s="197" customFormat="1" ht="12.75" x14ac:dyDescent="0.2"/>
    <row r="42834" s="197" customFormat="1" ht="12.75" x14ac:dyDescent="0.2"/>
    <row r="42835" s="197" customFormat="1" ht="12.75" x14ac:dyDescent="0.2"/>
    <row r="42836" s="197" customFormat="1" ht="12.75" x14ac:dyDescent="0.2"/>
    <row r="42837" s="197" customFormat="1" ht="12.75" x14ac:dyDescent="0.2"/>
    <row r="42838" s="197" customFormat="1" ht="12.75" x14ac:dyDescent="0.2"/>
    <row r="42839" s="197" customFormat="1" ht="12.75" x14ac:dyDescent="0.2"/>
    <row r="42840" s="197" customFormat="1" ht="12.75" x14ac:dyDescent="0.2"/>
    <row r="42841" s="197" customFormat="1" ht="12.75" x14ac:dyDescent="0.2"/>
    <row r="42842" s="197" customFormat="1" ht="12.75" x14ac:dyDescent="0.2"/>
    <row r="42843" s="197" customFormat="1" ht="12.75" x14ac:dyDescent="0.2"/>
    <row r="42844" s="197" customFormat="1" ht="12.75" x14ac:dyDescent="0.2"/>
    <row r="42845" s="197" customFormat="1" ht="12.75" x14ac:dyDescent="0.2"/>
    <row r="42846" s="197" customFormat="1" ht="12.75" x14ac:dyDescent="0.2"/>
    <row r="42847" s="197" customFormat="1" ht="12.75" x14ac:dyDescent="0.2"/>
    <row r="42848" s="197" customFormat="1" ht="12.75" x14ac:dyDescent="0.2"/>
    <row r="42849" s="197" customFormat="1" ht="12.75" x14ac:dyDescent="0.2"/>
    <row r="42850" s="197" customFormat="1" ht="12.75" x14ac:dyDescent="0.2"/>
    <row r="42851" s="197" customFormat="1" ht="12.75" x14ac:dyDescent="0.2"/>
    <row r="42852" s="197" customFormat="1" ht="12.75" x14ac:dyDescent="0.2"/>
    <row r="42853" s="197" customFormat="1" ht="12.75" x14ac:dyDescent="0.2"/>
    <row r="42854" s="197" customFormat="1" ht="12.75" x14ac:dyDescent="0.2"/>
    <row r="42855" s="197" customFormat="1" ht="12.75" x14ac:dyDescent="0.2"/>
    <row r="42856" s="197" customFormat="1" ht="12.75" x14ac:dyDescent="0.2"/>
    <row r="42857" s="197" customFormat="1" ht="12.75" x14ac:dyDescent="0.2"/>
    <row r="42858" s="197" customFormat="1" ht="12.75" x14ac:dyDescent="0.2"/>
    <row r="42859" s="197" customFormat="1" ht="12.75" x14ac:dyDescent="0.2"/>
    <row r="42860" s="197" customFormat="1" ht="12.75" x14ac:dyDescent="0.2"/>
    <row r="42861" s="197" customFormat="1" ht="12.75" x14ac:dyDescent="0.2"/>
    <row r="42862" s="197" customFormat="1" ht="12.75" x14ac:dyDescent="0.2"/>
    <row r="42863" s="197" customFormat="1" ht="12.75" x14ac:dyDescent="0.2"/>
    <row r="42864" s="197" customFormat="1" ht="12.75" x14ac:dyDescent="0.2"/>
    <row r="42865" s="197" customFormat="1" ht="12.75" x14ac:dyDescent="0.2"/>
    <row r="42866" s="197" customFormat="1" ht="12.75" x14ac:dyDescent="0.2"/>
    <row r="42867" s="197" customFormat="1" ht="12.75" x14ac:dyDescent="0.2"/>
    <row r="42868" s="197" customFormat="1" ht="12.75" x14ac:dyDescent="0.2"/>
    <row r="42869" s="197" customFormat="1" ht="12.75" x14ac:dyDescent="0.2"/>
    <row r="42870" s="197" customFormat="1" ht="12.75" x14ac:dyDescent="0.2"/>
    <row r="42871" s="197" customFormat="1" ht="12.75" x14ac:dyDescent="0.2"/>
    <row r="42872" s="197" customFormat="1" ht="12.75" x14ac:dyDescent="0.2"/>
    <row r="42873" s="197" customFormat="1" ht="12.75" x14ac:dyDescent="0.2"/>
    <row r="42874" s="197" customFormat="1" ht="12.75" x14ac:dyDescent="0.2"/>
    <row r="42875" s="197" customFormat="1" ht="12.75" x14ac:dyDescent="0.2"/>
    <row r="42876" s="197" customFormat="1" ht="12.75" x14ac:dyDescent="0.2"/>
    <row r="42877" s="197" customFormat="1" ht="12.75" x14ac:dyDescent="0.2"/>
    <row r="42878" s="197" customFormat="1" ht="12.75" x14ac:dyDescent="0.2"/>
    <row r="42879" s="197" customFormat="1" ht="12.75" x14ac:dyDescent="0.2"/>
    <row r="42880" s="197" customFormat="1" ht="12.75" x14ac:dyDescent="0.2"/>
    <row r="42881" s="197" customFormat="1" ht="12.75" x14ac:dyDescent="0.2"/>
    <row r="42882" s="197" customFormat="1" ht="12.75" x14ac:dyDescent="0.2"/>
    <row r="42883" s="197" customFormat="1" ht="12.75" x14ac:dyDescent="0.2"/>
    <row r="42884" s="197" customFormat="1" ht="12.75" x14ac:dyDescent="0.2"/>
    <row r="42885" s="197" customFormat="1" ht="12.75" x14ac:dyDescent="0.2"/>
    <row r="42886" s="197" customFormat="1" ht="12.75" x14ac:dyDescent="0.2"/>
    <row r="42887" s="197" customFormat="1" ht="12.75" x14ac:dyDescent="0.2"/>
    <row r="42888" s="197" customFormat="1" ht="12.75" x14ac:dyDescent="0.2"/>
    <row r="42889" s="197" customFormat="1" ht="12.75" x14ac:dyDescent="0.2"/>
    <row r="42890" s="197" customFormat="1" ht="12.75" x14ac:dyDescent="0.2"/>
    <row r="42891" s="197" customFormat="1" ht="12.75" x14ac:dyDescent="0.2"/>
    <row r="42892" s="197" customFormat="1" ht="12.75" x14ac:dyDescent="0.2"/>
    <row r="42893" s="197" customFormat="1" ht="12.75" x14ac:dyDescent="0.2"/>
    <row r="42894" s="197" customFormat="1" ht="12.75" x14ac:dyDescent="0.2"/>
    <row r="42895" s="197" customFormat="1" ht="12.75" x14ac:dyDescent="0.2"/>
    <row r="42896" s="197" customFormat="1" ht="12.75" x14ac:dyDescent="0.2"/>
    <row r="42897" s="197" customFormat="1" ht="12.75" x14ac:dyDescent="0.2"/>
    <row r="42898" s="197" customFormat="1" ht="12.75" x14ac:dyDescent="0.2"/>
    <row r="42899" s="197" customFormat="1" ht="12.75" x14ac:dyDescent="0.2"/>
    <row r="42900" s="197" customFormat="1" ht="12.75" x14ac:dyDescent="0.2"/>
    <row r="42901" s="197" customFormat="1" ht="12.75" x14ac:dyDescent="0.2"/>
    <row r="42902" s="197" customFormat="1" ht="12.75" x14ac:dyDescent="0.2"/>
    <row r="42903" s="197" customFormat="1" ht="12.75" x14ac:dyDescent="0.2"/>
    <row r="42904" s="197" customFormat="1" ht="12.75" x14ac:dyDescent="0.2"/>
    <row r="42905" s="197" customFormat="1" ht="12.75" x14ac:dyDescent="0.2"/>
    <row r="42906" s="197" customFormat="1" ht="12.75" x14ac:dyDescent="0.2"/>
    <row r="42907" s="197" customFormat="1" ht="12.75" x14ac:dyDescent="0.2"/>
    <row r="42908" s="197" customFormat="1" ht="12.75" x14ac:dyDescent="0.2"/>
    <row r="42909" s="197" customFormat="1" ht="12.75" x14ac:dyDescent="0.2"/>
    <row r="42910" s="197" customFormat="1" ht="12.75" x14ac:dyDescent="0.2"/>
    <row r="42911" s="197" customFormat="1" ht="12.75" x14ac:dyDescent="0.2"/>
    <row r="42912" s="197" customFormat="1" ht="12.75" x14ac:dyDescent="0.2"/>
    <row r="42913" s="197" customFormat="1" ht="12.75" x14ac:dyDescent="0.2"/>
    <row r="42914" s="197" customFormat="1" ht="12.75" x14ac:dyDescent="0.2"/>
    <row r="42915" s="197" customFormat="1" ht="12.75" x14ac:dyDescent="0.2"/>
    <row r="42916" s="197" customFormat="1" ht="12.75" x14ac:dyDescent="0.2"/>
    <row r="42917" s="197" customFormat="1" ht="12.75" x14ac:dyDescent="0.2"/>
    <row r="42918" s="197" customFormat="1" ht="12.75" x14ac:dyDescent="0.2"/>
    <row r="42919" s="197" customFormat="1" ht="12.75" x14ac:dyDescent="0.2"/>
    <row r="42920" s="197" customFormat="1" ht="12.75" x14ac:dyDescent="0.2"/>
    <row r="42921" s="197" customFormat="1" ht="12.75" x14ac:dyDescent="0.2"/>
    <row r="42922" s="197" customFormat="1" ht="12.75" x14ac:dyDescent="0.2"/>
    <row r="42923" s="197" customFormat="1" ht="12.75" x14ac:dyDescent="0.2"/>
    <row r="42924" s="197" customFormat="1" ht="12.75" x14ac:dyDescent="0.2"/>
    <row r="42925" s="197" customFormat="1" ht="12.75" x14ac:dyDescent="0.2"/>
    <row r="42926" s="197" customFormat="1" ht="12.75" x14ac:dyDescent="0.2"/>
    <row r="42927" s="197" customFormat="1" ht="12.75" x14ac:dyDescent="0.2"/>
    <row r="42928" s="197" customFormat="1" ht="12.75" x14ac:dyDescent="0.2"/>
    <row r="42929" s="197" customFormat="1" ht="12.75" x14ac:dyDescent="0.2"/>
    <row r="42930" s="197" customFormat="1" ht="12.75" x14ac:dyDescent="0.2"/>
    <row r="42931" s="197" customFormat="1" ht="12.75" x14ac:dyDescent="0.2"/>
    <row r="42932" s="197" customFormat="1" ht="12.75" x14ac:dyDescent="0.2"/>
    <row r="42933" s="197" customFormat="1" ht="12.75" x14ac:dyDescent="0.2"/>
    <row r="42934" s="197" customFormat="1" ht="12.75" x14ac:dyDescent="0.2"/>
    <row r="42935" s="197" customFormat="1" ht="12.75" x14ac:dyDescent="0.2"/>
    <row r="42936" s="197" customFormat="1" ht="12.75" x14ac:dyDescent="0.2"/>
    <row r="42937" s="197" customFormat="1" ht="12.75" x14ac:dyDescent="0.2"/>
    <row r="42938" s="197" customFormat="1" ht="12.75" x14ac:dyDescent="0.2"/>
    <row r="42939" s="197" customFormat="1" ht="12.75" x14ac:dyDescent="0.2"/>
    <row r="42940" s="197" customFormat="1" ht="12.75" x14ac:dyDescent="0.2"/>
    <row r="42941" s="197" customFormat="1" ht="12.75" x14ac:dyDescent="0.2"/>
    <row r="42942" s="197" customFormat="1" ht="12.75" x14ac:dyDescent="0.2"/>
    <row r="42943" s="197" customFormat="1" ht="12.75" x14ac:dyDescent="0.2"/>
    <row r="42944" s="197" customFormat="1" ht="12.75" x14ac:dyDescent="0.2"/>
    <row r="42945" s="197" customFormat="1" ht="12.75" x14ac:dyDescent="0.2"/>
    <row r="42946" s="197" customFormat="1" ht="12.75" x14ac:dyDescent="0.2"/>
    <row r="42947" s="197" customFormat="1" ht="12.75" x14ac:dyDescent="0.2"/>
    <row r="42948" s="197" customFormat="1" ht="12.75" x14ac:dyDescent="0.2"/>
    <row r="42949" s="197" customFormat="1" ht="12.75" x14ac:dyDescent="0.2"/>
    <row r="42950" s="197" customFormat="1" ht="12.75" x14ac:dyDescent="0.2"/>
    <row r="42951" s="197" customFormat="1" ht="12.75" x14ac:dyDescent="0.2"/>
    <row r="42952" s="197" customFormat="1" ht="12.75" x14ac:dyDescent="0.2"/>
    <row r="42953" s="197" customFormat="1" ht="12.75" x14ac:dyDescent="0.2"/>
    <row r="42954" s="197" customFormat="1" ht="12.75" x14ac:dyDescent="0.2"/>
    <row r="42955" s="197" customFormat="1" ht="12.75" x14ac:dyDescent="0.2"/>
    <row r="42956" s="197" customFormat="1" ht="12.75" x14ac:dyDescent="0.2"/>
    <row r="42957" s="197" customFormat="1" ht="12.75" x14ac:dyDescent="0.2"/>
    <row r="42958" s="197" customFormat="1" ht="12.75" x14ac:dyDescent="0.2"/>
    <row r="42959" s="197" customFormat="1" ht="12.75" x14ac:dyDescent="0.2"/>
    <row r="42960" s="197" customFormat="1" ht="12.75" x14ac:dyDescent="0.2"/>
    <row r="42961" s="197" customFormat="1" ht="12.75" x14ac:dyDescent="0.2"/>
    <row r="42962" s="197" customFormat="1" ht="12.75" x14ac:dyDescent="0.2"/>
    <row r="42963" s="197" customFormat="1" ht="12.75" x14ac:dyDescent="0.2"/>
    <row r="42964" s="197" customFormat="1" ht="12.75" x14ac:dyDescent="0.2"/>
    <row r="42965" s="197" customFormat="1" ht="12.75" x14ac:dyDescent="0.2"/>
    <row r="42966" s="197" customFormat="1" ht="12.75" x14ac:dyDescent="0.2"/>
    <row r="42967" s="197" customFormat="1" ht="12.75" x14ac:dyDescent="0.2"/>
    <row r="42968" s="197" customFormat="1" ht="12.75" x14ac:dyDescent="0.2"/>
    <row r="42969" s="197" customFormat="1" ht="12.75" x14ac:dyDescent="0.2"/>
    <row r="42970" s="197" customFormat="1" ht="12.75" x14ac:dyDescent="0.2"/>
    <row r="42971" s="197" customFormat="1" ht="12.75" x14ac:dyDescent="0.2"/>
    <row r="42972" s="197" customFormat="1" ht="12.75" x14ac:dyDescent="0.2"/>
    <row r="42973" s="197" customFormat="1" ht="12.75" x14ac:dyDescent="0.2"/>
    <row r="42974" s="197" customFormat="1" ht="12.75" x14ac:dyDescent="0.2"/>
    <row r="42975" s="197" customFormat="1" ht="12.75" x14ac:dyDescent="0.2"/>
    <row r="42976" s="197" customFormat="1" ht="12.75" x14ac:dyDescent="0.2"/>
    <row r="42977" s="197" customFormat="1" ht="12.75" x14ac:dyDescent="0.2"/>
    <row r="42978" s="197" customFormat="1" ht="12.75" x14ac:dyDescent="0.2"/>
    <row r="42979" s="197" customFormat="1" ht="12.75" x14ac:dyDescent="0.2"/>
    <row r="42980" s="197" customFormat="1" ht="12.75" x14ac:dyDescent="0.2"/>
    <row r="42981" s="197" customFormat="1" ht="12.75" x14ac:dyDescent="0.2"/>
    <row r="42982" s="197" customFormat="1" ht="12.75" x14ac:dyDescent="0.2"/>
    <row r="42983" s="197" customFormat="1" ht="12.75" x14ac:dyDescent="0.2"/>
    <row r="42984" s="197" customFormat="1" ht="12.75" x14ac:dyDescent="0.2"/>
    <row r="42985" s="197" customFormat="1" ht="12.75" x14ac:dyDescent="0.2"/>
    <row r="42986" s="197" customFormat="1" ht="12.75" x14ac:dyDescent="0.2"/>
    <row r="42987" s="197" customFormat="1" ht="12.75" x14ac:dyDescent="0.2"/>
    <row r="42988" s="197" customFormat="1" ht="12.75" x14ac:dyDescent="0.2"/>
    <row r="42989" s="197" customFormat="1" ht="12.75" x14ac:dyDescent="0.2"/>
    <row r="42990" s="197" customFormat="1" ht="12.75" x14ac:dyDescent="0.2"/>
    <row r="42991" s="197" customFormat="1" ht="12.75" x14ac:dyDescent="0.2"/>
    <row r="42992" s="197" customFormat="1" ht="12.75" x14ac:dyDescent="0.2"/>
    <row r="42993" s="197" customFormat="1" ht="12.75" x14ac:dyDescent="0.2"/>
    <row r="42994" s="197" customFormat="1" ht="12.75" x14ac:dyDescent="0.2"/>
    <row r="42995" s="197" customFormat="1" ht="12.75" x14ac:dyDescent="0.2"/>
    <row r="42996" s="197" customFormat="1" ht="12.75" x14ac:dyDescent="0.2"/>
    <row r="42997" s="197" customFormat="1" ht="12.75" x14ac:dyDescent="0.2"/>
    <row r="42998" s="197" customFormat="1" ht="12.75" x14ac:dyDescent="0.2"/>
    <row r="42999" s="197" customFormat="1" ht="12.75" x14ac:dyDescent="0.2"/>
    <row r="43000" s="197" customFormat="1" ht="12.75" x14ac:dyDescent="0.2"/>
    <row r="43001" s="197" customFormat="1" ht="12.75" x14ac:dyDescent="0.2"/>
    <row r="43002" s="197" customFormat="1" ht="12.75" x14ac:dyDescent="0.2"/>
    <row r="43003" s="197" customFormat="1" ht="12.75" x14ac:dyDescent="0.2"/>
    <row r="43004" s="197" customFormat="1" ht="12.75" x14ac:dyDescent="0.2"/>
    <row r="43005" s="197" customFormat="1" ht="12.75" x14ac:dyDescent="0.2"/>
    <row r="43006" s="197" customFormat="1" ht="12.75" x14ac:dyDescent="0.2"/>
    <row r="43007" s="197" customFormat="1" ht="12.75" x14ac:dyDescent="0.2"/>
    <row r="43008" s="197" customFormat="1" ht="12.75" x14ac:dyDescent="0.2"/>
    <row r="43009" s="197" customFormat="1" ht="12.75" x14ac:dyDescent="0.2"/>
    <row r="43010" s="197" customFormat="1" ht="12.75" x14ac:dyDescent="0.2"/>
    <row r="43011" s="197" customFormat="1" ht="12.75" x14ac:dyDescent="0.2"/>
    <row r="43012" s="197" customFormat="1" ht="12.75" x14ac:dyDescent="0.2"/>
    <row r="43013" s="197" customFormat="1" ht="12.75" x14ac:dyDescent="0.2"/>
    <row r="43014" s="197" customFormat="1" ht="12.75" x14ac:dyDescent="0.2"/>
    <row r="43015" s="197" customFormat="1" ht="12.75" x14ac:dyDescent="0.2"/>
    <row r="43016" s="197" customFormat="1" ht="12.75" x14ac:dyDescent="0.2"/>
    <row r="43017" s="197" customFormat="1" ht="12.75" x14ac:dyDescent="0.2"/>
    <row r="43018" s="197" customFormat="1" ht="12.75" x14ac:dyDescent="0.2"/>
    <row r="43019" s="197" customFormat="1" ht="12.75" x14ac:dyDescent="0.2"/>
    <row r="43020" s="197" customFormat="1" ht="12.75" x14ac:dyDescent="0.2"/>
    <row r="43021" s="197" customFormat="1" ht="12.75" x14ac:dyDescent="0.2"/>
    <row r="43022" s="197" customFormat="1" ht="12.75" x14ac:dyDescent="0.2"/>
    <row r="43023" s="197" customFormat="1" ht="12.75" x14ac:dyDescent="0.2"/>
    <row r="43024" s="197" customFormat="1" ht="12.75" x14ac:dyDescent="0.2"/>
    <row r="43025" s="197" customFormat="1" ht="12.75" x14ac:dyDescent="0.2"/>
    <row r="43026" s="197" customFormat="1" ht="12.75" x14ac:dyDescent="0.2"/>
    <row r="43027" s="197" customFormat="1" ht="12.75" x14ac:dyDescent="0.2"/>
    <row r="43028" s="197" customFormat="1" ht="12.75" x14ac:dyDescent="0.2"/>
    <row r="43029" s="197" customFormat="1" ht="12.75" x14ac:dyDescent="0.2"/>
    <row r="43030" s="197" customFormat="1" ht="12.75" x14ac:dyDescent="0.2"/>
    <row r="43031" s="197" customFormat="1" ht="12.75" x14ac:dyDescent="0.2"/>
    <row r="43032" s="197" customFormat="1" ht="12.75" x14ac:dyDescent="0.2"/>
    <row r="43033" s="197" customFormat="1" ht="12.75" x14ac:dyDescent="0.2"/>
    <row r="43034" s="197" customFormat="1" ht="12.75" x14ac:dyDescent="0.2"/>
    <row r="43035" s="197" customFormat="1" ht="12.75" x14ac:dyDescent="0.2"/>
    <row r="43036" s="197" customFormat="1" ht="12.75" x14ac:dyDescent="0.2"/>
    <row r="43037" s="197" customFormat="1" ht="12.75" x14ac:dyDescent="0.2"/>
    <row r="43038" s="197" customFormat="1" ht="12.75" x14ac:dyDescent="0.2"/>
    <row r="43039" s="197" customFormat="1" ht="12.75" x14ac:dyDescent="0.2"/>
    <row r="43040" s="197" customFormat="1" ht="12.75" x14ac:dyDescent="0.2"/>
    <row r="43041" s="197" customFormat="1" ht="12.75" x14ac:dyDescent="0.2"/>
    <row r="43042" s="197" customFormat="1" ht="12.75" x14ac:dyDescent="0.2"/>
    <row r="43043" s="197" customFormat="1" ht="12.75" x14ac:dyDescent="0.2"/>
    <row r="43044" s="197" customFormat="1" ht="12.75" x14ac:dyDescent="0.2"/>
    <row r="43045" s="197" customFormat="1" ht="12.75" x14ac:dyDescent="0.2"/>
    <row r="43046" s="197" customFormat="1" ht="12.75" x14ac:dyDescent="0.2"/>
    <row r="43047" s="197" customFormat="1" ht="12.75" x14ac:dyDescent="0.2"/>
    <row r="43048" s="197" customFormat="1" ht="12.75" x14ac:dyDescent="0.2"/>
    <row r="43049" s="197" customFormat="1" ht="12.75" x14ac:dyDescent="0.2"/>
    <row r="43050" s="197" customFormat="1" ht="12.75" x14ac:dyDescent="0.2"/>
    <row r="43051" s="197" customFormat="1" ht="12.75" x14ac:dyDescent="0.2"/>
    <row r="43052" s="197" customFormat="1" ht="12.75" x14ac:dyDescent="0.2"/>
    <row r="43053" s="197" customFormat="1" ht="12.75" x14ac:dyDescent="0.2"/>
    <row r="43054" s="197" customFormat="1" ht="12.75" x14ac:dyDescent="0.2"/>
    <row r="43055" s="197" customFormat="1" ht="12.75" x14ac:dyDescent="0.2"/>
    <row r="43056" s="197" customFormat="1" ht="12.75" x14ac:dyDescent="0.2"/>
    <row r="43057" s="197" customFormat="1" ht="12.75" x14ac:dyDescent="0.2"/>
    <row r="43058" s="197" customFormat="1" ht="12.75" x14ac:dyDescent="0.2"/>
    <row r="43059" s="197" customFormat="1" ht="12.75" x14ac:dyDescent="0.2"/>
    <row r="43060" s="197" customFormat="1" ht="12.75" x14ac:dyDescent="0.2"/>
    <row r="43061" s="197" customFormat="1" ht="12.75" x14ac:dyDescent="0.2"/>
    <row r="43062" s="197" customFormat="1" ht="12.75" x14ac:dyDescent="0.2"/>
    <row r="43063" s="197" customFormat="1" ht="12.75" x14ac:dyDescent="0.2"/>
    <row r="43064" s="197" customFormat="1" ht="12.75" x14ac:dyDescent="0.2"/>
    <row r="43065" s="197" customFormat="1" ht="12.75" x14ac:dyDescent="0.2"/>
    <row r="43066" s="197" customFormat="1" ht="12.75" x14ac:dyDescent="0.2"/>
    <row r="43067" s="197" customFormat="1" ht="12.75" x14ac:dyDescent="0.2"/>
    <row r="43068" s="197" customFormat="1" ht="12.75" x14ac:dyDescent="0.2"/>
    <row r="43069" s="197" customFormat="1" ht="12.75" x14ac:dyDescent="0.2"/>
    <row r="43070" s="197" customFormat="1" ht="12.75" x14ac:dyDescent="0.2"/>
    <row r="43071" s="197" customFormat="1" ht="12.75" x14ac:dyDescent="0.2"/>
    <row r="43072" s="197" customFormat="1" ht="12.75" x14ac:dyDescent="0.2"/>
    <row r="43073" s="197" customFormat="1" ht="12.75" x14ac:dyDescent="0.2"/>
    <row r="43074" s="197" customFormat="1" ht="12.75" x14ac:dyDescent="0.2"/>
    <row r="43075" s="197" customFormat="1" ht="12.75" x14ac:dyDescent="0.2"/>
    <row r="43076" s="197" customFormat="1" ht="12.75" x14ac:dyDescent="0.2"/>
    <row r="43077" s="197" customFormat="1" ht="12.75" x14ac:dyDescent="0.2"/>
    <row r="43078" s="197" customFormat="1" ht="12.75" x14ac:dyDescent="0.2"/>
    <row r="43079" s="197" customFormat="1" ht="12.75" x14ac:dyDescent="0.2"/>
    <row r="43080" s="197" customFormat="1" ht="12.75" x14ac:dyDescent="0.2"/>
    <row r="43081" s="197" customFormat="1" ht="12.75" x14ac:dyDescent="0.2"/>
    <row r="43082" s="197" customFormat="1" ht="12.75" x14ac:dyDescent="0.2"/>
    <row r="43083" s="197" customFormat="1" ht="12.75" x14ac:dyDescent="0.2"/>
    <row r="43084" s="197" customFormat="1" ht="12.75" x14ac:dyDescent="0.2"/>
    <row r="43085" s="197" customFormat="1" ht="12.75" x14ac:dyDescent="0.2"/>
    <row r="43086" s="197" customFormat="1" ht="12.75" x14ac:dyDescent="0.2"/>
    <row r="43087" s="197" customFormat="1" ht="12.75" x14ac:dyDescent="0.2"/>
    <row r="43088" s="197" customFormat="1" ht="12.75" x14ac:dyDescent="0.2"/>
    <row r="43089" s="197" customFormat="1" ht="12.75" x14ac:dyDescent="0.2"/>
    <row r="43090" s="197" customFormat="1" ht="12.75" x14ac:dyDescent="0.2"/>
    <row r="43091" s="197" customFormat="1" ht="12.75" x14ac:dyDescent="0.2"/>
    <row r="43092" s="197" customFormat="1" ht="12.75" x14ac:dyDescent="0.2"/>
    <row r="43093" s="197" customFormat="1" ht="12.75" x14ac:dyDescent="0.2"/>
    <row r="43094" s="197" customFormat="1" ht="12.75" x14ac:dyDescent="0.2"/>
    <row r="43095" s="197" customFormat="1" ht="12.75" x14ac:dyDescent="0.2"/>
    <row r="43096" s="197" customFormat="1" ht="12.75" x14ac:dyDescent="0.2"/>
    <row r="43097" s="197" customFormat="1" ht="12.75" x14ac:dyDescent="0.2"/>
    <row r="43098" s="197" customFormat="1" ht="12.75" x14ac:dyDescent="0.2"/>
    <row r="43099" s="197" customFormat="1" ht="12.75" x14ac:dyDescent="0.2"/>
    <row r="43100" s="197" customFormat="1" ht="12.75" x14ac:dyDescent="0.2"/>
    <row r="43101" s="197" customFormat="1" ht="12.75" x14ac:dyDescent="0.2"/>
    <row r="43102" s="197" customFormat="1" ht="12.75" x14ac:dyDescent="0.2"/>
    <row r="43103" s="197" customFormat="1" ht="12.75" x14ac:dyDescent="0.2"/>
    <row r="43104" s="197" customFormat="1" ht="12.75" x14ac:dyDescent="0.2"/>
    <row r="43105" s="197" customFormat="1" ht="12.75" x14ac:dyDescent="0.2"/>
    <row r="43106" s="197" customFormat="1" ht="12.75" x14ac:dyDescent="0.2"/>
    <row r="43107" s="197" customFormat="1" ht="12.75" x14ac:dyDescent="0.2"/>
    <row r="43108" s="197" customFormat="1" ht="12.75" x14ac:dyDescent="0.2"/>
    <row r="43109" s="197" customFormat="1" ht="12.75" x14ac:dyDescent="0.2"/>
    <row r="43110" s="197" customFormat="1" ht="12.75" x14ac:dyDescent="0.2"/>
    <row r="43111" s="197" customFormat="1" ht="12.75" x14ac:dyDescent="0.2"/>
    <row r="43112" s="197" customFormat="1" ht="12.75" x14ac:dyDescent="0.2"/>
    <row r="43113" s="197" customFormat="1" ht="12.75" x14ac:dyDescent="0.2"/>
    <row r="43114" s="197" customFormat="1" ht="12.75" x14ac:dyDescent="0.2"/>
    <row r="43115" s="197" customFormat="1" ht="12.75" x14ac:dyDescent="0.2"/>
    <row r="43116" s="197" customFormat="1" ht="12.75" x14ac:dyDescent="0.2"/>
    <row r="43117" s="197" customFormat="1" ht="12.75" x14ac:dyDescent="0.2"/>
    <row r="43118" s="197" customFormat="1" ht="12.75" x14ac:dyDescent="0.2"/>
    <row r="43119" s="197" customFormat="1" ht="12.75" x14ac:dyDescent="0.2"/>
    <row r="43120" s="197" customFormat="1" ht="12.75" x14ac:dyDescent="0.2"/>
    <row r="43121" s="197" customFormat="1" ht="12.75" x14ac:dyDescent="0.2"/>
    <row r="43122" s="197" customFormat="1" ht="12.75" x14ac:dyDescent="0.2"/>
    <row r="43123" s="197" customFormat="1" ht="12.75" x14ac:dyDescent="0.2"/>
    <row r="43124" s="197" customFormat="1" ht="12.75" x14ac:dyDescent="0.2"/>
    <row r="43125" s="197" customFormat="1" ht="12.75" x14ac:dyDescent="0.2"/>
    <row r="43126" s="197" customFormat="1" ht="12.75" x14ac:dyDescent="0.2"/>
    <row r="43127" s="197" customFormat="1" ht="12.75" x14ac:dyDescent="0.2"/>
    <row r="43128" s="197" customFormat="1" ht="12.75" x14ac:dyDescent="0.2"/>
    <row r="43129" s="197" customFormat="1" ht="12.75" x14ac:dyDescent="0.2"/>
    <row r="43130" s="197" customFormat="1" ht="12.75" x14ac:dyDescent="0.2"/>
    <row r="43131" s="197" customFormat="1" ht="12.75" x14ac:dyDescent="0.2"/>
    <row r="43132" s="197" customFormat="1" ht="12.75" x14ac:dyDescent="0.2"/>
    <row r="43133" s="197" customFormat="1" ht="12.75" x14ac:dyDescent="0.2"/>
    <row r="43134" s="197" customFormat="1" ht="12.75" x14ac:dyDescent="0.2"/>
    <row r="43135" s="197" customFormat="1" ht="12.75" x14ac:dyDescent="0.2"/>
    <row r="43136" s="197" customFormat="1" ht="12.75" x14ac:dyDescent="0.2"/>
    <row r="43137" s="197" customFormat="1" ht="12.75" x14ac:dyDescent="0.2"/>
    <row r="43138" s="197" customFormat="1" ht="12.75" x14ac:dyDescent="0.2"/>
    <row r="43139" s="197" customFormat="1" ht="12.75" x14ac:dyDescent="0.2"/>
    <row r="43140" s="197" customFormat="1" ht="12.75" x14ac:dyDescent="0.2"/>
    <row r="43141" s="197" customFormat="1" ht="12.75" x14ac:dyDescent="0.2"/>
    <row r="43142" s="197" customFormat="1" ht="12.75" x14ac:dyDescent="0.2"/>
    <row r="43143" s="197" customFormat="1" ht="12.75" x14ac:dyDescent="0.2"/>
    <row r="43144" s="197" customFormat="1" ht="12.75" x14ac:dyDescent="0.2"/>
    <row r="43145" s="197" customFormat="1" ht="12.75" x14ac:dyDescent="0.2"/>
    <row r="43146" s="197" customFormat="1" ht="12.75" x14ac:dyDescent="0.2"/>
    <row r="43147" s="197" customFormat="1" ht="12.75" x14ac:dyDescent="0.2"/>
    <row r="43148" s="197" customFormat="1" ht="12.75" x14ac:dyDescent="0.2"/>
    <row r="43149" s="197" customFormat="1" ht="12.75" x14ac:dyDescent="0.2"/>
    <row r="43150" s="197" customFormat="1" ht="12.75" x14ac:dyDescent="0.2"/>
    <row r="43151" s="197" customFormat="1" ht="12.75" x14ac:dyDescent="0.2"/>
    <row r="43152" s="197" customFormat="1" ht="12.75" x14ac:dyDescent="0.2"/>
    <row r="43153" s="197" customFormat="1" ht="12.75" x14ac:dyDescent="0.2"/>
    <row r="43154" s="197" customFormat="1" ht="12.75" x14ac:dyDescent="0.2"/>
    <row r="43155" s="197" customFormat="1" ht="12.75" x14ac:dyDescent="0.2"/>
    <row r="43156" s="197" customFormat="1" ht="12.75" x14ac:dyDescent="0.2"/>
    <row r="43157" s="197" customFormat="1" ht="12.75" x14ac:dyDescent="0.2"/>
    <row r="43158" s="197" customFormat="1" ht="12.75" x14ac:dyDescent="0.2"/>
    <row r="43159" s="197" customFormat="1" ht="12.75" x14ac:dyDescent="0.2"/>
    <row r="43160" s="197" customFormat="1" ht="12.75" x14ac:dyDescent="0.2"/>
    <row r="43161" s="197" customFormat="1" ht="12.75" x14ac:dyDescent="0.2"/>
    <row r="43162" s="197" customFormat="1" ht="12.75" x14ac:dyDescent="0.2"/>
    <row r="43163" s="197" customFormat="1" ht="12.75" x14ac:dyDescent="0.2"/>
    <row r="43164" s="197" customFormat="1" ht="12.75" x14ac:dyDescent="0.2"/>
    <row r="43165" s="197" customFormat="1" ht="12.75" x14ac:dyDescent="0.2"/>
    <row r="43166" s="197" customFormat="1" ht="12.75" x14ac:dyDescent="0.2"/>
    <row r="43167" s="197" customFormat="1" ht="12.75" x14ac:dyDescent="0.2"/>
    <row r="43168" s="197" customFormat="1" ht="12.75" x14ac:dyDescent="0.2"/>
    <row r="43169" s="197" customFormat="1" ht="12.75" x14ac:dyDescent="0.2"/>
    <row r="43170" s="197" customFormat="1" ht="12.75" x14ac:dyDescent="0.2"/>
    <row r="43171" s="197" customFormat="1" ht="12.75" x14ac:dyDescent="0.2"/>
    <row r="43172" s="197" customFormat="1" ht="12.75" x14ac:dyDescent="0.2"/>
    <row r="43173" s="197" customFormat="1" ht="12.75" x14ac:dyDescent="0.2"/>
    <row r="43174" s="197" customFormat="1" ht="12.75" x14ac:dyDescent="0.2"/>
    <row r="43175" s="197" customFormat="1" ht="12.75" x14ac:dyDescent="0.2"/>
    <row r="43176" s="197" customFormat="1" ht="12.75" x14ac:dyDescent="0.2"/>
    <row r="43177" s="197" customFormat="1" ht="12.75" x14ac:dyDescent="0.2"/>
    <row r="43178" s="197" customFormat="1" ht="12.75" x14ac:dyDescent="0.2"/>
    <row r="43179" s="197" customFormat="1" ht="12.75" x14ac:dyDescent="0.2"/>
    <row r="43180" s="197" customFormat="1" ht="12.75" x14ac:dyDescent="0.2"/>
    <row r="43181" s="197" customFormat="1" ht="12.75" x14ac:dyDescent="0.2"/>
    <row r="43182" s="197" customFormat="1" ht="12.75" x14ac:dyDescent="0.2"/>
    <row r="43183" s="197" customFormat="1" ht="12.75" x14ac:dyDescent="0.2"/>
    <row r="43184" s="197" customFormat="1" ht="12.75" x14ac:dyDescent="0.2"/>
    <row r="43185" s="197" customFormat="1" ht="12.75" x14ac:dyDescent="0.2"/>
    <row r="43186" s="197" customFormat="1" ht="12.75" x14ac:dyDescent="0.2"/>
    <row r="43187" s="197" customFormat="1" ht="12.75" x14ac:dyDescent="0.2"/>
    <row r="43188" s="197" customFormat="1" ht="12.75" x14ac:dyDescent="0.2"/>
    <row r="43189" s="197" customFormat="1" ht="12.75" x14ac:dyDescent="0.2"/>
    <row r="43190" s="197" customFormat="1" ht="12.75" x14ac:dyDescent="0.2"/>
    <row r="43191" s="197" customFormat="1" ht="12.75" x14ac:dyDescent="0.2"/>
    <row r="43192" s="197" customFormat="1" ht="12.75" x14ac:dyDescent="0.2"/>
    <row r="43193" s="197" customFormat="1" ht="12.75" x14ac:dyDescent="0.2"/>
    <row r="43194" s="197" customFormat="1" ht="12.75" x14ac:dyDescent="0.2"/>
    <row r="43195" s="197" customFormat="1" ht="12.75" x14ac:dyDescent="0.2"/>
    <row r="43196" s="197" customFormat="1" ht="12.75" x14ac:dyDescent="0.2"/>
    <row r="43197" s="197" customFormat="1" ht="12.75" x14ac:dyDescent="0.2"/>
    <row r="43198" s="197" customFormat="1" ht="12.75" x14ac:dyDescent="0.2"/>
    <row r="43199" s="197" customFormat="1" ht="12.75" x14ac:dyDescent="0.2"/>
    <row r="43200" s="197" customFormat="1" ht="12.75" x14ac:dyDescent="0.2"/>
    <row r="43201" s="197" customFormat="1" ht="12.75" x14ac:dyDescent="0.2"/>
    <row r="43202" s="197" customFormat="1" ht="12.75" x14ac:dyDescent="0.2"/>
    <row r="43203" s="197" customFormat="1" ht="12.75" x14ac:dyDescent="0.2"/>
    <row r="43204" s="197" customFormat="1" ht="12.75" x14ac:dyDescent="0.2"/>
    <row r="43205" s="197" customFormat="1" ht="12.75" x14ac:dyDescent="0.2"/>
    <row r="43206" s="197" customFormat="1" ht="12.75" x14ac:dyDescent="0.2"/>
    <row r="43207" s="197" customFormat="1" ht="12.75" x14ac:dyDescent="0.2"/>
    <row r="43208" s="197" customFormat="1" ht="12.75" x14ac:dyDescent="0.2"/>
    <row r="43209" s="197" customFormat="1" ht="12.75" x14ac:dyDescent="0.2"/>
    <row r="43210" s="197" customFormat="1" ht="12.75" x14ac:dyDescent="0.2"/>
    <row r="43211" s="197" customFormat="1" ht="12.75" x14ac:dyDescent="0.2"/>
    <row r="43212" s="197" customFormat="1" ht="12.75" x14ac:dyDescent="0.2"/>
    <row r="43213" s="197" customFormat="1" ht="12.75" x14ac:dyDescent="0.2"/>
    <row r="43214" s="197" customFormat="1" ht="12.75" x14ac:dyDescent="0.2"/>
    <row r="43215" s="197" customFormat="1" ht="12.75" x14ac:dyDescent="0.2"/>
    <row r="43216" s="197" customFormat="1" ht="12.75" x14ac:dyDescent="0.2"/>
    <row r="43217" s="197" customFormat="1" ht="12.75" x14ac:dyDescent="0.2"/>
    <row r="43218" s="197" customFormat="1" ht="12.75" x14ac:dyDescent="0.2"/>
    <row r="43219" s="197" customFormat="1" ht="12.75" x14ac:dyDescent="0.2"/>
    <row r="43220" s="197" customFormat="1" ht="12.75" x14ac:dyDescent="0.2"/>
    <row r="43221" s="197" customFormat="1" ht="12.75" x14ac:dyDescent="0.2"/>
    <row r="43222" s="197" customFormat="1" ht="12.75" x14ac:dyDescent="0.2"/>
    <row r="43223" s="197" customFormat="1" ht="12.75" x14ac:dyDescent="0.2"/>
    <row r="43224" s="197" customFormat="1" ht="12.75" x14ac:dyDescent="0.2"/>
    <row r="43225" s="197" customFormat="1" ht="12.75" x14ac:dyDescent="0.2"/>
    <row r="43226" s="197" customFormat="1" ht="12.75" x14ac:dyDescent="0.2"/>
    <row r="43227" s="197" customFormat="1" ht="12.75" x14ac:dyDescent="0.2"/>
    <row r="43228" s="197" customFormat="1" ht="12.75" x14ac:dyDescent="0.2"/>
    <row r="43229" s="197" customFormat="1" ht="12.75" x14ac:dyDescent="0.2"/>
    <row r="43230" s="197" customFormat="1" ht="12.75" x14ac:dyDescent="0.2"/>
    <row r="43231" s="197" customFormat="1" ht="12.75" x14ac:dyDescent="0.2"/>
    <row r="43232" s="197" customFormat="1" ht="12.75" x14ac:dyDescent="0.2"/>
    <row r="43233" s="197" customFormat="1" ht="12.75" x14ac:dyDescent="0.2"/>
    <row r="43234" s="197" customFormat="1" ht="12.75" x14ac:dyDescent="0.2"/>
    <row r="43235" s="197" customFormat="1" ht="12.75" x14ac:dyDescent="0.2"/>
    <row r="43236" s="197" customFormat="1" ht="12.75" x14ac:dyDescent="0.2"/>
    <row r="43237" s="197" customFormat="1" ht="12.75" x14ac:dyDescent="0.2"/>
    <row r="43238" s="197" customFormat="1" ht="12.75" x14ac:dyDescent="0.2"/>
    <row r="43239" s="197" customFormat="1" ht="12.75" x14ac:dyDescent="0.2"/>
    <row r="43240" s="197" customFormat="1" ht="12.75" x14ac:dyDescent="0.2"/>
    <row r="43241" s="197" customFormat="1" ht="12.75" x14ac:dyDescent="0.2"/>
    <row r="43242" s="197" customFormat="1" ht="12.75" x14ac:dyDescent="0.2"/>
    <row r="43243" s="197" customFormat="1" ht="12.75" x14ac:dyDescent="0.2"/>
    <row r="43244" s="197" customFormat="1" ht="12.75" x14ac:dyDescent="0.2"/>
    <row r="43245" s="197" customFormat="1" ht="12.75" x14ac:dyDescent="0.2"/>
    <row r="43246" s="197" customFormat="1" ht="12.75" x14ac:dyDescent="0.2"/>
    <row r="43247" s="197" customFormat="1" ht="12.75" x14ac:dyDescent="0.2"/>
    <row r="43248" s="197" customFormat="1" ht="12.75" x14ac:dyDescent="0.2"/>
    <row r="43249" s="197" customFormat="1" ht="12.75" x14ac:dyDescent="0.2"/>
    <row r="43250" s="197" customFormat="1" ht="12.75" x14ac:dyDescent="0.2"/>
    <row r="43251" s="197" customFormat="1" ht="12.75" x14ac:dyDescent="0.2"/>
    <row r="43252" s="197" customFormat="1" ht="12.75" x14ac:dyDescent="0.2"/>
    <row r="43253" s="197" customFormat="1" ht="12.75" x14ac:dyDescent="0.2"/>
    <row r="43254" s="197" customFormat="1" ht="12.75" x14ac:dyDescent="0.2"/>
    <row r="43255" s="197" customFormat="1" ht="12.75" x14ac:dyDescent="0.2"/>
    <row r="43256" s="197" customFormat="1" ht="12.75" x14ac:dyDescent="0.2"/>
    <row r="43257" s="197" customFormat="1" ht="12.75" x14ac:dyDescent="0.2"/>
    <row r="43258" s="197" customFormat="1" ht="12.75" x14ac:dyDescent="0.2"/>
    <row r="43259" s="197" customFormat="1" ht="12.75" x14ac:dyDescent="0.2"/>
    <row r="43260" s="197" customFormat="1" ht="12.75" x14ac:dyDescent="0.2"/>
    <row r="43261" s="197" customFormat="1" ht="12.75" x14ac:dyDescent="0.2"/>
    <row r="43262" s="197" customFormat="1" ht="12.75" x14ac:dyDescent="0.2"/>
    <row r="43263" s="197" customFormat="1" ht="12.75" x14ac:dyDescent="0.2"/>
    <row r="43264" s="197" customFormat="1" ht="12.75" x14ac:dyDescent="0.2"/>
    <row r="43265" s="197" customFormat="1" ht="12.75" x14ac:dyDescent="0.2"/>
    <row r="43266" s="197" customFormat="1" ht="12.75" x14ac:dyDescent="0.2"/>
    <row r="43267" s="197" customFormat="1" ht="12.75" x14ac:dyDescent="0.2"/>
    <row r="43268" s="197" customFormat="1" ht="12.75" x14ac:dyDescent="0.2"/>
    <row r="43269" s="197" customFormat="1" ht="12.75" x14ac:dyDescent="0.2"/>
    <row r="43270" s="197" customFormat="1" ht="12.75" x14ac:dyDescent="0.2"/>
    <row r="43271" s="197" customFormat="1" ht="12.75" x14ac:dyDescent="0.2"/>
    <row r="43272" s="197" customFormat="1" ht="12.75" x14ac:dyDescent="0.2"/>
    <row r="43273" s="197" customFormat="1" ht="12.75" x14ac:dyDescent="0.2"/>
    <row r="43274" s="197" customFormat="1" ht="12.75" x14ac:dyDescent="0.2"/>
    <row r="43275" s="197" customFormat="1" ht="12.75" x14ac:dyDescent="0.2"/>
    <row r="43276" s="197" customFormat="1" ht="12.75" x14ac:dyDescent="0.2"/>
    <row r="43277" s="197" customFormat="1" ht="12.75" x14ac:dyDescent="0.2"/>
    <row r="43278" s="197" customFormat="1" ht="12.75" x14ac:dyDescent="0.2"/>
    <row r="43279" s="197" customFormat="1" ht="12.75" x14ac:dyDescent="0.2"/>
    <row r="43280" s="197" customFormat="1" ht="12.75" x14ac:dyDescent="0.2"/>
    <row r="43281" s="197" customFormat="1" ht="12.75" x14ac:dyDescent="0.2"/>
    <row r="43282" s="197" customFormat="1" ht="12.75" x14ac:dyDescent="0.2"/>
    <row r="43283" s="197" customFormat="1" ht="12.75" x14ac:dyDescent="0.2"/>
    <row r="43284" s="197" customFormat="1" ht="12.75" x14ac:dyDescent="0.2"/>
    <row r="43285" s="197" customFormat="1" ht="12.75" x14ac:dyDescent="0.2"/>
    <row r="43286" s="197" customFormat="1" ht="12.75" x14ac:dyDescent="0.2"/>
    <row r="43287" s="197" customFormat="1" ht="12.75" x14ac:dyDescent="0.2"/>
    <row r="43288" s="197" customFormat="1" ht="12.75" x14ac:dyDescent="0.2"/>
    <row r="43289" s="197" customFormat="1" ht="12.75" x14ac:dyDescent="0.2"/>
    <row r="43290" s="197" customFormat="1" ht="12.75" x14ac:dyDescent="0.2"/>
    <row r="43291" s="197" customFormat="1" ht="12.75" x14ac:dyDescent="0.2"/>
    <row r="43292" s="197" customFormat="1" ht="12.75" x14ac:dyDescent="0.2"/>
    <row r="43293" s="197" customFormat="1" ht="12.75" x14ac:dyDescent="0.2"/>
    <row r="43294" s="197" customFormat="1" ht="12.75" x14ac:dyDescent="0.2"/>
    <row r="43295" s="197" customFormat="1" ht="12.75" x14ac:dyDescent="0.2"/>
    <row r="43296" s="197" customFormat="1" ht="12.75" x14ac:dyDescent="0.2"/>
    <row r="43297" s="197" customFormat="1" ht="12.75" x14ac:dyDescent="0.2"/>
    <row r="43298" s="197" customFormat="1" ht="12.75" x14ac:dyDescent="0.2"/>
    <row r="43299" s="197" customFormat="1" ht="12.75" x14ac:dyDescent="0.2"/>
    <row r="43300" s="197" customFormat="1" ht="12.75" x14ac:dyDescent="0.2"/>
    <row r="43301" s="197" customFormat="1" ht="12.75" x14ac:dyDescent="0.2"/>
    <row r="43302" s="197" customFormat="1" ht="12.75" x14ac:dyDescent="0.2"/>
    <row r="43303" s="197" customFormat="1" ht="12.75" x14ac:dyDescent="0.2"/>
    <row r="43304" s="197" customFormat="1" ht="12.75" x14ac:dyDescent="0.2"/>
    <row r="43305" s="197" customFormat="1" ht="12.75" x14ac:dyDescent="0.2"/>
    <row r="43306" s="197" customFormat="1" ht="12.75" x14ac:dyDescent="0.2"/>
    <row r="43307" s="197" customFormat="1" ht="12.75" x14ac:dyDescent="0.2"/>
    <row r="43308" s="197" customFormat="1" ht="12.75" x14ac:dyDescent="0.2"/>
    <row r="43309" s="197" customFormat="1" ht="12.75" x14ac:dyDescent="0.2"/>
    <row r="43310" s="197" customFormat="1" ht="12.75" x14ac:dyDescent="0.2"/>
    <row r="43311" s="197" customFormat="1" ht="12.75" x14ac:dyDescent="0.2"/>
    <row r="43312" s="197" customFormat="1" ht="12.75" x14ac:dyDescent="0.2"/>
    <row r="43313" s="197" customFormat="1" ht="12.75" x14ac:dyDescent="0.2"/>
    <row r="43314" s="197" customFormat="1" ht="12.75" x14ac:dyDescent="0.2"/>
    <row r="43315" s="197" customFormat="1" ht="12.75" x14ac:dyDescent="0.2"/>
    <row r="43316" s="197" customFormat="1" ht="12.75" x14ac:dyDescent="0.2"/>
    <row r="43317" s="197" customFormat="1" ht="12.75" x14ac:dyDescent="0.2"/>
    <row r="43318" s="197" customFormat="1" ht="12.75" x14ac:dyDescent="0.2"/>
    <row r="43319" s="197" customFormat="1" ht="12.75" x14ac:dyDescent="0.2"/>
    <row r="43320" s="197" customFormat="1" ht="12.75" x14ac:dyDescent="0.2"/>
    <row r="43321" s="197" customFormat="1" ht="12.75" x14ac:dyDescent="0.2"/>
    <row r="43322" s="197" customFormat="1" ht="12.75" x14ac:dyDescent="0.2"/>
    <row r="43323" s="197" customFormat="1" ht="12.75" x14ac:dyDescent="0.2"/>
    <row r="43324" s="197" customFormat="1" ht="12.75" x14ac:dyDescent="0.2"/>
    <row r="43325" s="197" customFormat="1" ht="12.75" x14ac:dyDescent="0.2"/>
    <row r="43326" s="197" customFormat="1" ht="12.75" x14ac:dyDescent="0.2"/>
    <row r="43327" s="197" customFormat="1" ht="12.75" x14ac:dyDescent="0.2"/>
    <row r="43328" s="197" customFormat="1" ht="12.75" x14ac:dyDescent="0.2"/>
    <row r="43329" s="197" customFormat="1" ht="12.75" x14ac:dyDescent="0.2"/>
    <row r="43330" s="197" customFormat="1" ht="12.75" x14ac:dyDescent="0.2"/>
    <row r="43331" s="197" customFormat="1" ht="12.75" x14ac:dyDescent="0.2"/>
    <row r="43332" s="197" customFormat="1" ht="12.75" x14ac:dyDescent="0.2"/>
    <row r="43333" s="197" customFormat="1" ht="12.75" x14ac:dyDescent="0.2"/>
    <row r="43334" s="197" customFormat="1" ht="12.75" x14ac:dyDescent="0.2"/>
    <row r="43335" s="197" customFormat="1" ht="12.75" x14ac:dyDescent="0.2"/>
    <row r="43336" s="197" customFormat="1" ht="12.75" x14ac:dyDescent="0.2"/>
    <row r="43337" s="197" customFormat="1" ht="12.75" x14ac:dyDescent="0.2"/>
    <row r="43338" s="197" customFormat="1" ht="12.75" x14ac:dyDescent="0.2"/>
    <row r="43339" s="197" customFormat="1" ht="12.75" x14ac:dyDescent="0.2"/>
    <row r="43340" s="197" customFormat="1" ht="12.75" x14ac:dyDescent="0.2"/>
    <row r="43341" s="197" customFormat="1" ht="12.75" x14ac:dyDescent="0.2"/>
    <row r="43342" s="197" customFormat="1" ht="12.75" x14ac:dyDescent="0.2"/>
    <row r="43343" s="197" customFormat="1" ht="12.75" x14ac:dyDescent="0.2"/>
    <row r="43344" s="197" customFormat="1" ht="12.75" x14ac:dyDescent="0.2"/>
    <row r="43345" s="197" customFormat="1" ht="12.75" x14ac:dyDescent="0.2"/>
    <row r="43346" s="197" customFormat="1" ht="12.75" x14ac:dyDescent="0.2"/>
    <row r="43347" s="197" customFormat="1" ht="12.75" x14ac:dyDescent="0.2"/>
    <row r="43348" s="197" customFormat="1" ht="12.75" x14ac:dyDescent="0.2"/>
    <row r="43349" s="197" customFormat="1" ht="12.75" x14ac:dyDescent="0.2"/>
    <row r="43350" s="197" customFormat="1" ht="12.75" x14ac:dyDescent="0.2"/>
    <row r="43351" s="197" customFormat="1" ht="12.75" x14ac:dyDescent="0.2"/>
    <row r="43352" s="197" customFormat="1" ht="12.75" x14ac:dyDescent="0.2"/>
    <row r="43353" s="197" customFormat="1" ht="12.75" x14ac:dyDescent="0.2"/>
    <row r="43354" s="197" customFormat="1" ht="12.75" x14ac:dyDescent="0.2"/>
    <row r="43355" s="197" customFormat="1" ht="12.75" x14ac:dyDescent="0.2"/>
    <row r="43356" s="197" customFormat="1" ht="12.75" x14ac:dyDescent="0.2"/>
    <row r="43357" s="197" customFormat="1" ht="12.75" x14ac:dyDescent="0.2"/>
    <row r="43358" s="197" customFormat="1" ht="12.75" x14ac:dyDescent="0.2"/>
    <row r="43359" s="197" customFormat="1" ht="12.75" x14ac:dyDescent="0.2"/>
    <row r="43360" s="197" customFormat="1" ht="12.75" x14ac:dyDescent="0.2"/>
    <row r="43361" s="197" customFormat="1" ht="12.75" x14ac:dyDescent="0.2"/>
    <row r="43362" s="197" customFormat="1" ht="12.75" x14ac:dyDescent="0.2"/>
    <row r="43363" s="197" customFormat="1" ht="12.75" x14ac:dyDescent="0.2"/>
    <row r="43364" s="197" customFormat="1" ht="12.75" x14ac:dyDescent="0.2"/>
    <row r="43365" s="197" customFormat="1" ht="12.75" x14ac:dyDescent="0.2"/>
    <row r="43366" s="197" customFormat="1" ht="12.75" x14ac:dyDescent="0.2"/>
    <row r="43367" s="197" customFormat="1" ht="12.75" x14ac:dyDescent="0.2"/>
    <row r="43368" s="197" customFormat="1" ht="12.75" x14ac:dyDescent="0.2"/>
    <row r="43369" s="197" customFormat="1" ht="12.75" x14ac:dyDescent="0.2"/>
    <row r="43370" s="197" customFormat="1" ht="12.75" x14ac:dyDescent="0.2"/>
    <row r="43371" s="197" customFormat="1" ht="12.75" x14ac:dyDescent="0.2"/>
    <row r="43372" s="197" customFormat="1" ht="12.75" x14ac:dyDescent="0.2"/>
    <row r="43373" s="197" customFormat="1" ht="12.75" x14ac:dyDescent="0.2"/>
    <row r="43374" s="197" customFormat="1" ht="12.75" x14ac:dyDescent="0.2"/>
    <row r="43375" s="197" customFormat="1" ht="12.75" x14ac:dyDescent="0.2"/>
    <row r="43376" s="197" customFormat="1" ht="12.75" x14ac:dyDescent="0.2"/>
    <row r="43377" s="197" customFormat="1" ht="12.75" x14ac:dyDescent="0.2"/>
    <row r="43378" s="197" customFormat="1" ht="12.75" x14ac:dyDescent="0.2"/>
    <row r="43379" s="197" customFormat="1" ht="12.75" x14ac:dyDescent="0.2"/>
    <row r="43380" s="197" customFormat="1" ht="12.75" x14ac:dyDescent="0.2"/>
    <row r="43381" s="197" customFormat="1" ht="12.75" x14ac:dyDescent="0.2"/>
    <row r="43382" s="197" customFormat="1" ht="12.75" x14ac:dyDescent="0.2"/>
    <row r="43383" s="197" customFormat="1" ht="12.75" x14ac:dyDescent="0.2"/>
    <row r="43384" s="197" customFormat="1" ht="12.75" x14ac:dyDescent="0.2"/>
    <row r="43385" s="197" customFormat="1" ht="12.75" x14ac:dyDescent="0.2"/>
    <row r="43386" s="197" customFormat="1" ht="12.75" x14ac:dyDescent="0.2"/>
    <row r="43387" s="197" customFormat="1" ht="12.75" x14ac:dyDescent="0.2"/>
    <row r="43388" s="197" customFormat="1" ht="12.75" x14ac:dyDescent="0.2"/>
    <row r="43389" s="197" customFormat="1" ht="12.75" x14ac:dyDescent="0.2"/>
    <row r="43390" s="197" customFormat="1" ht="12.75" x14ac:dyDescent="0.2"/>
    <row r="43391" s="197" customFormat="1" ht="12.75" x14ac:dyDescent="0.2"/>
    <row r="43392" s="197" customFormat="1" ht="12.75" x14ac:dyDescent="0.2"/>
    <row r="43393" s="197" customFormat="1" ht="12.75" x14ac:dyDescent="0.2"/>
    <row r="43394" s="197" customFormat="1" ht="12.75" x14ac:dyDescent="0.2"/>
    <row r="43395" s="197" customFormat="1" ht="12.75" x14ac:dyDescent="0.2"/>
    <row r="43396" s="197" customFormat="1" ht="12.75" x14ac:dyDescent="0.2"/>
    <row r="43397" s="197" customFormat="1" ht="12.75" x14ac:dyDescent="0.2"/>
    <row r="43398" s="197" customFormat="1" ht="12.75" x14ac:dyDescent="0.2"/>
    <row r="43399" s="197" customFormat="1" ht="12.75" x14ac:dyDescent="0.2"/>
    <row r="43400" s="197" customFormat="1" ht="12.75" x14ac:dyDescent="0.2"/>
    <row r="43401" s="197" customFormat="1" ht="12.75" x14ac:dyDescent="0.2"/>
    <row r="43402" s="197" customFormat="1" ht="12.75" x14ac:dyDescent="0.2"/>
    <row r="43403" s="197" customFormat="1" ht="12.75" x14ac:dyDescent="0.2"/>
    <row r="43404" s="197" customFormat="1" ht="12.75" x14ac:dyDescent="0.2"/>
    <row r="43405" s="197" customFormat="1" ht="12.75" x14ac:dyDescent="0.2"/>
    <row r="43406" s="197" customFormat="1" ht="12.75" x14ac:dyDescent="0.2"/>
    <row r="43407" s="197" customFormat="1" ht="12.75" x14ac:dyDescent="0.2"/>
    <row r="43408" s="197" customFormat="1" ht="12.75" x14ac:dyDescent="0.2"/>
    <row r="43409" s="197" customFormat="1" ht="12.75" x14ac:dyDescent="0.2"/>
    <row r="43410" s="197" customFormat="1" ht="12.75" x14ac:dyDescent="0.2"/>
    <row r="43411" s="197" customFormat="1" ht="12.75" x14ac:dyDescent="0.2"/>
    <row r="43412" s="197" customFormat="1" ht="12.75" x14ac:dyDescent="0.2"/>
    <row r="43413" s="197" customFormat="1" ht="12.75" x14ac:dyDescent="0.2"/>
    <row r="43414" s="197" customFormat="1" ht="12.75" x14ac:dyDescent="0.2"/>
    <row r="43415" s="197" customFormat="1" ht="12.75" x14ac:dyDescent="0.2"/>
    <row r="43416" s="197" customFormat="1" ht="12.75" x14ac:dyDescent="0.2"/>
    <row r="43417" s="197" customFormat="1" ht="12.75" x14ac:dyDescent="0.2"/>
    <row r="43418" s="197" customFormat="1" ht="12.75" x14ac:dyDescent="0.2"/>
    <row r="43419" s="197" customFormat="1" ht="12.75" x14ac:dyDescent="0.2"/>
    <row r="43420" s="197" customFormat="1" ht="12.75" x14ac:dyDescent="0.2"/>
    <row r="43421" s="197" customFormat="1" ht="12.75" x14ac:dyDescent="0.2"/>
    <row r="43422" s="197" customFormat="1" ht="12.75" x14ac:dyDescent="0.2"/>
    <row r="43423" s="197" customFormat="1" ht="12.75" x14ac:dyDescent="0.2"/>
    <row r="43424" s="197" customFormat="1" ht="12.75" x14ac:dyDescent="0.2"/>
    <row r="43425" s="197" customFormat="1" ht="12.75" x14ac:dyDescent="0.2"/>
    <row r="43426" s="197" customFormat="1" ht="12.75" x14ac:dyDescent="0.2"/>
    <row r="43427" s="197" customFormat="1" ht="12.75" x14ac:dyDescent="0.2"/>
    <row r="43428" s="197" customFormat="1" ht="12.75" x14ac:dyDescent="0.2"/>
    <row r="43429" s="197" customFormat="1" ht="12.75" x14ac:dyDescent="0.2"/>
    <row r="43430" s="197" customFormat="1" ht="12.75" x14ac:dyDescent="0.2"/>
    <row r="43431" s="197" customFormat="1" ht="12.75" x14ac:dyDescent="0.2"/>
    <row r="43432" s="197" customFormat="1" ht="12.75" x14ac:dyDescent="0.2"/>
    <row r="43433" s="197" customFormat="1" ht="12.75" x14ac:dyDescent="0.2"/>
    <row r="43434" s="197" customFormat="1" ht="12.75" x14ac:dyDescent="0.2"/>
    <row r="43435" s="197" customFormat="1" ht="12.75" x14ac:dyDescent="0.2"/>
    <row r="43436" s="197" customFormat="1" ht="12.75" x14ac:dyDescent="0.2"/>
    <row r="43437" s="197" customFormat="1" ht="12.75" x14ac:dyDescent="0.2"/>
    <row r="43438" s="197" customFormat="1" ht="12.75" x14ac:dyDescent="0.2"/>
    <row r="43439" s="197" customFormat="1" ht="12.75" x14ac:dyDescent="0.2"/>
    <row r="43440" s="197" customFormat="1" ht="12.75" x14ac:dyDescent="0.2"/>
    <row r="43441" s="197" customFormat="1" ht="12.75" x14ac:dyDescent="0.2"/>
    <row r="43442" s="197" customFormat="1" ht="12.75" x14ac:dyDescent="0.2"/>
    <row r="43443" s="197" customFormat="1" ht="12.75" x14ac:dyDescent="0.2"/>
    <row r="43444" s="197" customFormat="1" ht="12.75" x14ac:dyDescent="0.2"/>
    <row r="43445" s="197" customFormat="1" ht="12.75" x14ac:dyDescent="0.2"/>
    <row r="43446" s="197" customFormat="1" ht="12.75" x14ac:dyDescent="0.2"/>
    <row r="43447" s="197" customFormat="1" ht="12.75" x14ac:dyDescent="0.2"/>
    <row r="43448" s="197" customFormat="1" ht="12.75" x14ac:dyDescent="0.2"/>
    <row r="43449" s="197" customFormat="1" ht="12.75" x14ac:dyDescent="0.2"/>
    <row r="43450" s="197" customFormat="1" ht="12.75" x14ac:dyDescent="0.2"/>
    <row r="43451" s="197" customFormat="1" ht="12.75" x14ac:dyDescent="0.2"/>
    <row r="43452" s="197" customFormat="1" ht="12.75" x14ac:dyDescent="0.2"/>
    <row r="43453" s="197" customFormat="1" ht="12.75" x14ac:dyDescent="0.2"/>
    <row r="43454" s="197" customFormat="1" ht="12.75" x14ac:dyDescent="0.2"/>
    <row r="43455" s="197" customFormat="1" ht="12.75" x14ac:dyDescent="0.2"/>
    <row r="43456" s="197" customFormat="1" ht="12.75" x14ac:dyDescent="0.2"/>
    <row r="43457" s="197" customFormat="1" ht="12.75" x14ac:dyDescent="0.2"/>
    <row r="43458" s="197" customFormat="1" ht="12.75" x14ac:dyDescent="0.2"/>
    <row r="43459" s="197" customFormat="1" ht="12.75" x14ac:dyDescent="0.2"/>
    <row r="43460" s="197" customFormat="1" ht="12.75" x14ac:dyDescent="0.2"/>
    <row r="43461" s="197" customFormat="1" ht="12.75" x14ac:dyDescent="0.2"/>
    <row r="43462" s="197" customFormat="1" ht="12.75" x14ac:dyDescent="0.2"/>
    <row r="43463" s="197" customFormat="1" ht="12.75" x14ac:dyDescent="0.2"/>
    <row r="43464" s="197" customFormat="1" ht="12.75" x14ac:dyDescent="0.2"/>
    <row r="43465" s="197" customFormat="1" ht="12.75" x14ac:dyDescent="0.2"/>
    <row r="43466" s="197" customFormat="1" ht="12.75" x14ac:dyDescent="0.2"/>
    <row r="43467" s="197" customFormat="1" ht="12.75" x14ac:dyDescent="0.2"/>
    <row r="43468" s="197" customFormat="1" ht="12.75" x14ac:dyDescent="0.2"/>
    <row r="43469" s="197" customFormat="1" ht="12.75" x14ac:dyDescent="0.2"/>
    <row r="43470" s="197" customFormat="1" ht="12.75" x14ac:dyDescent="0.2"/>
    <row r="43471" s="197" customFormat="1" ht="12.75" x14ac:dyDescent="0.2"/>
    <row r="43472" s="197" customFormat="1" ht="12.75" x14ac:dyDescent="0.2"/>
    <row r="43473" s="197" customFormat="1" ht="12.75" x14ac:dyDescent="0.2"/>
    <row r="43474" s="197" customFormat="1" ht="12.75" x14ac:dyDescent="0.2"/>
    <row r="43475" s="197" customFormat="1" ht="12.75" x14ac:dyDescent="0.2"/>
    <row r="43476" s="197" customFormat="1" ht="12.75" x14ac:dyDescent="0.2"/>
    <row r="43477" s="197" customFormat="1" ht="12.75" x14ac:dyDescent="0.2"/>
    <row r="43478" s="197" customFormat="1" ht="12.75" x14ac:dyDescent="0.2"/>
    <row r="43479" s="197" customFormat="1" ht="12.75" x14ac:dyDescent="0.2"/>
    <row r="43480" s="197" customFormat="1" ht="12.75" x14ac:dyDescent="0.2"/>
    <row r="43481" s="197" customFormat="1" ht="12.75" x14ac:dyDescent="0.2"/>
    <row r="43482" s="197" customFormat="1" ht="12.75" x14ac:dyDescent="0.2"/>
    <row r="43483" s="197" customFormat="1" ht="12.75" x14ac:dyDescent="0.2"/>
    <row r="43484" s="197" customFormat="1" ht="12.75" x14ac:dyDescent="0.2"/>
    <row r="43485" s="197" customFormat="1" ht="12.75" x14ac:dyDescent="0.2"/>
    <row r="43486" s="197" customFormat="1" ht="12.75" x14ac:dyDescent="0.2"/>
    <row r="43487" s="197" customFormat="1" ht="12.75" x14ac:dyDescent="0.2"/>
    <row r="43488" s="197" customFormat="1" ht="12.75" x14ac:dyDescent="0.2"/>
    <row r="43489" s="197" customFormat="1" ht="12.75" x14ac:dyDescent="0.2"/>
    <row r="43490" s="197" customFormat="1" ht="12.75" x14ac:dyDescent="0.2"/>
    <row r="43491" s="197" customFormat="1" ht="12.75" x14ac:dyDescent="0.2"/>
    <row r="43492" s="197" customFormat="1" ht="12.75" x14ac:dyDescent="0.2"/>
    <row r="43493" s="197" customFormat="1" ht="12.75" x14ac:dyDescent="0.2"/>
    <row r="43494" s="197" customFormat="1" ht="12.75" x14ac:dyDescent="0.2"/>
    <row r="43495" s="197" customFormat="1" ht="12.75" x14ac:dyDescent="0.2"/>
    <row r="43496" s="197" customFormat="1" ht="12.75" x14ac:dyDescent="0.2"/>
    <row r="43497" s="197" customFormat="1" ht="12.75" x14ac:dyDescent="0.2"/>
    <row r="43498" s="197" customFormat="1" ht="12.75" x14ac:dyDescent="0.2"/>
    <row r="43499" s="197" customFormat="1" ht="12.75" x14ac:dyDescent="0.2"/>
    <row r="43500" s="197" customFormat="1" ht="12.75" x14ac:dyDescent="0.2"/>
    <row r="43501" s="197" customFormat="1" ht="12.75" x14ac:dyDescent="0.2"/>
    <row r="43502" s="197" customFormat="1" ht="12.75" x14ac:dyDescent="0.2"/>
    <row r="43503" s="197" customFormat="1" ht="12.75" x14ac:dyDescent="0.2"/>
    <row r="43504" s="197" customFormat="1" ht="12.75" x14ac:dyDescent="0.2"/>
    <row r="43505" s="197" customFormat="1" ht="12.75" x14ac:dyDescent="0.2"/>
    <row r="43506" s="197" customFormat="1" ht="12.75" x14ac:dyDescent="0.2"/>
    <row r="43507" s="197" customFormat="1" ht="12.75" x14ac:dyDescent="0.2"/>
    <row r="43508" s="197" customFormat="1" ht="12.75" x14ac:dyDescent="0.2"/>
    <row r="43509" s="197" customFormat="1" ht="12.75" x14ac:dyDescent="0.2"/>
    <row r="43510" s="197" customFormat="1" ht="12.75" x14ac:dyDescent="0.2"/>
    <row r="43511" s="197" customFormat="1" ht="12.75" x14ac:dyDescent="0.2"/>
    <row r="43512" s="197" customFormat="1" ht="12.75" x14ac:dyDescent="0.2"/>
    <row r="43513" s="197" customFormat="1" ht="12.75" x14ac:dyDescent="0.2"/>
    <row r="43514" s="197" customFormat="1" ht="12.75" x14ac:dyDescent="0.2"/>
    <row r="43515" s="197" customFormat="1" ht="12.75" x14ac:dyDescent="0.2"/>
    <row r="43516" s="197" customFormat="1" ht="12.75" x14ac:dyDescent="0.2"/>
    <row r="43517" s="197" customFormat="1" ht="12.75" x14ac:dyDescent="0.2"/>
    <row r="43518" s="197" customFormat="1" ht="12.75" x14ac:dyDescent="0.2"/>
    <row r="43519" s="197" customFormat="1" ht="12.75" x14ac:dyDescent="0.2"/>
    <row r="43520" s="197" customFormat="1" ht="12.75" x14ac:dyDescent="0.2"/>
    <row r="43521" s="197" customFormat="1" ht="12.75" x14ac:dyDescent="0.2"/>
    <row r="43522" s="197" customFormat="1" ht="12.75" x14ac:dyDescent="0.2"/>
    <row r="43523" s="197" customFormat="1" ht="12.75" x14ac:dyDescent="0.2"/>
    <row r="43524" s="197" customFormat="1" ht="12.75" x14ac:dyDescent="0.2"/>
    <row r="43525" s="197" customFormat="1" ht="12.75" x14ac:dyDescent="0.2"/>
    <row r="43526" s="197" customFormat="1" ht="12.75" x14ac:dyDescent="0.2"/>
    <row r="43527" s="197" customFormat="1" ht="12.75" x14ac:dyDescent="0.2"/>
    <row r="43528" s="197" customFormat="1" ht="12.75" x14ac:dyDescent="0.2"/>
    <row r="43529" s="197" customFormat="1" ht="12.75" x14ac:dyDescent="0.2"/>
    <row r="43530" s="197" customFormat="1" ht="12.75" x14ac:dyDescent="0.2"/>
    <row r="43531" s="197" customFormat="1" ht="12.75" x14ac:dyDescent="0.2"/>
    <row r="43532" s="197" customFormat="1" ht="12.75" x14ac:dyDescent="0.2"/>
    <row r="43533" s="197" customFormat="1" ht="12.75" x14ac:dyDescent="0.2"/>
    <row r="43534" s="197" customFormat="1" ht="12.75" x14ac:dyDescent="0.2"/>
    <row r="43535" s="197" customFormat="1" ht="12.75" x14ac:dyDescent="0.2"/>
    <row r="43536" s="197" customFormat="1" ht="12.75" x14ac:dyDescent="0.2"/>
    <row r="43537" s="197" customFormat="1" ht="12.75" x14ac:dyDescent="0.2"/>
    <row r="43538" s="197" customFormat="1" ht="12.75" x14ac:dyDescent="0.2"/>
    <row r="43539" s="197" customFormat="1" ht="12.75" x14ac:dyDescent="0.2"/>
    <row r="43540" s="197" customFormat="1" ht="12.75" x14ac:dyDescent="0.2"/>
    <row r="43541" s="197" customFormat="1" ht="12.75" x14ac:dyDescent="0.2"/>
    <row r="43542" s="197" customFormat="1" ht="12.75" x14ac:dyDescent="0.2"/>
    <row r="43543" s="197" customFormat="1" ht="12.75" x14ac:dyDescent="0.2"/>
    <row r="43544" s="197" customFormat="1" ht="12.75" x14ac:dyDescent="0.2"/>
    <row r="43545" s="197" customFormat="1" ht="12.75" x14ac:dyDescent="0.2"/>
    <row r="43546" s="197" customFormat="1" ht="12.75" x14ac:dyDescent="0.2"/>
    <row r="43547" s="197" customFormat="1" ht="12.75" x14ac:dyDescent="0.2"/>
    <row r="43548" s="197" customFormat="1" ht="12.75" x14ac:dyDescent="0.2"/>
    <row r="43549" s="197" customFormat="1" ht="12.75" x14ac:dyDescent="0.2"/>
    <row r="43550" s="197" customFormat="1" ht="12.75" x14ac:dyDescent="0.2"/>
    <row r="43551" s="197" customFormat="1" ht="12.75" x14ac:dyDescent="0.2"/>
    <row r="43552" s="197" customFormat="1" ht="12.75" x14ac:dyDescent="0.2"/>
    <row r="43553" s="197" customFormat="1" ht="12.75" x14ac:dyDescent="0.2"/>
    <row r="43554" s="197" customFormat="1" ht="12.75" x14ac:dyDescent="0.2"/>
    <row r="43555" s="197" customFormat="1" ht="12.75" x14ac:dyDescent="0.2"/>
    <row r="43556" s="197" customFormat="1" ht="12.75" x14ac:dyDescent="0.2"/>
    <row r="43557" s="197" customFormat="1" ht="12.75" x14ac:dyDescent="0.2"/>
    <row r="43558" s="197" customFormat="1" ht="12.75" x14ac:dyDescent="0.2"/>
    <row r="43559" s="197" customFormat="1" ht="12.75" x14ac:dyDescent="0.2"/>
    <row r="43560" s="197" customFormat="1" ht="12.75" x14ac:dyDescent="0.2"/>
    <row r="43561" s="197" customFormat="1" ht="12.75" x14ac:dyDescent="0.2"/>
    <row r="43562" s="197" customFormat="1" ht="12.75" x14ac:dyDescent="0.2"/>
    <row r="43563" s="197" customFormat="1" ht="12.75" x14ac:dyDescent="0.2"/>
    <row r="43564" s="197" customFormat="1" ht="12.75" x14ac:dyDescent="0.2"/>
    <row r="43565" s="197" customFormat="1" ht="12.75" x14ac:dyDescent="0.2"/>
    <row r="43566" s="197" customFormat="1" ht="12.75" x14ac:dyDescent="0.2"/>
    <row r="43567" s="197" customFormat="1" ht="12.75" x14ac:dyDescent="0.2"/>
    <row r="43568" s="197" customFormat="1" ht="12.75" x14ac:dyDescent="0.2"/>
    <row r="43569" s="197" customFormat="1" ht="12.75" x14ac:dyDescent="0.2"/>
    <row r="43570" s="197" customFormat="1" ht="12.75" x14ac:dyDescent="0.2"/>
    <row r="43571" s="197" customFormat="1" ht="12.75" x14ac:dyDescent="0.2"/>
    <row r="43572" s="197" customFormat="1" ht="12.75" x14ac:dyDescent="0.2"/>
    <row r="43573" s="197" customFormat="1" ht="12.75" x14ac:dyDescent="0.2"/>
    <row r="43574" s="197" customFormat="1" ht="12.75" x14ac:dyDescent="0.2"/>
    <row r="43575" s="197" customFormat="1" ht="12.75" x14ac:dyDescent="0.2"/>
    <row r="43576" s="197" customFormat="1" ht="12.75" x14ac:dyDescent="0.2"/>
    <row r="43577" s="197" customFormat="1" ht="12.75" x14ac:dyDescent="0.2"/>
    <row r="43578" s="197" customFormat="1" ht="12.75" x14ac:dyDescent="0.2"/>
    <row r="43579" s="197" customFormat="1" ht="12.75" x14ac:dyDescent="0.2"/>
    <row r="43580" s="197" customFormat="1" ht="12.75" x14ac:dyDescent="0.2"/>
    <row r="43581" s="197" customFormat="1" ht="12.75" x14ac:dyDescent="0.2"/>
    <row r="43582" s="197" customFormat="1" ht="12.75" x14ac:dyDescent="0.2"/>
    <row r="43583" s="197" customFormat="1" ht="12.75" x14ac:dyDescent="0.2"/>
    <row r="43584" s="197" customFormat="1" ht="12.75" x14ac:dyDescent="0.2"/>
    <row r="43585" s="197" customFormat="1" ht="12.75" x14ac:dyDescent="0.2"/>
    <row r="43586" s="197" customFormat="1" ht="12.75" x14ac:dyDescent="0.2"/>
    <row r="43587" s="197" customFormat="1" ht="12.75" x14ac:dyDescent="0.2"/>
    <row r="43588" s="197" customFormat="1" ht="12.75" x14ac:dyDescent="0.2"/>
    <row r="43589" s="197" customFormat="1" ht="12.75" x14ac:dyDescent="0.2"/>
    <row r="43590" s="197" customFormat="1" ht="12.75" x14ac:dyDescent="0.2"/>
    <row r="43591" s="197" customFormat="1" ht="12.75" x14ac:dyDescent="0.2"/>
    <row r="43592" s="197" customFormat="1" ht="12.75" x14ac:dyDescent="0.2"/>
    <row r="43593" s="197" customFormat="1" ht="12.75" x14ac:dyDescent="0.2"/>
    <row r="43594" s="197" customFormat="1" ht="12.75" x14ac:dyDescent="0.2"/>
    <row r="43595" s="197" customFormat="1" ht="12.75" x14ac:dyDescent="0.2"/>
    <row r="43596" s="197" customFormat="1" ht="12.75" x14ac:dyDescent="0.2"/>
    <row r="43597" s="197" customFormat="1" ht="12.75" x14ac:dyDescent="0.2"/>
    <row r="43598" s="197" customFormat="1" ht="12.75" x14ac:dyDescent="0.2"/>
    <row r="43599" s="197" customFormat="1" ht="12.75" x14ac:dyDescent="0.2"/>
    <row r="43600" s="197" customFormat="1" ht="12.75" x14ac:dyDescent="0.2"/>
    <row r="43601" s="197" customFormat="1" ht="12.75" x14ac:dyDescent="0.2"/>
    <row r="43602" s="197" customFormat="1" ht="12.75" x14ac:dyDescent="0.2"/>
    <row r="43603" s="197" customFormat="1" ht="12.75" x14ac:dyDescent="0.2"/>
    <row r="43604" s="197" customFormat="1" ht="12.75" x14ac:dyDescent="0.2"/>
    <row r="43605" s="197" customFormat="1" ht="12.75" x14ac:dyDescent="0.2"/>
    <row r="43606" s="197" customFormat="1" ht="12.75" x14ac:dyDescent="0.2"/>
    <row r="43607" s="197" customFormat="1" ht="12.75" x14ac:dyDescent="0.2"/>
    <row r="43608" s="197" customFormat="1" ht="12.75" x14ac:dyDescent="0.2"/>
    <row r="43609" s="197" customFormat="1" ht="12.75" x14ac:dyDescent="0.2"/>
    <row r="43610" s="197" customFormat="1" ht="12.75" x14ac:dyDescent="0.2"/>
    <row r="43611" s="197" customFormat="1" ht="12.75" x14ac:dyDescent="0.2"/>
    <row r="43612" s="197" customFormat="1" ht="12.75" x14ac:dyDescent="0.2"/>
    <row r="43613" s="197" customFormat="1" ht="12.75" x14ac:dyDescent="0.2"/>
    <row r="43614" s="197" customFormat="1" ht="12.75" x14ac:dyDescent="0.2"/>
    <row r="43615" s="197" customFormat="1" ht="12.75" x14ac:dyDescent="0.2"/>
    <row r="43616" s="197" customFormat="1" ht="12.75" x14ac:dyDescent="0.2"/>
    <row r="43617" s="197" customFormat="1" ht="12.75" x14ac:dyDescent="0.2"/>
    <row r="43618" s="197" customFormat="1" ht="12.75" x14ac:dyDescent="0.2"/>
    <row r="43619" s="197" customFormat="1" ht="12.75" x14ac:dyDescent="0.2"/>
    <row r="43620" s="197" customFormat="1" ht="12.75" x14ac:dyDescent="0.2"/>
    <row r="43621" s="197" customFormat="1" ht="12.75" x14ac:dyDescent="0.2"/>
    <row r="43622" s="197" customFormat="1" ht="12.75" x14ac:dyDescent="0.2"/>
    <row r="43623" s="197" customFormat="1" ht="12.75" x14ac:dyDescent="0.2"/>
    <row r="43624" s="197" customFormat="1" ht="12.75" x14ac:dyDescent="0.2"/>
    <row r="43625" s="197" customFormat="1" ht="12.75" x14ac:dyDescent="0.2"/>
    <row r="43626" s="197" customFormat="1" ht="12.75" x14ac:dyDescent="0.2"/>
    <row r="43627" s="197" customFormat="1" ht="12.75" x14ac:dyDescent="0.2"/>
    <row r="43628" s="197" customFormat="1" ht="12.75" x14ac:dyDescent="0.2"/>
    <row r="43629" s="197" customFormat="1" ht="12.75" x14ac:dyDescent="0.2"/>
    <row r="43630" s="197" customFormat="1" ht="12.75" x14ac:dyDescent="0.2"/>
    <row r="43631" s="197" customFormat="1" ht="12.75" x14ac:dyDescent="0.2"/>
    <row r="43632" s="197" customFormat="1" ht="12.75" x14ac:dyDescent="0.2"/>
    <row r="43633" s="197" customFormat="1" ht="12.75" x14ac:dyDescent="0.2"/>
    <row r="43634" s="197" customFormat="1" ht="12.75" x14ac:dyDescent="0.2"/>
    <row r="43635" s="197" customFormat="1" ht="12.75" x14ac:dyDescent="0.2"/>
    <row r="43636" s="197" customFormat="1" ht="12.75" x14ac:dyDescent="0.2"/>
    <row r="43637" s="197" customFormat="1" ht="12.75" x14ac:dyDescent="0.2"/>
    <row r="43638" s="197" customFormat="1" ht="12.75" x14ac:dyDescent="0.2"/>
    <row r="43639" s="197" customFormat="1" ht="12.75" x14ac:dyDescent="0.2"/>
    <row r="43640" s="197" customFormat="1" ht="12.75" x14ac:dyDescent="0.2"/>
    <row r="43641" s="197" customFormat="1" ht="12.75" x14ac:dyDescent="0.2"/>
    <row r="43642" s="197" customFormat="1" ht="12.75" x14ac:dyDescent="0.2"/>
    <row r="43643" s="197" customFormat="1" ht="12.75" x14ac:dyDescent="0.2"/>
    <row r="43644" s="197" customFormat="1" ht="12.75" x14ac:dyDescent="0.2"/>
    <row r="43645" s="197" customFormat="1" ht="12.75" x14ac:dyDescent="0.2"/>
    <row r="43646" s="197" customFormat="1" ht="12.75" x14ac:dyDescent="0.2"/>
    <row r="43647" s="197" customFormat="1" ht="12.75" x14ac:dyDescent="0.2"/>
    <row r="43648" s="197" customFormat="1" ht="12.75" x14ac:dyDescent="0.2"/>
    <row r="43649" s="197" customFormat="1" ht="12.75" x14ac:dyDescent="0.2"/>
    <row r="43650" s="197" customFormat="1" ht="12.75" x14ac:dyDescent="0.2"/>
    <row r="43651" s="197" customFormat="1" ht="12.75" x14ac:dyDescent="0.2"/>
    <row r="43652" s="197" customFormat="1" ht="12.75" x14ac:dyDescent="0.2"/>
    <row r="43653" s="197" customFormat="1" ht="12.75" x14ac:dyDescent="0.2"/>
    <row r="43654" s="197" customFormat="1" ht="12.75" x14ac:dyDescent="0.2"/>
    <row r="43655" s="197" customFormat="1" ht="12.75" x14ac:dyDescent="0.2"/>
    <row r="43656" s="197" customFormat="1" ht="12.75" x14ac:dyDescent="0.2"/>
    <row r="43657" s="197" customFormat="1" ht="12.75" x14ac:dyDescent="0.2"/>
    <row r="43658" s="197" customFormat="1" ht="12.75" x14ac:dyDescent="0.2"/>
    <row r="43659" s="197" customFormat="1" ht="12.75" x14ac:dyDescent="0.2"/>
    <row r="43660" s="197" customFormat="1" ht="12.75" x14ac:dyDescent="0.2"/>
    <row r="43661" s="197" customFormat="1" ht="12.75" x14ac:dyDescent="0.2"/>
    <row r="43662" s="197" customFormat="1" ht="12.75" x14ac:dyDescent="0.2"/>
    <row r="43663" s="197" customFormat="1" ht="12.75" x14ac:dyDescent="0.2"/>
    <row r="43664" s="197" customFormat="1" ht="12.75" x14ac:dyDescent="0.2"/>
    <row r="43665" s="197" customFormat="1" ht="12.75" x14ac:dyDescent="0.2"/>
    <row r="43666" s="197" customFormat="1" ht="12.75" x14ac:dyDescent="0.2"/>
    <row r="43667" s="197" customFormat="1" ht="12.75" x14ac:dyDescent="0.2"/>
    <row r="43668" s="197" customFormat="1" ht="12.75" x14ac:dyDescent="0.2"/>
    <row r="43669" s="197" customFormat="1" ht="12.75" x14ac:dyDescent="0.2"/>
    <row r="43670" s="197" customFormat="1" ht="12.75" x14ac:dyDescent="0.2"/>
    <row r="43671" s="197" customFormat="1" ht="12.75" x14ac:dyDescent="0.2"/>
    <row r="43672" s="197" customFormat="1" ht="12.75" x14ac:dyDescent="0.2"/>
    <row r="43673" s="197" customFormat="1" ht="12.75" x14ac:dyDescent="0.2"/>
    <row r="43674" s="197" customFormat="1" ht="12.75" x14ac:dyDescent="0.2"/>
    <row r="43675" s="197" customFormat="1" ht="12.75" x14ac:dyDescent="0.2"/>
    <row r="43676" s="197" customFormat="1" ht="12.75" x14ac:dyDescent="0.2"/>
    <row r="43677" s="197" customFormat="1" ht="12.75" x14ac:dyDescent="0.2"/>
    <row r="43678" s="197" customFormat="1" ht="12.75" x14ac:dyDescent="0.2"/>
    <row r="43679" s="197" customFormat="1" ht="12.75" x14ac:dyDescent="0.2"/>
    <row r="43680" s="197" customFormat="1" ht="12.75" x14ac:dyDescent="0.2"/>
    <row r="43681" s="197" customFormat="1" ht="12.75" x14ac:dyDescent="0.2"/>
    <row r="43682" s="197" customFormat="1" ht="12.75" x14ac:dyDescent="0.2"/>
    <row r="43683" s="197" customFormat="1" ht="12.75" x14ac:dyDescent="0.2"/>
    <row r="43684" s="197" customFormat="1" ht="12.75" x14ac:dyDescent="0.2"/>
    <row r="43685" s="197" customFormat="1" ht="12.75" x14ac:dyDescent="0.2"/>
    <row r="43686" s="197" customFormat="1" ht="12.75" x14ac:dyDescent="0.2"/>
    <row r="43687" s="197" customFormat="1" ht="12.75" x14ac:dyDescent="0.2"/>
    <row r="43688" s="197" customFormat="1" ht="12.75" x14ac:dyDescent="0.2"/>
    <row r="43689" s="197" customFormat="1" ht="12.75" x14ac:dyDescent="0.2"/>
    <row r="43690" s="197" customFormat="1" ht="12.75" x14ac:dyDescent="0.2"/>
    <row r="43691" s="197" customFormat="1" ht="12.75" x14ac:dyDescent="0.2"/>
    <row r="43692" s="197" customFormat="1" ht="12.75" x14ac:dyDescent="0.2"/>
    <row r="43693" s="197" customFormat="1" ht="12.75" x14ac:dyDescent="0.2"/>
    <row r="43694" s="197" customFormat="1" ht="12.75" x14ac:dyDescent="0.2"/>
    <row r="43695" s="197" customFormat="1" ht="12.75" x14ac:dyDescent="0.2"/>
    <row r="43696" s="197" customFormat="1" ht="12.75" x14ac:dyDescent="0.2"/>
    <row r="43697" s="197" customFormat="1" ht="12.75" x14ac:dyDescent="0.2"/>
    <row r="43698" s="197" customFormat="1" ht="12.75" x14ac:dyDescent="0.2"/>
    <row r="43699" s="197" customFormat="1" ht="12.75" x14ac:dyDescent="0.2"/>
    <row r="43700" s="197" customFormat="1" ht="12.75" x14ac:dyDescent="0.2"/>
    <row r="43701" s="197" customFormat="1" ht="12.75" x14ac:dyDescent="0.2"/>
    <row r="43702" s="197" customFormat="1" ht="12.75" x14ac:dyDescent="0.2"/>
    <row r="43703" s="197" customFormat="1" ht="12.75" x14ac:dyDescent="0.2"/>
    <row r="43704" s="197" customFormat="1" ht="12.75" x14ac:dyDescent="0.2"/>
    <row r="43705" s="197" customFormat="1" ht="12.75" x14ac:dyDescent="0.2"/>
    <row r="43706" s="197" customFormat="1" ht="12.75" x14ac:dyDescent="0.2"/>
    <row r="43707" s="197" customFormat="1" ht="12.75" x14ac:dyDescent="0.2"/>
    <row r="43708" s="197" customFormat="1" ht="12.75" x14ac:dyDescent="0.2"/>
    <row r="43709" s="197" customFormat="1" ht="12.75" x14ac:dyDescent="0.2"/>
    <row r="43710" s="197" customFormat="1" ht="12.75" x14ac:dyDescent="0.2"/>
    <row r="43711" s="197" customFormat="1" ht="12.75" x14ac:dyDescent="0.2"/>
    <row r="43712" s="197" customFormat="1" ht="12.75" x14ac:dyDescent="0.2"/>
    <row r="43713" s="197" customFormat="1" ht="12.75" x14ac:dyDescent="0.2"/>
    <row r="43714" s="197" customFormat="1" ht="12.75" x14ac:dyDescent="0.2"/>
    <row r="43715" s="197" customFormat="1" ht="12.75" x14ac:dyDescent="0.2"/>
    <row r="43716" s="197" customFormat="1" ht="12.75" x14ac:dyDescent="0.2"/>
    <row r="43717" s="197" customFormat="1" ht="12.75" x14ac:dyDescent="0.2"/>
    <row r="43718" s="197" customFormat="1" ht="12.75" x14ac:dyDescent="0.2"/>
    <row r="43719" s="197" customFormat="1" ht="12.75" x14ac:dyDescent="0.2"/>
    <row r="43720" s="197" customFormat="1" ht="12.75" x14ac:dyDescent="0.2"/>
    <row r="43721" s="197" customFormat="1" ht="12.75" x14ac:dyDescent="0.2"/>
    <row r="43722" s="197" customFormat="1" ht="12.75" x14ac:dyDescent="0.2"/>
    <row r="43723" s="197" customFormat="1" ht="12.75" x14ac:dyDescent="0.2"/>
    <row r="43724" s="197" customFormat="1" ht="12.75" x14ac:dyDescent="0.2"/>
    <row r="43725" s="197" customFormat="1" ht="12.75" x14ac:dyDescent="0.2"/>
    <row r="43726" s="197" customFormat="1" ht="12.75" x14ac:dyDescent="0.2"/>
    <row r="43727" s="197" customFormat="1" ht="12.75" x14ac:dyDescent="0.2"/>
    <row r="43728" s="197" customFormat="1" ht="12.75" x14ac:dyDescent="0.2"/>
    <row r="43729" s="197" customFormat="1" ht="12.75" x14ac:dyDescent="0.2"/>
    <row r="43730" s="197" customFormat="1" ht="12.75" x14ac:dyDescent="0.2"/>
    <row r="43731" s="197" customFormat="1" ht="12.75" x14ac:dyDescent="0.2"/>
    <row r="43732" s="197" customFormat="1" ht="12.75" x14ac:dyDescent="0.2"/>
    <row r="43733" s="197" customFormat="1" ht="12.75" x14ac:dyDescent="0.2"/>
    <row r="43734" s="197" customFormat="1" ht="12.75" x14ac:dyDescent="0.2"/>
    <row r="43735" s="197" customFormat="1" ht="12.75" x14ac:dyDescent="0.2"/>
    <row r="43736" s="197" customFormat="1" ht="12.75" x14ac:dyDescent="0.2"/>
    <row r="43737" s="197" customFormat="1" ht="12.75" x14ac:dyDescent="0.2"/>
    <row r="43738" s="197" customFormat="1" ht="12.75" x14ac:dyDescent="0.2"/>
    <row r="43739" s="197" customFormat="1" ht="12.75" x14ac:dyDescent="0.2"/>
    <row r="43740" s="197" customFormat="1" ht="12.75" x14ac:dyDescent="0.2"/>
    <row r="43741" s="197" customFormat="1" ht="12.75" x14ac:dyDescent="0.2"/>
    <row r="43742" s="197" customFormat="1" ht="12.75" x14ac:dyDescent="0.2"/>
    <row r="43743" s="197" customFormat="1" ht="12.75" x14ac:dyDescent="0.2"/>
    <row r="43744" s="197" customFormat="1" ht="12.75" x14ac:dyDescent="0.2"/>
    <row r="43745" s="197" customFormat="1" ht="12.75" x14ac:dyDescent="0.2"/>
    <row r="43746" s="197" customFormat="1" ht="12.75" x14ac:dyDescent="0.2"/>
    <row r="43747" s="197" customFormat="1" ht="12.75" x14ac:dyDescent="0.2"/>
    <row r="43748" s="197" customFormat="1" ht="12.75" x14ac:dyDescent="0.2"/>
    <row r="43749" s="197" customFormat="1" ht="12.75" x14ac:dyDescent="0.2"/>
    <row r="43750" s="197" customFormat="1" ht="12.75" x14ac:dyDescent="0.2"/>
    <row r="43751" s="197" customFormat="1" ht="12.75" x14ac:dyDescent="0.2"/>
    <row r="43752" s="197" customFormat="1" ht="12.75" x14ac:dyDescent="0.2"/>
    <row r="43753" s="197" customFormat="1" ht="12.75" x14ac:dyDescent="0.2"/>
    <row r="43754" s="197" customFormat="1" ht="12.75" x14ac:dyDescent="0.2"/>
    <row r="43755" s="197" customFormat="1" ht="12.75" x14ac:dyDescent="0.2"/>
    <row r="43756" s="197" customFormat="1" ht="12.75" x14ac:dyDescent="0.2"/>
    <row r="43757" s="197" customFormat="1" ht="12.75" x14ac:dyDescent="0.2"/>
    <row r="43758" s="197" customFormat="1" ht="12.75" x14ac:dyDescent="0.2"/>
    <row r="43759" s="197" customFormat="1" ht="12.75" x14ac:dyDescent="0.2"/>
    <row r="43760" s="197" customFormat="1" ht="12.75" x14ac:dyDescent="0.2"/>
    <row r="43761" s="197" customFormat="1" ht="12.75" x14ac:dyDescent="0.2"/>
    <row r="43762" s="197" customFormat="1" ht="12.75" x14ac:dyDescent="0.2"/>
    <row r="43763" s="197" customFormat="1" ht="12.75" x14ac:dyDescent="0.2"/>
    <row r="43764" s="197" customFormat="1" ht="12.75" x14ac:dyDescent="0.2"/>
    <row r="43765" s="197" customFormat="1" ht="12.75" x14ac:dyDescent="0.2"/>
    <row r="43766" s="197" customFormat="1" ht="12.75" x14ac:dyDescent="0.2"/>
    <row r="43767" s="197" customFormat="1" ht="12.75" x14ac:dyDescent="0.2"/>
    <row r="43768" s="197" customFormat="1" ht="12.75" x14ac:dyDescent="0.2"/>
    <row r="43769" s="197" customFormat="1" ht="12.75" x14ac:dyDescent="0.2"/>
    <row r="43770" s="197" customFormat="1" ht="12.75" x14ac:dyDescent="0.2"/>
    <row r="43771" s="197" customFormat="1" ht="12.75" x14ac:dyDescent="0.2"/>
    <row r="43772" s="197" customFormat="1" ht="12.75" x14ac:dyDescent="0.2"/>
    <row r="43773" s="197" customFormat="1" ht="12.75" x14ac:dyDescent="0.2"/>
    <row r="43774" s="197" customFormat="1" ht="12.75" x14ac:dyDescent="0.2"/>
    <row r="43775" s="197" customFormat="1" ht="12.75" x14ac:dyDescent="0.2"/>
    <row r="43776" s="197" customFormat="1" ht="12.75" x14ac:dyDescent="0.2"/>
    <row r="43777" s="197" customFormat="1" ht="12.75" x14ac:dyDescent="0.2"/>
    <row r="43778" s="197" customFormat="1" ht="12.75" x14ac:dyDescent="0.2"/>
    <row r="43779" s="197" customFormat="1" ht="12.75" x14ac:dyDescent="0.2"/>
    <row r="43780" s="197" customFormat="1" ht="12.75" x14ac:dyDescent="0.2"/>
    <row r="43781" s="197" customFormat="1" ht="12.75" x14ac:dyDescent="0.2"/>
    <row r="43782" s="197" customFormat="1" ht="12.75" x14ac:dyDescent="0.2"/>
    <row r="43783" s="197" customFormat="1" ht="12.75" x14ac:dyDescent="0.2"/>
    <row r="43784" s="197" customFormat="1" ht="12.75" x14ac:dyDescent="0.2"/>
    <row r="43785" s="197" customFormat="1" ht="12.75" x14ac:dyDescent="0.2"/>
    <row r="43786" s="197" customFormat="1" ht="12.75" x14ac:dyDescent="0.2"/>
    <row r="43787" s="197" customFormat="1" ht="12.75" x14ac:dyDescent="0.2"/>
    <row r="43788" s="197" customFormat="1" ht="12.75" x14ac:dyDescent="0.2"/>
    <row r="43789" s="197" customFormat="1" ht="12.75" x14ac:dyDescent="0.2"/>
    <row r="43790" s="197" customFormat="1" ht="12.75" x14ac:dyDescent="0.2"/>
    <row r="43791" s="197" customFormat="1" ht="12.75" x14ac:dyDescent="0.2"/>
    <row r="43792" s="197" customFormat="1" ht="12.75" x14ac:dyDescent="0.2"/>
    <row r="43793" s="197" customFormat="1" ht="12.75" x14ac:dyDescent="0.2"/>
    <row r="43794" s="197" customFormat="1" ht="12.75" x14ac:dyDescent="0.2"/>
    <row r="43795" s="197" customFormat="1" ht="12.75" x14ac:dyDescent="0.2"/>
    <row r="43796" s="197" customFormat="1" ht="12.75" x14ac:dyDescent="0.2"/>
    <row r="43797" s="197" customFormat="1" ht="12.75" x14ac:dyDescent="0.2"/>
    <row r="43798" s="197" customFormat="1" ht="12.75" x14ac:dyDescent="0.2"/>
    <row r="43799" s="197" customFormat="1" ht="12.75" x14ac:dyDescent="0.2"/>
    <row r="43800" s="197" customFormat="1" ht="12.75" x14ac:dyDescent="0.2"/>
    <row r="43801" s="197" customFormat="1" ht="12.75" x14ac:dyDescent="0.2"/>
    <row r="43802" s="197" customFormat="1" ht="12.75" x14ac:dyDescent="0.2"/>
    <row r="43803" s="197" customFormat="1" ht="12.75" x14ac:dyDescent="0.2"/>
    <row r="43804" s="197" customFormat="1" ht="12.75" x14ac:dyDescent="0.2"/>
    <row r="43805" s="197" customFormat="1" ht="12.75" x14ac:dyDescent="0.2"/>
    <row r="43806" s="197" customFormat="1" ht="12.75" x14ac:dyDescent="0.2"/>
    <row r="43807" s="197" customFormat="1" ht="12.75" x14ac:dyDescent="0.2"/>
    <row r="43808" s="197" customFormat="1" ht="12.75" x14ac:dyDescent="0.2"/>
    <row r="43809" s="197" customFormat="1" ht="12.75" x14ac:dyDescent="0.2"/>
    <row r="43810" s="197" customFormat="1" ht="12.75" x14ac:dyDescent="0.2"/>
    <row r="43811" s="197" customFormat="1" ht="12.75" x14ac:dyDescent="0.2"/>
    <row r="43812" s="197" customFormat="1" ht="12.75" x14ac:dyDescent="0.2"/>
    <row r="43813" s="197" customFormat="1" ht="12.75" x14ac:dyDescent="0.2"/>
    <row r="43814" s="197" customFormat="1" ht="12.75" x14ac:dyDescent="0.2"/>
    <row r="43815" s="197" customFormat="1" ht="12.75" x14ac:dyDescent="0.2"/>
    <row r="43816" s="197" customFormat="1" ht="12.75" x14ac:dyDescent="0.2"/>
    <row r="43817" s="197" customFormat="1" ht="12.75" x14ac:dyDescent="0.2"/>
    <row r="43818" s="197" customFormat="1" ht="12.75" x14ac:dyDescent="0.2"/>
    <row r="43819" s="197" customFormat="1" ht="12.75" x14ac:dyDescent="0.2"/>
    <row r="43820" s="197" customFormat="1" ht="12.75" x14ac:dyDescent="0.2"/>
    <row r="43821" s="197" customFormat="1" ht="12.75" x14ac:dyDescent="0.2"/>
    <row r="43822" s="197" customFormat="1" ht="12.75" x14ac:dyDescent="0.2"/>
    <row r="43823" s="197" customFormat="1" ht="12.75" x14ac:dyDescent="0.2"/>
    <row r="43824" s="197" customFormat="1" ht="12.75" x14ac:dyDescent="0.2"/>
    <row r="43825" s="197" customFormat="1" ht="12.75" x14ac:dyDescent="0.2"/>
    <row r="43826" s="197" customFormat="1" ht="12.75" x14ac:dyDescent="0.2"/>
    <row r="43827" s="197" customFormat="1" ht="12.75" x14ac:dyDescent="0.2"/>
    <row r="43828" s="197" customFormat="1" ht="12.75" x14ac:dyDescent="0.2"/>
    <row r="43829" s="197" customFormat="1" ht="12.75" x14ac:dyDescent="0.2"/>
    <row r="43830" s="197" customFormat="1" ht="12.75" x14ac:dyDescent="0.2"/>
    <row r="43831" s="197" customFormat="1" ht="12.75" x14ac:dyDescent="0.2"/>
    <row r="43832" s="197" customFormat="1" ht="12.75" x14ac:dyDescent="0.2"/>
    <row r="43833" s="197" customFormat="1" ht="12.75" x14ac:dyDescent="0.2"/>
    <row r="43834" s="197" customFormat="1" ht="12.75" x14ac:dyDescent="0.2"/>
    <row r="43835" s="197" customFormat="1" ht="12.75" x14ac:dyDescent="0.2"/>
    <row r="43836" s="197" customFormat="1" ht="12.75" x14ac:dyDescent="0.2"/>
    <row r="43837" s="197" customFormat="1" ht="12.75" x14ac:dyDescent="0.2"/>
    <row r="43838" s="197" customFormat="1" ht="12.75" x14ac:dyDescent="0.2"/>
    <row r="43839" s="197" customFormat="1" ht="12.75" x14ac:dyDescent="0.2"/>
    <row r="43840" s="197" customFormat="1" ht="12.75" x14ac:dyDescent="0.2"/>
    <row r="43841" s="197" customFormat="1" ht="12.75" x14ac:dyDescent="0.2"/>
    <row r="43842" s="197" customFormat="1" ht="12.75" x14ac:dyDescent="0.2"/>
    <row r="43843" s="197" customFormat="1" ht="12.75" x14ac:dyDescent="0.2"/>
    <row r="43844" s="197" customFormat="1" ht="12.75" x14ac:dyDescent="0.2"/>
    <row r="43845" s="197" customFormat="1" ht="12.75" x14ac:dyDescent="0.2"/>
    <row r="43846" s="197" customFormat="1" ht="12.75" x14ac:dyDescent="0.2"/>
    <row r="43847" s="197" customFormat="1" ht="12.75" x14ac:dyDescent="0.2"/>
    <row r="43848" s="197" customFormat="1" ht="12.75" x14ac:dyDescent="0.2"/>
    <row r="43849" s="197" customFormat="1" ht="12.75" x14ac:dyDescent="0.2"/>
    <row r="43850" s="197" customFormat="1" ht="12.75" x14ac:dyDescent="0.2"/>
    <row r="43851" s="197" customFormat="1" ht="12.75" x14ac:dyDescent="0.2"/>
    <row r="43852" s="197" customFormat="1" ht="12.75" x14ac:dyDescent="0.2"/>
    <row r="43853" s="197" customFormat="1" ht="12.75" x14ac:dyDescent="0.2"/>
    <row r="43854" s="197" customFormat="1" ht="12.75" x14ac:dyDescent="0.2"/>
    <row r="43855" s="197" customFormat="1" ht="12.75" x14ac:dyDescent="0.2"/>
    <row r="43856" s="197" customFormat="1" ht="12.75" x14ac:dyDescent="0.2"/>
    <row r="43857" s="197" customFormat="1" ht="12.75" x14ac:dyDescent="0.2"/>
    <row r="43858" s="197" customFormat="1" ht="12.75" x14ac:dyDescent="0.2"/>
    <row r="43859" s="197" customFormat="1" ht="12.75" x14ac:dyDescent="0.2"/>
    <row r="43860" s="197" customFormat="1" ht="12.75" x14ac:dyDescent="0.2"/>
    <row r="43861" s="197" customFormat="1" ht="12.75" x14ac:dyDescent="0.2"/>
    <row r="43862" s="197" customFormat="1" ht="12.75" x14ac:dyDescent="0.2"/>
    <row r="43863" s="197" customFormat="1" ht="12.75" x14ac:dyDescent="0.2"/>
    <row r="43864" s="197" customFormat="1" ht="12.75" x14ac:dyDescent="0.2"/>
    <row r="43865" s="197" customFormat="1" ht="12.75" x14ac:dyDescent="0.2"/>
    <row r="43866" s="197" customFormat="1" ht="12.75" x14ac:dyDescent="0.2"/>
    <row r="43867" s="197" customFormat="1" ht="12.75" x14ac:dyDescent="0.2"/>
    <row r="43868" s="197" customFormat="1" ht="12.75" x14ac:dyDescent="0.2"/>
    <row r="43869" s="197" customFormat="1" ht="12.75" x14ac:dyDescent="0.2"/>
    <row r="43870" s="197" customFormat="1" ht="12.75" x14ac:dyDescent="0.2"/>
    <row r="43871" s="197" customFormat="1" ht="12.75" x14ac:dyDescent="0.2"/>
    <row r="43872" s="197" customFormat="1" ht="12.75" x14ac:dyDescent="0.2"/>
    <row r="43873" s="197" customFormat="1" ht="12.75" x14ac:dyDescent="0.2"/>
    <row r="43874" s="197" customFormat="1" ht="12.75" x14ac:dyDescent="0.2"/>
    <row r="43875" s="197" customFormat="1" ht="12.75" x14ac:dyDescent="0.2"/>
    <row r="43876" s="197" customFormat="1" ht="12.75" x14ac:dyDescent="0.2"/>
    <row r="43877" s="197" customFormat="1" ht="12.75" x14ac:dyDescent="0.2"/>
    <row r="43878" s="197" customFormat="1" ht="12.75" x14ac:dyDescent="0.2"/>
    <row r="43879" s="197" customFormat="1" ht="12.75" x14ac:dyDescent="0.2"/>
    <row r="43880" s="197" customFormat="1" ht="12.75" x14ac:dyDescent="0.2"/>
    <row r="43881" s="197" customFormat="1" ht="12.75" x14ac:dyDescent="0.2"/>
    <row r="43882" s="197" customFormat="1" ht="12.75" x14ac:dyDescent="0.2"/>
    <row r="43883" s="197" customFormat="1" ht="12.75" x14ac:dyDescent="0.2"/>
    <row r="43884" s="197" customFormat="1" ht="12.75" x14ac:dyDescent="0.2"/>
    <row r="43885" s="197" customFormat="1" ht="12.75" x14ac:dyDescent="0.2"/>
    <row r="43886" s="197" customFormat="1" ht="12.75" x14ac:dyDescent="0.2"/>
    <row r="43887" s="197" customFormat="1" ht="12.75" x14ac:dyDescent="0.2"/>
    <row r="43888" s="197" customFormat="1" ht="12.75" x14ac:dyDescent="0.2"/>
    <row r="43889" s="197" customFormat="1" ht="12.75" x14ac:dyDescent="0.2"/>
    <row r="43890" s="197" customFormat="1" ht="12.75" x14ac:dyDescent="0.2"/>
    <row r="43891" s="197" customFormat="1" ht="12.75" x14ac:dyDescent="0.2"/>
    <row r="43892" s="197" customFormat="1" ht="12.75" x14ac:dyDescent="0.2"/>
    <row r="43893" s="197" customFormat="1" ht="12.75" x14ac:dyDescent="0.2"/>
    <row r="43894" s="197" customFormat="1" ht="12.75" x14ac:dyDescent="0.2"/>
    <row r="43895" s="197" customFormat="1" ht="12.75" x14ac:dyDescent="0.2"/>
    <row r="43896" s="197" customFormat="1" ht="12.75" x14ac:dyDescent="0.2"/>
    <row r="43897" s="197" customFormat="1" ht="12.75" x14ac:dyDescent="0.2"/>
    <row r="43898" s="197" customFormat="1" ht="12.75" x14ac:dyDescent="0.2"/>
    <row r="43899" s="197" customFormat="1" ht="12.75" x14ac:dyDescent="0.2"/>
    <row r="43900" s="197" customFormat="1" ht="12.75" x14ac:dyDescent="0.2"/>
    <row r="43901" s="197" customFormat="1" ht="12.75" x14ac:dyDescent="0.2"/>
    <row r="43902" s="197" customFormat="1" ht="12.75" x14ac:dyDescent="0.2"/>
    <row r="43903" s="197" customFormat="1" ht="12.75" x14ac:dyDescent="0.2"/>
    <row r="43904" s="197" customFormat="1" ht="12.75" x14ac:dyDescent="0.2"/>
    <row r="43905" s="197" customFormat="1" ht="12.75" x14ac:dyDescent="0.2"/>
    <row r="43906" s="197" customFormat="1" ht="12.75" x14ac:dyDescent="0.2"/>
    <row r="43907" s="197" customFormat="1" ht="12.75" x14ac:dyDescent="0.2"/>
    <row r="43908" s="197" customFormat="1" ht="12.75" x14ac:dyDescent="0.2"/>
    <row r="43909" s="197" customFormat="1" ht="12.75" x14ac:dyDescent="0.2"/>
    <row r="43910" s="197" customFormat="1" ht="12.75" x14ac:dyDescent="0.2"/>
    <row r="43911" s="197" customFormat="1" ht="12.75" x14ac:dyDescent="0.2"/>
    <row r="43912" s="197" customFormat="1" ht="12.75" x14ac:dyDescent="0.2"/>
    <row r="43913" s="197" customFormat="1" ht="12.75" x14ac:dyDescent="0.2"/>
    <row r="43914" s="197" customFormat="1" ht="12.75" x14ac:dyDescent="0.2"/>
    <row r="43915" s="197" customFormat="1" ht="12.75" x14ac:dyDescent="0.2"/>
    <row r="43916" s="197" customFormat="1" ht="12.75" x14ac:dyDescent="0.2"/>
    <row r="43917" s="197" customFormat="1" ht="12.75" x14ac:dyDescent="0.2"/>
    <row r="43918" s="197" customFormat="1" ht="12.75" x14ac:dyDescent="0.2"/>
    <row r="43919" s="197" customFormat="1" ht="12.75" x14ac:dyDescent="0.2"/>
    <row r="43920" s="197" customFormat="1" ht="12.75" x14ac:dyDescent="0.2"/>
    <row r="43921" s="197" customFormat="1" ht="12.75" x14ac:dyDescent="0.2"/>
    <row r="43922" s="197" customFormat="1" ht="12.75" x14ac:dyDescent="0.2"/>
    <row r="43923" s="197" customFormat="1" ht="12.75" x14ac:dyDescent="0.2"/>
    <row r="43924" s="197" customFormat="1" ht="12.75" x14ac:dyDescent="0.2"/>
    <row r="43925" s="197" customFormat="1" ht="12.75" x14ac:dyDescent="0.2"/>
    <row r="43926" s="197" customFormat="1" ht="12.75" x14ac:dyDescent="0.2"/>
    <row r="43927" s="197" customFormat="1" ht="12.75" x14ac:dyDescent="0.2"/>
    <row r="43928" s="197" customFormat="1" ht="12.75" x14ac:dyDescent="0.2"/>
    <row r="43929" s="197" customFormat="1" ht="12.75" x14ac:dyDescent="0.2"/>
    <row r="43930" s="197" customFormat="1" ht="12.75" x14ac:dyDescent="0.2"/>
    <row r="43931" s="197" customFormat="1" ht="12.75" x14ac:dyDescent="0.2"/>
    <row r="43932" s="197" customFormat="1" ht="12.75" x14ac:dyDescent="0.2"/>
    <row r="43933" s="197" customFormat="1" ht="12.75" x14ac:dyDescent="0.2"/>
    <row r="43934" s="197" customFormat="1" ht="12.75" x14ac:dyDescent="0.2"/>
    <row r="43935" s="197" customFormat="1" ht="12.75" x14ac:dyDescent="0.2"/>
    <row r="43936" s="197" customFormat="1" ht="12.75" x14ac:dyDescent="0.2"/>
    <row r="43937" s="197" customFormat="1" ht="12.75" x14ac:dyDescent="0.2"/>
    <row r="43938" s="197" customFormat="1" ht="12.75" x14ac:dyDescent="0.2"/>
    <row r="43939" s="197" customFormat="1" ht="12.75" x14ac:dyDescent="0.2"/>
    <row r="43940" s="197" customFormat="1" ht="12.75" x14ac:dyDescent="0.2"/>
    <row r="43941" s="197" customFormat="1" ht="12.75" x14ac:dyDescent="0.2"/>
    <row r="43942" s="197" customFormat="1" ht="12.75" x14ac:dyDescent="0.2"/>
    <row r="43943" s="197" customFormat="1" ht="12.75" x14ac:dyDescent="0.2"/>
    <row r="43944" s="197" customFormat="1" ht="12.75" x14ac:dyDescent="0.2"/>
    <row r="43945" s="197" customFormat="1" ht="12.75" x14ac:dyDescent="0.2"/>
    <row r="43946" s="197" customFormat="1" ht="12.75" x14ac:dyDescent="0.2"/>
    <row r="43947" s="197" customFormat="1" ht="12.75" x14ac:dyDescent="0.2"/>
    <row r="43948" s="197" customFormat="1" ht="12.75" x14ac:dyDescent="0.2"/>
    <row r="43949" s="197" customFormat="1" ht="12.75" x14ac:dyDescent="0.2"/>
    <row r="43950" s="197" customFormat="1" ht="12.75" x14ac:dyDescent="0.2"/>
    <row r="43951" s="197" customFormat="1" ht="12.75" x14ac:dyDescent="0.2"/>
    <row r="43952" s="197" customFormat="1" ht="12.75" x14ac:dyDescent="0.2"/>
    <row r="43953" s="197" customFormat="1" ht="12.75" x14ac:dyDescent="0.2"/>
    <row r="43954" s="197" customFormat="1" ht="12.75" x14ac:dyDescent="0.2"/>
    <row r="43955" s="197" customFormat="1" ht="12.75" x14ac:dyDescent="0.2"/>
    <row r="43956" s="197" customFormat="1" ht="12.75" x14ac:dyDescent="0.2"/>
    <row r="43957" s="197" customFormat="1" ht="12.75" x14ac:dyDescent="0.2"/>
    <row r="43958" s="197" customFormat="1" ht="12.75" x14ac:dyDescent="0.2"/>
    <row r="43959" s="197" customFormat="1" ht="12.75" x14ac:dyDescent="0.2"/>
    <row r="43960" s="197" customFormat="1" ht="12.75" x14ac:dyDescent="0.2"/>
    <row r="43961" s="197" customFormat="1" ht="12.75" x14ac:dyDescent="0.2"/>
    <row r="43962" s="197" customFormat="1" ht="12.75" x14ac:dyDescent="0.2"/>
    <row r="43963" s="197" customFormat="1" ht="12.75" x14ac:dyDescent="0.2"/>
    <row r="43964" s="197" customFormat="1" ht="12.75" x14ac:dyDescent="0.2"/>
    <row r="43965" s="197" customFormat="1" ht="12.75" x14ac:dyDescent="0.2"/>
    <row r="43966" s="197" customFormat="1" ht="12.75" x14ac:dyDescent="0.2"/>
    <row r="43967" s="197" customFormat="1" ht="12.75" x14ac:dyDescent="0.2"/>
    <row r="43968" s="197" customFormat="1" ht="12.75" x14ac:dyDescent="0.2"/>
    <row r="43969" s="197" customFormat="1" ht="12.75" x14ac:dyDescent="0.2"/>
    <row r="43970" s="197" customFormat="1" ht="12.75" x14ac:dyDescent="0.2"/>
    <row r="43971" s="197" customFormat="1" ht="12.75" x14ac:dyDescent="0.2"/>
    <row r="43972" s="197" customFormat="1" ht="12.75" x14ac:dyDescent="0.2"/>
    <row r="43973" s="197" customFormat="1" ht="12.75" x14ac:dyDescent="0.2"/>
    <row r="43974" s="197" customFormat="1" ht="12.75" x14ac:dyDescent="0.2"/>
    <row r="43975" s="197" customFormat="1" ht="12.75" x14ac:dyDescent="0.2"/>
    <row r="43976" s="197" customFormat="1" ht="12.75" x14ac:dyDescent="0.2"/>
    <row r="43977" s="197" customFormat="1" ht="12.75" x14ac:dyDescent="0.2"/>
    <row r="43978" s="197" customFormat="1" ht="12.75" x14ac:dyDescent="0.2"/>
    <row r="43979" s="197" customFormat="1" ht="12.75" x14ac:dyDescent="0.2"/>
    <row r="43980" s="197" customFormat="1" ht="12.75" x14ac:dyDescent="0.2"/>
    <row r="43981" s="197" customFormat="1" ht="12.75" x14ac:dyDescent="0.2"/>
    <row r="43982" s="197" customFormat="1" ht="12.75" x14ac:dyDescent="0.2"/>
    <row r="43983" s="197" customFormat="1" ht="12.75" x14ac:dyDescent="0.2"/>
    <row r="43984" s="197" customFormat="1" ht="12.75" x14ac:dyDescent="0.2"/>
    <row r="43985" s="197" customFormat="1" ht="12.75" x14ac:dyDescent="0.2"/>
    <row r="43986" s="197" customFormat="1" ht="12.75" x14ac:dyDescent="0.2"/>
    <row r="43987" s="197" customFormat="1" ht="12.75" x14ac:dyDescent="0.2"/>
    <row r="43988" s="197" customFormat="1" ht="12.75" x14ac:dyDescent="0.2"/>
    <row r="43989" s="197" customFormat="1" ht="12.75" x14ac:dyDescent="0.2"/>
    <row r="43990" s="197" customFormat="1" ht="12.75" x14ac:dyDescent="0.2"/>
    <row r="43991" s="197" customFormat="1" ht="12.75" x14ac:dyDescent="0.2"/>
    <row r="43992" s="197" customFormat="1" ht="12.75" x14ac:dyDescent="0.2"/>
    <row r="43993" s="197" customFormat="1" ht="12.75" x14ac:dyDescent="0.2"/>
    <row r="43994" s="197" customFormat="1" ht="12.75" x14ac:dyDescent="0.2"/>
    <row r="43995" s="197" customFormat="1" ht="12.75" x14ac:dyDescent="0.2"/>
    <row r="43996" s="197" customFormat="1" ht="12.75" x14ac:dyDescent="0.2"/>
    <row r="43997" s="197" customFormat="1" ht="12.75" x14ac:dyDescent="0.2"/>
    <row r="43998" s="197" customFormat="1" ht="12.75" x14ac:dyDescent="0.2"/>
    <row r="43999" s="197" customFormat="1" ht="12.75" x14ac:dyDescent="0.2"/>
    <row r="44000" s="197" customFormat="1" ht="12.75" x14ac:dyDescent="0.2"/>
    <row r="44001" s="197" customFormat="1" ht="12.75" x14ac:dyDescent="0.2"/>
    <row r="44002" s="197" customFormat="1" ht="12.75" x14ac:dyDescent="0.2"/>
    <row r="44003" s="197" customFormat="1" ht="12.75" x14ac:dyDescent="0.2"/>
    <row r="44004" s="197" customFormat="1" ht="12.75" x14ac:dyDescent="0.2"/>
    <row r="44005" s="197" customFormat="1" ht="12.75" x14ac:dyDescent="0.2"/>
    <row r="44006" s="197" customFormat="1" ht="12.75" x14ac:dyDescent="0.2"/>
    <row r="44007" s="197" customFormat="1" ht="12.75" x14ac:dyDescent="0.2"/>
    <row r="44008" s="197" customFormat="1" ht="12.75" x14ac:dyDescent="0.2"/>
    <row r="44009" s="197" customFormat="1" ht="12.75" x14ac:dyDescent="0.2"/>
    <row r="44010" s="197" customFormat="1" ht="12.75" x14ac:dyDescent="0.2"/>
    <row r="44011" s="197" customFormat="1" ht="12.75" x14ac:dyDescent="0.2"/>
    <row r="44012" s="197" customFormat="1" ht="12.75" x14ac:dyDescent="0.2"/>
    <row r="44013" s="197" customFormat="1" ht="12.75" x14ac:dyDescent="0.2"/>
    <row r="44014" s="197" customFormat="1" ht="12.75" x14ac:dyDescent="0.2"/>
    <row r="44015" s="197" customFormat="1" ht="12.75" x14ac:dyDescent="0.2"/>
    <row r="44016" s="197" customFormat="1" ht="12.75" x14ac:dyDescent="0.2"/>
    <row r="44017" s="197" customFormat="1" ht="12.75" x14ac:dyDescent="0.2"/>
    <row r="44018" s="197" customFormat="1" ht="12.75" x14ac:dyDescent="0.2"/>
    <row r="44019" s="197" customFormat="1" ht="12.75" x14ac:dyDescent="0.2"/>
    <row r="44020" s="197" customFormat="1" ht="12.75" x14ac:dyDescent="0.2"/>
    <row r="44021" s="197" customFormat="1" ht="12.75" x14ac:dyDescent="0.2"/>
    <row r="44022" s="197" customFormat="1" ht="12.75" x14ac:dyDescent="0.2"/>
    <row r="44023" s="197" customFormat="1" ht="12.75" x14ac:dyDescent="0.2"/>
    <row r="44024" s="197" customFormat="1" ht="12.75" x14ac:dyDescent="0.2"/>
    <row r="44025" s="197" customFormat="1" ht="12.75" x14ac:dyDescent="0.2"/>
    <row r="44026" s="197" customFormat="1" ht="12.75" x14ac:dyDescent="0.2"/>
    <row r="44027" s="197" customFormat="1" ht="12.75" x14ac:dyDescent="0.2"/>
    <row r="44028" s="197" customFormat="1" ht="12.75" x14ac:dyDescent="0.2"/>
    <row r="44029" s="197" customFormat="1" ht="12.75" x14ac:dyDescent="0.2"/>
    <row r="44030" s="197" customFormat="1" ht="12.75" x14ac:dyDescent="0.2"/>
    <row r="44031" s="197" customFormat="1" ht="12.75" x14ac:dyDescent="0.2"/>
    <row r="44032" s="197" customFormat="1" ht="12.75" x14ac:dyDescent="0.2"/>
    <row r="44033" s="197" customFormat="1" ht="12.75" x14ac:dyDescent="0.2"/>
    <row r="44034" s="197" customFormat="1" ht="12.75" x14ac:dyDescent="0.2"/>
    <row r="44035" s="197" customFormat="1" ht="12.75" x14ac:dyDescent="0.2"/>
    <row r="44036" s="197" customFormat="1" ht="12.75" x14ac:dyDescent="0.2"/>
    <row r="44037" s="197" customFormat="1" ht="12.75" x14ac:dyDescent="0.2"/>
    <row r="44038" s="197" customFormat="1" ht="12.75" x14ac:dyDescent="0.2"/>
    <row r="44039" s="197" customFormat="1" ht="12.75" x14ac:dyDescent="0.2"/>
    <row r="44040" s="197" customFormat="1" ht="12.75" x14ac:dyDescent="0.2"/>
    <row r="44041" s="197" customFormat="1" ht="12.75" x14ac:dyDescent="0.2"/>
    <row r="44042" s="197" customFormat="1" ht="12.75" x14ac:dyDescent="0.2"/>
    <row r="44043" s="197" customFormat="1" ht="12.75" x14ac:dyDescent="0.2"/>
    <row r="44044" s="197" customFormat="1" ht="12.75" x14ac:dyDescent="0.2"/>
    <row r="44045" s="197" customFormat="1" ht="12.75" x14ac:dyDescent="0.2"/>
    <row r="44046" s="197" customFormat="1" ht="12.75" x14ac:dyDescent="0.2"/>
    <row r="44047" s="197" customFormat="1" ht="12.75" x14ac:dyDescent="0.2"/>
    <row r="44048" s="197" customFormat="1" ht="12.75" x14ac:dyDescent="0.2"/>
    <row r="44049" s="197" customFormat="1" ht="12.75" x14ac:dyDescent="0.2"/>
    <row r="44050" s="197" customFormat="1" ht="12.75" x14ac:dyDescent="0.2"/>
    <row r="44051" s="197" customFormat="1" ht="12.75" x14ac:dyDescent="0.2"/>
    <row r="44052" s="197" customFormat="1" ht="12.75" x14ac:dyDescent="0.2"/>
    <row r="44053" s="197" customFormat="1" ht="12.75" x14ac:dyDescent="0.2"/>
    <row r="44054" s="197" customFormat="1" ht="12.75" x14ac:dyDescent="0.2"/>
    <row r="44055" s="197" customFormat="1" ht="12.75" x14ac:dyDescent="0.2"/>
    <row r="44056" s="197" customFormat="1" ht="12.75" x14ac:dyDescent="0.2"/>
    <row r="44057" s="197" customFormat="1" ht="12.75" x14ac:dyDescent="0.2"/>
    <row r="44058" s="197" customFormat="1" ht="12.75" x14ac:dyDescent="0.2"/>
    <row r="44059" s="197" customFormat="1" ht="12.75" x14ac:dyDescent="0.2"/>
    <row r="44060" s="197" customFormat="1" ht="12.75" x14ac:dyDescent="0.2"/>
    <row r="44061" s="197" customFormat="1" ht="12.75" x14ac:dyDescent="0.2"/>
    <row r="44062" s="197" customFormat="1" ht="12.75" x14ac:dyDescent="0.2"/>
    <row r="44063" s="197" customFormat="1" ht="12.75" x14ac:dyDescent="0.2"/>
    <row r="44064" s="197" customFormat="1" ht="12.75" x14ac:dyDescent="0.2"/>
    <row r="44065" s="197" customFormat="1" ht="12.75" x14ac:dyDescent="0.2"/>
    <row r="44066" s="197" customFormat="1" ht="12.75" x14ac:dyDescent="0.2"/>
    <row r="44067" s="197" customFormat="1" ht="12.75" x14ac:dyDescent="0.2"/>
    <row r="44068" s="197" customFormat="1" ht="12.75" x14ac:dyDescent="0.2"/>
    <row r="44069" s="197" customFormat="1" ht="12.75" x14ac:dyDescent="0.2"/>
    <row r="44070" s="197" customFormat="1" ht="12.75" x14ac:dyDescent="0.2"/>
    <row r="44071" s="197" customFormat="1" ht="12.75" x14ac:dyDescent="0.2"/>
    <row r="44072" s="197" customFormat="1" ht="12.75" x14ac:dyDescent="0.2"/>
    <row r="44073" s="197" customFormat="1" ht="12.75" x14ac:dyDescent="0.2"/>
    <row r="44074" s="197" customFormat="1" ht="12.75" x14ac:dyDescent="0.2"/>
    <row r="44075" s="197" customFormat="1" ht="12.75" x14ac:dyDescent="0.2"/>
    <row r="44076" s="197" customFormat="1" ht="12.75" x14ac:dyDescent="0.2"/>
    <row r="44077" s="197" customFormat="1" ht="12.75" x14ac:dyDescent="0.2"/>
    <row r="44078" s="197" customFormat="1" ht="12.75" x14ac:dyDescent="0.2"/>
    <row r="44079" s="197" customFormat="1" ht="12.75" x14ac:dyDescent="0.2"/>
    <row r="44080" s="197" customFormat="1" ht="12.75" x14ac:dyDescent="0.2"/>
    <row r="44081" s="197" customFormat="1" ht="12.75" x14ac:dyDescent="0.2"/>
    <row r="44082" s="197" customFormat="1" ht="12.75" x14ac:dyDescent="0.2"/>
    <row r="44083" s="197" customFormat="1" ht="12.75" x14ac:dyDescent="0.2"/>
    <row r="44084" s="197" customFormat="1" ht="12.75" x14ac:dyDescent="0.2"/>
    <row r="44085" s="197" customFormat="1" ht="12.75" x14ac:dyDescent="0.2"/>
    <row r="44086" s="197" customFormat="1" ht="12.75" x14ac:dyDescent="0.2"/>
    <row r="44087" s="197" customFormat="1" ht="12.75" x14ac:dyDescent="0.2"/>
    <row r="44088" s="197" customFormat="1" ht="12.75" x14ac:dyDescent="0.2"/>
    <row r="44089" s="197" customFormat="1" ht="12.75" x14ac:dyDescent="0.2"/>
    <row r="44090" s="197" customFormat="1" ht="12.75" x14ac:dyDescent="0.2"/>
    <row r="44091" s="197" customFormat="1" ht="12.75" x14ac:dyDescent="0.2"/>
    <row r="44092" s="197" customFormat="1" ht="12.75" x14ac:dyDescent="0.2"/>
    <row r="44093" s="197" customFormat="1" ht="12.75" x14ac:dyDescent="0.2"/>
    <row r="44094" s="197" customFormat="1" ht="12.75" x14ac:dyDescent="0.2"/>
    <row r="44095" s="197" customFormat="1" ht="12.75" x14ac:dyDescent="0.2"/>
    <row r="44096" s="197" customFormat="1" ht="12.75" x14ac:dyDescent="0.2"/>
    <row r="44097" s="197" customFormat="1" ht="12.75" x14ac:dyDescent="0.2"/>
    <row r="44098" s="197" customFormat="1" ht="12.75" x14ac:dyDescent="0.2"/>
    <row r="44099" s="197" customFormat="1" ht="12.75" x14ac:dyDescent="0.2"/>
    <row r="44100" s="197" customFormat="1" ht="12.75" x14ac:dyDescent="0.2"/>
    <row r="44101" s="197" customFormat="1" ht="12.75" x14ac:dyDescent="0.2"/>
    <row r="44102" s="197" customFormat="1" ht="12.75" x14ac:dyDescent="0.2"/>
    <row r="44103" s="197" customFormat="1" ht="12.75" x14ac:dyDescent="0.2"/>
    <row r="44104" s="197" customFormat="1" ht="12.75" x14ac:dyDescent="0.2"/>
    <row r="44105" s="197" customFormat="1" ht="12.75" x14ac:dyDescent="0.2"/>
    <row r="44106" s="197" customFormat="1" ht="12.75" x14ac:dyDescent="0.2"/>
    <row r="44107" s="197" customFormat="1" ht="12.75" x14ac:dyDescent="0.2"/>
    <row r="44108" s="197" customFormat="1" ht="12.75" x14ac:dyDescent="0.2"/>
    <row r="44109" s="197" customFormat="1" ht="12.75" x14ac:dyDescent="0.2"/>
    <row r="44110" s="197" customFormat="1" ht="12.75" x14ac:dyDescent="0.2"/>
    <row r="44111" s="197" customFormat="1" ht="12.75" x14ac:dyDescent="0.2"/>
    <row r="44112" s="197" customFormat="1" ht="12.75" x14ac:dyDescent="0.2"/>
    <row r="44113" s="197" customFormat="1" ht="12.75" x14ac:dyDescent="0.2"/>
    <row r="44114" s="197" customFormat="1" ht="12.75" x14ac:dyDescent="0.2"/>
    <row r="44115" s="197" customFormat="1" ht="12.75" x14ac:dyDescent="0.2"/>
    <row r="44116" s="197" customFormat="1" ht="12.75" x14ac:dyDescent="0.2"/>
    <row r="44117" s="197" customFormat="1" ht="12.75" x14ac:dyDescent="0.2"/>
    <row r="44118" s="197" customFormat="1" ht="12.75" x14ac:dyDescent="0.2"/>
    <row r="44119" s="197" customFormat="1" ht="12.75" x14ac:dyDescent="0.2"/>
    <row r="44120" s="197" customFormat="1" ht="12.75" x14ac:dyDescent="0.2"/>
    <row r="44121" s="197" customFormat="1" ht="12.75" x14ac:dyDescent="0.2"/>
    <row r="44122" s="197" customFormat="1" ht="12.75" x14ac:dyDescent="0.2"/>
    <row r="44123" s="197" customFormat="1" ht="12.75" x14ac:dyDescent="0.2"/>
    <row r="44124" s="197" customFormat="1" ht="12.75" x14ac:dyDescent="0.2"/>
    <row r="44125" s="197" customFormat="1" ht="12.75" x14ac:dyDescent="0.2"/>
    <row r="44126" s="197" customFormat="1" ht="12.75" x14ac:dyDescent="0.2"/>
    <row r="44127" s="197" customFormat="1" ht="12.75" x14ac:dyDescent="0.2"/>
    <row r="44128" s="197" customFormat="1" ht="12.75" x14ac:dyDescent="0.2"/>
    <row r="44129" s="197" customFormat="1" ht="12.75" x14ac:dyDescent="0.2"/>
    <row r="44130" s="197" customFormat="1" ht="12.75" x14ac:dyDescent="0.2"/>
    <row r="44131" s="197" customFormat="1" ht="12.75" x14ac:dyDescent="0.2"/>
    <row r="44132" s="197" customFormat="1" ht="12.75" x14ac:dyDescent="0.2"/>
    <row r="44133" s="197" customFormat="1" ht="12.75" x14ac:dyDescent="0.2"/>
    <row r="44134" s="197" customFormat="1" ht="12.75" x14ac:dyDescent="0.2"/>
    <row r="44135" s="197" customFormat="1" ht="12.75" x14ac:dyDescent="0.2"/>
    <row r="44136" s="197" customFormat="1" ht="12.75" x14ac:dyDescent="0.2"/>
    <row r="44137" s="197" customFormat="1" ht="12.75" x14ac:dyDescent="0.2"/>
    <row r="44138" s="197" customFormat="1" ht="12.75" x14ac:dyDescent="0.2"/>
    <row r="44139" s="197" customFormat="1" ht="12.75" x14ac:dyDescent="0.2"/>
    <row r="44140" s="197" customFormat="1" ht="12.75" x14ac:dyDescent="0.2"/>
    <row r="44141" s="197" customFormat="1" ht="12.75" x14ac:dyDescent="0.2"/>
    <row r="44142" s="197" customFormat="1" ht="12.75" x14ac:dyDescent="0.2"/>
    <row r="44143" s="197" customFormat="1" ht="12.75" x14ac:dyDescent="0.2"/>
    <row r="44144" s="197" customFormat="1" ht="12.75" x14ac:dyDescent="0.2"/>
    <row r="44145" s="197" customFormat="1" ht="12.75" x14ac:dyDescent="0.2"/>
    <row r="44146" s="197" customFormat="1" ht="12.75" x14ac:dyDescent="0.2"/>
    <row r="44147" s="197" customFormat="1" ht="12.75" x14ac:dyDescent="0.2"/>
    <row r="44148" s="197" customFormat="1" ht="12.75" x14ac:dyDescent="0.2"/>
    <row r="44149" s="197" customFormat="1" ht="12.75" x14ac:dyDescent="0.2"/>
    <row r="44150" s="197" customFormat="1" ht="12.75" x14ac:dyDescent="0.2"/>
    <row r="44151" s="197" customFormat="1" ht="12.75" x14ac:dyDescent="0.2"/>
    <row r="44152" s="197" customFormat="1" ht="12.75" x14ac:dyDescent="0.2"/>
    <row r="44153" s="197" customFormat="1" ht="12.75" x14ac:dyDescent="0.2"/>
    <row r="44154" s="197" customFormat="1" ht="12.75" x14ac:dyDescent="0.2"/>
    <row r="44155" s="197" customFormat="1" ht="12.75" x14ac:dyDescent="0.2"/>
    <row r="44156" s="197" customFormat="1" ht="12.75" x14ac:dyDescent="0.2"/>
    <row r="44157" s="197" customFormat="1" ht="12.75" x14ac:dyDescent="0.2"/>
    <row r="44158" s="197" customFormat="1" ht="12.75" x14ac:dyDescent="0.2"/>
    <row r="44159" s="197" customFormat="1" ht="12.75" x14ac:dyDescent="0.2"/>
    <row r="44160" s="197" customFormat="1" ht="12.75" x14ac:dyDescent="0.2"/>
    <row r="44161" s="197" customFormat="1" ht="12.75" x14ac:dyDescent="0.2"/>
    <row r="44162" s="197" customFormat="1" ht="12.75" x14ac:dyDescent="0.2"/>
    <row r="44163" s="197" customFormat="1" ht="12.75" x14ac:dyDescent="0.2"/>
    <row r="44164" s="197" customFormat="1" ht="12.75" x14ac:dyDescent="0.2"/>
    <row r="44165" s="197" customFormat="1" ht="12.75" x14ac:dyDescent="0.2"/>
    <row r="44166" s="197" customFormat="1" ht="12.75" x14ac:dyDescent="0.2"/>
    <row r="44167" s="197" customFormat="1" ht="12.75" x14ac:dyDescent="0.2"/>
    <row r="44168" s="197" customFormat="1" ht="12.75" x14ac:dyDescent="0.2"/>
    <row r="44169" s="197" customFormat="1" ht="12.75" x14ac:dyDescent="0.2"/>
    <row r="44170" s="197" customFormat="1" ht="12.75" x14ac:dyDescent="0.2"/>
    <row r="44171" s="197" customFormat="1" ht="12.75" x14ac:dyDescent="0.2"/>
    <row r="44172" s="197" customFormat="1" ht="12.75" x14ac:dyDescent="0.2"/>
    <row r="44173" s="197" customFormat="1" ht="12.75" x14ac:dyDescent="0.2"/>
    <row r="44174" s="197" customFormat="1" ht="12.75" x14ac:dyDescent="0.2"/>
    <row r="44175" s="197" customFormat="1" ht="12.75" x14ac:dyDescent="0.2"/>
    <row r="44176" s="197" customFormat="1" ht="12.75" x14ac:dyDescent="0.2"/>
    <row r="44177" s="197" customFormat="1" ht="12.75" x14ac:dyDescent="0.2"/>
    <row r="44178" s="197" customFormat="1" ht="12.75" x14ac:dyDescent="0.2"/>
    <row r="44179" s="197" customFormat="1" ht="12.75" x14ac:dyDescent="0.2"/>
    <row r="44180" s="197" customFormat="1" ht="12.75" x14ac:dyDescent="0.2"/>
    <row r="44181" s="197" customFormat="1" ht="12.75" x14ac:dyDescent="0.2"/>
    <row r="44182" s="197" customFormat="1" ht="12.75" x14ac:dyDescent="0.2"/>
    <row r="44183" s="197" customFormat="1" ht="12.75" x14ac:dyDescent="0.2"/>
    <row r="44184" s="197" customFormat="1" ht="12.75" x14ac:dyDescent="0.2"/>
    <row r="44185" s="197" customFormat="1" ht="12.75" x14ac:dyDescent="0.2"/>
    <row r="44186" s="197" customFormat="1" ht="12.75" x14ac:dyDescent="0.2"/>
    <row r="44187" s="197" customFormat="1" ht="12.75" x14ac:dyDescent="0.2"/>
    <row r="44188" s="197" customFormat="1" ht="12.75" x14ac:dyDescent="0.2"/>
    <row r="44189" s="197" customFormat="1" ht="12.75" x14ac:dyDescent="0.2"/>
    <row r="44190" s="197" customFormat="1" ht="12.75" x14ac:dyDescent="0.2"/>
    <row r="44191" s="197" customFormat="1" ht="12.75" x14ac:dyDescent="0.2"/>
    <row r="44192" s="197" customFormat="1" ht="12.75" x14ac:dyDescent="0.2"/>
    <row r="44193" s="197" customFormat="1" ht="12.75" x14ac:dyDescent="0.2"/>
    <row r="44194" s="197" customFormat="1" ht="12.75" x14ac:dyDescent="0.2"/>
    <row r="44195" s="197" customFormat="1" ht="12.75" x14ac:dyDescent="0.2"/>
    <row r="44196" s="197" customFormat="1" ht="12.75" x14ac:dyDescent="0.2"/>
    <row r="44197" s="197" customFormat="1" ht="12.75" x14ac:dyDescent="0.2"/>
    <row r="44198" s="197" customFormat="1" ht="12.75" x14ac:dyDescent="0.2"/>
    <row r="44199" s="197" customFormat="1" ht="12.75" x14ac:dyDescent="0.2"/>
    <row r="44200" s="197" customFormat="1" ht="12.75" x14ac:dyDescent="0.2"/>
    <row r="44201" s="197" customFormat="1" ht="12.75" x14ac:dyDescent="0.2"/>
    <row r="44202" s="197" customFormat="1" ht="12.75" x14ac:dyDescent="0.2"/>
    <row r="44203" s="197" customFormat="1" ht="12.75" x14ac:dyDescent="0.2"/>
    <row r="44204" s="197" customFormat="1" ht="12.75" x14ac:dyDescent="0.2"/>
    <row r="44205" s="197" customFormat="1" ht="12.75" x14ac:dyDescent="0.2"/>
    <row r="44206" s="197" customFormat="1" ht="12.75" x14ac:dyDescent="0.2"/>
    <row r="44207" s="197" customFormat="1" ht="12.75" x14ac:dyDescent="0.2"/>
    <row r="44208" s="197" customFormat="1" ht="12.75" x14ac:dyDescent="0.2"/>
    <row r="44209" s="197" customFormat="1" ht="12.75" x14ac:dyDescent="0.2"/>
    <row r="44210" s="197" customFormat="1" ht="12.75" x14ac:dyDescent="0.2"/>
    <row r="44211" s="197" customFormat="1" ht="12.75" x14ac:dyDescent="0.2"/>
    <row r="44212" s="197" customFormat="1" ht="12.75" x14ac:dyDescent="0.2"/>
    <row r="44213" s="197" customFormat="1" ht="12.75" x14ac:dyDescent="0.2"/>
    <row r="44214" s="197" customFormat="1" ht="12.75" x14ac:dyDescent="0.2"/>
    <row r="44215" s="197" customFormat="1" ht="12.75" x14ac:dyDescent="0.2"/>
    <row r="44216" s="197" customFormat="1" ht="12.75" x14ac:dyDescent="0.2"/>
    <row r="44217" s="197" customFormat="1" ht="12.75" x14ac:dyDescent="0.2"/>
    <row r="44218" s="197" customFormat="1" ht="12.75" x14ac:dyDescent="0.2"/>
    <row r="44219" s="197" customFormat="1" ht="12.75" x14ac:dyDescent="0.2"/>
    <row r="44220" s="197" customFormat="1" ht="12.75" x14ac:dyDescent="0.2"/>
    <row r="44221" s="197" customFormat="1" ht="12.75" x14ac:dyDescent="0.2"/>
    <row r="44222" s="197" customFormat="1" ht="12.75" x14ac:dyDescent="0.2"/>
    <row r="44223" s="197" customFormat="1" ht="12.75" x14ac:dyDescent="0.2"/>
    <row r="44224" s="197" customFormat="1" ht="12.75" x14ac:dyDescent="0.2"/>
    <row r="44225" s="197" customFormat="1" ht="12.75" x14ac:dyDescent="0.2"/>
    <row r="44226" s="197" customFormat="1" ht="12.75" x14ac:dyDescent="0.2"/>
    <row r="44227" s="197" customFormat="1" ht="12.75" x14ac:dyDescent="0.2"/>
    <row r="44228" s="197" customFormat="1" ht="12.75" x14ac:dyDescent="0.2"/>
    <row r="44229" s="197" customFormat="1" ht="12.75" x14ac:dyDescent="0.2"/>
    <row r="44230" s="197" customFormat="1" ht="12.75" x14ac:dyDescent="0.2"/>
    <row r="44231" s="197" customFormat="1" ht="12.75" x14ac:dyDescent="0.2"/>
    <row r="44232" s="197" customFormat="1" ht="12.75" x14ac:dyDescent="0.2"/>
    <row r="44233" s="197" customFormat="1" ht="12.75" x14ac:dyDescent="0.2"/>
    <row r="44234" s="197" customFormat="1" ht="12.75" x14ac:dyDescent="0.2"/>
    <row r="44235" s="197" customFormat="1" ht="12.75" x14ac:dyDescent="0.2"/>
    <row r="44236" s="197" customFormat="1" ht="12.75" x14ac:dyDescent="0.2"/>
    <row r="44237" s="197" customFormat="1" ht="12.75" x14ac:dyDescent="0.2"/>
    <row r="44238" s="197" customFormat="1" ht="12.75" x14ac:dyDescent="0.2"/>
    <row r="44239" s="197" customFormat="1" ht="12.75" x14ac:dyDescent="0.2"/>
    <row r="44240" s="197" customFormat="1" ht="12.75" x14ac:dyDescent="0.2"/>
    <row r="44241" s="197" customFormat="1" ht="12.75" x14ac:dyDescent="0.2"/>
    <row r="44242" s="197" customFormat="1" ht="12.75" x14ac:dyDescent="0.2"/>
    <row r="44243" s="197" customFormat="1" ht="12.75" x14ac:dyDescent="0.2"/>
    <row r="44244" s="197" customFormat="1" ht="12.75" x14ac:dyDescent="0.2"/>
    <row r="44245" s="197" customFormat="1" ht="12.75" x14ac:dyDescent="0.2"/>
    <row r="44246" s="197" customFormat="1" ht="12.75" x14ac:dyDescent="0.2"/>
    <row r="44247" s="197" customFormat="1" ht="12.75" x14ac:dyDescent="0.2"/>
    <row r="44248" s="197" customFormat="1" ht="12.75" x14ac:dyDescent="0.2"/>
    <row r="44249" s="197" customFormat="1" ht="12.75" x14ac:dyDescent="0.2"/>
    <row r="44250" s="197" customFormat="1" ht="12.75" x14ac:dyDescent="0.2"/>
    <row r="44251" s="197" customFormat="1" ht="12.75" x14ac:dyDescent="0.2"/>
    <row r="44252" s="197" customFormat="1" ht="12.75" x14ac:dyDescent="0.2"/>
    <row r="44253" s="197" customFormat="1" ht="12.75" x14ac:dyDescent="0.2"/>
    <row r="44254" s="197" customFormat="1" ht="12.75" x14ac:dyDescent="0.2"/>
    <row r="44255" s="197" customFormat="1" ht="12.75" x14ac:dyDescent="0.2"/>
    <row r="44256" s="197" customFormat="1" ht="12.75" x14ac:dyDescent="0.2"/>
    <row r="44257" s="197" customFormat="1" ht="12.75" x14ac:dyDescent="0.2"/>
    <row r="44258" s="197" customFormat="1" ht="12.75" x14ac:dyDescent="0.2"/>
    <row r="44259" s="197" customFormat="1" ht="12.75" x14ac:dyDescent="0.2"/>
    <row r="44260" s="197" customFormat="1" ht="12.75" x14ac:dyDescent="0.2"/>
    <row r="44261" s="197" customFormat="1" ht="12.75" x14ac:dyDescent="0.2"/>
    <row r="44262" s="197" customFormat="1" ht="12.75" x14ac:dyDescent="0.2"/>
    <row r="44263" s="197" customFormat="1" ht="12.75" x14ac:dyDescent="0.2"/>
    <row r="44264" s="197" customFormat="1" ht="12.75" x14ac:dyDescent="0.2"/>
    <row r="44265" s="197" customFormat="1" ht="12.75" x14ac:dyDescent="0.2"/>
    <row r="44266" s="197" customFormat="1" ht="12.75" x14ac:dyDescent="0.2"/>
    <row r="44267" s="197" customFormat="1" ht="12.75" x14ac:dyDescent="0.2"/>
    <row r="44268" s="197" customFormat="1" ht="12.75" x14ac:dyDescent="0.2"/>
    <row r="44269" s="197" customFormat="1" ht="12.75" x14ac:dyDescent="0.2"/>
    <row r="44270" s="197" customFormat="1" ht="12.75" x14ac:dyDescent="0.2"/>
    <row r="44271" s="197" customFormat="1" ht="12.75" x14ac:dyDescent="0.2"/>
    <row r="44272" s="197" customFormat="1" ht="12.75" x14ac:dyDescent="0.2"/>
    <row r="44273" s="197" customFormat="1" ht="12.75" x14ac:dyDescent="0.2"/>
    <row r="44274" s="197" customFormat="1" ht="12.75" x14ac:dyDescent="0.2"/>
    <row r="44275" s="197" customFormat="1" ht="12.75" x14ac:dyDescent="0.2"/>
    <row r="44276" s="197" customFormat="1" ht="12.75" x14ac:dyDescent="0.2"/>
    <row r="44277" s="197" customFormat="1" ht="12.75" x14ac:dyDescent="0.2"/>
    <row r="44278" s="197" customFormat="1" ht="12.75" x14ac:dyDescent="0.2"/>
    <row r="44279" s="197" customFormat="1" ht="12.75" x14ac:dyDescent="0.2"/>
    <row r="44280" s="197" customFormat="1" ht="12.75" x14ac:dyDescent="0.2"/>
    <row r="44281" s="197" customFormat="1" ht="12.75" x14ac:dyDescent="0.2"/>
    <row r="44282" s="197" customFormat="1" ht="12.75" x14ac:dyDescent="0.2"/>
    <row r="44283" s="197" customFormat="1" ht="12.75" x14ac:dyDescent="0.2"/>
    <row r="44284" s="197" customFormat="1" ht="12.75" x14ac:dyDescent="0.2"/>
    <row r="44285" s="197" customFormat="1" ht="12.75" x14ac:dyDescent="0.2"/>
    <row r="44286" s="197" customFormat="1" ht="12.75" x14ac:dyDescent="0.2"/>
    <row r="44287" s="197" customFormat="1" ht="12.75" x14ac:dyDescent="0.2"/>
    <row r="44288" s="197" customFormat="1" ht="12.75" x14ac:dyDescent="0.2"/>
    <row r="44289" s="197" customFormat="1" ht="12.75" x14ac:dyDescent="0.2"/>
    <row r="44290" s="197" customFormat="1" ht="12.75" x14ac:dyDescent="0.2"/>
    <row r="44291" s="197" customFormat="1" ht="12.75" x14ac:dyDescent="0.2"/>
    <row r="44292" s="197" customFormat="1" ht="12.75" x14ac:dyDescent="0.2"/>
    <row r="44293" s="197" customFormat="1" ht="12.75" x14ac:dyDescent="0.2"/>
    <row r="44294" s="197" customFormat="1" ht="12.75" x14ac:dyDescent="0.2"/>
    <row r="44295" s="197" customFormat="1" ht="12.75" x14ac:dyDescent="0.2"/>
    <row r="44296" s="197" customFormat="1" ht="12.75" x14ac:dyDescent="0.2"/>
    <row r="44297" s="197" customFormat="1" ht="12.75" x14ac:dyDescent="0.2"/>
    <row r="44298" s="197" customFormat="1" ht="12.75" x14ac:dyDescent="0.2"/>
    <row r="44299" s="197" customFormat="1" ht="12.75" x14ac:dyDescent="0.2"/>
    <row r="44300" s="197" customFormat="1" ht="12.75" x14ac:dyDescent="0.2"/>
    <row r="44301" s="197" customFormat="1" ht="12.75" x14ac:dyDescent="0.2"/>
    <row r="44302" s="197" customFormat="1" ht="12.75" x14ac:dyDescent="0.2"/>
    <row r="44303" s="197" customFormat="1" ht="12.75" x14ac:dyDescent="0.2"/>
    <row r="44304" s="197" customFormat="1" ht="12.75" x14ac:dyDescent="0.2"/>
    <row r="44305" s="197" customFormat="1" ht="12.75" x14ac:dyDescent="0.2"/>
    <row r="44306" s="197" customFormat="1" ht="12.75" x14ac:dyDescent="0.2"/>
    <row r="44307" s="197" customFormat="1" ht="12.75" x14ac:dyDescent="0.2"/>
    <row r="44308" s="197" customFormat="1" ht="12.75" x14ac:dyDescent="0.2"/>
    <row r="44309" s="197" customFormat="1" ht="12.75" x14ac:dyDescent="0.2"/>
    <row r="44310" s="197" customFormat="1" ht="12.75" x14ac:dyDescent="0.2"/>
    <row r="44311" s="197" customFormat="1" ht="12.75" x14ac:dyDescent="0.2"/>
    <row r="44312" s="197" customFormat="1" ht="12.75" x14ac:dyDescent="0.2"/>
    <row r="44313" s="197" customFormat="1" ht="12.75" x14ac:dyDescent="0.2"/>
    <row r="44314" s="197" customFormat="1" ht="12.75" x14ac:dyDescent="0.2"/>
    <row r="44315" s="197" customFormat="1" ht="12.75" x14ac:dyDescent="0.2"/>
    <row r="44316" s="197" customFormat="1" ht="12.75" x14ac:dyDescent="0.2"/>
    <row r="44317" s="197" customFormat="1" ht="12.75" x14ac:dyDescent="0.2"/>
    <row r="44318" s="197" customFormat="1" ht="12.75" x14ac:dyDescent="0.2"/>
    <row r="44319" s="197" customFormat="1" ht="12.75" x14ac:dyDescent="0.2"/>
    <row r="44320" s="197" customFormat="1" ht="12.75" x14ac:dyDescent="0.2"/>
    <row r="44321" s="197" customFormat="1" ht="12.75" x14ac:dyDescent="0.2"/>
    <row r="44322" s="197" customFormat="1" ht="12.75" x14ac:dyDescent="0.2"/>
    <row r="44323" s="197" customFormat="1" ht="12.75" x14ac:dyDescent="0.2"/>
    <row r="44324" s="197" customFormat="1" ht="12.75" x14ac:dyDescent="0.2"/>
    <row r="44325" s="197" customFormat="1" ht="12.75" x14ac:dyDescent="0.2"/>
    <row r="44326" s="197" customFormat="1" ht="12.75" x14ac:dyDescent="0.2"/>
    <row r="44327" s="197" customFormat="1" ht="12.75" x14ac:dyDescent="0.2"/>
    <row r="44328" s="197" customFormat="1" ht="12.75" x14ac:dyDescent="0.2"/>
    <row r="44329" s="197" customFormat="1" ht="12.75" x14ac:dyDescent="0.2"/>
    <row r="44330" s="197" customFormat="1" ht="12.75" x14ac:dyDescent="0.2"/>
    <row r="44331" s="197" customFormat="1" ht="12.75" x14ac:dyDescent="0.2"/>
    <row r="44332" s="197" customFormat="1" ht="12.75" x14ac:dyDescent="0.2"/>
    <row r="44333" s="197" customFormat="1" ht="12.75" x14ac:dyDescent="0.2"/>
    <row r="44334" s="197" customFormat="1" ht="12.75" x14ac:dyDescent="0.2"/>
    <row r="44335" s="197" customFormat="1" ht="12.75" x14ac:dyDescent="0.2"/>
    <row r="44336" s="197" customFormat="1" ht="12.75" x14ac:dyDescent="0.2"/>
    <row r="44337" s="197" customFormat="1" ht="12.75" x14ac:dyDescent="0.2"/>
    <row r="44338" s="197" customFormat="1" ht="12.75" x14ac:dyDescent="0.2"/>
    <row r="44339" s="197" customFormat="1" ht="12.75" x14ac:dyDescent="0.2"/>
    <row r="44340" s="197" customFormat="1" ht="12.75" x14ac:dyDescent="0.2"/>
    <row r="44341" s="197" customFormat="1" ht="12.75" x14ac:dyDescent="0.2"/>
    <row r="44342" s="197" customFormat="1" ht="12.75" x14ac:dyDescent="0.2"/>
    <row r="44343" s="197" customFormat="1" ht="12.75" x14ac:dyDescent="0.2"/>
    <row r="44344" s="197" customFormat="1" ht="12.75" x14ac:dyDescent="0.2"/>
    <row r="44345" s="197" customFormat="1" ht="12.75" x14ac:dyDescent="0.2"/>
    <row r="44346" s="197" customFormat="1" ht="12.75" x14ac:dyDescent="0.2"/>
    <row r="44347" s="197" customFormat="1" ht="12.75" x14ac:dyDescent="0.2"/>
    <row r="44348" s="197" customFormat="1" ht="12.75" x14ac:dyDescent="0.2"/>
    <row r="44349" s="197" customFormat="1" ht="12.75" x14ac:dyDescent="0.2"/>
    <row r="44350" s="197" customFormat="1" ht="12.75" x14ac:dyDescent="0.2"/>
    <row r="44351" s="197" customFormat="1" ht="12.75" x14ac:dyDescent="0.2"/>
    <row r="44352" s="197" customFormat="1" ht="12.75" x14ac:dyDescent="0.2"/>
    <row r="44353" s="197" customFormat="1" ht="12.75" x14ac:dyDescent="0.2"/>
    <row r="44354" s="197" customFormat="1" ht="12.75" x14ac:dyDescent="0.2"/>
    <row r="44355" s="197" customFormat="1" ht="12.75" x14ac:dyDescent="0.2"/>
    <row r="44356" s="197" customFormat="1" ht="12.75" x14ac:dyDescent="0.2"/>
    <row r="44357" s="197" customFormat="1" ht="12.75" x14ac:dyDescent="0.2"/>
    <row r="44358" s="197" customFormat="1" ht="12.75" x14ac:dyDescent="0.2"/>
    <row r="44359" s="197" customFormat="1" ht="12.75" x14ac:dyDescent="0.2"/>
    <row r="44360" s="197" customFormat="1" ht="12.75" x14ac:dyDescent="0.2"/>
    <row r="44361" s="197" customFormat="1" ht="12.75" x14ac:dyDescent="0.2"/>
    <row r="44362" s="197" customFormat="1" ht="12.75" x14ac:dyDescent="0.2"/>
    <row r="44363" s="197" customFormat="1" ht="12.75" x14ac:dyDescent="0.2"/>
    <row r="44364" s="197" customFormat="1" ht="12.75" x14ac:dyDescent="0.2"/>
    <row r="44365" s="197" customFormat="1" ht="12.75" x14ac:dyDescent="0.2"/>
    <row r="44366" s="197" customFormat="1" ht="12.75" x14ac:dyDescent="0.2"/>
    <row r="44367" s="197" customFormat="1" ht="12.75" x14ac:dyDescent="0.2"/>
    <row r="44368" s="197" customFormat="1" ht="12.75" x14ac:dyDescent="0.2"/>
    <row r="44369" s="197" customFormat="1" ht="12.75" x14ac:dyDescent="0.2"/>
    <row r="44370" s="197" customFormat="1" ht="12.75" x14ac:dyDescent="0.2"/>
    <row r="44371" s="197" customFormat="1" ht="12.75" x14ac:dyDescent="0.2"/>
    <row r="44372" s="197" customFormat="1" ht="12.75" x14ac:dyDescent="0.2"/>
    <row r="44373" s="197" customFormat="1" ht="12.75" x14ac:dyDescent="0.2"/>
    <row r="44374" s="197" customFormat="1" ht="12.75" x14ac:dyDescent="0.2"/>
    <row r="44375" s="197" customFormat="1" ht="12.75" x14ac:dyDescent="0.2"/>
    <row r="44376" s="197" customFormat="1" ht="12.75" x14ac:dyDescent="0.2"/>
    <row r="44377" s="197" customFormat="1" ht="12.75" x14ac:dyDescent="0.2"/>
    <row r="44378" s="197" customFormat="1" ht="12.75" x14ac:dyDescent="0.2"/>
    <row r="44379" s="197" customFormat="1" ht="12.75" x14ac:dyDescent="0.2"/>
    <row r="44380" s="197" customFormat="1" ht="12.75" x14ac:dyDescent="0.2"/>
    <row r="44381" s="197" customFormat="1" ht="12.75" x14ac:dyDescent="0.2"/>
    <row r="44382" s="197" customFormat="1" ht="12.75" x14ac:dyDescent="0.2"/>
    <row r="44383" s="197" customFormat="1" ht="12.75" x14ac:dyDescent="0.2"/>
    <row r="44384" s="197" customFormat="1" ht="12.75" x14ac:dyDescent="0.2"/>
    <row r="44385" s="197" customFormat="1" ht="12.75" x14ac:dyDescent="0.2"/>
    <row r="44386" s="197" customFormat="1" ht="12.75" x14ac:dyDescent="0.2"/>
    <row r="44387" s="197" customFormat="1" ht="12.75" x14ac:dyDescent="0.2"/>
    <row r="44388" s="197" customFormat="1" ht="12.75" x14ac:dyDescent="0.2"/>
    <row r="44389" s="197" customFormat="1" ht="12.75" x14ac:dyDescent="0.2"/>
    <row r="44390" s="197" customFormat="1" ht="12.75" x14ac:dyDescent="0.2"/>
    <row r="44391" s="197" customFormat="1" ht="12.75" x14ac:dyDescent="0.2"/>
    <row r="44392" s="197" customFormat="1" ht="12.75" x14ac:dyDescent="0.2"/>
    <row r="44393" s="197" customFormat="1" ht="12.75" x14ac:dyDescent="0.2"/>
    <row r="44394" s="197" customFormat="1" ht="12.75" x14ac:dyDescent="0.2"/>
    <row r="44395" s="197" customFormat="1" ht="12.75" x14ac:dyDescent="0.2"/>
    <row r="44396" s="197" customFormat="1" ht="12.75" x14ac:dyDescent="0.2"/>
    <row r="44397" s="197" customFormat="1" ht="12.75" x14ac:dyDescent="0.2"/>
    <row r="44398" s="197" customFormat="1" ht="12.75" x14ac:dyDescent="0.2"/>
    <row r="44399" s="197" customFormat="1" ht="12.75" x14ac:dyDescent="0.2"/>
    <row r="44400" s="197" customFormat="1" ht="12.75" x14ac:dyDescent="0.2"/>
    <row r="44401" s="197" customFormat="1" ht="12.75" x14ac:dyDescent="0.2"/>
    <row r="44402" s="197" customFormat="1" ht="12.75" x14ac:dyDescent="0.2"/>
    <row r="44403" s="197" customFormat="1" ht="12.75" x14ac:dyDescent="0.2"/>
    <row r="44404" s="197" customFormat="1" ht="12.75" x14ac:dyDescent="0.2"/>
    <row r="44405" s="197" customFormat="1" ht="12.75" x14ac:dyDescent="0.2"/>
    <row r="44406" s="197" customFormat="1" ht="12.75" x14ac:dyDescent="0.2"/>
    <row r="44407" s="197" customFormat="1" ht="12.75" x14ac:dyDescent="0.2"/>
    <row r="44408" s="197" customFormat="1" ht="12.75" x14ac:dyDescent="0.2"/>
    <row r="44409" s="197" customFormat="1" ht="12.75" x14ac:dyDescent="0.2"/>
    <row r="44410" s="197" customFormat="1" ht="12.75" x14ac:dyDescent="0.2"/>
    <row r="44411" s="197" customFormat="1" ht="12.75" x14ac:dyDescent="0.2"/>
    <row r="44412" s="197" customFormat="1" ht="12.75" x14ac:dyDescent="0.2"/>
    <row r="44413" s="197" customFormat="1" ht="12.75" x14ac:dyDescent="0.2"/>
    <row r="44414" s="197" customFormat="1" ht="12.75" x14ac:dyDescent="0.2"/>
    <row r="44415" s="197" customFormat="1" ht="12.75" x14ac:dyDescent="0.2"/>
    <row r="44416" s="197" customFormat="1" ht="12.75" x14ac:dyDescent="0.2"/>
    <row r="44417" s="197" customFormat="1" ht="12.75" x14ac:dyDescent="0.2"/>
    <row r="44418" s="197" customFormat="1" ht="12.75" x14ac:dyDescent="0.2"/>
    <row r="44419" s="197" customFormat="1" ht="12.75" x14ac:dyDescent="0.2"/>
    <row r="44420" s="197" customFormat="1" ht="12.75" x14ac:dyDescent="0.2"/>
    <row r="44421" s="197" customFormat="1" ht="12.75" x14ac:dyDescent="0.2"/>
    <row r="44422" s="197" customFormat="1" ht="12.75" x14ac:dyDescent="0.2"/>
    <row r="44423" s="197" customFormat="1" ht="12.75" x14ac:dyDescent="0.2"/>
    <row r="44424" s="197" customFormat="1" ht="12.75" x14ac:dyDescent="0.2"/>
    <row r="44425" s="197" customFormat="1" ht="12.75" x14ac:dyDescent="0.2"/>
    <row r="44426" s="197" customFormat="1" ht="12.75" x14ac:dyDescent="0.2"/>
    <row r="44427" s="197" customFormat="1" ht="12.75" x14ac:dyDescent="0.2"/>
    <row r="44428" s="197" customFormat="1" ht="12.75" x14ac:dyDescent="0.2"/>
    <row r="44429" s="197" customFormat="1" ht="12.75" x14ac:dyDescent="0.2"/>
    <row r="44430" s="197" customFormat="1" ht="12.75" x14ac:dyDescent="0.2"/>
    <row r="44431" s="197" customFormat="1" ht="12.75" x14ac:dyDescent="0.2"/>
    <row r="44432" s="197" customFormat="1" ht="12.75" x14ac:dyDescent="0.2"/>
    <row r="44433" s="197" customFormat="1" ht="12.75" x14ac:dyDescent="0.2"/>
    <row r="44434" s="197" customFormat="1" ht="12.75" x14ac:dyDescent="0.2"/>
    <row r="44435" s="197" customFormat="1" ht="12.75" x14ac:dyDescent="0.2"/>
    <row r="44436" s="197" customFormat="1" ht="12.75" x14ac:dyDescent="0.2"/>
    <row r="44437" s="197" customFormat="1" ht="12.75" x14ac:dyDescent="0.2"/>
    <row r="44438" s="197" customFormat="1" ht="12.75" x14ac:dyDescent="0.2"/>
    <row r="44439" s="197" customFormat="1" ht="12.75" x14ac:dyDescent="0.2"/>
    <row r="44440" s="197" customFormat="1" ht="12.75" x14ac:dyDescent="0.2"/>
    <row r="44441" s="197" customFormat="1" ht="12.75" x14ac:dyDescent="0.2"/>
    <row r="44442" s="197" customFormat="1" ht="12.75" x14ac:dyDescent="0.2"/>
    <row r="44443" s="197" customFormat="1" ht="12.75" x14ac:dyDescent="0.2"/>
    <row r="44444" s="197" customFormat="1" ht="12.75" x14ac:dyDescent="0.2"/>
    <row r="44445" s="197" customFormat="1" ht="12.75" x14ac:dyDescent="0.2"/>
    <row r="44446" s="197" customFormat="1" ht="12.75" x14ac:dyDescent="0.2"/>
    <row r="44447" s="197" customFormat="1" ht="12.75" x14ac:dyDescent="0.2"/>
    <row r="44448" s="197" customFormat="1" ht="12.75" x14ac:dyDescent="0.2"/>
    <row r="44449" s="197" customFormat="1" ht="12.75" x14ac:dyDescent="0.2"/>
    <row r="44450" s="197" customFormat="1" ht="12.75" x14ac:dyDescent="0.2"/>
    <row r="44451" s="197" customFormat="1" ht="12.75" x14ac:dyDescent="0.2"/>
    <row r="44452" s="197" customFormat="1" ht="12.75" x14ac:dyDescent="0.2"/>
    <row r="44453" s="197" customFormat="1" ht="12.75" x14ac:dyDescent="0.2"/>
    <row r="44454" s="197" customFormat="1" ht="12.75" x14ac:dyDescent="0.2"/>
    <row r="44455" s="197" customFormat="1" ht="12.75" x14ac:dyDescent="0.2"/>
    <row r="44456" s="197" customFormat="1" ht="12.75" x14ac:dyDescent="0.2"/>
    <row r="44457" s="197" customFormat="1" ht="12.75" x14ac:dyDescent="0.2"/>
    <row r="44458" s="197" customFormat="1" ht="12.75" x14ac:dyDescent="0.2"/>
    <row r="44459" s="197" customFormat="1" ht="12.75" x14ac:dyDescent="0.2"/>
    <row r="44460" s="197" customFormat="1" ht="12.75" x14ac:dyDescent="0.2"/>
    <row r="44461" s="197" customFormat="1" ht="12.75" x14ac:dyDescent="0.2"/>
    <row r="44462" s="197" customFormat="1" ht="12.75" x14ac:dyDescent="0.2"/>
    <row r="44463" s="197" customFormat="1" ht="12.75" x14ac:dyDescent="0.2"/>
    <row r="44464" s="197" customFormat="1" ht="12.75" x14ac:dyDescent="0.2"/>
    <row r="44465" s="197" customFormat="1" ht="12.75" x14ac:dyDescent="0.2"/>
    <row r="44466" s="197" customFormat="1" ht="12.75" x14ac:dyDescent="0.2"/>
    <row r="44467" s="197" customFormat="1" ht="12.75" x14ac:dyDescent="0.2"/>
    <row r="44468" s="197" customFormat="1" ht="12.75" x14ac:dyDescent="0.2"/>
    <row r="44469" s="197" customFormat="1" ht="12.75" x14ac:dyDescent="0.2"/>
    <row r="44470" s="197" customFormat="1" ht="12.75" x14ac:dyDescent="0.2"/>
    <row r="44471" s="197" customFormat="1" ht="12.75" x14ac:dyDescent="0.2"/>
    <row r="44472" s="197" customFormat="1" ht="12.75" x14ac:dyDescent="0.2"/>
    <row r="44473" s="197" customFormat="1" ht="12.75" x14ac:dyDescent="0.2"/>
    <row r="44474" s="197" customFormat="1" ht="12.75" x14ac:dyDescent="0.2"/>
    <row r="44475" s="197" customFormat="1" ht="12.75" x14ac:dyDescent="0.2"/>
    <row r="44476" s="197" customFormat="1" ht="12.75" x14ac:dyDescent="0.2"/>
    <row r="44477" s="197" customFormat="1" ht="12.75" x14ac:dyDescent="0.2"/>
    <row r="44478" s="197" customFormat="1" ht="12.75" x14ac:dyDescent="0.2"/>
    <row r="44479" s="197" customFormat="1" ht="12.75" x14ac:dyDescent="0.2"/>
    <row r="44480" s="197" customFormat="1" ht="12.75" x14ac:dyDescent="0.2"/>
    <row r="44481" s="197" customFormat="1" ht="12.75" x14ac:dyDescent="0.2"/>
    <row r="44482" s="197" customFormat="1" ht="12.75" x14ac:dyDescent="0.2"/>
    <row r="44483" s="197" customFormat="1" ht="12.75" x14ac:dyDescent="0.2"/>
    <row r="44484" s="197" customFormat="1" ht="12.75" x14ac:dyDescent="0.2"/>
    <row r="44485" s="197" customFormat="1" ht="12.75" x14ac:dyDescent="0.2"/>
    <row r="44486" s="197" customFormat="1" ht="12.75" x14ac:dyDescent="0.2"/>
    <row r="44487" s="197" customFormat="1" ht="12.75" x14ac:dyDescent="0.2"/>
    <row r="44488" s="197" customFormat="1" ht="12.75" x14ac:dyDescent="0.2"/>
    <row r="44489" s="197" customFormat="1" ht="12.75" x14ac:dyDescent="0.2"/>
    <row r="44490" s="197" customFormat="1" ht="12.75" x14ac:dyDescent="0.2"/>
    <row r="44491" s="197" customFormat="1" ht="12.75" x14ac:dyDescent="0.2"/>
    <row r="44492" s="197" customFormat="1" ht="12.75" x14ac:dyDescent="0.2"/>
    <row r="44493" s="197" customFormat="1" ht="12.75" x14ac:dyDescent="0.2"/>
    <row r="44494" s="197" customFormat="1" ht="12.75" x14ac:dyDescent="0.2"/>
    <row r="44495" s="197" customFormat="1" ht="12.75" x14ac:dyDescent="0.2"/>
    <row r="44496" s="197" customFormat="1" ht="12.75" x14ac:dyDescent="0.2"/>
    <row r="44497" s="197" customFormat="1" ht="12.75" x14ac:dyDescent="0.2"/>
    <row r="44498" s="197" customFormat="1" ht="12.75" x14ac:dyDescent="0.2"/>
    <row r="44499" s="197" customFormat="1" ht="12.75" x14ac:dyDescent="0.2"/>
    <row r="44500" s="197" customFormat="1" ht="12.75" x14ac:dyDescent="0.2"/>
    <row r="44501" s="197" customFormat="1" ht="12.75" x14ac:dyDescent="0.2"/>
    <row r="44502" s="197" customFormat="1" ht="12.75" x14ac:dyDescent="0.2"/>
    <row r="44503" s="197" customFormat="1" ht="12.75" x14ac:dyDescent="0.2"/>
    <row r="44504" s="197" customFormat="1" ht="12.75" x14ac:dyDescent="0.2"/>
    <row r="44505" s="197" customFormat="1" ht="12.75" x14ac:dyDescent="0.2"/>
    <row r="44506" s="197" customFormat="1" ht="12.75" x14ac:dyDescent="0.2"/>
    <row r="44507" s="197" customFormat="1" ht="12.75" x14ac:dyDescent="0.2"/>
    <row r="44508" s="197" customFormat="1" ht="12.75" x14ac:dyDescent="0.2"/>
    <row r="44509" s="197" customFormat="1" ht="12.75" x14ac:dyDescent="0.2"/>
    <row r="44510" s="197" customFormat="1" ht="12.75" x14ac:dyDescent="0.2"/>
    <row r="44511" s="197" customFormat="1" ht="12.75" x14ac:dyDescent="0.2"/>
    <row r="44512" s="197" customFormat="1" ht="12.75" x14ac:dyDescent="0.2"/>
    <row r="44513" s="197" customFormat="1" ht="12.75" x14ac:dyDescent="0.2"/>
    <row r="44514" s="197" customFormat="1" ht="12.75" x14ac:dyDescent="0.2"/>
    <row r="44515" s="197" customFormat="1" ht="12.75" x14ac:dyDescent="0.2"/>
    <row r="44516" s="197" customFormat="1" ht="12.75" x14ac:dyDescent="0.2"/>
    <row r="44517" s="197" customFormat="1" ht="12.75" x14ac:dyDescent="0.2"/>
    <row r="44518" s="197" customFormat="1" ht="12.75" x14ac:dyDescent="0.2"/>
    <row r="44519" s="197" customFormat="1" ht="12.75" x14ac:dyDescent="0.2"/>
    <row r="44520" s="197" customFormat="1" ht="12.75" x14ac:dyDescent="0.2"/>
    <row r="44521" s="197" customFormat="1" ht="12.75" x14ac:dyDescent="0.2"/>
    <row r="44522" s="197" customFormat="1" ht="12.75" x14ac:dyDescent="0.2"/>
    <row r="44523" s="197" customFormat="1" ht="12.75" x14ac:dyDescent="0.2"/>
    <row r="44524" s="197" customFormat="1" ht="12.75" x14ac:dyDescent="0.2"/>
    <row r="44525" s="197" customFormat="1" ht="12.75" x14ac:dyDescent="0.2"/>
    <row r="44526" s="197" customFormat="1" ht="12.75" x14ac:dyDescent="0.2"/>
    <row r="44527" s="197" customFormat="1" ht="12.75" x14ac:dyDescent="0.2"/>
    <row r="44528" s="197" customFormat="1" ht="12.75" x14ac:dyDescent="0.2"/>
    <row r="44529" s="197" customFormat="1" ht="12.75" x14ac:dyDescent="0.2"/>
    <row r="44530" s="197" customFormat="1" ht="12.75" x14ac:dyDescent="0.2"/>
    <row r="44531" s="197" customFormat="1" ht="12.75" x14ac:dyDescent="0.2"/>
    <row r="44532" s="197" customFormat="1" ht="12.75" x14ac:dyDescent="0.2"/>
    <row r="44533" s="197" customFormat="1" ht="12.75" x14ac:dyDescent="0.2"/>
    <row r="44534" s="197" customFormat="1" ht="12.75" x14ac:dyDescent="0.2"/>
    <row r="44535" s="197" customFormat="1" ht="12.75" x14ac:dyDescent="0.2"/>
    <row r="44536" s="197" customFormat="1" ht="12.75" x14ac:dyDescent="0.2"/>
    <row r="44537" s="197" customFormat="1" ht="12.75" x14ac:dyDescent="0.2"/>
    <row r="44538" s="197" customFormat="1" ht="12.75" x14ac:dyDescent="0.2"/>
    <row r="44539" s="197" customFormat="1" ht="12.75" x14ac:dyDescent="0.2"/>
    <row r="44540" s="197" customFormat="1" ht="12.75" x14ac:dyDescent="0.2"/>
    <row r="44541" s="197" customFormat="1" ht="12.75" x14ac:dyDescent="0.2"/>
    <row r="44542" s="197" customFormat="1" ht="12.75" x14ac:dyDescent="0.2"/>
    <row r="44543" s="197" customFormat="1" ht="12.75" x14ac:dyDescent="0.2"/>
    <row r="44544" s="197" customFormat="1" ht="12.75" x14ac:dyDescent="0.2"/>
    <row r="44545" s="197" customFormat="1" ht="12.75" x14ac:dyDescent="0.2"/>
    <row r="44546" s="197" customFormat="1" ht="12.75" x14ac:dyDescent="0.2"/>
    <row r="44547" s="197" customFormat="1" ht="12.75" x14ac:dyDescent="0.2"/>
    <row r="44548" s="197" customFormat="1" ht="12.75" x14ac:dyDescent="0.2"/>
    <row r="44549" s="197" customFormat="1" ht="12.75" x14ac:dyDescent="0.2"/>
    <row r="44550" s="197" customFormat="1" ht="12.75" x14ac:dyDescent="0.2"/>
    <row r="44551" s="197" customFormat="1" ht="12.75" x14ac:dyDescent="0.2"/>
    <row r="44552" s="197" customFormat="1" ht="12.75" x14ac:dyDescent="0.2"/>
    <row r="44553" s="197" customFormat="1" ht="12.75" x14ac:dyDescent="0.2"/>
    <row r="44554" s="197" customFormat="1" ht="12.75" x14ac:dyDescent="0.2"/>
    <row r="44555" s="197" customFormat="1" ht="12.75" x14ac:dyDescent="0.2"/>
    <row r="44556" s="197" customFormat="1" ht="12.75" x14ac:dyDescent="0.2"/>
    <row r="44557" s="197" customFormat="1" ht="12.75" x14ac:dyDescent="0.2"/>
    <row r="44558" s="197" customFormat="1" ht="12.75" x14ac:dyDescent="0.2"/>
    <row r="44559" s="197" customFormat="1" ht="12.75" x14ac:dyDescent="0.2"/>
    <row r="44560" s="197" customFormat="1" ht="12.75" x14ac:dyDescent="0.2"/>
    <row r="44561" s="197" customFormat="1" ht="12.75" x14ac:dyDescent="0.2"/>
    <row r="44562" s="197" customFormat="1" ht="12.75" x14ac:dyDescent="0.2"/>
    <row r="44563" s="197" customFormat="1" ht="12.75" x14ac:dyDescent="0.2"/>
    <row r="44564" s="197" customFormat="1" ht="12.75" x14ac:dyDescent="0.2"/>
    <row r="44565" s="197" customFormat="1" ht="12.75" x14ac:dyDescent="0.2"/>
    <row r="44566" s="197" customFormat="1" ht="12.75" x14ac:dyDescent="0.2"/>
    <row r="44567" s="197" customFormat="1" ht="12.75" x14ac:dyDescent="0.2"/>
    <row r="44568" s="197" customFormat="1" ht="12.75" x14ac:dyDescent="0.2"/>
    <row r="44569" s="197" customFormat="1" ht="12.75" x14ac:dyDescent="0.2"/>
    <row r="44570" s="197" customFormat="1" ht="12.75" x14ac:dyDescent="0.2"/>
    <row r="44571" s="197" customFormat="1" ht="12.75" x14ac:dyDescent="0.2"/>
    <row r="44572" s="197" customFormat="1" ht="12.75" x14ac:dyDescent="0.2"/>
    <row r="44573" s="197" customFormat="1" ht="12.75" x14ac:dyDescent="0.2"/>
    <row r="44574" s="197" customFormat="1" ht="12.75" x14ac:dyDescent="0.2"/>
    <row r="44575" s="197" customFormat="1" ht="12.75" x14ac:dyDescent="0.2"/>
    <row r="44576" s="197" customFormat="1" ht="12.75" x14ac:dyDescent="0.2"/>
    <row r="44577" s="197" customFormat="1" ht="12.75" x14ac:dyDescent="0.2"/>
    <row r="44578" s="197" customFormat="1" ht="12.75" x14ac:dyDescent="0.2"/>
    <row r="44579" s="197" customFormat="1" ht="12.75" x14ac:dyDescent="0.2"/>
    <row r="44580" s="197" customFormat="1" ht="12.75" x14ac:dyDescent="0.2"/>
    <row r="44581" s="197" customFormat="1" ht="12.75" x14ac:dyDescent="0.2"/>
    <row r="44582" s="197" customFormat="1" ht="12.75" x14ac:dyDescent="0.2"/>
    <row r="44583" s="197" customFormat="1" ht="12.75" x14ac:dyDescent="0.2"/>
    <row r="44584" s="197" customFormat="1" ht="12.75" x14ac:dyDescent="0.2"/>
    <row r="44585" s="197" customFormat="1" ht="12.75" x14ac:dyDescent="0.2"/>
    <row r="44586" s="197" customFormat="1" ht="12.75" x14ac:dyDescent="0.2"/>
    <row r="44587" s="197" customFormat="1" ht="12.75" x14ac:dyDescent="0.2"/>
    <row r="44588" s="197" customFormat="1" ht="12.75" x14ac:dyDescent="0.2"/>
    <row r="44589" s="197" customFormat="1" ht="12.75" x14ac:dyDescent="0.2"/>
    <row r="44590" s="197" customFormat="1" ht="12.75" x14ac:dyDescent="0.2"/>
    <row r="44591" s="197" customFormat="1" ht="12.75" x14ac:dyDescent="0.2"/>
    <row r="44592" s="197" customFormat="1" ht="12.75" x14ac:dyDescent="0.2"/>
    <row r="44593" s="197" customFormat="1" ht="12.75" x14ac:dyDescent="0.2"/>
    <row r="44594" s="197" customFormat="1" ht="12.75" x14ac:dyDescent="0.2"/>
    <row r="44595" s="197" customFormat="1" ht="12.75" x14ac:dyDescent="0.2"/>
    <row r="44596" s="197" customFormat="1" ht="12.75" x14ac:dyDescent="0.2"/>
    <row r="44597" s="197" customFormat="1" ht="12.75" x14ac:dyDescent="0.2"/>
    <row r="44598" s="197" customFormat="1" ht="12.75" x14ac:dyDescent="0.2"/>
    <row r="44599" s="197" customFormat="1" ht="12.75" x14ac:dyDescent="0.2"/>
    <row r="44600" s="197" customFormat="1" ht="12.75" x14ac:dyDescent="0.2"/>
    <row r="44601" s="197" customFormat="1" ht="12.75" x14ac:dyDescent="0.2"/>
    <row r="44602" s="197" customFormat="1" ht="12.75" x14ac:dyDescent="0.2"/>
    <row r="44603" s="197" customFormat="1" ht="12.75" x14ac:dyDescent="0.2"/>
    <row r="44604" s="197" customFormat="1" ht="12.75" x14ac:dyDescent="0.2"/>
    <row r="44605" s="197" customFormat="1" ht="12.75" x14ac:dyDescent="0.2"/>
    <row r="44606" s="197" customFormat="1" ht="12.75" x14ac:dyDescent="0.2"/>
    <row r="44607" s="197" customFormat="1" ht="12.75" x14ac:dyDescent="0.2"/>
    <row r="44608" s="197" customFormat="1" ht="12.75" x14ac:dyDescent="0.2"/>
    <row r="44609" s="197" customFormat="1" ht="12.75" x14ac:dyDescent="0.2"/>
    <row r="44610" s="197" customFormat="1" ht="12.75" x14ac:dyDescent="0.2"/>
    <row r="44611" s="197" customFormat="1" ht="12.75" x14ac:dyDescent="0.2"/>
    <row r="44612" s="197" customFormat="1" ht="12.75" x14ac:dyDescent="0.2"/>
    <row r="44613" s="197" customFormat="1" ht="12.75" x14ac:dyDescent="0.2"/>
    <row r="44614" s="197" customFormat="1" ht="12.75" x14ac:dyDescent="0.2"/>
    <row r="44615" s="197" customFormat="1" ht="12.75" x14ac:dyDescent="0.2"/>
    <row r="44616" s="197" customFormat="1" ht="12.75" x14ac:dyDescent="0.2"/>
    <row r="44617" s="197" customFormat="1" ht="12.75" x14ac:dyDescent="0.2"/>
    <row r="44618" s="197" customFormat="1" ht="12.75" x14ac:dyDescent="0.2"/>
    <row r="44619" s="197" customFormat="1" ht="12.75" x14ac:dyDescent="0.2"/>
    <row r="44620" s="197" customFormat="1" ht="12.75" x14ac:dyDescent="0.2"/>
    <row r="44621" s="197" customFormat="1" ht="12.75" x14ac:dyDescent="0.2"/>
    <row r="44622" s="197" customFormat="1" ht="12.75" x14ac:dyDescent="0.2"/>
    <row r="44623" s="197" customFormat="1" ht="12.75" x14ac:dyDescent="0.2"/>
    <row r="44624" s="197" customFormat="1" ht="12.75" x14ac:dyDescent="0.2"/>
    <row r="44625" s="197" customFormat="1" ht="12.75" x14ac:dyDescent="0.2"/>
    <row r="44626" s="197" customFormat="1" ht="12.75" x14ac:dyDescent="0.2"/>
    <row r="44627" s="197" customFormat="1" ht="12.75" x14ac:dyDescent="0.2"/>
    <row r="44628" s="197" customFormat="1" ht="12.75" x14ac:dyDescent="0.2"/>
    <row r="44629" s="197" customFormat="1" ht="12.75" x14ac:dyDescent="0.2"/>
    <row r="44630" s="197" customFormat="1" ht="12.75" x14ac:dyDescent="0.2"/>
    <row r="44631" s="197" customFormat="1" ht="12.75" x14ac:dyDescent="0.2"/>
    <row r="44632" s="197" customFormat="1" ht="12.75" x14ac:dyDescent="0.2"/>
    <row r="44633" s="197" customFormat="1" ht="12.75" x14ac:dyDescent="0.2"/>
    <row r="44634" s="197" customFormat="1" ht="12.75" x14ac:dyDescent="0.2"/>
    <row r="44635" s="197" customFormat="1" ht="12.75" x14ac:dyDescent="0.2"/>
    <row r="44636" s="197" customFormat="1" ht="12.75" x14ac:dyDescent="0.2"/>
    <row r="44637" s="197" customFormat="1" ht="12.75" x14ac:dyDescent="0.2"/>
    <row r="44638" s="197" customFormat="1" ht="12.75" x14ac:dyDescent="0.2"/>
    <row r="44639" s="197" customFormat="1" ht="12.75" x14ac:dyDescent="0.2"/>
    <row r="44640" s="197" customFormat="1" ht="12.75" x14ac:dyDescent="0.2"/>
    <row r="44641" s="197" customFormat="1" ht="12.75" x14ac:dyDescent="0.2"/>
    <row r="44642" s="197" customFormat="1" ht="12.75" x14ac:dyDescent="0.2"/>
    <row r="44643" s="197" customFormat="1" ht="12.75" x14ac:dyDescent="0.2"/>
    <row r="44644" s="197" customFormat="1" ht="12.75" x14ac:dyDescent="0.2"/>
    <row r="44645" s="197" customFormat="1" ht="12.75" x14ac:dyDescent="0.2"/>
    <row r="44646" s="197" customFormat="1" ht="12.75" x14ac:dyDescent="0.2"/>
    <row r="44647" s="197" customFormat="1" ht="12.75" x14ac:dyDescent="0.2"/>
    <row r="44648" s="197" customFormat="1" ht="12.75" x14ac:dyDescent="0.2"/>
    <row r="44649" s="197" customFormat="1" ht="12.75" x14ac:dyDescent="0.2"/>
    <row r="44650" s="197" customFormat="1" ht="12.75" x14ac:dyDescent="0.2"/>
    <row r="44651" s="197" customFormat="1" ht="12.75" x14ac:dyDescent="0.2"/>
    <row r="44652" s="197" customFormat="1" ht="12.75" x14ac:dyDescent="0.2"/>
    <row r="44653" s="197" customFormat="1" ht="12.75" x14ac:dyDescent="0.2"/>
    <row r="44654" s="197" customFormat="1" ht="12.75" x14ac:dyDescent="0.2"/>
    <row r="44655" s="197" customFormat="1" ht="12.75" x14ac:dyDescent="0.2"/>
    <row r="44656" s="197" customFormat="1" ht="12.75" x14ac:dyDescent="0.2"/>
    <row r="44657" s="197" customFormat="1" ht="12.75" x14ac:dyDescent="0.2"/>
    <row r="44658" s="197" customFormat="1" ht="12.75" x14ac:dyDescent="0.2"/>
    <row r="44659" s="197" customFormat="1" ht="12.75" x14ac:dyDescent="0.2"/>
    <row r="44660" s="197" customFormat="1" ht="12.75" x14ac:dyDescent="0.2"/>
    <row r="44661" s="197" customFormat="1" ht="12.75" x14ac:dyDescent="0.2"/>
    <row r="44662" s="197" customFormat="1" ht="12.75" x14ac:dyDescent="0.2"/>
    <row r="44663" s="197" customFormat="1" ht="12.75" x14ac:dyDescent="0.2"/>
    <row r="44664" s="197" customFormat="1" ht="12.75" x14ac:dyDescent="0.2"/>
    <row r="44665" s="197" customFormat="1" ht="12.75" x14ac:dyDescent="0.2"/>
    <row r="44666" s="197" customFormat="1" ht="12.75" x14ac:dyDescent="0.2"/>
    <row r="44667" s="197" customFormat="1" ht="12.75" x14ac:dyDescent="0.2"/>
    <row r="44668" s="197" customFormat="1" ht="12.75" x14ac:dyDescent="0.2"/>
    <row r="44669" s="197" customFormat="1" ht="12.75" x14ac:dyDescent="0.2"/>
    <row r="44670" s="197" customFormat="1" ht="12.75" x14ac:dyDescent="0.2"/>
    <row r="44671" s="197" customFormat="1" ht="12.75" x14ac:dyDescent="0.2"/>
    <row r="44672" s="197" customFormat="1" ht="12.75" x14ac:dyDescent="0.2"/>
    <row r="44673" s="197" customFormat="1" ht="12.75" x14ac:dyDescent="0.2"/>
    <row r="44674" s="197" customFormat="1" ht="12.75" x14ac:dyDescent="0.2"/>
    <row r="44675" s="197" customFormat="1" ht="12.75" x14ac:dyDescent="0.2"/>
    <row r="44676" s="197" customFormat="1" ht="12.75" x14ac:dyDescent="0.2"/>
    <row r="44677" s="197" customFormat="1" ht="12.75" x14ac:dyDescent="0.2"/>
    <row r="44678" s="197" customFormat="1" ht="12.75" x14ac:dyDescent="0.2"/>
    <row r="44679" s="197" customFormat="1" ht="12.75" x14ac:dyDescent="0.2"/>
    <row r="44680" s="197" customFormat="1" ht="12.75" x14ac:dyDescent="0.2"/>
    <row r="44681" s="197" customFormat="1" ht="12.75" x14ac:dyDescent="0.2"/>
    <row r="44682" s="197" customFormat="1" ht="12.75" x14ac:dyDescent="0.2"/>
    <row r="44683" s="197" customFormat="1" ht="12.75" x14ac:dyDescent="0.2"/>
    <row r="44684" s="197" customFormat="1" ht="12.75" x14ac:dyDescent="0.2"/>
    <row r="44685" s="197" customFormat="1" ht="12.75" x14ac:dyDescent="0.2"/>
    <row r="44686" s="197" customFormat="1" ht="12.75" x14ac:dyDescent="0.2"/>
    <row r="44687" s="197" customFormat="1" ht="12.75" x14ac:dyDescent="0.2"/>
    <row r="44688" s="197" customFormat="1" ht="12.75" x14ac:dyDescent="0.2"/>
    <row r="44689" s="197" customFormat="1" ht="12.75" x14ac:dyDescent="0.2"/>
    <row r="44690" s="197" customFormat="1" ht="12.75" x14ac:dyDescent="0.2"/>
    <row r="44691" s="197" customFormat="1" ht="12.75" x14ac:dyDescent="0.2"/>
    <row r="44692" s="197" customFormat="1" ht="12.75" x14ac:dyDescent="0.2"/>
    <row r="44693" s="197" customFormat="1" ht="12.75" x14ac:dyDescent="0.2"/>
    <row r="44694" s="197" customFormat="1" ht="12.75" x14ac:dyDescent="0.2"/>
    <row r="44695" s="197" customFormat="1" ht="12.75" x14ac:dyDescent="0.2"/>
    <row r="44696" s="197" customFormat="1" ht="12.75" x14ac:dyDescent="0.2"/>
    <row r="44697" s="197" customFormat="1" ht="12.75" x14ac:dyDescent="0.2"/>
    <row r="44698" s="197" customFormat="1" ht="12.75" x14ac:dyDescent="0.2"/>
    <row r="44699" s="197" customFormat="1" ht="12.75" x14ac:dyDescent="0.2"/>
    <row r="44700" s="197" customFormat="1" ht="12.75" x14ac:dyDescent="0.2"/>
    <row r="44701" s="197" customFormat="1" ht="12.75" x14ac:dyDescent="0.2"/>
    <row r="44702" s="197" customFormat="1" ht="12.75" x14ac:dyDescent="0.2"/>
    <row r="44703" s="197" customFormat="1" ht="12.75" x14ac:dyDescent="0.2"/>
    <row r="44704" s="197" customFormat="1" ht="12.75" x14ac:dyDescent="0.2"/>
    <row r="44705" s="197" customFormat="1" ht="12.75" x14ac:dyDescent="0.2"/>
    <row r="44706" s="197" customFormat="1" ht="12.75" x14ac:dyDescent="0.2"/>
    <row r="44707" s="197" customFormat="1" ht="12.75" x14ac:dyDescent="0.2"/>
    <row r="44708" s="197" customFormat="1" ht="12.75" x14ac:dyDescent="0.2"/>
    <row r="44709" s="197" customFormat="1" ht="12.75" x14ac:dyDescent="0.2"/>
    <row r="44710" s="197" customFormat="1" ht="12.75" x14ac:dyDescent="0.2"/>
    <row r="44711" s="197" customFormat="1" ht="12.75" x14ac:dyDescent="0.2"/>
    <row r="44712" s="197" customFormat="1" ht="12.75" x14ac:dyDescent="0.2"/>
    <row r="44713" s="197" customFormat="1" ht="12.75" x14ac:dyDescent="0.2"/>
    <row r="44714" s="197" customFormat="1" ht="12.75" x14ac:dyDescent="0.2"/>
    <row r="44715" s="197" customFormat="1" ht="12.75" x14ac:dyDescent="0.2"/>
    <row r="44716" s="197" customFormat="1" ht="12.75" x14ac:dyDescent="0.2"/>
    <row r="44717" s="197" customFormat="1" ht="12.75" x14ac:dyDescent="0.2"/>
    <row r="44718" s="197" customFormat="1" ht="12.75" x14ac:dyDescent="0.2"/>
    <row r="44719" s="197" customFormat="1" ht="12.75" x14ac:dyDescent="0.2"/>
    <row r="44720" s="197" customFormat="1" ht="12.75" x14ac:dyDescent="0.2"/>
    <row r="44721" s="197" customFormat="1" ht="12.75" x14ac:dyDescent="0.2"/>
    <row r="44722" s="197" customFormat="1" ht="12.75" x14ac:dyDescent="0.2"/>
    <row r="44723" s="197" customFormat="1" ht="12.75" x14ac:dyDescent="0.2"/>
    <row r="44724" s="197" customFormat="1" ht="12.75" x14ac:dyDescent="0.2"/>
    <row r="44725" s="197" customFormat="1" ht="12.75" x14ac:dyDescent="0.2"/>
    <row r="44726" s="197" customFormat="1" ht="12.75" x14ac:dyDescent="0.2"/>
    <row r="44727" s="197" customFormat="1" ht="12.75" x14ac:dyDescent="0.2"/>
    <row r="44728" s="197" customFormat="1" ht="12.75" x14ac:dyDescent="0.2"/>
    <row r="44729" s="197" customFormat="1" ht="12.75" x14ac:dyDescent="0.2"/>
    <row r="44730" s="197" customFormat="1" ht="12.75" x14ac:dyDescent="0.2"/>
    <row r="44731" s="197" customFormat="1" ht="12.75" x14ac:dyDescent="0.2"/>
    <row r="44732" s="197" customFormat="1" ht="12.75" x14ac:dyDescent="0.2"/>
    <row r="44733" s="197" customFormat="1" ht="12.75" x14ac:dyDescent="0.2"/>
    <row r="44734" s="197" customFormat="1" ht="12.75" x14ac:dyDescent="0.2"/>
    <row r="44735" s="197" customFormat="1" ht="12.75" x14ac:dyDescent="0.2"/>
    <row r="44736" s="197" customFormat="1" ht="12.75" x14ac:dyDescent="0.2"/>
    <row r="44737" s="197" customFormat="1" ht="12.75" x14ac:dyDescent="0.2"/>
    <row r="44738" s="197" customFormat="1" ht="12.75" x14ac:dyDescent="0.2"/>
    <row r="44739" s="197" customFormat="1" ht="12.75" x14ac:dyDescent="0.2"/>
    <row r="44740" s="197" customFormat="1" ht="12.75" x14ac:dyDescent="0.2"/>
    <row r="44741" s="197" customFormat="1" ht="12.75" x14ac:dyDescent="0.2"/>
    <row r="44742" s="197" customFormat="1" ht="12.75" x14ac:dyDescent="0.2"/>
    <row r="44743" s="197" customFormat="1" ht="12.75" x14ac:dyDescent="0.2"/>
    <row r="44744" s="197" customFormat="1" ht="12.75" x14ac:dyDescent="0.2"/>
    <row r="44745" s="197" customFormat="1" ht="12.75" x14ac:dyDescent="0.2"/>
    <row r="44746" s="197" customFormat="1" ht="12.75" x14ac:dyDescent="0.2"/>
    <row r="44747" s="197" customFormat="1" ht="12.75" x14ac:dyDescent="0.2"/>
    <row r="44748" s="197" customFormat="1" ht="12.75" x14ac:dyDescent="0.2"/>
    <row r="44749" s="197" customFormat="1" ht="12.75" x14ac:dyDescent="0.2"/>
    <row r="44750" s="197" customFormat="1" ht="12.75" x14ac:dyDescent="0.2"/>
    <row r="44751" s="197" customFormat="1" ht="12.75" x14ac:dyDescent="0.2"/>
    <row r="44752" s="197" customFormat="1" ht="12.75" x14ac:dyDescent="0.2"/>
    <row r="44753" s="197" customFormat="1" ht="12.75" x14ac:dyDescent="0.2"/>
    <row r="44754" s="197" customFormat="1" ht="12.75" x14ac:dyDescent="0.2"/>
    <row r="44755" s="197" customFormat="1" ht="12.75" x14ac:dyDescent="0.2"/>
    <row r="44756" s="197" customFormat="1" ht="12.75" x14ac:dyDescent="0.2"/>
    <row r="44757" s="197" customFormat="1" ht="12.75" x14ac:dyDescent="0.2"/>
    <row r="44758" s="197" customFormat="1" ht="12.75" x14ac:dyDescent="0.2"/>
    <row r="44759" s="197" customFormat="1" ht="12.75" x14ac:dyDescent="0.2"/>
    <row r="44760" s="197" customFormat="1" ht="12.75" x14ac:dyDescent="0.2"/>
    <row r="44761" s="197" customFormat="1" ht="12.75" x14ac:dyDescent="0.2"/>
    <row r="44762" s="197" customFormat="1" ht="12.75" x14ac:dyDescent="0.2"/>
    <row r="44763" s="197" customFormat="1" ht="12.75" x14ac:dyDescent="0.2"/>
    <row r="44764" s="197" customFormat="1" ht="12.75" x14ac:dyDescent="0.2"/>
    <row r="44765" s="197" customFormat="1" ht="12.75" x14ac:dyDescent="0.2"/>
    <row r="44766" s="197" customFormat="1" ht="12.75" x14ac:dyDescent="0.2"/>
    <row r="44767" s="197" customFormat="1" ht="12.75" x14ac:dyDescent="0.2"/>
    <row r="44768" s="197" customFormat="1" ht="12.75" x14ac:dyDescent="0.2"/>
    <row r="44769" s="197" customFormat="1" ht="12.75" x14ac:dyDescent="0.2"/>
    <row r="44770" s="197" customFormat="1" ht="12.75" x14ac:dyDescent="0.2"/>
    <row r="44771" s="197" customFormat="1" ht="12.75" x14ac:dyDescent="0.2"/>
    <row r="44772" s="197" customFormat="1" ht="12.75" x14ac:dyDescent="0.2"/>
    <row r="44773" s="197" customFormat="1" ht="12.75" x14ac:dyDescent="0.2"/>
    <row r="44774" s="197" customFormat="1" ht="12.75" x14ac:dyDescent="0.2"/>
    <row r="44775" s="197" customFormat="1" ht="12.75" x14ac:dyDescent="0.2"/>
    <row r="44776" s="197" customFormat="1" ht="12.75" x14ac:dyDescent="0.2"/>
    <row r="44777" s="197" customFormat="1" ht="12.75" x14ac:dyDescent="0.2"/>
    <row r="44778" s="197" customFormat="1" ht="12.75" x14ac:dyDescent="0.2"/>
    <row r="44779" s="197" customFormat="1" ht="12.75" x14ac:dyDescent="0.2"/>
    <row r="44780" s="197" customFormat="1" ht="12.75" x14ac:dyDescent="0.2"/>
    <row r="44781" s="197" customFormat="1" ht="12.75" x14ac:dyDescent="0.2"/>
    <row r="44782" s="197" customFormat="1" ht="12.75" x14ac:dyDescent="0.2"/>
    <row r="44783" s="197" customFormat="1" ht="12.75" x14ac:dyDescent="0.2"/>
    <row r="44784" s="197" customFormat="1" ht="12.75" x14ac:dyDescent="0.2"/>
    <row r="44785" s="197" customFormat="1" ht="12.75" x14ac:dyDescent="0.2"/>
    <row r="44786" s="197" customFormat="1" ht="12.75" x14ac:dyDescent="0.2"/>
    <row r="44787" s="197" customFormat="1" ht="12.75" x14ac:dyDescent="0.2"/>
    <row r="44788" s="197" customFormat="1" ht="12.75" x14ac:dyDescent="0.2"/>
    <row r="44789" s="197" customFormat="1" ht="12.75" x14ac:dyDescent="0.2"/>
    <row r="44790" s="197" customFormat="1" ht="12.75" x14ac:dyDescent="0.2"/>
    <row r="44791" s="197" customFormat="1" ht="12.75" x14ac:dyDescent="0.2"/>
    <row r="44792" s="197" customFormat="1" ht="12.75" x14ac:dyDescent="0.2"/>
    <row r="44793" s="197" customFormat="1" ht="12.75" x14ac:dyDescent="0.2"/>
    <row r="44794" s="197" customFormat="1" ht="12.75" x14ac:dyDescent="0.2"/>
    <row r="44795" s="197" customFormat="1" ht="12.75" x14ac:dyDescent="0.2"/>
    <row r="44796" s="197" customFormat="1" ht="12.75" x14ac:dyDescent="0.2"/>
    <row r="44797" s="197" customFormat="1" ht="12.75" x14ac:dyDescent="0.2"/>
    <row r="44798" s="197" customFormat="1" ht="12.75" x14ac:dyDescent="0.2"/>
    <row r="44799" s="197" customFormat="1" ht="12.75" x14ac:dyDescent="0.2"/>
    <row r="44800" s="197" customFormat="1" ht="12.75" x14ac:dyDescent="0.2"/>
    <row r="44801" s="197" customFormat="1" ht="12.75" x14ac:dyDescent="0.2"/>
    <row r="44802" s="197" customFormat="1" ht="12.75" x14ac:dyDescent="0.2"/>
    <row r="44803" s="197" customFormat="1" ht="12.75" x14ac:dyDescent="0.2"/>
    <row r="44804" s="197" customFormat="1" ht="12.75" x14ac:dyDescent="0.2"/>
    <row r="44805" s="197" customFormat="1" ht="12.75" x14ac:dyDescent="0.2"/>
    <row r="44806" s="197" customFormat="1" ht="12.75" x14ac:dyDescent="0.2"/>
    <row r="44807" s="197" customFormat="1" ht="12.75" x14ac:dyDescent="0.2"/>
    <row r="44808" s="197" customFormat="1" ht="12.75" x14ac:dyDescent="0.2"/>
    <row r="44809" s="197" customFormat="1" ht="12.75" x14ac:dyDescent="0.2"/>
    <row r="44810" s="197" customFormat="1" ht="12.75" x14ac:dyDescent="0.2"/>
    <row r="44811" s="197" customFormat="1" ht="12.75" x14ac:dyDescent="0.2"/>
    <row r="44812" s="197" customFormat="1" ht="12.75" x14ac:dyDescent="0.2"/>
    <row r="44813" s="197" customFormat="1" ht="12.75" x14ac:dyDescent="0.2"/>
    <row r="44814" s="197" customFormat="1" ht="12.75" x14ac:dyDescent="0.2"/>
    <row r="44815" s="197" customFormat="1" ht="12.75" x14ac:dyDescent="0.2"/>
    <row r="44816" s="197" customFormat="1" ht="12.75" x14ac:dyDescent="0.2"/>
    <row r="44817" s="197" customFormat="1" ht="12.75" x14ac:dyDescent="0.2"/>
    <row r="44818" s="197" customFormat="1" ht="12.75" x14ac:dyDescent="0.2"/>
    <row r="44819" s="197" customFormat="1" ht="12.75" x14ac:dyDescent="0.2"/>
    <row r="44820" s="197" customFormat="1" ht="12.75" x14ac:dyDescent="0.2"/>
    <row r="44821" s="197" customFormat="1" ht="12.75" x14ac:dyDescent="0.2"/>
    <row r="44822" s="197" customFormat="1" ht="12.75" x14ac:dyDescent="0.2"/>
    <row r="44823" s="197" customFormat="1" ht="12.75" x14ac:dyDescent="0.2"/>
    <row r="44824" s="197" customFormat="1" ht="12.75" x14ac:dyDescent="0.2"/>
    <row r="44825" s="197" customFormat="1" ht="12.75" x14ac:dyDescent="0.2"/>
    <row r="44826" s="197" customFormat="1" ht="12.75" x14ac:dyDescent="0.2"/>
    <row r="44827" s="197" customFormat="1" ht="12.75" x14ac:dyDescent="0.2"/>
    <row r="44828" s="197" customFormat="1" ht="12.75" x14ac:dyDescent="0.2"/>
    <row r="44829" s="197" customFormat="1" ht="12.75" x14ac:dyDescent="0.2"/>
    <row r="44830" s="197" customFormat="1" ht="12.75" x14ac:dyDescent="0.2"/>
    <row r="44831" s="197" customFormat="1" ht="12.75" x14ac:dyDescent="0.2"/>
    <row r="44832" s="197" customFormat="1" ht="12.75" x14ac:dyDescent="0.2"/>
    <row r="44833" s="197" customFormat="1" ht="12.75" x14ac:dyDescent="0.2"/>
    <row r="44834" s="197" customFormat="1" ht="12.75" x14ac:dyDescent="0.2"/>
    <row r="44835" s="197" customFormat="1" ht="12.75" x14ac:dyDescent="0.2"/>
    <row r="44836" s="197" customFormat="1" ht="12.75" x14ac:dyDescent="0.2"/>
    <row r="44837" s="197" customFormat="1" ht="12.75" x14ac:dyDescent="0.2"/>
    <row r="44838" s="197" customFormat="1" ht="12.75" x14ac:dyDescent="0.2"/>
    <row r="44839" s="197" customFormat="1" ht="12.75" x14ac:dyDescent="0.2"/>
    <row r="44840" s="197" customFormat="1" ht="12.75" x14ac:dyDescent="0.2"/>
    <row r="44841" s="197" customFormat="1" ht="12.75" x14ac:dyDescent="0.2"/>
    <row r="44842" s="197" customFormat="1" ht="12.75" x14ac:dyDescent="0.2"/>
    <row r="44843" s="197" customFormat="1" ht="12.75" x14ac:dyDescent="0.2"/>
    <row r="44844" s="197" customFormat="1" ht="12.75" x14ac:dyDescent="0.2"/>
    <row r="44845" s="197" customFormat="1" ht="12.75" x14ac:dyDescent="0.2"/>
    <row r="44846" s="197" customFormat="1" ht="12.75" x14ac:dyDescent="0.2"/>
    <row r="44847" s="197" customFormat="1" ht="12.75" x14ac:dyDescent="0.2"/>
    <row r="44848" s="197" customFormat="1" ht="12.75" x14ac:dyDescent="0.2"/>
    <row r="44849" s="197" customFormat="1" ht="12.75" x14ac:dyDescent="0.2"/>
    <row r="44850" s="197" customFormat="1" ht="12.75" x14ac:dyDescent="0.2"/>
    <row r="44851" s="197" customFormat="1" ht="12.75" x14ac:dyDescent="0.2"/>
    <row r="44852" s="197" customFormat="1" ht="12.75" x14ac:dyDescent="0.2"/>
    <row r="44853" s="197" customFormat="1" ht="12.75" x14ac:dyDescent="0.2"/>
    <row r="44854" s="197" customFormat="1" ht="12.75" x14ac:dyDescent="0.2"/>
    <row r="44855" s="197" customFormat="1" ht="12.75" x14ac:dyDescent="0.2"/>
    <row r="44856" s="197" customFormat="1" ht="12.75" x14ac:dyDescent="0.2"/>
    <row r="44857" s="197" customFormat="1" ht="12.75" x14ac:dyDescent="0.2"/>
    <row r="44858" s="197" customFormat="1" ht="12.75" x14ac:dyDescent="0.2"/>
    <row r="44859" s="197" customFormat="1" ht="12.75" x14ac:dyDescent="0.2"/>
    <row r="44860" s="197" customFormat="1" ht="12.75" x14ac:dyDescent="0.2"/>
    <row r="44861" s="197" customFormat="1" ht="12.75" x14ac:dyDescent="0.2"/>
    <row r="44862" s="197" customFormat="1" ht="12.75" x14ac:dyDescent="0.2"/>
    <row r="44863" s="197" customFormat="1" ht="12.75" x14ac:dyDescent="0.2"/>
    <row r="44864" s="197" customFormat="1" ht="12.75" x14ac:dyDescent="0.2"/>
    <row r="44865" s="197" customFormat="1" ht="12.75" x14ac:dyDescent="0.2"/>
    <row r="44866" s="197" customFormat="1" ht="12.75" x14ac:dyDescent="0.2"/>
    <row r="44867" s="197" customFormat="1" ht="12.75" x14ac:dyDescent="0.2"/>
    <row r="44868" s="197" customFormat="1" ht="12.75" x14ac:dyDescent="0.2"/>
    <row r="44869" s="197" customFormat="1" ht="12.75" x14ac:dyDescent="0.2"/>
    <row r="44870" s="197" customFormat="1" ht="12.75" x14ac:dyDescent="0.2"/>
    <row r="44871" s="197" customFormat="1" ht="12.75" x14ac:dyDescent="0.2"/>
    <row r="44872" s="197" customFormat="1" ht="12.75" x14ac:dyDescent="0.2"/>
    <row r="44873" s="197" customFormat="1" ht="12.75" x14ac:dyDescent="0.2"/>
    <row r="44874" s="197" customFormat="1" ht="12.75" x14ac:dyDescent="0.2"/>
    <row r="44875" s="197" customFormat="1" ht="12.75" x14ac:dyDescent="0.2"/>
    <row r="44876" s="197" customFormat="1" ht="12.75" x14ac:dyDescent="0.2"/>
    <row r="44877" s="197" customFormat="1" ht="12.75" x14ac:dyDescent="0.2"/>
    <row r="44878" s="197" customFormat="1" ht="12.75" x14ac:dyDescent="0.2"/>
    <row r="44879" s="197" customFormat="1" ht="12.75" x14ac:dyDescent="0.2"/>
    <row r="44880" s="197" customFormat="1" ht="12.75" x14ac:dyDescent="0.2"/>
    <row r="44881" s="197" customFormat="1" ht="12.75" x14ac:dyDescent="0.2"/>
    <row r="44882" s="197" customFormat="1" ht="12.75" x14ac:dyDescent="0.2"/>
    <row r="44883" s="197" customFormat="1" ht="12.75" x14ac:dyDescent="0.2"/>
    <row r="44884" s="197" customFormat="1" ht="12.75" x14ac:dyDescent="0.2"/>
    <row r="44885" s="197" customFormat="1" ht="12.75" x14ac:dyDescent="0.2"/>
    <row r="44886" s="197" customFormat="1" ht="12.75" x14ac:dyDescent="0.2"/>
    <row r="44887" s="197" customFormat="1" ht="12.75" x14ac:dyDescent="0.2"/>
    <row r="44888" s="197" customFormat="1" ht="12.75" x14ac:dyDescent="0.2"/>
    <row r="44889" s="197" customFormat="1" ht="12.75" x14ac:dyDescent="0.2"/>
    <row r="44890" s="197" customFormat="1" ht="12.75" x14ac:dyDescent="0.2"/>
    <row r="44891" s="197" customFormat="1" ht="12.75" x14ac:dyDescent="0.2"/>
    <row r="44892" s="197" customFormat="1" ht="12.75" x14ac:dyDescent="0.2"/>
    <row r="44893" s="197" customFormat="1" ht="12.75" x14ac:dyDescent="0.2"/>
    <row r="44894" s="197" customFormat="1" ht="12.75" x14ac:dyDescent="0.2"/>
    <row r="44895" s="197" customFormat="1" ht="12.75" x14ac:dyDescent="0.2"/>
    <row r="44896" s="197" customFormat="1" ht="12.75" x14ac:dyDescent="0.2"/>
    <row r="44897" s="197" customFormat="1" ht="12.75" x14ac:dyDescent="0.2"/>
    <row r="44898" s="197" customFormat="1" ht="12.75" x14ac:dyDescent="0.2"/>
    <row r="44899" s="197" customFormat="1" ht="12.75" x14ac:dyDescent="0.2"/>
    <row r="44900" s="197" customFormat="1" ht="12.75" x14ac:dyDescent="0.2"/>
    <row r="44901" s="197" customFormat="1" ht="12.75" x14ac:dyDescent="0.2"/>
    <row r="44902" s="197" customFormat="1" ht="12.75" x14ac:dyDescent="0.2"/>
    <row r="44903" s="197" customFormat="1" ht="12.75" x14ac:dyDescent="0.2"/>
    <row r="44904" s="197" customFormat="1" ht="12.75" x14ac:dyDescent="0.2"/>
    <row r="44905" s="197" customFormat="1" ht="12.75" x14ac:dyDescent="0.2"/>
    <row r="44906" s="197" customFormat="1" ht="12.75" x14ac:dyDescent="0.2"/>
    <row r="44907" s="197" customFormat="1" ht="12.75" x14ac:dyDescent="0.2"/>
    <row r="44908" s="197" customFormat="1" ht="12.75" x14ac:dyDescent="0.2"/>
    <row r="44909" s="197" customFormat="1" ht="12.75" x14ac:dyDescent="0.2"/>
    <row r="44910" s="197" customFormat="1" ht="12.75" x14ac:dyDescent="0.2"/>
    <row r="44911" s="197" customFormat="1" ht="12.75" x14ac:dyDescent="0.2"/>
    <row r="44912" s="197" customFormat="1" ht="12.75" x14ac:dyDescent="0.2"/>
    <row r="44913" s="197" customFormat="1" ht="12.75" x14ac:dyDescent="0.2"/>
    <row r="44914" s="197" customFormat="1" ht="12.75" x14ac:dyDescent="0.2"/>
    <row r="44915" s="197" customFormat="1" ht="12.75" x14ac:dyDescent="0.2"/>
    <row r="44916" s="197" customFormat="1" ht="12.75" x14ac:dyDescent="0.2"/>
    <row r="44917" s="197" customFormat="1" ht="12.75" x14ac:dyDescent="0.2"/>
    <row r="44918" s="197" customFormat="1" ht="12.75" x14ac:dyDescent="0.2"/>
    <row r="44919" s="197" customFormat="1" ht="12.75" x14ac:dyDescent="0.2"/>
    <row r="44920" s="197" customFormat="1" ht="12.75" x14ac:dyDescent="0.2"/>
    <row r="44921" s="197" customFormat="1" ht="12.75" x14ac:dyDescent="0.2"/>
    <row r="44922" s="197" customFormat="1" ht="12.75" x14ac:dyDescent="0.2"/>
    <row r="44923" s="197" customFormat="1" ht="12.75" x14ac:dyDescent="0.2"/>
    <row r="44924" s="197" customFormat="1" ht="12.75" x14ac:dyDescent="0.2"/>
    <row r="44925" s="197" customFormat="1" ht="12.75" x14ac:dyDescent="0.2"/>
    <row r="44926" s="197" customFormat="1" ht="12.75" x14ac:dyDescent="0.2"/>
    <row r="44927" s="197" customFormat="1" ht="12.75" x14ac:dyDescent="0.2"/>
    <row r="44928" s="197" customFormat="1" ht="12.75" x14ac:dyDescent="0.2"/>
    <row r="44929" s="197" customFormat="1" ht="12.75" x14ac:dyDescent="0.2"/>
    <row r="44930" s="197" customFormat="1" ht="12.75" x14ac:dyDescent="0.2"/>
    <row r="44931" s="197" customFormat="1" ht="12.75" x14ac:dyDescent="0.2"/>
    <row r="44932" s="197" customFormat="1" ht="12.75" x14ac:dyDescent="0.2"/>
    <row r="44933" s="197" customFormat="1" ht="12.75" x14ac:dyDescent="0.2"/>
    <row r="44934" s="197" customFormat="1" ht="12.75" x14ac:dyDescent="0.2"/>
    <row r="44935" s="197" customFormat="1" ht="12.75" x14ac:dyDescent="0.2"/>
    <row r="44936" s="197" customFormat="1" ht="12.75" x14ac:dyDescent="0.2"/>
    <row r="44937" s="197" customFormat="1" ht="12.75" x14ac:dyDescent="0.2"/>
    <row r="44938" s="197" customFormat="1" ht="12.75" x14ac:dyDescent="0.2"/>
    <row r="44939" s="197" customFormat="1" ht="12.75" x14ac:dyDescent="0.2"/>
    <row r="44940" s="197" customFormat="1" ht="12.75" x14ac:dyDescent="0.2"/>
    <row r="44941" s="197" customFormat="1" ht="12.75" x14ac:dyDescent="0.2"/>
    <row r="44942" s="197" customFormat="1" ht="12.75" x14ac:dyDescent="0.2"/>
    <row r="44943" s="197" customFormat="1" ht="12.75" x14ac:dyDescent="0.2"/>
    <row r="44944" s="197" customFormat="1" ht="12.75" x14ac:dyDescent="0.2"/>
    <row r="44945" s="197" customFormat="1" ht="12.75" x14ac:dyDescent="0.2"/>
    <row r="44946" s="197" customFormat="1" ht="12.75" x14ac:dyDescent="0.2"/>
    <row r="44947" s="197" customFormat="1" ht="12.75" x14ac:dyDescent="0.2"/>
    <row r="44948" s="197" customFormat="1" ht="12.75" x14ac:dyDescent="0.2"/>
    <row r="44949" s="197" customFormat="1" ht="12.75" x14ac:dyDescent="0.2"/>
    <row r="44950" s="197" customFormat="1" ht="12.75" x14ac:dyDescent="0.2"/>
    <row r="44951" s="197" customFormat="1" ht="12.75" x14ac:dyDescent="0.2"/>
    <row r="44952" s="197" customFormat="1" ht="12.75" x14ac:dyDescent="0.2"/>
    <row r="44953" s="197" customFormat="1" ht="12.75" x14ac:dyDescent="0.2"/>
    <row r="44954" s="197" customFormat="1" ht="12.75" x14ac:dyDescent="0.2"/>
    <row r="44955" s="197" customFormat="1" ht="12.75" x14ac:dyDescent="0.2"/>
    <row r="44956" s="197" customFormat="1" ht="12.75" x14ac:dyDescent="0.2"/>
    <row r="44957" s="197" customFormat="1" ht="12.75" x14ac:dyDescent="0.2"/>
    <row r="44958" s="197" customFormat="1" ht="12.75" x14ac:dyDescent="0.2"/>
    <row r="44959" s="197" customFormat="1" ht="12.75" x14ac:dyDescent="0.2"/>
    <row r="44960" s="197" customFormat="1" ht="12.75" x14ac:dyDescent="0.2"/>
    <row r="44961" s="197" customFormat="1" ht="12.75" x14ac:dyDescent="0.2"/>
    <row r="44962" s="197" customFormat="1" ht="12.75" x14ac:dyDescent="0.2"/>
    <row r="44963" s="197" customFormat="1" ht="12.75" x14ac:dyDescent="0.2"/>
    <row r="44964" s="197" customFormat="1" ht="12.75" x14ac:dyDescent="0.2"/>
    <row r="44965" s="197" customFormat="1" ht="12.75" x14ac:dyDescent="0.2"/>
    <row r="44966" s="197" customFormat="1" ht="12.75" x14ac:dyDescent="0.2"/>
    <row r="44967" s="197" customFormat="1" ht="12.75" x14ac:dyDescent="0.2"/>
    <row r="44968" s="197" customFormat="1" ht="12.75" x14ac:dyDescent="0.2"/>
    <row r="44969" s="197" customFormat="1" ht="12.75" x14ac:dyDescent="0.2"/>
    <row r="44970" s="197" customFormat="1" ht="12.75" x14ac:dyDescent="0.2"/>
    <row r="44971" s="197" customFormat="1" ht="12.75" x14ac:dyDescent="0.2"/>
    <row r="44972" s="197" customFormat="1" ht="12.75" x14ac:dyDescent="0.2"/>
    <row r="44973" s="197" customFormat="1" ht="12.75" x14ac:dyDescent="0.2"/>
    <row r="44974" s="197" customFormat="1" ht="12.75" x14ac:dyDescent="0.2"/>
    <row r="44975" s="197" customFormat="1" ht="12.75" x14ac:dyDescent="0.2"/>
    <row r="44976" s="197" customFormat="1" ht="12.75" x14ac:dyDescent="0.2"/>
    <row r="44977" s="197" customFormat="1" ht="12.75" x14ac:dyDescent="0.2"/>
    <row r="44978" s="197" customFormat="1" ht="12.75" x14ac:dyDescent="0.2"/>
    <row r="44979" s="197" customFormat="1" ht="12.75" x14ac:dyDescent="0.2"/>
    <row r="44980" s="197" customFormat="1" ht="12.75" x14ac:dyDescent="0.2"/>
    <row r="44981" s="197" customFormat="1" ht="12.75" x14ac:dyDescent="0.2"/>
    <row r="44982" s="197" customFormat="1" ht="12.75" x14ac:dyDescent="0.2"/>
    <row r="44983" s="197" customFormat="1" ht="12.75" x14ac:dyDescent="0.2"/>
    <row r="44984" s="197" customFormat="1" ht="12.75" x14ac:dyDescent="0.2"/>
    <row r="44985" s="197" customFormat="1" ht="12.75" x14ac:dyDescent="0.2"/>
    <row r="44986" s="197" customFormat="1" ht="12.75" x14ac:dyDescent="0.2"/>
    <row r="44987" s="197" customFormat="1" ht="12.75" x14ac:dyDescent="0.2"/>
    <row r="44988" s="197" customFormat="1" ht="12.75" x14ac:dyDescent="0.2"/>
    <row r="44989" s="197" customFormat="1" ht="12.75" x14ac:dyDescent="0.2"/>
    <row r="44990" s="197" customFormat="1" ht="12.75" x14ac:dyDescent="0.2"/>
    <row r="44991" s="197" customFormat="1" ht="12.75" x14ac:dyDescent="0.2"/>
    <row r="44992" s="197" customFormat="1" ht="12.75" x14ac:dyDescent="0.2"/>
    <row r="44993" s="197" customFormat="1" ht="12.75" x14ac:dyDescent="0.2"/>
    <row r="44994" s="197" customFormat="1" ht="12.75" x14ac:dyDescent="0.2"/>
    <row r="44995" s="197" customFormat="1" ht="12.75" x14ac:dyDescent="0.2"/>
    <row r="44996" s="197" customFormat="1" ht="12.75" x14ac:dyDescent="0.2"/>
    <row r="44997" s="197" customFormat="1" ht="12.75" x14ac:dyDescent="0.2"/>
    <row r="44998" s="197" customFormat="1" ht="12.75" x14ac:dyDescent="0.2"/>
    <row r="44999" s="197" customFormat="1" ht="12.75" x14ac:dyDescent="0.2"/>
    <row r="45000" s="197" customFormat="1" ht="12.75" x14ac:dyDescent="0.2"/>
    <row r="45001" s="197" customFormat="1" ht="12.75" x14ac:dyDescent="0.2"/>
    <row r="45002" s="197" customFormat="1" ht="12.75" x14ac:dyDescent="0.2"/>
    <row r="45003" s="197" customFormat="1" ht="12.75" x14ac:dyDescent="0.2"/>
    <row r="45004" s="197" customFormat="1" ht="12.75" x14ac:dyDescent="0.2"/>
    <row r="45005" s="197" customFormat="1" ht="12.75" x14ac:dyDescent="0.2"/>
    <row r="45006" s="197" customFormat="1" ht="12.75" x14ac:dyDescent="0.2"/>
    <row r="45007" s="197" customFormat="1" ht="12.75" x14ac:dyDescent="0.2"/>
    <row r="45008" s="197" customFormat="1" ht="12.75" x14ac:dyDescent="0.2"/>
    <row r="45009" s="197" customFormat="1" ht="12.75" x14ac:dyDescent="0.2"/>
    <row r="45010" s="197" customFormat="1" ht="12.75" x14ac:dyDescent="0.2"/>
    <row r="45011" s="197" customFormat="1" ht="12.75" x14ac:dyDescent="0.2"/>
    <row r="45012" s="197" customFormat="1" ht="12.75" x14ac:dyDescent="0.2"/>
    <row r="45013" s="197" customFormat="1" ht="12.75" x14ac:dyDescent="0.2"/>
    <row r="45014" s="197" customFormat="1" ht="12.75" x14ac:dyDescent="0.2"/>
    <row r="45015" s="197" customFormat="1" ht="12.75" x14ac:dyDescent="0.2"/>
    <row r="45016" s="197" customFormat="1" ht="12.75" x14ac:dyDescent="0.2"/>
    <row r="45017" s="197" customFormat="1" ht="12.75" x14ac:dyDescent="0.2"/>
    <row r="45018" s="197" customFormat="1" ht="12.75" x14ac:dyDescent="0.2"/>
    <row r="45019" s="197" customFormat="1" ht="12.75" x14ac:dyDescent="0.2"/>
    <row r="45020" s="197" customFormat="1" ht="12.75" x14ac:dyDescent="0.2"/>
    <row r="45021" s="197" customFormat="1" ht="12.75" x14ac:dyDescent="0.2"/>
    <row r="45022" s="197" customFormat="1" ht="12.75" x14ac:dyDescent="0.2"/>
    <row r="45023" s="197" customFormat="1" ht="12.75" x14ac:dyDescent="0.2"/>
    <row r="45024" s="197" customFormat="1" ht="12.75" x14ac:dyDescent="0.2"/>
    <row r="45025" s="197" customFormat="1" ht="12.75" x14ac:dyDescent="0.2"/>
    <row r="45026" s="197" customFormat="1" ht="12.75" x14ac:dyDescent="0.2"/>
    <row r="45027" s="197" customFormat="1" ht="12.75" x14ac:dyDescent="0.2"/>
    <row r="45028" s="197" customFormat="1" ht="12.75" x14ac:dyDescent="0.2"/>
    <row r="45029" s="197" customFormat="1" ht="12.75" x14ac:dyDescent="0.2"/>
    <row r="45030" s="197" customFormat="1" ht="12.75" x14ac:dyDescent="0.2"/>
    <row r="45031" s="197" customFormat="1" ht="12.75" x14ac:dyDescent="0.2"/>
    <row r="45032" s="197" customFormat="1" ht="12.75" x14ac:dyDescent="0.2"/>
    <row r="45033" s="197" customFormat="1" ht="12.75" x14ac:dyDescent="0.2"/>
    <row r="45034" s="197" customFormat="1" ht="12.75" x14ac:dyDescent="0.2"/>
    <row r="45035" s="197" customFormat="1" ht="12.75" x14ac:dyDescent="0.2"/>
    <row r="45036" s="197" customFormat="1" ht="12.75" x14ac:dyDescent="0.2"/>
    <row r="45037" s="197" customFormat="1" ht="12.75" x14ac:dyDescent="0.2"/>
    <row r="45038" s="197" customFormat="1" ht="12.75" x14ac:dyDescent="0.2"/>
    <row r="45039" s="197" customFormat="1" ht="12.75" x14ac:dyDescent="0.2"/>
    <row r="45040" s="197" customFormat="1" ht="12.75" x14ac:dyDescent="0.2"/>
    <row r="45041" s="197" customFormat="1" ht="12.75" x14ac:dyDescent="0.2"/>
    <row r="45042" s="197" customFormat="1" ht="12.75" x14ac:dyDescent="0.2"/>
    <row r="45043" s="197" customFormat="1" ht="12.75" x14ac:dyDescent="0.2"/>
    <row r="45044" s="197" customFormat="1" ht="12.75" x14ac:dyDescent="0.2"/>
    <row r="45045" s="197" customFormat="1" ht="12.75" x14ac:dyDescent="0.2"/>
    <row r="45046" s="197" customFormat="1" ht="12.75" x14ac:dyDescent="0.2"/>
    <row r="45047" s="197" customFormat="1" ht="12.75" x14ac:dyDescent="0.2"/>
    <row r="45048" s="197" customFormat="1" ht="12.75" x14ac:dyDescent="0.2"/>
    <row r="45049" s="197" customFormat="1" ht="12.75" x14ac:dyDescent="0.2"/>
    <row r="45050" s="197" customFormat="1" ht="12.75" x14ac:dyDescent="0.2"/>
    <row r="45051" s="197" customFormat="1" ht="12.75" x14ac:dyDescent="0.2"/>
    <row r="45052" s="197" customFormat="1" ht="12.75" x14ac:dyDescent="0.2"/>
    <row r="45053" s="197" customFormat="1" ht="12.75" x14ac:dyDescent="0.2"/>
    <row r="45054" s="197" customFormat="1" ht="12.75" x14ac:dyDescent="0.2"/>
    <row r="45055" s="197" customFormat="1" ht="12.75" x14ac:dyDescent="0.2"/>
    <row r="45056" s="197" customFormat="1" ht="12.75" x14ac:dyDescent="0.2"/>
    <row r="45057" s="197" customFormat="1" ht="12.75" x14ac:dyDescent="0.2"/>
    <row r="45058" s="197" customFormat="1" ht="12.75" x14ac:dyDescent="0.2"/>
    <row r="45059" s="197" customFormat="1" ht="12.75" x14ac:dyDescent="0.2"/>
    <row r="45060" s="197" customFormat="1" ht="12.75" x14ac:dyDescent="0.2"/>
    <row r="45061" s="197" customFormat="1" ht="12.75" x14ac:dyDescent="0.2"/>
    <row r="45062" s="197" customFormat="1" ht="12.75" x14ac:dyDescent="0.2"/>
    <row r="45063" s="197" customFormat="1" ht="12.75" x14ac:dyDescent="0.2"/>
    <row r="45064" s="197" customFormat="1" ht="12.75" x14ac:dyDescent="0.2"/>
    <row r="45065" s="197" customFormat="1" ht="12.75" x14ac:dyDescent="0.2"/>
    <row r="45066" s="197" customFormat="1" ht="12.75" x14ac:dyDescent="0.2"/>
    <row r="45067" s="197" customFormat="1" ht="12.75" x14ac:dyDescent="0.2"/>
    <row r="45068" s="197" customFormat="1" ht="12.75" x14ac:dyDescent="0.2"/>
    <row r="45069" s="197" customFormat="1" ht="12.75" x14ac:dyDescent="0.2"/>
    <row r="45070" s="197" customFormat="1" ht="12.75" x14ac:dyDescent="0.2"/>
    <row r="45071" s="197" customFormat="1" ht="12.75" x14ac:dyDescent="0.2"/>
    <row r="45072" s="197" customFormat="1" ht="12.75" x14ac:dyDescent="0.2"/>
    <row r="45073" s="197" customFormat="1" ht="12.75" x14ac:dyDescent="0.2"/>
    <row r="45074" s="197" customFormat="1" ht="12.75" x14ac:dyDescent="0.2"/>
    <row r="45075" s="197" customFormat="1" ht="12.75" x14ac:dyDescent="0.2"/>
    <row r="45076" s="197" customFormat="1" ht="12.75" x14ac:dyDescent="0.2"/>
    <row r="45077" s="197" customFormat="1" ht="12.75" x14ac:dyDescent="0.2"/>
    <row r="45078" s="197" customFormat="1" ht="12.75" x14ac:dyDescent="0.2"/>
    <row r="45079" s="197" customFormat="1" ht="12.75" x14ac:dyDescent="0.2"/>
    <row r="45080" s="197" customFormat="1" ht="12.75" x14ac:dyDescent="0.2"/>
    <row r="45081" s="197" customFormat="1" ht="12.75" x14ac:dyDescent="0.2"/>
    <row r="45082" s="197" customFormat="1" ht="12.75" x14ac:dyDescent="0.2"/>
    <row r="45083" s="197" customFormat="1" ht="12.75" x14ac:dyDescent="0.2"/>
    <row r="45084" s="197" customFormat="1" ht="12.75" x14ac:dyDescent="0.2"/>
    <row r="45085" s="197" customFormat="1" ht="12.75" x14ac:dyDescent="0.2"/>
    <row r="45086" s="197" customFormat="1" ht="12.75" x14ac:dyDescent="0.2"/>
    <row r="45087" s="197" customFormat="1" ht="12.75" x14ac:dyDescent="0.2"/>
    <row r="45088" s="197" customFormat="1" ht="12.75" x14ac:dyDescent="0.2"/>
    <row r="45089" s="197" customFormat="1" ht="12.75" x14ac:dyDescent="0.2"/>
    <row r="45090" s="197" customFormat="1" ht="12.75" x14ac:dyDescent="0.2"/>
    <row r="45091" s="197" customFormat="1" ht="12.75" x14ac:dyDescent="0.2"/>
    <row r="45092" s="197" customFormat="1" ht="12.75" x14ac:dyDescent="0.2"/>
    <row r="45093" s="197" customFormat="1" ht="12.75" x14ac:dyDescent="0.2"/>
    <row r="45094" s="197" customFormat="1" ht="12.75" x14ac:dyDescent="0.2"/>
    <row r="45095" s="197" customFormat="1" ht="12.75" x14ac:dyDescent="0.2"/>
    <row r="45096" s="197" customFormat="1" ht="12.75" x14ac:dyDescent="0.2"/>
    <row r="45097" s="197" customFormat="1" ht="12.75" x14ac:dyDescent="0.2"/>
    <row r="45098" s="197" customFormat="1" ht="12.75" x14ac:dyDescent="0.2"/>
    <row r="45099" s="197" customFormat="1" ht="12.75" x14ac:dyDescent="0.2"/>
    <row r="45100" s="197" customFormat="1" ht="12.75" x14ac:dyDescent="0.2"/>
    <row r="45101" s="197" customFormat="1" ht="12.75" x14ac:dyDescent="0.2"/>
    <row r="45102" s="197" customFormat="1" ht="12.75" x14ac:dyDescent="0.2"/>
    <row r="45103" s="197" customFormat="1" ht="12.75" x14ac:dyDescent="0.2"/>
    <row r="45104" s="197" customFormat="1" ht="12.75" x14ac:dyDescent="0.2"/>
    <row r="45105" s="197" customFormat="1" ht="12.75" x14ac:dyDescent="0.2"/>
    <row r="45106" s="197" customFormat="1" ht="12.75" x14ac:dyDescent="0.2"/>
    <row r="45107" s="197" customFormat="1" ht="12.75" x14ac:dyDescent="0.2"/>
    <row r="45108" s="197" customFormat="1" ht="12.75" x14ac:dyDescent="0.2"/>
    <row r="45109" s="197" customFormat="1" ht="12.75" x14ac:dyDescent="0.2"/>
    <row r="45110" s="197" customFormat="1" ht="12.75" x14ac:dyDescent="0.2"/>
    <row r="45111" s="197" customFormat="1" ht="12.75" x14ac:dyDescent="0.2"/>
    <row r="45112" s="197" customFormat="1" ht="12.75" x14ac:dyDescent="0.2"/>
    <row r="45113" s="197" customFormat="1" ht="12.75" x14ac:dyDescent="0.2"/>
    <row r="45114" s="197" customFormat="1" ht="12.75" x14ac:dyDescent="0.2"/>
    <row r="45115" s="197" customFormat="1" ht="12.75" x14ac:dyDescent="0.2"/>
    <row r="45116" s="197" customFormat="1" ht="12.75" x14ac:dyDescent="0.2"/>
    <row r="45117" s="197" customFormat="1" ht="12.75" x14ac:dyDescent="0.2"/>
    <row r="45118" s="197" customFormat="1" ht="12.75" x14ac:dyDescent="0.2"/>
    <row r="45119" s="197" customFormat="1" ht="12.75" x14ac:dyDescent="0.2"/>
    <row r="45120" s="197" customFormat="1" ht="12.75" x14ac:dyDescent="0.2"/>
    <row r="45121" s="197" customFormat="1" ht="12.75" x14ac:dyDescent="0.2"/>
    <row r="45122" s="197" customFormat="1" ht="12.75" x14ac:dyDescent="0.2"/>
    <row r="45123" s="197" customFormat="1" ht="12.75" x14ac:dyDescent="0.2"/>
    <row r="45124" s="197" customFormat="1" ht="12.75" x14ac:dyDescent="0.2"/>
    <row r="45125" s="197" customFormat="1" ht="12.75" x14ac:dyDescent="0.2"/>
    <row r="45126" s="197" customFormat="1" ht="12.75" x14ac:dyDescent="0.2"/>
    <row r="45127" s="197" customFormat="1" ht="12.75" x14ac:dyDescent="0.2"/>
    <row r="45128" s="197" customFormat="1" ht="12.75" x14ac:dyDescent="0.2"/>
    <row r="45129" s="197" customFormat="1" ht="12.75" x14ac:dyDescent="0.2"/>
    <row r="45130" s="197" customFormat="1" ht="12.75" x14ac:dyDescent="0.2"/>
    <row r="45131" s="197" customFormat="1" ht="12.75" x14ac:dyDescent="0.2"/>
    <row r="45132" s="197" customFormat="1" ht="12.75" x14ac:dyDescent="0.2"/>
    <row r="45133" s="197" customFormat="1" ht="12.75" x14ac:dyDescent="0.2"/>
    <row r="45134" s="197" customFormat="1" ht="12.75" x14ac:dyDescent="0.2"/>
    <row r="45135" s="197" customFormat="1" ht="12.75" x14ac:dyDescent="0.2"/>
    <row r="45136" s="197" customFormat="1" ht="12.75" x14ac:dyDescent="0.2"/>
    <row r="45137" s="197" customFormat="1" ht="12.75" x14ac:dyDescent="0.2"/>
    <row r="45138" s="197" customFormat="1" ht="12.75" x14ac:dyDescent="0.2"/>
    <row r="45139" s="197" customFormat="1" ht="12.75" x14ac:dyDescent="0.2"/>
    <row r="45140" s="197" customFormat="1" ht="12.75" x14ac:dyDescent="0.2"/>
    <row r="45141" s="197" customFormat="1" ht="12.75" x14ac:dyDescent="0.2"/>
    <row r="45142" s="197" customFormat="1" ht="12.75" x14ac:dyDescent="0.2"/>
    <row r="45143" s="197" customFormat="1" ht="12.75" x14ac:dyDescent="0.2"/>
    <row r="45144" s="197" customFormat="1" ht="12.75" x14ac:dyDescent="0.2"/>
    <row r="45145" s="197" customFormat="1" ht="12.75" x14ac:dyDescent="0.2"/>
    <row r="45146" s="197" customFormat="1" ht="12.75" x14ac:dyDescent="0.2"/>
    <row r="45147" s="197" customFormat="1" ht="12.75" x14ac:dyDescent="0.2"/>
    <row r="45148" s="197" customFormat="1" ht="12.75" x14ac:dyDescent="0.2"/>
    <row r="45149" s="197" customFormat="1" ht="12.75" x14ac:dyDescent="0.2"/>
    <row r="45150" s="197" customFormat="1" ht="12.75" x14ac:dyDescent="0.2"/>
    <row r="45151" s="197" customFormat="1" ht="12.75" x14ac:dyDescent="0.2"/>
    <row r="45152" s="197" customFormat="1" ht="12.75" x14ac:dyDescent="0.2"/>
    <row r="45153" s="197" customFormat="1" ht="12.75" x14ac:dyDescent="0.2"/>
    <row r="45154" s="197" customFormat="1" ht="12.75" x14ac:dyDescent="0.2"/>
    <row r="45155" s="197" customFormat="1" ht="12.75" x14ac:dyDescent="0.2"/>
    <row r="45156" s="197" customFormat="1" ht="12.75" x14ac:dyDescent="0.2"/>
    <row r="45157" s="197" customFormat="1" ht="12.75" x14ac:dyDescent="0.2"/>
    <row r="45158" s="197" customFormat="1" ht="12.75" x14ac:dyDescent="0.2"/>
    <row r="45159" s="197" customFormat="1" ht="12.75" x14ac:dyDescent="0.2"/>
    <row r="45160" s="197" customFormat="1" ht="12.75" x14ac:dyDescent="0.2"/>
    <row r="45161" s="197" customFormat="1" ht="12.75" x14ac:dyDescent="0.2"/>
    <row r="45162" s="197" customFormat="1" ht="12.75" x14ac:dyDescent="0.2"/>
    <row r="45163" s="197" customFormat="1" ht="12.75" x14ac:dyDescent="0.2"/>
    <row r="45164" s="197" customFormat="1" ht="12.75" x14ac:dyDescent="0.2"/>
    <row r="45165" s="197" customFormat="1" ht="12.75" x14ac:dyDescent="0.2"/>
    <row r="45166" s="197" customFormat="1" ht="12.75" x14ac:dyDescent="0.2"/>
    <row r="45167" s="197" customFormat="1" ht="12.75" x14ac:dyDescent="0.2"/>
    <row r="45168" s="197" customFormat="1" ht="12.75" x14ac:dyDescent="0.2"/>
    <row r="45169" s="197" customFormat="1" ht="12.75" x14ac:dyDescent="0.2"/>
    <row r="45170" s="197" customFormat="1" ht="12.75" x14ac:dyDescent="0.2"/>
    <row r="45171" s="197" customFormat="1" ht="12.75" x14ac:dyDescent="0.2"/>
    <row r="45172" s="197" customFormat="1" ht="12.75" x14ac:dyDescent="0.2"/>
    <row r="45173" s="197" customFormat="1" ht="12.75" x14ac:dyDescent="0.2"/>
    <row r="45174" s="197" customFormat="1" ht="12.75" x14ac:dyDescent="0.2"/>
    <row r="45175" s="197" customFormat="1" ht="12.75" x14ac:dyDescent="0.2"/>
    <row r="45176" s="197" customFormat="1" ht="12.75" x14ac:dyDescent="0.2"/>
    <row r="45177" s="197" customFormat="1" ht="12.75" x14ac:dyDescent="0.2"/>
    <row r="45178" s="197" customFormat="1" ht="12.75" x14ac:dyDescent="0.2"/>
    <row r="45179" s="197" customFormat="1" ht="12.75" x14ac:dyDescent="0.2"/>
    <row r="45180" s="197" customFormat="1" ht="12.75" x14ac:dyDescent="0.2"/>
    <row r="45181" s="197" customFormat="1" ht="12.75" x14ac:dyDescent="0.2"/>
    <row r="45182" s="197" customFormat="1" ht="12.75" x14ac:dyDescent="0.2"/>
    <row r="45183" s="197" customFormat="1" ht="12.75" x14ac:dyDescent="0.2"/>
    <row r="45184" s="197" customFormat="1" ht="12.75" x14ac:dyDescent="0.2"/>
    <row r="45185" s="197" customFormat="1" ht="12.75" x14ac:dyDescent="0.2"/>
    <row r="45186" s="197" customFormat="1" ht="12.75" x14ac:dyDescent="0.2"/>
    <row r="45187" s="197" customFormat="1" ht="12.75" x14ac:dyDescent="0.2"/>
    <row r="45188" s="197" customFormat="1" ht="12.75" x14ac:dyDescent="0.2"/>
    <row r="45189" s="197" customFormat="1" ht="12.75" x14ac:dyDescent="0.2"/>
    <row r="45190" s="197" customFormat="1" ht="12.75" x14ac:dyDescent="0.2"/>
    <row r="45191" s="197" customFormat="1" ht="12.75" x14ac:dyDescent="0.2"/>
    <row r="45192" s="197" customFormat="1" ht="12.75" x14ac:dyDescent="0.2"/>
    <row r="45193" s="197" customFormat="1" ht="12.75" x14ac:dyDescent="0.2"/>
    <row r="45194" s="197" customFormat="1" ht="12.75" x14ac:dyDescent="0.2"/>
    <row r="45195" s="197" customFormat="1" ht="12.75" x14ac:dyDescent="0.2"/>
    <row r="45196" s="197" customFormat="1" ht="12.75" x14ac:dyDescent="0.2"/>
    <row r="45197" s="197" customFormat="1" ht="12.75" x14ac:dyDescent="0.2"/>
    <row r="45198" s="197" customFormat="1" ht="12.75" x14ac:dyDescent="0.2"/>
    <row r="45199" s="197" customFormat="1" ht="12.75" x14ac:dyDescent="0.2"/>
    <row r="45200" s="197" customFormat="1" ht="12.75" x14ac:dyDescent="0.2"/>
    <row r="45201" s="197" customFormat="1" ht="12.75" x14ac:dyDescent="0.2"/>
    <row r="45202" s="197" customFormat="1" ht="12.75" x14ac:dyDescent="0.2"/>
    <row r="45203" s="197" customFormat="1" ht="12.75" x14ac:dyDescent="0.2"/>
    <row r="45204" s="197" customFormat="1" ht="12.75" x14ac:dyDescent="0.2"/>
    <row r="45205" s="197" customFormat="1" ht="12.75" x14ac:dyDescent="0.2"/>
    <row r="45206" s="197" customFormat="1" ht="12.75" x14ac:dyDescent="0.2"/>
    <row r="45207" s="197" customFormat="1" ht="12.75" x14ac:dyDescent="0.2"/>
    <row r="45208" s="197" customFormat="1" ht="12.75" x14ac:dyDescent="0.2"/>
    <row r="45209" s="197" customFormat="1" ht="12.75" x14ac:dyDescent="0.2"/>
    <row r="45210" s="197" customFormat="1" ht="12.75" x14ac:dyDescent="0.2"/>
    <row r="45211" s="197" customFormat="1" ht="12.75" x14ac:dyDescent="0.2"/>
    <row r="45212" s="197" customFormat="1" ht="12.75" x14ac:dyDescent="0.2"/>
    <row r="45213" s="197" customFormat="1" ht="12.75" x14ac:dyDescent="0.2"/>
    <row r="45214" s="197" customFormat="1" ht="12.75" x14ac:dyDescent="0.2"/>
    <row r="45215" s="197" customFormat="1" ht="12.75" x14ac:dyDescent="0.2"/>
    <row r="45216" s="197" customFormat="1" ht="12.75" x14ac:dyDescent="0.2"/>
    <row r="45217" s="197" customFormat="1" ht="12.75" x14ac:dyDescent="0.2"/>
    <row r="45218" s="197" customFormat="1" ht="12.75" x14ac:dyDescent="0.2"/>
    <row r="45219" s="197" customFormat="1" ht="12.75" x14ac:dyDescent="0.2"/>
    <row r="45220" s="197" customFormat="1" ht="12.75" x14ac:dyDescent="0.2"/>
    <row r="45221" s="197" customFormat="1" ht="12.75" x14ac:dyDescent="0.2"/>
    <row r="45222" s="197" customFormat="1" ht="12.75" x14ac:dyDescent="0.2"/>
    <row r="45223" s="197" customFormat="1" ht="12.75" x14ac:dyDescent="0.2"/>
    <row r="45224" s="197" customFormat="1" ht="12.75" x14ac:dyDescent="0.2"/>
    <row r="45225" s="197" customFormat="1" ht="12.75" x14ac:dyDescent="0.2"/>
    <row r="45226" s="197" customFormat="1" ht="12.75" x14ac:dyDescent="0.2"/>
    <row r="45227" s="197" customFormat="1" ht="12.75" x14ac:dyDescent="0.2"/>
    <row r="45228" s="197" customFormat="1" ht="12.75" x14ac:dyDescent="0.2"/>
    <row r="45229" s="197" customFormat="1" ht="12.75" x14ac:dyDescent="0.2"/>
    <row r="45230" s="197" customFormat="1" ht="12.75" x14ac:dyDescent="0.2"/>
    <row r="45231" s="197" customFormat="1" ht="12.75" x14ac:dyDescent="0.2"/>
    <row r="45232" s="197" customFormat="1" ht="12.75" x14ac:dyDescent="0.2"/>
    <row r="45233" s="197" customFormat="1" ht="12.75" x14ac:dyDescent="0.2"/>
    <row r="45234" s="197" customFormat="1" ht="12.75" x14ac:dyDescent="0.2"/>
    <row r="45235" s="197" customFormat="1" ht="12.75" x14ac:dyDescent="0.2"/>
    <row r="45236" s="197" customFormat="1" ht="12.75" x14ac:dyDescent="0.2"/>
    <row r="45237" s="197" customFormat="1" ht="12.75" x14ac:dyDescent="0.2"/>
    <row r="45238" s="197" customFormat="1" ht="12.75" x14ac:dyDescent="0.2"/>
    <row r="45239" s="197" customFormat="1" ht="12.75" x14ac:dyDescent="0.2"/>
    <row r="45240" s="197" customFormat="1" ht="12.75" x14ac:dyDescent="0.2"/>
    <row r="45241" s="197" customFormat="1" ht="12.75" x14ac:dyDescent="0.2"/>
    <row r="45242" s="197" customFormat="1" ht="12.75" x14ac:dyDescent="0.2"/>
    <row r="45243" s="197" customFormat="1" ht="12.75" x14ac:dyDescent="0.2"/>
    <row r="45244" s="197" customFormat="1" ht="12.75" x14ac:dyDescent="0.2"/>
    <row r="45245" s="197" customFormat="1" ht="12.75" x14ac:dyDescent="0.2"/>
    <row r="45246" s="197" customFormat="1" ht="12.75" x14ac:dyDescent="0.2"/>
    <row r="45247" s="197" customFormat="1" ht="12.75" x14ac:dyDescent="0.2"/>
    <row r="45248" s="197" customFormat="1" ht="12.75" x14ac:dyDescent="0.2"/>
    <row r="45249" s="197" customFormat="1" ht="12.75" x14ac:dyDescent="0.2"/>
    <row r="45250" s="197" customFormat="1" ht="12.75" x14ac:dyDescent="0.2"/>
    <row r="45251" s="197" customFormat="1" ht="12.75" x14ac:dyDescent="0.2"/>
    <row r="45252" s="197" customFormat="1" ht="12.75" x14ac:dyDescent="0.2"/>
    <row r="45253" s="197" customFormat="1" ht="12.75" x14ac:dyDescent="0.2"/>
    <row r="45254" s="197" customFormat="1" ht="12.75" x14ac:dyDescent="0.2"/>
    <row r="45255" s="197" customFormat="1" ht="12.75" x14ac:dyDescent="0.2"/>
    <row r="45256" s="197" customFormat="1" ht="12.75" x14ac:dyDescent="0.2"/>
    <row r="45257" s="197" customFormat="1" ht="12.75" x14ac:dyDescent="0.2"/>
    <row r="45258" s="197" customFormat="1" ht="12.75" x14ac:dyDescent="0.2"/>
    <row r="45259" s="197" customFormat="1" ht="12.75" x14ac:dyDescent="0.2"/>
    <row r="45260" s="197" customFormat="1" ht="12.75" x14ac:dyDescent="0.2"/>
    <row r="45261" s="197" customFormat="1" ht="12.75" x14ac:dyDescent="0.2"/>
    <row r="45262" s="197" customFormat="1" ht="12.75" x14ac:dyDescent="0.2"/>
    <row r="45263" s="197" customFormat="1" ht="12.75" x14ac:dyDescent="0.2"/>
    <row r="45264" s="197" customFormat="1" ht="12.75" x14ac:dyDescent="0.2"/>
    <row r="45265" s="197" customFormat="1" ht="12.75" x14ac:dyDescent="0.2"/>
    <row r="45266" s="197" customFormat="1" ht="12.75" x14ac:dyDescent="0.2"/>
    <row r="45267" s="197" customFormat="1" ht="12.75" x14ac:dyDescent="0.2"/>
    <row r="45268" s="197" customFormat="1" ht="12.75" x14ac:dyDescent="0.2"/>
    <row r="45269" s="197" customFormat="1" ht="12.75" x14ac:dyDescent="0.2"/>
    <row r="45270" s="197" customFormat="1" ht="12.75" x14ac:dyDescent="0.2"/>
    <row r="45271" s="197" customFormat="1" ht="12.75" x14ac:dyDescent="0.2"/>
    <row r="45272" s="197" customFormat="1" ht="12.75" x14ac:dyDescent="0.2"/>
    <row r="45273" s="197" customFormat="1" ht="12.75" x14ac:dyDescent="0.2"/>
    <row r="45274" s="197" customFormat="1" ht="12.75" x14ac:dyDescent="0.2"/>
    <row r="45275" s="197" customFormat="1" ht="12.75" x14ac:dyDescent="0.2"/>
    <row r="45276" s="197" customFormat="1" ht="12.75" x14ac:dyDescent="0.2"/>
    <row r="45277" s="197" customFormat="1" ht="12.75" x14ac:dyDescent="0.2"/>
    <row r="45278" s="197" customFormat="1" ht="12.75" x14ac:dyDescent="0.2"/>
    <row r="45279" s="197" customFormat="1" ht="12.75" x14ac:dyDescent="0.2"/>
    <row r="45280" s="197" customFormat="1" ht="12.75" x14ac:dyDescent="0.2"/>
    <row r="45281" s="197" customFormat="1" ht="12.75" x14ac:dyDescent="0.2"/>
    <row r="45282" s="197" customFormat="1" ht="12.75" x14ac:dyDescent="0.2"/>
    <row r="45283" s="197" customFormat="1" ht="12.75" x14ac:dyDescent="0.2"/>
    <row r="45284" s="197" customFormat="1" ht="12.75" x14ac:dyDescent="0.2"/>
    <row r="45285" s="197" customFormat="1" ht="12.75" x14ac:dyDescent="0.2"/>
    <row r="45286" s="197" customFormat="1" ht="12.75" x14ac:dyDescent="0.2"/>
    <row r="45287" s="197" customFormat="1" ht="12.75" x14ac:dyDescent="0.2"/>
    <row r="45288" s="197" customFormat="1" ht="12.75" x14ac:dyDescent="0.2"/>
    <row r="45289" s="197" customFormat="1" ht="12.75" x14ac:dyDescent="0.2"/>
    <row r="45290" s="197" customFormat="1" ht="12.75" x14ac:dyDescent="0.2"/>
    <row r="45291" s="197" customFormat="1" ht="12.75" x14ac:dyDescent="0.2"/>
    <row r="45292" s="197" customFormat="1" ht="12.75" x14ac:dyDescent="0.2"/>
    <row r="45293" s="197" customFormat="1" ht="12.75" x14ac:dyDescent="0.2"/>
    <row r="45294" s="197" customFormat="1" ht="12.75" x14ac:dyDescent="0.2"/>
    <row r="45295" s="197" customFormat="1" ht="12.75" x14ac:dyDescent="0.2"/>
    <row r="45296" s="197" customFormat="1" ht="12.75" x14ac:dyDescent="0.2"/>
    <row r="45297" s="197" customFormat="1" ht="12.75" x14ac:dyDescent="0.2"/>
    <row r="45298" s="197" customFormat="1" ht="12.75" x14ac:dyDescent="0.2"/>
    <row r="45299" s="197" customFormat="1" ht="12.75" x14ac:dyDescent="0.2"/>
    <row r="45300" s="197" customFormat="1" ht="12.75" x14ac:dyDescent="0.2"/>
    <row r="45301" s="197" customFormat="1" ht="12.75" x14ac:dyDescent="0.2"/>
    <row r="45302" s="197" customFormat="1" ht="12.75" x14ac:dyDescent="0.2"/>
    <row r="45303" s="197" customFormat="1" ht="12.75" x14ac:dyDescent="0.2"/>
    <row r="45304" s="197" customFormat="1" ht="12.75" x14ac:dyDescent="0.2"/>
    <row r="45305" s="197" customFormat="1" ht="12.75" x14ac:dyDescent="0.2"/>
    <row r="45306" s="197" customFormat="1" ht="12.75" x14ac:dyDescent="0.2"/>
    <row r="45307" s="197" customFormat="1" ht="12.75" x14ac:dyDescent="0.2"/>
    <row r="45308" s="197" customFormat="1" ht="12.75" x14ac:dyDescent="0.2"/>
    <row r="45309" s="197" customFormat="1" ht="12.75" x14ac:dyDescent="0.2"/>
    <row r="45310" s="197" customFormat="1" ht="12.75" x14ac:dyDescent="0.2"/>
    <row r="45311" s="197" customFormat="1" ht="12.75" x14ac:dyDescent="0.2"/>
    <row r="45312" s="197" customFormat="1" ht="12.75" x14ac:dyDescent="0.2"/>
    <row r="45313" s="197" customFormat="1" ht="12.75" x14ac:dyDescent="0.2"/>
    <row r="45314" s="197" customFormat="1" ht="12.75" x14ac:dyDescent="0.2"/>
    <row r="45315" s="197" customFormat="1" ht="12.75" x14ac:dyDescent="0.2"/>
    <row r="45316" s="197" customFormat="1" ht="12.75" x14ac:dyDescent="0.2"/>
    <row r="45317" s="197" customFormat="1" ht="12.75" x14ac:dyDescent="0.2"/>
    <row r="45318" s="197" customFormat="1" ht="12.75" x14ac:dyDescent="0.2"/>
    <row r="45319" s="197" customFormat="1" ht="12.75" x14ac:dyDescent="0.2"/>
    <row r="45320" s="197" customFormat="1" ht="12.75" x14ac:dyDescent="0.2"/>
    <row r="45321" s="197" customFormat="1" ht="12.75" x14ac:dyDescent="0.2"/>
    <row r="45322" s="197" customFormat="1" ht="12.75" x14ac:dyDescent="0.2"/>
    <row r="45323" s="197" customFormat="1" ht="12.75" x14ac:dyDescent="0.2"/>
    <row r="45324" s="197" customFormat="1" ht="12.75" x14ac:dyDescent="0.2"/>
    <row r="45325" s="197" customFormat="1" ht="12.75" x14ac:dyDescent="0.2"/>
    <row r="45326" s="197" customFormat="1" ht="12.75" x14ac:dyDescent="0.2"/>
    <row r="45327" s="197" customFormat="1" ht="12.75" x14ac:dyDescent="0.2"/>
    <row r="45328" s="197" customFormat="1" ht="12.75" x14ac:dyDescent="0.2"/>
    <row r="45329" s="197" customFormat="1" ht="12.75" x14ac:dyDescent="0.2"/>
    <row r="45330" s="197" customFormat="1" ht="12.75" x14ac:dyDescent="0.2"/>
    <row r="45331" s="197" customFormat="1" ht="12.75" x14ac:dyDescent="0.2"/>
    <row r="45332" s="197" customFormat="1" ht="12.75" x14ac:dyDescent="0.2"/>
    <row r="45333" s="197" customFormat="1" ht="12.75" x14ac:dyDescent="0.2"/>
    <row r="45334" s="197" customFormat="1" ht="12.75" x14ac:dyDescent="0.2"/>
    <row r="45335" s="197" customFormat="1" ht="12.75" x14ac:dyDescent="0.2"/>
    <row r="45336" s="197" customFormat="1" ht="12.75" x14ac:dyDescent="0.2"/>
    <row r="45337" s="197" customFormat="1" ht="12.75" x14ac:dyDescent="0.2"/>
    <row r="45338" s="197" customFormat="1" ht="12.75" x14ac:dyDescent="0.2"/>
    <row r="45339" s="197" customFormat="1" ht="12.75" x14ac:dyDescent="0.2"/>
    <row r="45340" s="197" customFormat="1" ht="12.75" x14ac:dyDescent="0.2"/>
    <row r="45341" s="197" customFormat="1" ht="12.75" x14ac:dyDescent="0.2"/>
    <row r="45342" s="197" customFormat="1" ht="12.75" x14ac:dyDescent="0.2"/>
    <row r="45343" s="197" customFormat="1" ht="12.75" x14ac:dyDescent="0.2"/>
    <row r="45344" s="197" customFormat="1" ht="12.75" x14ac:dyDescent="0.2"/>
    <row r="45345" s="197" customFormat="1" ht="12.75" x14ac:dyDescent="0.2"/>
    <row r="45346" s="197" customFormat="1" ht="12.75" x14ac:dyDescent="0.2"/>
    <row r="45347" s="197" customFormat="1" ht="12.75" x14ac:dyDescent="0.2"/>
    <row r="45348" s="197" customFormat="1" ht="12.75" x14ac:dyDescent="0.2"/>
    <row r="45349" s="197" customFormat="1" ht="12.75" x14ac:dyDescent="0.2"/>
    <row r="45350" s="197" customFormat="1" ht="12.75" x14ac:dyDescent="0.2"/>
    <row r="45351" s="197" customFormat="1" ht="12.75" x14ac:dyDescent="0.2"/>
    <row r="45352" s="197" customFormat="1" ht="12.75" x14ac:dyDescent="0.2"/>
    <row r="45353" s="197" customFormat="1" ht="12.75" x14ac:dyDescent="0.2"/>
    <row r="45354" s="197" customFormat="1" ht="12.75" x14ac:dyDescent="0.2"/>
    <row r="45355" s="197" customFormat="1" ht="12.75" x14ac:dyDescent="0.2"/>
    <row r="45356" s="197" customFormat="1" ht="12.75" x14ac:dyDescent="0.2"/>
    <row r="45357" s="197" customFormat="1" ht="12.75" x14ac:dyDescent="0.2"/>
    <row r="45358" s="197" customFormat="1" ht="12.75" x14ac:dyDescent="0.2"/>
    <row r="45359" s="197" customFormat="1" ht="12.75" x14ac:dyDescent="0.2"/>
    <row r="45360" s="197" customFormat="1" ht="12.75" x14ac:dyDescent="0.2"/>
    <row r="45361" s="197" customFormat="1" ht="12.75" x14ac:dyDescent="0.2"/>
    <row r="45362" s="197" customFormat="1" ht="12.75" x14ac:dyDescent="0.2"/>
    <row r="45363" s="197" customFormat="1" ht="12.75" x14ac:dyDescent="0.2"/>
    <row r="45364" s="197" customFormat="1" ht="12.75" x14ac:dyDescent="0.2"/>
    <row r="45365" s="197" customFormat="1" ht="12.75" x14ac:dyDescent="0.2"/>
    <row r="45366" s="197" customFormat="1" ht="12.75" x14ac:dyDescent="0.2"/>
    <row r="45367" s="197" customFormat="1" ht="12.75" x14ac:dyDescent="0.2"/>
    <row r="45368" s="197" customFormat="1" ht="12.75" x14ac:dyDescent="0.2"/>
    <row r="45369" s="197" customFormat="1" ht="12.75" x14ac:dyDescent="0.2"/>
    <row r="45370" s="197" customFormat="1" ht="12.75" x14ac:dyDescent="0.2"/>
    <row r="45371" s="197" customFormat="1" ht="12.75" x14ac:dyDescent="0.2"/>
    <row r="45372" s="197" customFormat="1" ht="12.75" x14ac:dyDescent="0.2"/>
    <row r="45373" s="197" customFormat="1" ht="12.75" x14ac:dyDescent="0.2"/>
    <row r="45374" s="197" customFormat="1" ht="12.75" x14ac:dyDescent="0.2"/>
    <row r="45375" s="197" customFormat="1" ht="12.75" x14ac:dyDescent="0.2"/>
    <row r="45376" s="197" customFormat="1" ht="12.75" x14ac:dyDescent="0.2"/>
    <row r="45377" s="197" customFormat="1" ht="12.75" x14ac:dyDescent="0.2"/>
    <row r="45378" s="197" customFormat="1" ht="12.75" x14ac:dyDescent="0.2"/>
    <row r="45379" s="197" customFormat="1" ht="12.75" x14ac:dyDescent="0.2"/>
    <row r="45380" s="197" customFormat="1" ht="12.75" x14ac:dyDescent="0.2"/>
    <row r="45381" s="197" customFormat="1" ht="12.75" x14ac:dyDescent="0.2"/>
    <row r="45382" s="197" customFormat="1" ht="12.75" x14ac:dyDescent="0.2"/>
    <row r="45383" s="197" customFormat="1" ht="12.75" x14ac:dyDescent="0.2"/>
    <row r="45384" s="197" customFormat="1" ht="12.75" x14ac:dyDescent="0.2"/>
    <row r="45385" s="197" customFormat="1" ht="12.75" x14ac:dyDescent="0.2"/>
    <row r="45386" s="197" customFormat="1" ht="12.75" x14ac:dyDescent="0.2"/>
    <row r="45387" s="197" customFormat="1" ht="12.75" x14ac:dyDescent="0.2"/>
    <row r="45388" s="197" customFormat="1" ht="12.75" x14ac:dyDescent="0.2"/>
    <row r="45389" s="197" customFormat="1" ht="12.75" x14ac:dyDescent="0.2"/>
    <row r="45390" s="197" customFormat="1" ht="12.75" x14ac:dyDescent="0.2"/>
    <row r="45391" s="197" customFormat="1" ht="12.75" x14ac:dyDescent="0.2"/>
    <row r="45392" s="197" customFormat="1" ht="12.75" x14ac:dyDescent="0.2"/>
    <row r="45393" s="197" customFormat="1" ht="12.75" x14ac:dyDescent="0.2"/>
    <row r="45394" s="197" customFormat="1" ht="12.75" x14ac:dyDescent="0.2"/>
    <row r="45395" s="197" customFormat="1" ht="12.75" x14ac:dyDescent="0.2"/>
    <row r="45396" s="197" customFormat="1" ht="12.75" x14ac:dyDescent="0.2"/>
    <row r="45397" s="197" customFormat="1" ht="12.75" x14ac:dyDescent="0.2"/>
    <row r="45398" s="197" customFormat="1" ht="12.75" x14ac:dyDescent="0.2"/>
    <row r="45399" s="197" customFormat="1" ht="12.75" x14ac:dyDescent="0.2"/>
    <row r="45400" s="197" customFormat="1" ht="12.75" x14ac:dyDescent="0.2"/>
    <row r="45401" s="197" customFormat="1" ht="12.75" x14ac:dyDescent="0.2"/>
    <row r="45402" s="197" customFormat="1" ht="12.75" x14ac:dyDescent="0.2"/>
    <row r="45403" s="197" customFormat="1" ht="12.75" x14ac:dyDescent="0.2"/>
    <row r="45404" s="197" customFormat="1" ht="12.75" x14ac:dyDescent="0.2"/>
    <row r="45405" s="197" customFormat="1" ht="12.75" x14ac:dyDescent="0.2"/>
    <row r="45406" s="197" customFormat="1" ht="12.75" x14ac:dyDescent="0.2"/>
    <row r="45407" s="197" customFormat="1" ht="12.75" x14ac:dyDescent="0.2"/>
    <row r="45408" s="197" customFormat="1" ht="12.75" x14ac:dyDescent="0.2"/>
    <row r="45409" s="197" customFormat="1" ht="12.75" x14ac:dyDescent="0.2"/>
    <row r="45410" s="197" customFormat="1" ht="12.75" x14ac:dyDescent="0.2"/>
    <row r="45411" s="197" customFormat="1" ht="12.75" x14ac:dyDescent="0.2"/>
    <row r="45412" s="197" customFormat="1" ht="12.75" x14ac:dyDescent="0.2"/>
    <row r="45413" s="197" customFormat="1" ht="12.75" x14ac:dyDescent="0.2"/>
    <row r="45414" s="197" customFormat="1" ht="12.75" x14ac:dyDescent="0.2"/>
    <row r="45415" s="197" customFormat="1" ht="12.75" x14ac:dyDescent="0.2"/>
    <row r="45416" s="197" customFormat="1" ht="12.75" x14ac:dyDescent="0.2"/>
    <row r="45417" s="197" customFormat="1" ht="12.75" x14ac:dyDescent="0.2"/>
    <row r="45418" s="197" customFormat="1" ht="12.75" x14ac:dyDescent="0.2"/>
    <row r="45419" s="197" customFormat="1" ht="12.75" x14ac:dyDescent="0.2"/>
    <row r="45420" s="197" customFormat="1" ht="12.75" x14ac:dyDescent="0.2"/>
    <row r="45421" s="197" customFormat="1" ht="12.75" x14ac:dyDescent="0.2"/>
    <row r="45422" s="197" customFormat="1" ht="12.75" x14ac:dyDescent="0.2"/>
    <row r="45423" s="197" customFormat="1" ht="12.75" x14ac:dyDescent="0.2"/>
    <row r="45424" s="197" customFormat="1" ht="12.75" x14ac:dyDescent="0.2"/>
    <row r="45425" s="197" customFormat="1" ht="12.75" x14ac:dyDescent="0.2"/>
    <row r="45426" s="197" customFormat="1" ht="12.75" x14ac:dyDescent="0.2"/>
    <row r="45427" s="197" customFormat="1" ht="12.75" x14ac:dyDescent="0.2"/>
    <row r="45428" s="197" customFormat="1" ht="12.75" x14ac:dyDescent="0.2"/>
    <row r="45429" s="197" customFormat="1" ht="12.75" x14ac:dyDescent="0.2"/>
    <row r="45430" s="197" customFormat="1" ht="12.75" x14ac:dyDescent="0.2"/>
    <row r="45431" s="197" customFormat="1" ht="12.75" x14ac:dyDescent="0.2"/>
    <row r="45432" s="197" customFormat="1" ht="12.75" x14ac:dyDescent="0.2"/>
    <row r="45433" s="197" customFormat="1" ht="12.75" x14ac:dyDescent="0.2"/>
    <row r="45434" s="197" customFormat="1" ht="12.75" x14ac:dyDescent="0.2"/>
    <row r="45435" s="197" customFormat="1" ht="12.75" x14ac:dyDescent="0.2"/>
    <row r="45436" s="197" customFormat="1" ht="12.75" x14ac:dyDescent="0.2"/>
    <row r="45437" s="197" customFormat="1" ht="12.75" x14ac:dyDescent="0.2"/>
    <row r="45438" s="197" customFormat="1" ht="12.75" x14ac:dyDescent="0.2"/>
    <row r="45439" s="197" customFormat="1" ht="12.75" x14ac:dyDescent="0.2"/>
    <row r="45440" s="197" customFormat="1" ht="12.75" x14ac:dyDescent="0.2"/>
    <row r="45441" s="197" customFormat="1" ht="12.75" x14ac:dyDescent="0.2"/>
    <row r="45442" s="197" customFormat="1" ht="12.75" x14ac:dyDescent="0.2"/>
    <row r="45443" s="197" customFormat="1" ht="12.75" x14ac:dyDescent="0.2"/>
    <row r="45444" s="197" customFormat="1" ht="12.75" x14ac:dyDescent="0.2"/>
    <row r="45445" s="197" customFormat="1" ht="12.75" x14ac:dyDescent="0.2"/>
    <row r="45446" s="197" customFormat="1" ht="12.75" x14ac:dyDescent="0.2"/>
    <row r="45447" s="197" customFormat="1" ht="12.75" x14ac:dyDescent="0.2"/>
    <row r="45448" s="197" customFormat="1" ht="12.75" x14ac:dyDescent="0.2"/>
    <row r="45449" s="197" customFormat="1" ht="12.75" x14ac:dyDescent="0.2"/>
    <row r="45450" s="197" customFormat="1" ht="12.75" x14ac:dyDescent="0.2"/>
    <row r="45451" s="197" customFormat="1" ht="12.75" x14ac:dyDescent="0.2"/>
    <row r="45452" s="197" customFormat="1" ht="12.75" x14ac:dyDescent="0.2"/>
    <row r="45453" s="197" customFormat="1" ht="12.75" x14ac:dyDescent="0.2"/>
    <row r="45454" s="197" customFormat="1" ht="12.75" x14ac:dyDescent="0.2"/>
    <row r="45455" s="197" customFormat="1" ht="12.75" x14ac:dyDescent="0.2"/>
    <row r="45456" s="197" customFormat="1" ht="12.75" x14ac:dyDescent="0.2"/>
    <row r="45457" s="197" customFormat="1" ht="12.75" x14ac:dyDescent="0.2"/>
    <row r="45458" s="197" customFormat="1" ht="12.75" x14ac:dyDescent="0.2"/>
    <row r="45459" s="197" customFormat="1" ht="12.75" x14ac:dyDescent="0.2"/>
    <row r="45460" s="197" customFormat="1" ht="12.75" x14ac:dyDescent="0.2"/>
    <row r="45461" s="197" customFormat="1" ht="12.75" x14ac:dyDescent="0.2"/>
    <row r="45462" s="197" customFormat="1" ht="12.75" x14ac:dyDescent="0.2"/>
    <row r="45463" s="197" customFormat="1" ht="12.75" x14ac:dyDescent="0.2"/>
    <row r="45464" s="197" customFormat="1" ht="12.75" x14ac:dyDescent="0.2"/>
    <row r="45465" s="197" customFormat="1" ht="12.75" x14ac:dyDescent="0.2"/>
    <row r="45466" s="197" customFormat="1" ht="12.75" x14ac:dyDescent="0.2"/>
    <row r="45467" s="197" customFormat="1" ht="12.75" x14ac:dyDescent="0.2"/>
    <row r="45468" s="197" customFormat="1" ht="12.75" x14ac:dyDescent="0.2"/>
    <row r="45469" s="197" customFormat="1" ht="12.75" x14ac:dyDescent="0.2"/>
    <row r="45470" s="197" customFormat="1" ht="12.75" x14ac:dyDescent="0.2"/>
    <row r="45471" s="197" customFormat="1" ht="12.75" x14ac:dyDescent="0.2"/>
    <row r="45472" s="197" customFormat="1" ht="12.75" x14ac:dyDescent="0.2"/>
    <row r="45473" s="197" customFormat="1" ht="12.75" x14ac:dyDescent="0.2"/>
    <row r="45474" s="197" customFormat="1" ht="12.75" x14ac:dyDescent="0.2"/>
    <row r="45475" s="197" customFormat="1" ht="12.75" x14ac:dyDescent="0.2"/>
    <row r="45476" s="197" customFormat="1" ht="12.75" x14ac:dyDescent="0.2"/>
    <row r="45477" s="197" customFormat="1" ht="12.75" x14ac:dyDescent="0.2"/>
    <row r="45478" s="197" customFormat="1" ht="12.75" x14ac:dyDescent="0.2"/>
    <row r="45479" s="197" customFormat="1" ht="12.75" x14ac:dyDescent="0.2"/>
    <row r="45480" s="197" customFormat="1" ht="12.75" x14ac:dyDescent="0.2"/>
    <row r="45481" s="197" customFormat="1" ht="12.75" x14ac:dyDescent="0.2"/>
    <row r="45482" s="197" customFormat="1" ht="12.75" x14ac:dyDescent="0.2"/>
    <row r="45483" s="197" customFormat="1" ht="12.75" x14ac:dyDescent="0.2"/>
    <row r="45484" s="197" customFormat="1" ht="12.75" x14ac:dyDescent="0.2"/>
    <row r="45485" s="197" customFormat="1" ht="12.75" x14ac:dyDescent="0.2"/>
    <row r="45486" s="197" customFormat="1" ht="12.75" x14ac:dyDescent="0.2"/>
    <row r="45487" s="197" customFormat="1" ht="12.75" x14ac:dyDescent="0.2"/>
    <row r="45488" s="197" customFormat="1" ht="12.75" x14ac:dyDescent="0.2"/>
    <row r="45489" s="197" customFormat="1" ht="12.75" x14ac:dyDescent="0.2"/>
    <row r="45490" s="197" customFormat="1" ht="12.75" x14ac:dyDescent="0.2"/>
    <row r="45491" s="197" customFormat="1" ht="12.75" x14ac:dyDescent="0.2"/>
    <row r="45492" s="197" customFormat="1" ht="12.75" x14ac:dyDescent="0.2"/>
    <row r="45493" s="197" customFormat="1" ht="12.75" x14ac:dyDescent="0.2"/>
    <row r="45494" s="197" customFormat="1" ht="12.75" x14ac:dyDescent="0.2"/>
    <row r="45495" s="197" customFormat="1" ht="12.75" x14ac:dyDescent="0.2"/>
    <row r="45496" s="197" customFormat="1" ht="12.75" x14ac:dyDescent="0.2"/>
    <row r="45497" s="197" customFormat="1" ht="12.75" x14ac:dyDescent="0.2"/>
    <row r="45498" s="197" customFormat="1" ht="12.75" x14ac:dyDescent="0.2"/>
    <row r="45499" s="197" customFormat="1" ht="12.75" x14ac:dyDescent="0.2"/>
    <row r="45500" s="197" customFormat="1" ht="12.75" x14ac:dyDescent="0.2"/>
    <row r="45501" s="197" customFormat="1" ht="12.75" x14ac:dyDescent="0.2"/>
    <row r="45502" s="197" customFormat="1" ht="12.75" x14ac:dyDescent="0.2"/>
    <row r="45503" s="197" customFormat="1" ht="12.75" x14ac:dyDescent="0.2"/>
    <row r="45504" s="197" customFormat="1" ht="12.75" x14ac:dyDescent="0.2"/>
    <row r="45505" s="197" customFormat="1" ht="12.75" x14ac:dyDescent="0.2"/>
    <row r="45506" s="197" customFormat="1" ht="12.75" x14ac:dyDescent="0.2"/>
    <row r="45507" s="197" customFormat="1" ht="12.75" x14ac:dyDescent="0.2"/>
    <row r="45508" s="197" customFormat="1" ht="12.75" x14ac:dyDescent="0.2"/>
    <row r="45509" s="197" customFormat="1" ht="12.75" x14ac:dyDescent="0.2"/>
    <row r="45510" s="197" customFormat="1" ht="12.75" x14ac:dyDescent="0.2"/>
    <row r="45511" s="197" customFormat="1" ht="12.75" x14ac:dyDescent="0.2"/>
    <row r="45512" s="197" customFormat="1" ht="12.75" x14ac:dyDescent="0.2"/>
    <row r="45513" s="197" customFormat="1" ht="12.75" x14ac:dyDescent="0.2"/>
    <row r="45514" s="197" customFormat="1" ht="12.75" x14ac:dyDescent="0.2"/>
    <row r="45515" s="197" customFormat="1" ht="12.75" x14ac:dyDescent="0.2"/>
    <row r="45516" s="197" customFormat="1" ht="12.75" x14ac:dyDescent="0.2"/>
    <row r="45517" s="197" customFormat="1" ht="12.75" x14ac:dyDescent="0.2"/>
    <row r="45518" s="197" customFormat="1" ht="12.75" x14ac:dyDescent="0.2"/>
    <row r="45519" s="197" customFormat="1" ht="12.75" x14ac:dyDescent="0.2"/>
    <row r="45520" s="197" customFormat="1" ht="12.75" x14ac:dyDescent="0.2"/>
    <row r="45521" s="197" customFormat="1" ht="12.75" x14ac:dyDescent="0.2"/>
    <row r="45522" s="197" customFormat="1" ht="12.75" x14ac:dyDescent="0.2"/>
    <row r="45523" s="197" customFormat="1" ht="12.75" x14ac:dyDescent="0.2"/>
    <row r="45524" s="197" customFormat="1" ht="12.75" x14ac:dyDescent="0.2"/>
    <row r="45525" s="197" customFormat="1" ht="12.75" x14ac:dyDescent="0.2"/>
    <row r="45526" s="197" customFormat="1" ht="12.75" x14ac:dyDescent="0.2"/>
    <row r="45527" s="197" customFormat="1" ht="12.75" x14ac:dyDescent="0.2"/>
    <row r="45528" s="197" customFormat="1" ht="12.75" x14ac:dyDescent="0.2"/>
    <row r="45529" s="197" customFormat="1" ht="12.75" x14ac:dyDescent="0.2"/>
    <row r="45530" s="197" customFormat="1" ht="12.75" x14ac:dyDescent="0.2"/>
    <row r="45531" s="197" customFormat="1" ht="12.75" x14ac:dyDescent="0.2"/>
    <row r="45532" s="197" customFormat="1" ht="12.75" x14ac:dyDescent="0.2"/>
    <row r="45533" s="197" customFormat="1" ht="12.75" x14ac:dyDescent="0.2"/>
    <row r="45534" s="197" customFormat="1" ht="12.75" x14ac:dyDescent="0.2"/>
    <row r="45535" s="197" customFormat="1" ht="12.75" x14ac:dyDescent="0.2"/>
    <row r="45536" s="197" customFormat="1" ht="12.75" x14ac:dyDescent="0.2"/>
    <row r="45537" s="197" customFormat="1" ht="12.75" x14ac:dyDescent="0.2"/>
    <row r="45538" s="197" customFormat="1" ht="12.75" x14ac:dyDescent="0.2"/>
    <row r="45539" s="197" customFormat="1" ht="12.75" x14ac:dyDescent="0.2"/>
    <row r="45540" s="197" customFormat="1" ht="12.75" x14ac:dyDescent="0.2"/>
    <row r="45541" s="197" customFormat="1" ht="12.75" x14ac:dyDescent="0.2"/>
    <row r="45542" s="197" customFormat="1" ht="12.75" x14ac:dyDescent="0.2"/>
    <row r="45543" s="197" customFormat="1" ht="12.75" x14ac:dyDescent="0.2"/>
    <row r="45544" s="197" customFormat="1" ht="12.75" x14ac:dyDescent="0.2"/>
    <row r="45545" s="197" customFormat="1" ht="12.75" x14ac:dyDescent="0.2"/>
    <row r="45546" s="197" customFormat="1" ht="12.75" x14ac:dyDescent="0.2"/>
    <row r="45547" s="197" customFormat="1" ht="12.75" x14ac:dyDescent="0.2"/>
    <row r="45548" s="197" customFormat="1" ht="12.75" x14ac:dyDescent="0.2"/>
    <row r="45549" s="197" customFormat="1" ht="12.75" x14ac:dyDescent="0.2"/>
    <row r="45550" s="197" customFormat="1" ht="12.75" x14ac:dyDescent="0.2"/>
    <row r="45551" s="197" customFormat="1" ht="12.75" x14ac:dyDescent="0.2"/>
    <row r="45552" s="197" customFormat="1" ht="12.75" x14ac:dyDescent="0.2"/>
    <row r="45553" s="197" customFormat="1" ht="12.75" x14ac:dyDescent="0.2"/>
    <row r="45554" s="197" customFormat="1" ht="12.75" x14ac:dyDescent="0.2"/>
    <row r="45555" s="197" customFormat="1" ht="12.75" x14ac:dyDescent="0.2"/>
    <row r="45556" s="197" customFormat="1" ht="12.75" x14ac:dyDescent="0.2"/>
    <row r="45557" s="197" customFormat="1" ht="12.75" x14ac:dyDescent="0.2"/>
    <row r="45558" s="197" customFormat="1" ht="12.75" x14ac:dyDescent="0.2"/>
    <row r="45559" s="197" customFormat="1" ht="12.75" x14ac:dyDescent="0.2"/>
    <row r="45560" s="197" customFormat="1" ht="12.75" x14ac:dyDescent="0.2"/>
    <row r="45561" s="197" customFormat="1" ht="12.75" x14ac:dyDescent="0.2"/>
    <row r="45562" s="197" customFormat="1" ht="12.75" x14ac:dyDescent="0.2"/>
    <row r="45563" s="197" customFormat="1" ht="12.75" x14ac:dyDescent="0.2"/>
    <row r="45564" s="197" customFormat="1" ht="12.75" x14ac:dyDescent="0.2"/>
    <row r="45565" s="197" customFormat="1" ht="12.75" x14ac:dyDescent="0.2"/>
    <row r="45566" s="197" customFormat="1" ht="12.75" x14ac:dyDescent="0.2"/>
    <row r="45567" s="197" customFormat="1" ht="12.75" x14ac:dyDescent="0.2"/>
    <row r="45568" s="197" customFormat="1" ht="12.75" x14ac:dyDescent="0.2"/>
    <row r="45569" s="197" customFormat="1" ht="12.75" x14ac:dyDescent="0.2"/>
    <row r="45570" s="197" customFormat="1" ht="12.75" x14ac:dyDescent="0.2"/>
    <row r="45571" s="197" customFormat="1" ht="12.75" x14ac:dyDescent="0.2"/>
    <row r="45572" s="197" customFormat="1" ht="12.75" x14ac:dyDescent="0.2"/>
    <row r="45573" s="197" customFormat="1" ht="12.75" x14ac:dyDescent="0.2"/>
    <row r="45574" s="197" customFormat="1" ht="12.75" x14ac:dyDescent="0.2"/>
    <row r="45575" s="197" customFormat="1" ht="12.75" x14ac:dyDescent="0.2"/>
    <row r="45576" s="197" customFormat="1" ht="12.75" x14ac:dyDescent="0.2"/>
    <row r="45577" s="197" customFormat="1" ht="12.75" x14ac:dyDescent="0.2"/>
    <row r="45578" s="197" customFormat="1" ht="12.75" x14ac:dyDescent="0.2"/>
    <row r="45579" s="197" customFormat="1" ht="12.75" x14ac:dyDescent="0.2"/>
    <row r="45580" s="197" customFormat="1" ht="12.75" x14ac:dyDescent="0.2"/>
    <row r="45581" s="197" customFormat="1" ht="12.75" x14ac:dyDescent="0.2"/>
    <row r="45582" s="197" customFormat="1" ht="12.75" x14ac:dyDescent="0.2"/>
    <row r="45583" s="197" customFormat="1" ht="12.75" x14ac:dyDescent="0.2"/>
    <row r="45584" s="197" customFormat="1" ht="12.75" x14ac:dyDescent="0.2"/>
    <row r="45585" s="197" customFormat="1" ht="12.75" x14ac:dyDescent="0.2"/>
    <row r="45586" s="197" customFormat="1" ht="12.75" x14ac:dyDescent="0.2"/>
    <row r="45587" s="197" customFormat="1" ht="12.75" x14ac:dyDescent="0.2"/>
    <row r="45588" s="197" customFormat="1" ht="12.75" x14ac:dyDescent="0.2"/>
    <row r="45589" s="197" customFormat="1" ht="12.75" x14ac:dyDescent="0.2"/>
    <row r="45590" s="197" customFormat="1" ht="12.75" x14ac:dyDescent="0.2"/>
    <row r="45591" s="197" customFormat="1" ht="12.75" x14ac:dyDescent="0.2"/>
    <row r="45592" s="197" customFormat="1" ht="12.75" x14ac:dyDescent="0.2"/>
    <row r="45593" s="197" customFormat="1" ht="12.75" x14ac:dyDescent="0.2"/>
    <row r="45594" s="197" customFormat="1" ht="12.75" x14ac:dyDescent="0.2"/>
    <row r="45595" s="197" customFormat="1" ht="12.75" x14ac:dyDescent="0.2"/>
    <row r="45596" s="197" customFormat="1" ht="12.75" x14ac:dyDescent="0.2"/>
    <row r="45597" s="197" customFormat="1" ht="12.75" x14ac:dyDescent="0.2"/>
    <row r="45598" s="197" customFormat="1" ht="12.75" x14ac:dyDescent="0.2"/>
    <row r="45599" s="197" customFormat="1" ht="12.75" x14ac:dyDescent="0.2"/>
    <row r="45600" s="197" customFormat="1" ht="12.75" x14ac:dyDescent="0.2"/>
    <row r="45601" s="197" customFormat="1" ht="12.75" x14ac:dyDescent="0.2"/>
    <row r="45602" s="197" customFormat="1" ht="12.75" x14ac:dyDescent="0.2"/>
    <row r="45603" s="197" customFormat="1" ht="12.75" x14ac:dyDescent="0.2"/>
    <row r="45604" s="197" customFormat="1" ht="12.75" x14ac:dyDescent="0.2"/>
    <row r="45605" s="197" customFormat="1" ht="12.75" x14ac:dyDescent="0.2"/>
    <row r="45606" s="197" customFormat="1" ht="12.75" x14ac:dyDescent="0.2"/>
    <row r="45607" s="197" customFormat="1" ht="12.75" x14ac:dyDescent="0.2"/>
    <row r="45608" s="197" customFormat="1" ht="12.75" x14ac:dyDescent="0.2"/>
    <row r="45609" s="197" customFormat="1" ht="12.75" x14ac:dyDescent="0.2"/>
    <row r="45610" s="197" customFormat="1" ht="12.75" x14ac:dyDescent="0.2"/>
    <row r="45611" s="197" customFormat="1" ht="12.75" x14ac:dyDescent="0.2"/>
    <row r="45612" s="197" customFormat="1" ht="12.75" x14ac:dyDescent="0.2"/>
    <row r="45613" s="197" customFormat="1" ht="12.75" x14ac:dyDescent="0.2"/>
    <row r="45614" s="197" customFormat="1" ht="12.75" x14ac:dyDescent="0.2"/>
    <row r="45615" s="197" customFormat="1" ht="12.75" x14ac:dyDescent="0.2"/>
    <row r="45616" s="197" customFormat="1" ht="12.75" x14ac:dyDescent="0.2"/>
    <row r="45617" s="197" customFormat="1" ht="12.75" x14ac:dyDescent="0.2"/>
    <row r="45618" s="197" customFormat="1" ht="12.75" x14ac:dyDescent="0.2"/>
    <row r="45619" s="197" customFormat="1" ht="12.75" x14ac:dyDescent="0.2"/>
    <row r="45620" s="197" customFormat="1" ht="12.75" x14ac:dyDescent="0.2"/>
    <row r="45621" s="197" customFormat="1" ht="12.75" x14ac:dyDescent="0.2"/>
    <row r="45622" s="197" customFormat="1" ht="12.75" x14ac:dyDescent="0.2"/>
    <row r="45623" s="197" customFormat="1" ht="12.75" x14ac:dyDescent="0.2"/>
    <row r="45624" s="197" customFormat="1" ht="12.75" x14ac:dyDescent="0.2"/>
    <row r="45625" s="197" customFormat="1" ht="12.75" x14ac:dyDescent="0.2"/>
    <row r="45626" s="197" customFormat="1" ht="12.75" x14ac:dyDescent="0.2"/>
    <row r="45627" s="197" customFormat="1" ht="12.75" x14ac:dyDescent="0.2"/>
    <row r="45628" s="197" customFormat="1" ht="12.75" x14ac:dyDescent="0.2"/>
    <row r="45629" s="197" customFormat="1" ht="12.75" x14ac:dyDescent="0.2"/>
    <row r="45630" s="197" customFormat="1" ht="12.75" x14ac:dyDescent="0.2"/>
    <row r="45631" s="197" customFormat="1" ht="12.75" x14ac:dyDescent="0.2"/>
    <row r="45632" s="197" customFormat="1" ht="12.75" x14ac:dyDescent="0.2"/>
    <row r="45633" s="197" customFormat="1" ht="12.75" x14ac:dyDescent="0.2"/>
    <row r="45634" s="197" customFormat="1" ht="12.75" x14ac:dyDescent="0.2"/>
    <row r="45635" s="197" customFormat="1" ht="12.75" x14ac:dyDescent="0.2"/>
    <row r="45636" s="197" customFormat="1" ht="12.75" x14ac:dyDescent="0.2"/>
    <row r="45637" s="197" customFormat="1" ht="12.75" x14ac:dyDescent="0.2"/>
    <row r="45638" s="197" customFormat="1" ht="12.75" x14ac:dyDescent="0.2"/>
    <row r="45639" s="197" customFormat="1" ht="12.75" x14ac:dyDescent="0.2"/>
    <row r="45640" s="197" customFormat="1" ht="12.75" x14ac:dyDescent="0.2"/>
    <row r="45641" s="197" customFormat="1" ht="12.75" x14ac:dyDescent="0.2"/>
    <row r="45642" s="197" customFormat="1" ht="12.75" x14ac:dyDescent="0.2"/>
    <row r="45643" s="197" customFormat="1" ht="12.75" x14ac:dyDescent="0.2"/>
    <row r="45644" s="197" customFormat="1" ht="12.75" x14ac:dyDescent="0.2"/>
    <row r="45645" s="197" customFormat="1" ht="12.75" x14ac:dyDescent="0.2"/>
    <row r="45646" s="197" customFormat="1" ht="12.75" x14ac:dyDescent="0.2"/>
    <row r="45647" s="197" customFormat="1" ht="12.75" x14ac:dyDescent="0.2"/>
    <row r="45648" s="197" customFormat="1" ht="12.75" x14ac:dyDescent="0.2"/>
    <row r="45649" s="197" customFormat="1" ht="12.75" x14ac:dyDescent="0.2"/>
    <row r="45650" s="197" customFormat="1" ht="12.75" x14ac:dyDescent="0.2"/>
    <row r="45651" s="197" customFormat="1" ht="12.75" x14ac:dyDescent="0.2"/>
    <row r="45652" s="197" customFormat="1" ht="12.75" x14ac:dyDescent="0.2"/>
    <row r="45653" s="197" customFormat="1" ht="12.75" x14ac:dyDescent="0.2"/>
    <row r="45654" s="197" customFormat="1" ht="12.75" x14ac:dyDescent="0.2"/>
    <row r="45655" s="197" customFormat="1" ht="12.75" x14ac:dyDescent="0.2"/>
    <row r="45656" s="197" customFormat="1" ht="12.75" x14ac:dyDescent="0.2"/>
    <row r="45657" s="197" customFormat="1" ht="12.75" x14ac:dyDescent="0.2"/>
    <row r="45658" s="197" customFormat="1" ht="12.75" x14ac:dyDescent="0.2"/>
    <row r="45659" s="197" customFormat="1" ht="12.75" x14ac:dyDescent="0.2"/>
    <row r="45660" s="197" customFormat="1" ht="12.75" x14ac:dyDescent="0.2"/>
    <row r="45661" s="197" customFormat="1" ht="12.75" x14ac:dyDescent="0.2"/>
    <row r="45662" s="197" customFormat="1" ht="12.75" x14ac:dyDescent="0.2"/>
    <row r="45663" s="197" customFormat="1" ht="12.75" x14ac:dyDescent="0.2"/>
    <row r="45664" s="197" customFormat="1" ht="12.75" x14ac:dyDescent="0.2"/>
    <row r="45665" s="197" customFormat="1" ht="12.75" x14ac:dyDescent="0.2"/>
    <row r="45666" s="197" customFormat="1" ht="12.75" x14ac:dyDescent="0.2"/>
    <row r="45667" s="197" customFormat="1" ht="12.75" x14ac:dyDescent="0.2"/>
    <row r="45668" s="197" customFormat="1" ht="12.75" x14ac:dyDescent="0.2"/>
    <row r="45669" s="197" customFormat="1" ht="12.75" x14ac:dyDescent="0.2"/>
    <row r="45670" s="197" customFormat="1" ht="12.75" x14ac:dyDescent="0.2"/>
    <row r="45671" s="197" customFormat="1" ht="12.75" x14ac:dyDescent="0.2"/>
    <row r="45672" s="197" customFormat="1" ht="12.75" x14ac:dyDescent="0.2"/>
    <row r="45673" s="197" customFormat="1" ht="12.75" x14ac:dyDescent="0.2"/>
    <row r="45674" s="197" customFormat="1" ht="12.75" x14ac:dyDescent="0.2"/>
    <row r="45675" s="197" customFormat="1" ht="12.75" x14ac:dyDescent="0.2"/>
    <row r="45676" s="197" customFormat="1" ht="12.75" x14ac:dyDescent="0.2"/>
    <row r="45677" s="197" customFormat="1" ht="12.75" x14ac:dyDescent="0.2"/>
    <row r="45678" s="197" customFormat="1" ht="12.75" x14ac:dyDescent="0.2"/>
    <row r="45679" s="197" customFormat="1" ht="12.75" x14ac:dyDescent="0.2"/>
    <row r="45680" s="197" customFormat="1" ht="12.75" x14ac:dyDescent="0.2"/>
    <row r="45681" s="197" customFormat="1" ht="12.75" x14ac:dyDescent="0.2"/>
    <row r="45682" s="197" customFormat="1" ht="12.75" x14ac:dyDescent="0.2"/>
    <row r="45683" s="197" customFormat="1" ht="12.75" x14ac:dyDescent="0.2"/>
    <row r="45684" s="197" customFormat="1" ht="12.75" x14ac:dyDescent="0.2"/>
    <row r="45685" s="197" customFormat="1" ht="12.75" x14ac:dyDescent="0.2"/>
    <row r="45686" s="197" customFormat="1" ht="12.75" x14ac:dyDescent="0.2"/>
    <row r="45687" s="197" customFormat="1" ht="12.75" x14ac:dyDescent="0.2"/>
    <row r="45688" s="197" customFormat="1" ht="12.75" x14ac:dyDescent="0.2"/>
    <row r="45689" s="197" customFormat="1" ht="12.75" x14ac:dyDescent="0.2"/>
    <row r="45690" s="197" customFormat="1" ht="12.75" x14ac:dyDescent="0.2"/>
    <row r="45691" s="197" customFormat="1" ht="12.75" x14ac:dyDescent="0.2"/>
    <row r="45692" s="197" customFormat="1" ht="12.75" x14ac:dyDescent="0.2"/>
    <row r="45693" s="197" customFormat="1" ht="12.75" x14ac:dyDescent="0.2"/>
    <row r="45694" s="197" customFormat="1" ht="12.75" x14ac:dyDescent="0.2"/>
    <row r="45695" s="197" customFormat="1" ht="12.75" x14ac:dyDescent="0.2"/>
    <row r="45696" s="197" customFormat="1" ht="12.75" x14ac:dyDescent="0.2"/>
    <row r="45697" s="197" customFormat="1" ht="12.75" x14ac:dyDescent="0.2"/>
    <row r="45698" s="197" customFormat="1" ht="12.75" x14ac:dyDescent="0.2"/>
    <row r="45699" s="197" customFormat="1" ht="12.75" x14ac:dyDescent="0.2"/>
    <row r="45700" s="197" customFormat="1" ht="12.75" x14ac:dyDescent="0.2"/>
    <row r="45701" s="197" customFormat="1" ht="12.75" x14ac:dyDescent="0.2"/>
    <row r="45702" s="197" customFormat="1" ht="12.75" x14ac:dyDescent="0.2"/>
    <row r="45703" s="197" customFormat="1" ht="12.75" x14ac:dyDescent="0.2"/>
    <row r="45704" s="197" customFormat="1" ht="12.75" x14ac:dyDescent="0.2"/>
    <row r="45705" s="197" customFormat="1" ht="12.75" x14ac:dyDescent="0.2"/>
    <row r="45706" s="197" customFormat="1" ht="12.75" x14ac:dyDescent="0.2"/>
    <row r="45707" s="197" customFormat="1" ht="12.75" x14ac:dyDescent="0.2"/>
    <row r="45708" s="197" customFormat="1" ht="12.75" x14ac:dyDescent="0.2"/>
    <row r="45709" s="197" customFormat="1" ht="12.75" x14ac:dyDescent="0.2"/>
    <row r="45710" s="197" customFormat="1" ht="12.75" x14ac:dyDescent="0.2"/>
    <row r="45711" s="197" customFormat="1" ht="12.75" x14ac:dyDescent="0.2"/>
    <row r="45712" s="197" customFormat="1" ht="12.75" x14ac:dyDescent="0.2"/>
    <row r="45713" s="197" customFormat="1" ht="12.75" x14ac:dyDescent="0.2"/>
    <row r="45714" s="197" customFormat="1" ht="12.75" x14ac:dyDescent="0.2"/>
    <row r="45715" s="197" customFormat="1" ht="12.75" x14ac:dyDescent="0.2"/>
    <row r="45716" s="197" customFormat="1" ht="12.75" x14ac:dyDescent="0.2"/>
    <row r="45717" s="197" customFormat="1" ht="12.75" x14ac:dyDescent="0.2"/>
    <row r="45718" s="197" customFormat="1" ht="12.75" x14ac:dyDescent="0.2"/>
    <row r="45719" s="197" customFormat="1" ht="12.75" x14ac:dyDescent="0.2"/>
    <row r="45720" s="197" customFormat="1" ht="12.75" x14ac:dyDescent="0.2"/>
    <row r="45721" s="197" customFormat="1" ht="12.75" x14ac:dyDescent="0.2"/>
    <row r="45722" s="197" customFormat="1" ht="12.75" x14ac:dyDescent="0.2"/>
    <row r="45723" s="197" customFormat="1" ht="12.75" x14ac:dyDescent="0.2"/>
    <row r="45724" s="197" customFormat="1" ht="12.75" x14ac:dyDescent="0.2"/>
    <row r="45725" s="197" customFormat="1" ht="12.75" x14ac:dyDescent="0.2"/>
    <row r="45726" s="197" customFormat="1" ht="12.75" x14ac:dyDescent="0.2"/>
    <row r="45727" s="197" customFormat="1" ht="12.75" x14ac:dyDescent="0.2"/>
    <row r="45728" s="197" customFormat="1" ht="12.75" x14ac:dyDescent="0.2"/>
    <row r="45729" s="197" customFormat="1" ht="12.75" x14ac:dyDescent="0.2"/>
    <row r="45730" s="197" customFormat="1" ht="12.75" x14ac:dyDescent="0.2"/>
    <row r="45731" s="197" customFormat="1" ht="12.75" x14ac:dyDescent="0.2"/>
    <row r="45732" s="197" customFormat="1" ht="12.75" x14ac:dyDescent="0.2"/>
    <row r="45733" s="197" customFormat="1" ht="12.75" x14ac:dyDescent="0.2"/>
    <row r="45734" s="197" customFormat="1" ht="12.75" x14ac:dyDescent="0.2"/>
    <row r="45735" s="197" customFormat="1" ht="12.75" x14ac:dyDescent="0.2"/>
    <row r="45736" s="197" customFormat="1" ht="12.75" x14ac:dyDescent="0.2"/>
    <row r="45737" s="197" customFormat="1" ht="12.75" x14ac:dyDescent="0.2"/>
    <row r="45738" s="197" customFormat="1" ht="12.75" x14ac:dyDescent="0.2"/>
    <row r="45739" s="197" customFormat="1" ht="12.75" x14ac:dyDescent="0.2"/>
    <row r="45740" s="197" customFormat="1" ht="12.75" x14ac:dyDescent="0.2"/>
    <row r="45741" s="197" customFormat="1" ht="12.75" x14ac:dyDescent="0.2"/>
    <row r="45742" s="197" customFormat="1" ht="12.75" x14ac:dyDescent="0.2"/>
    <row r="45743" s="197" customFormat="1" ht="12.75" x14ac:dyDescent="0.2"/>
    <row r="45744" s="197" customFormat="1" ht="12.75" x14ac:dyDescent="0.2"/>
    <row r="45745" s="197" customFormat="1" ht="12.75" x14ac:dyDescent="0.2"/>
    <row r="45746" s="197" customFormat="1" ht="12.75" x14ac:dyDescent="0.2"/>
    <row r="45747" s="197" customFormat="1" ht="12.75" x14ac:dyDescent="0.2"/>
    <row r="45748" s="197" customFormat="1" ht="12.75" x14ac:dyDescent="0.2"/>
    <row r="45749" s="197" customFormat="1" ht="12.75" x14ac:dyDescent="0.2"/>
    <row r="45750" s="197" customFormat="1" ht="12.75" x14ac:dyDescent="0.2"/>
    <row r="45751" s="197" customFormat="1" ht="12.75" x14ac:dyDescent="0.2"/>
    <row r="45752" s="197" customFormat="1" ht="12.75" x14ac:dyDescent="0.2"/>
    <row r="45753" s="197" customFormat="1" ht="12.75" x14ac:dyDescent="0.2"/>
    <row r="45754" s="197" customFormat="1" ht="12.75" x14ac:dyDescent="0.2"/>
    <row r="45755" s="197" customFormat="1" ht="12.75" x14ac:dyDescent="0.2"/>
    <row r="45756" s="197" customFormat="1" ht="12.75" x14ac:dyDescent="0.2"/>
    <row r="45757" s="197" customFormat="1" ht="12.75" x14ac:dyDescent="0.2"/>
    <row r="45758" s="197" customFormat="1" ht="12.75" x14ac:dyDescent="0.2"/>
    <row r="45759" s="197" customFormat="1" ht="12.75" x14ac:dyDescent="0.2"/>
    <row r="45760" s="197" customFormat="1" ht="12.75" x14ac:dyDescent="0.2"/>
    <row r="45761" s="197" customFormat="1" ht="12.75" x14ac:dyDescent="0.2"/>
    <row r="45762" s="197" customFormat="1" ht="12.75" x14ac:dyDescent="0.2"/>
    <row r="45763" s="197" customFormat="1" ht="12.75" x14ac:dyDescent="0.2"/>
    <row r="45764" s="197" customFormat="1" ht="12.75" x14ac:dyDescent="0.2"/>
    <row r="45765" s="197" customFormat="1" ht="12.75" x14ac:dyDescent="0.2"/>
    <row r="45766" s="197" customFormat="1" ht="12.75" x14ac:dyDescent="0.2"/>
    <row r="45767" s="197" customFormat="1" ht="12.75" x14ac:dyDescent="0.2"/>
    <row r="45768" s="197" customFormat="1" ht="12.75" x14ac:dyDescent="0.2"/>
    <row r="45769" s="197" customFormat="1" ht="12.75" x14ac:dyDescent="0.2"/>
    <row r="45770" s="197" customFormat="1" ht="12.75" x14ac:dyDescent="0.2"/>
    <row r="45771" s="197" customFormat="1" ht="12.75" x14ac:dyDescent="0.2"/>
    <row r="45772" s="197" customFormat="1" ht="12.75" x14ac:dyDescent="0.2"/>
    <row r="45773" s="197" customFormat="1" ht="12.75" x14ac:dyDescent="0.2"/>
    <row r="45774" s="197" customFormat="1" ht="12.75" x14ac:dyDescent="0.2"/>
    <row r="45775" s="197" customFormat="1" ht="12.75" x14ac:dyDescent="0.2"/>
    <row r="45776" s="197" customFormat="1" ht="12.75" x14ac:dyDescent="0.2"/>
    <row r="45777" s="197" customFormat="1" ht="12.75" x14ac:dyDescent="0.2"/>
    <row r="45778" s="197" customFormat="1" ht="12.75" x14ac:dyDescent="0.2"/>
    <row r="45779" s="197" customFormat="1" ht="12.75" x14ac:dyDescent="0.2"/>
    <row r="45780" s="197" customFormat="1" ht="12.75" x14ac:dyDescent="0.2"/>
    <row r="45781" s="197" customFormat="1" ht="12.75" x14ac:dyDescent="0.2"/>
    <row r="45782" s="197" customFormat="1" ht="12.75" x14ac:dyDescent="0.2"/>
    <row r="45783" s="197" customFormat="1" ht="12.75" x14ac:dyDescent="0.2"/>
    <row r="45784" s="197" customFormat="1" ht="12.75" x14ac:dyDescent="0.2"/>
    <row r="45785" s="197" customFormat="1" ht="12.75" x14ac:dyDescent="0.2"/>
    <row r="45786" s="197" customFormat="1" ht="12.75" x14ac:dyDescent="0.2"/>
    <row r="45787" s="197" customFormat="1" ht="12.75" x14ac:dyDescent="0.2"/>
    <row r="45788" s="197" customFormat="1" ht="12.75" x14ac:dyDescent="0.2"/>
    <row r="45789" s="197" customFormat="1" ht="12.75" x14ac:dyDescent="0.2"/>
    <row r="45790" s="197" customFormat="1" ht="12.75" x14ac:dyDescent="0.2"/>
    <row r="45791" s="197" customFormat="1" ht="12.75" x14ac:dyDescent="0.2"/>
    <row r="45792" s="197" customFormat="1" ht="12.75" x14ac:dyDescent="0.2"/>
    <row r="45793" s="197" customFormat="1" ht="12.75" x14ac:dyDescent="0.2"/>
    <row r="45794" s="197" customFormat="1" ht="12.75" x14ac:dyDescent="0.2"/>
    <row r="45795" s="197" customFormat="1" ht="12.75" x14ac:dyDescent="0.2"/>
    <row r="45796" s="197" customFormat="1" ht="12.75" x14ac:dyDescent="0.2"/>
    <row r="45797" s="197" customFormat="1" ht="12.75" x14ac:dyDescent="0.2"/>
    <row r="45798" s="197" customFormat="1" ht="12.75" x14ac:dyDescent="0.2"/>
    <row r="45799" s="197" customFormat="1" ht="12.75" x14ac:dyDescent="0.2"/>
    <row r="45800" s="197" customFormat="1" ht="12.75" x14ac:dyDescent="0.2"/>
    <row r="45801" s="197" customFormat="1" ht="12.75" x14ac:dyDescent="0.2"/>
    <row r="45802" s="197" customFormat="1" ht="12.75" x14ac:dyDescent="0.2"/>
    <row r="45803" s="197" customFormat="1" ht="12.75" x14ac:dyDescent="0.2"/>
    <row r="45804" s="197" customFormat="1" ht="12.75" x14ac:dyDescent="0.2"/>
    <row r="45805" s="197" customFormat="1" ht="12.75" x14ac:dyDescent="0.2"/>
    <row r="45806" s="197" customFormat="1" ht="12.75" x14ac:dyDescent="0.2"/>
    <row r="45807" s="197" customFormat="1" ht="12.75" x14ac:dyDescent="0.2"/>
    <row r="45808" s="197" customFormat="1" ht="12.75" x14ac:dyDescent="0.2"/>
    <row r="45809" s="197" customFormat="1" ht="12.75" x14ac:dyDescent="0.2"/>
    <row r="45810" s="197" customFormat="1" ht="12.75" x14ac:dyDescent="0.2"/>
    <row r="45811" s="197" customFormat="1" ht="12.75" x14ac:dyDescent="0.2"/>
    <row r="45812" s="197" customFormat="1" ht="12.75" x14ac:dyDescent="0.2"/>
    <row r="45813" s="197" customFormat="1" ht="12.75" x14ac:dyDescent="0.2"/>
    <row r="45814" s="197" customFormat="1" ht="12.75" x14ac:dyDescent="0.2"/>
    <row r="45815" s="197" customFormat="1" ht="12.75" x14ac:dyDescent="0.2"/>
    <row r="45816" s="197" customFormat="1" ht="12.75" x14ac:dyDescent="0.2"/>
    <row r="45817" s="197" customFormat="1" ht="12.75" x14ac:dyDescent="0.2"/>
    <row r="45818" s="197" customFormat="1" ht="12.75" x14ac:dyDescent="0.2"/>
    <row r="45819" s="197" customFormat="1" ht="12.75" x14ac:dyDescent="0.2"/>
    <row r="45820" s="197" customFormat="1" ht="12.75" x14ac:dyDescent="0.2"/>
    <row r="45821" s="197" customFormat="1" ht="12.75" x14ac:dyDescent="0.2"/>
    <row r="45822" s="197" customFormat="1" ht="12.75" x14ac:dyDescent="0.2"/>
    <row r="45823" s="197" customFormat="1" ht="12.75" x14ac:dyDescent="0.2"/>
    <row r="45824" s="197" customFormat="1" ht="12.75" x14ac:dyDescent="0.2"/>
    <row r="45825" s="197" customFormat="1" ht="12.75" x14ac:dyDescent="0.2"/>
    <row r="45826" s="197" customFormat="1" ht="12.75" x14ac:dyDescent="0.2"/>
    <row r="45827" s="197" customFormat="1" ht="12.75" x14ac:dyDescent="0.2"/>
    <row r="45828" s="197" customFormat="1" ht="12.75" x14ac:dyDescent="0.2"/>
    <row r="45829" s="197" customFormat="1" ht="12.75" x14ac:dyDescent="0.2"/>
    <row r="45830" s="197" customFormat="1" ht="12.75" x14ac:dyDescent="0.2"/>
    <row r="45831" s="197" customFormat="1" ht="12.75" x14ac:dyDescent="0.2"/>
    <row r="45832" s="197" customFormat="1" ht="12.75" x14ac:dyDescent="0.2"/>
    <row r="45833" s="197" customFormat="1" ht="12.75" x14ac:dyDescent="0.2"/>
    <row r="45834" s="197" customFormat="1" ht="12.75" x14ac:dyDescent="0.2"/>
    <row r="45835" s="197" customFormat="1" ht="12.75" x14ac:dyDescent="0.2"/>
    <row r="45836" s="197" customFormat="1" ht="12.75" x14ac:dyDescent="0.2"/>
    <row r="45837" s="197" customFormat="1" ht="12.75" x14ac:dyDescent="0.2"/>
    <row r="45838" s="197" customFormat="1" ht="12.75" x14ac:dyDescent="0.2"/>
    <row r="45839" s="197" customFormat="1" ht="12.75" x14ac:dyDescent="0.2"/>
    <row r="45840" s="197" customFormat="1" ht="12.75" x14ac:dyDescent="0.2"/>
    <row r="45841" s="197" customFormat="1" ht="12.75" x14ac:dyDescent="0.2"/>
    <row r="45842" s="197" customFormat="1" ht="12.75" x14ac:dyDescent="0.2"/>
    <row r="45843" s="197" customFormat="1" ht="12.75" x14ac:dyDescent="0.2"/>
    <row r="45844" s="197" customFormat="1" ht="12.75" x14ac:dyDescent="0.2"/>
    <row r="45845" s="197" customFormat="1" ht="12.75" x14ac:dyDescent="0.2"/>
    <row r="45846" s="197" customFormat="1" ht="12.75" x14ac:dyDescent="0.2"/>
    <row r="45847" s="197" customFormat="1" ht="12.75" x14ac:dyDescent="0.2"/>
    <row r="45848" s="197" customFormat="1" ht="12.75" x14ac:dyDescent="0.2"/>
    <row r="45849" s="197" customFormat="1" ht="12.75" x14ac:dyDescent="0.2"/>
    <row r="45850" s="197" customFormat="1" ht="12.75" x14ac:dyDescent="0.2"/>
    <row r="45851" s="197" customFormat="1" ht="12.75" x14ac:dyDescent="0.2"/>
    <row r="45852" s="197" customFormat="1" ht="12.75" x14ac:dyDescent="0.2"/>
    <row r="45853" s="197" customFormat="1" ht="12.75" x14ac:dyDescent="0.2"/>
    <row r="45854" s="197" customFormat="1" ht="12.75" x14ac:dyDescent="0.2"/>
    <row r="45855" s="197" customFormat="1" ht="12.75" x14ac:dyDescent="0.2"/>
    <row r="45856" s="197" customFormat="1" ht="12.75" x14ac:dyDescent="0.2"/>
    <row r="45857" s="197" customFormat="1" ht="12.75" x14ac:dyDescent="0.2"/>
    <row r="45858" s="197" customFormat="1" ht="12.75" x14ac:dyDescent="0.2"/>
    <row r="45859" s="197" customFormat="1" ht="12.75" x14ac:dyDescent="0.2"/>
    <row r="45860" s="197" customFormat="1" ht="12.75" x14ac:dyDescent="0.2"/>
    <row r="45861" s="197" customFormat="1" ht="12.75" x14ac:dyDescent="0.2"/>
    <row r="45862" s="197" customFormat="1" ht="12.75" x14ac:dyDescent="0.2"/>
    <row r="45863" s="197" customFormat="1" ht="12.75" x14ac:dyDescent="0.2"/>
    <row r="45864" s="197" customFormat="1" ht="12.75" x14ac:dyDescent="0.2"/>
    <row r="45865" s="197" customFormat="1" ht="12.75" x14ac:dyDescent="0.2"/>
    <row r="45866" s="197" customFormat="1" ht="12.75" x14ac:dyDescent="0.2"/>
    <row r="45867" s="197" customFormat="1" ht="12.75" x14ac:dyDescent="0.2"/>
    <row r="45868" s="197" customFormat="1" ht="12.75" x14ac:dyDescent="0.2"/>
    <row r="45869" s="197" customFormat="1" ht="12.75" x14ac:dyDescent="0.2"/>
    <row r="45870" s="197" customFormat="1" ht="12.75" x14ac:dyDescent="0.2"/>
    <row r="45871" s="197" customFormat="1" ht="12.75" x14ac:dyDescent="0.2"/>
    <row r="45872" s="197" customFormat="1" ht="12.75" x14ac:dyDescent="0.2"/>
    <row r="45873" s="197" customFormat="1" ht="12.75" x14ac:dyDescent="0.2"/>
    <row r="45874" s="197" customFormat="1" ht="12.75" x14ac:dyDescent="0.2"/>
    <row r="45875" s="197" customFormat="1" ht="12.75" x14ac:dyDescent="0.2"/>
    <row r="45876" s="197" customFormat="1" ht="12.75" x14ac:dyDescent="0.2"/>
    <row r="45877" s="197" customFormat="1" ht="12.75" x14ac:dyDescent="0.2"/>
    <row r="45878" s="197" customFormat="1" ht="12.75" x14ac:dyDescent="0.2"/>
    <row r="45879" s="197" customFormat="1" ht="12.75" x14ac:dyDescent="0.2"/>
    <row r="45880" s="197" customFormat="1" ht="12.75" x14ac:dyDescent="0.2"/>
    <row r="45881" s="197" customFormat="1" ht="12.75" x14ac:dyDescent="0.2"/>
    <row r="45882" s="197" customFormat="1" ht="12.75" x14ac:dyDescent="0.2"/>
    <row r="45883" s="197" customFormat="1" ht="12.75" x14ac:dyDescent="0.2"/>
    <row r="45884" s="197" customFormat="1" ht="12.75" x14ac:dyDescent="0.2"/>
    <row r="45885" s="197" customFormat="1" ht="12.75" x14ac:dyDescent="0.2"/>
    <row r="45886" s="197" customFormat="1" ht="12.75" x14ac:dyDescent="0.2"/>
    <row r="45887" s="197" customFormat="1" ht="12.75" x14ac:dyDescent="0.2"/>
    <row r="45888" s="197" customFormat="1" ht="12.75" x14ac:dyDescent="0.2"/>
    <row r="45889" s="197" customFormat="1" ht="12.75" x14ac:dyDescent="0.2"/>
    <row r="45890" s="197" customFormat="1" ht="12.75" x14ac:dyDescent="0.2"/>
    <row r="45891" s="197" customFormat="1" ht="12.75" x14ac:dyDescent="0.2"/>
    <row r="45892" s="197" customFormat="1" ht="12.75" x14ac:dyDescent="0.2"/>
    <row r="45893" s="197" customFormat="1" ht="12.75" x14ac:dyDescent="0.2"/>
    <row r="45894" s="197" customFormat="1" ht="12.75" x14ac:dyDescent="0.2"/>
    <row r="45895" s="197" customFormat="1" ht="12.75" x14ac:dyDescent="0.2"/>
    <row r="45896" s="197" customFormat="1" ht="12.75" x14ac:dyDescent="0.2"/>
    <row r="45897" s="197" customFormat="1" ht="12.75" x14ac:dyDescent="0.2"/>
    <row r="45898" s="197" customFormat="1" ht="12.75" x14ac:dyDescent="0.2"/>
    <row r="45899" s="197" customFormat="1" ht="12.75" x14ac:dyDescent="0.2"/>
    <row r="45900" s="197" customFormat="1" ht="12.75" x14ac:dyDescent="0.2"/>
    <row r="45901" s="197" customFormat="1" ht="12.75" x14ac:dyDescent="0.2"/>
    <row r="45902" s="197" customFormat="1" ht="12.75" x14ac:dyDescent="0.2"/>
    <row r="45903" s="197" customFormat="1" ht="12.75" x14ac:dyDescent="0.2"/>
    <row r="45904" s="197" customFormat="1" ht="12.75" x14ac:dyDescent="0.2"/>
    <row r="45905" s="197" customFormat="1" ht="12.75" x14ac:dyDescent="0.2"/>
    <row r="45906" s="197" customFormat="1" ht="12.75" x14ac:dyDescent="0.2"/>
    <row r="45907" s="197" customFormat="1" ht="12.75" x14ac:dyDescent="0.2"/>
    <row r="45908" s="197" customFormat="1" ht="12.75" x14ac:dyDescent="0.2"/>
    <row r="45909" s="197" customFormat="1" ht="12.75" x14ac:dyDescent="0.2"/>
    <row r="45910" s="197" customFormat="1" ht="12.75" x14ac:dyDescent="0.2"/>
    <row r="45911" s="197" customFormat="1" ht="12.75" x14ac:dyDescent="0.2"/>
    <row r="45912" s="197" customFormat="1" ht="12.75" x14ac:dyDescent="0.2"/>
    <row r="45913" s="197" customFormat="1" ht="12.75" x14ac:dyDescent="0.2"/>
    <row r="45914" s="197" customFormat="1" ht="12.75" x14ac:dyDescent="0.2"/>
    <row r="45915" s="197" customFormat="1" ht="12.75" x14ac:dyDescent="0.2"/>
    <row r="45916" s="197" customFormat="1" ht="12.75" x14ac:dyDescent="0.2"/>
    <row r="45917" s="197" customFormat="1" ht="12.75" x14ac:dyDescent="0.2"/>
    <row r="45918" s="197" customFormat="1" ht="12.75" x14ac:dyDescent="0.2"/>
    <row r="45919" s="197" customFormat="1" ht="12.75" x14ac:dyDescent="0.2"/>
    <row r="45920" s="197" customFormat="1" ht="12.75" x14ac:dyDescent="0.2"/>
    <row r="45921" s="197" customFormat="1" ht="12.75" x14ac:dyDescent="0.2"/>
    <row r="45922" s="197" customFormat="1" ht="12.75" x14ac:dyDescent="0.2"/>
    <row r="45923" s="197" customFormat="1" ht="12.75" x14ac:dyDescent="0.2"/>
    <row r="45924" s="197" customFormat="1" ht="12.75" x14ac:dyDescent="0.2"/>
    <row r="45925" s="197" customFormat="1" ht="12.75" x14ac:dyDescent="0.2"/>
    <row r="45926" s="197" customFormat="1" ht="12.75" x14ac:dyDescent="0.2"/>
    <row r="45927" s="197" customFormat="1" ht="12.75" x14ac:dyDescent="0.2"/>
    <row r="45928" s="197" customFormat="1" ht="12.75" x14ac:dyDescent="0.2"/>
    <row r="45929" s="197" customFormat="1" ht="12.75" x14ac:dyDescent="0.2"/>
    <row r="45930" s="197" customFormat="1" ht="12.75" x14ac:dyDescent="0.2"/>
    <row r="45931" s="197" customFormat="1" ht="12.75" x14ac:dyDescent="0.2"/>
    <row r="45932" s="197" customFormat="1" ht="12.75" x14ac:dyDescent="0.2"/>
    <row r="45933" s="197" customFormat="1" ht="12.75" x14ac:dyDescent="0.2"/>
    <row r="45934" s="197" customFormat="1" ht="12.75" x14ac:dyDescent="0.2"/>
    <row r="45935" s="197" customFormat="1" ht="12.75" x14ac:dyDescent="0.2"/>
    <row r="45936" s="197" customFormat="1" ht="12.75" x14ac:dyDescent="0.2"/>
    <row r="45937" s="197" customFormat="1" ht="12.75" x14ac:dyDescent="0.2"/>
    <row r="45938" s="197" customFormat="1" ht="12.75" x14ac:dyDescent="0.2"/>
    <row r="45939" s="197" customFormat="1" ht="12.75" x14ac:dyDescent="0.2"/>
    <row r="45940" s="197" customFormat="1" ht="12.75" x14ac:dyDescent="0.2"/>
    <row r="45941" s="197" customFormat="1" ht="12.75" x14ac:dyDescent="0.2"/>
    <row r="45942" s="197" customFormat="1" ht="12.75" x14ac:dyDescent="0.2"/>
    <row r="45943" s="197" customFormat="1" ht="12.75" x14ac:dyDescent="0.2"/>
    <row r="45944" s="197" customFormat="1" ht="12.75" x14ac:dyDescent="0.2"/>
    <row r="45945" s="197" customFormat="1" ht="12.75" x14ac:dyDescent="0.2"/>
    <row r="45946" s="197" customFormat="1" ht="12.75" x14ac:dyDescent="0.2"/>
    <row r="45947" s="197" customFormat="1" ht="12.75" x14ac:dyDescent="0.2"/>
    <row r="45948" s="197" customFormat="1" ht="12.75" x14ac:dyDescent="0.2"/>
    <row r="45949" s="197" customFormat="1" ht="12.75" x14ac:dyDescent="0.2"/>
    <row r="45950" s="197" customFormat="1" ht="12.75" x14ac:dyDescent="0.2"/>
    <row r="45951" s="197" customFormat="1" ht="12.75" x14ac:dyDescent="0.2"/>
    <row r="45952" s="197" customFormat="1" ht="12.75" x14ac:dyDescent="0.2"/>
    <row r="45953" s="197" customFormat="1" ht="12.75" x14ac:dyDescent="0.2"/>
    <row r="45954" s="197" customFormat="1" ht="12.75" x14ac:dyDescent="0.2"/>
    <row r="45955" s="197" customFormat="1" ht="12.75" x14ac:dyDescent="0.2"/>
    <row r="45956" s="197" customFormat="1" ht="12.75" x14ac:dyDescent="0.2"/>
    <row r="45957" s="197" customFormat="1" ht="12.75" x14ac:dyDescent="0.2"/>
    <row r="45958" s="197" customFormat="1" ht="12.75" x14ac:dyDescent="0.2"/>
    <row r="45959" s="197" customFormat="1" ht="12.75" x14ac:dyDescent="0.2"/>
    <row r="45960" s="197" customFormat="1" ht="12.75" x14ac:dyDescent="0.2"/>
    <row r="45961" s="197" customFormat="1" ht="12.75" x14ac:dyDescent="0.2"/>
    <row r="45962" s="197" customFormat="1" ht="12.75" x14ac:dyDescent="0.2"/>
    <row r="45963" s="197" customFormat="1" ht="12.75" x14ac:dyDescent="0.2"/>
    <row r="45964" s="197" customFormat="1" ht="12.75" x14ac:dyDescent="0.2"/>
    <row r="45965" s="197" customFormat="1" ht="12.75" x14ac:dyDescent="0.2"/>
    <row r="45966" s="197" customFormat="1" ht="12.75" x14ac:dyDescent="0.2"/>
    <row r="45967" s="197" customFormat="1" ht="12.75" x14ac:dyDescent="0.2"/>
    <row r="45968" s="197" customFormat="1" ht="12.75" x14ac:dyDescent="0.2"/>
    <row r="45969" s="197" customFormat="1" ht="12.75" x14ac:dyDescent="0.2"/>
    <row r="45970" s="197" customFormat="1" ht="12.75" x14ac:dyDescent="0.2"/>
    <row r="45971" s="197" customFormat="1" ht="12.75" x14ac:dyDescent="0.2"/>
    <row r="45972" s="197" customFormat="1" ht="12.75" x14ac:dyDescent="0.2"/>
    <row r="45973" s="197" customFormat="1" ht="12.75" x14ac:dyDescent="0.2"/>
    <row r="45974" s="197" customFormat="1" ht="12.75" x14ac:dyDescent="0.2"/>
    <row r="45975" s="197" customFormat="1" ht="12.75" x14ac:dyDescent="0.2"/>
    <row r="45976" s="197" customFormat="1" ht="12.75" x14ac:dyDescent="0.2"/>
    <row r="45977" s="197" customFormat="1" ht="12.75" x14ac:dyDescent="0.2"/>
    <row r="45978" s="197" customFormat="1" ht="12.75" x14ac:dyDescent="0.2"/>
    <row r="45979" s="197" customFormat="1" ht="12.75" x14ac:dyDescent="0.2"/>
    <row r="45980" s="197" customFormat="1" ht="12.75" x14ac:dyDescent="0.2"/>
    <row r="45981" s="197" customFormat="1" ht="12.75" x14ac:dyDescent="0.2"/>
    <row r="45982" s="197" customFormat="1" ht="12.75" x14ac:dyDescent="0.2"/>
    <row r="45983" s="197" customFormat="1" ht="12.75" x14ac:dyDescent="0.2"/>
    <row r="45984" s="197" customFormat="1" ht="12.75" x14ac:dyDescent="0.2"/>
    <row r="45985" s="197" customFormat="1" ht="12.75" x14ac:dyDescent="0.2"/>
    <row r="45986" s="197" customFormat="1" ht="12.75" x14ac:dyDescent="0.2"/>
    <row r="45987" s="197" customFormat="1" ht="12.75" x14ac:dyDescent="0.2"/>
    <row r="45988" s="197" customFormat="1" ht="12.75" x14ac:dyDescent="0.2"/>
    <row r="45989" s="197" customFormat="1" ht="12.75" x14ac:dyDescent="0.2"/>
    <row r="45990" s="197" customFormat="1" ht="12.75" x14ac:dyDescent="0.2"/>
    <row r="45991" s="197" customFormat="1" ht="12.75" x14ac:dyDescent="0.2"/>
    <row r="45992" s="197" customFormat="1" ht="12.75" x14ac:dyDescent="0.2"/>
    <row r="45993" s="197" customFormat="1" ht="12.75" x14ac:dyDescent="0.2"/>
    <row r="45994" s="197" customFormat="1" ht="12.75" x14ac:dyDescent="0.2"/>
    <row r="45995" s="197" customFormat="1" ht="12.75" x14ac:dyDescent="0.2"/>
    <row r="45996" s="197" customFormat="1" ht="12.75" x14ac:dyDescent="0.2"/>
    <row r="45997" s="197" customFormat="1" ht="12.75" x14ac:dyDescent="0.2"/>
    <row r="45998" s="197" customFormat="1" ht="12.75" x14ac:dyDescent="0.2"/>
    <row r="45999" s="197" customFormat="1" ht="12.75" x14ac:dyDescent="0.2"/>
    <row r="46000" s="197" customFormat="1" ht="12.75" x14ac:dyDescent="0.2"/>
    <row r="46001" s="197" customFormat="1" ht="12.75" x14ac:dyDescent="0.2"/>
    <row r="46002" s="197" customFormat="1" ht="12.75" x14ac:dyDescent="0.2"/>
    <row r="46003" s="197" customFormat="1" ht="12.75" x14ac:dyDescent="0.2"/>
    <row r="46004" s="197" customFormat="1" ht="12.75" x14ac:dyDescent="0.2"/>
    <row r="46005" s="197" customFormat="1" ht="12.75" x14ac:dyDescent="0.2"/>
    <row r="46006" s="197" customFormat="1" ht="12.75" x14ac:dyDescent="0.2"/>
    <row r="46007" s="197" customFormat="1" ht="12.75" x14ac:dyDescent="0.2"/>
    <row r="46008" s="197" customFormat="1" ht="12.75" x14ac:dyDescent="0.2"/>
    <row r="46009" s="197" customFormat="1" ht="12.75" x14ac:dyDescent="0.2"/>
    <row r="46010" s="197" customFormat="1" ht="12.75" x14ac:dyDescent="0.2"/>
    <row r="46011" s="197" customFormat="1" ht="12.75" x14ac:dyDescent="0.2"/>
    <row r="46012" s="197" customFormat="1" ht="12.75" x14ac:dyDescent="0.2"/>
    <row r="46013" s="197" customFormat="1" ht="12.75" x14ac:dyDescent="0.2"/>
    <row r="46014" s="197" customFormat="1" ht="12.75" x14ac:dyDescent="0.2"/>
    <row r="46015" s="197" customFormat="1" ht="12.75" x14ac:dyDescent="0.2"/>
    <row r="46016" s="197" customFormat="1" ht="12.75" x14ac:dyDescent="0.2"/>
    <row r="46017" s="197" customFormat="1" ht="12.75" x14ac:dyDescent="0.2"/>
    <row r="46018" s="197" customFormat="1" ht="12.75" x14ac:dyDescent="0.2"/>
    <row r="46019" s="197" customFormat="1" ht="12.75" x14ac:dyDescent="0.2"/>
    <row r="46020" s="197" customFormat="1" ht="12.75" x14ac:dyDescent="0.2"/>
    <row r="46021" s="197" customFormat="1" ht="12.75" x14ac:dyDescent="0.2"/>
    <row r="46022" s="197" customFormat="1" ht="12.75" x14ac:dyDescent="0.2"/>
    <row r="46023" s="197" customFormat="1" ht="12.75" x14ac:dyDescent="0.2"/>
    <row r="46024" s="197" customFormat="1" ht="12.75" x14ac:dyDescent="0.2"/>
    <row r="46025" s="197" customFormat="1" ht="12.75" x14ac:dyDescent="0.2"/>
    <row r="46026" s="197" customFormat="1" ht="12.75" x14ac:dyDescent="0.2"/>
    <row r="46027" s="197" customFormat="1" ht="12.75" x14ac:dyDescent="0.2"/>
    <row r="46028" s="197" customFormat="1" ht="12.75" x14ac:dyDescent="0.2"/>
    <row r="46029" s="197" customFormat="1" ht="12.75" x14ac:dyDescent="0.2"/>
    <row r="46030" s="197" customFormat="1" ht="12.75" x14ac:dyDescent="0.2"/>
    <row r="46031" s="197" customFormat="1" ht="12.75" x14ac:dyDescent="0.2"/>
    <row r="46032" s="197" customFormat="1" ht="12.75" x14ac:dyDescent="0.2"/>
    <row r="46033" s="197" customFormat="1" ht="12.75" x14ac:dyDescent="0.2"/>
    <row r="46034" s="197" customFormat="1" ht="12.75" x14ac:dyDescent="0.2"/>
    <row r="46035" s="197" customFormat="1" ht="12.75" x14ac:dyDescent="0.2"/>
    <row r="46036" s="197" customFormat="1" ht="12.75" x14ac:dyDescent="0.2"/>
    <row r="46037" s="197" customFormat="1" ht="12.75" x14ac:dyDescent="0.2"/>
    <row r="46038" s="197" customFormat="1" ht="12.75" x14ac:dyDescent="0.2"/>
    <row r="46039" s="197" customFormat="1" ht="12.75" x14ac:dyDescent="0.2"/>
    <row r="46040" s="197" customFormat="1" ht="12.75" x14ac:dyDescent="0.2"/>
    <row r="46041" s="197" customFormat="1" ht="12.75" x14ac:dyDescent="0.2"/>
    <row r="46042" s="197" customFormat="1" ht="12.75" x14ac:dyDescent="0.2"/>
    <row r="46043" s="197" customFormat="1" ht="12.75" x14ac:dyDescent="0.2"/>
    <row r="46044" s="197" customFormat="1" ht="12.75" x14ac:dyDescent="0.2"/>
    <row r="46045" s="197" customFormat="1" ht="12.75" x14ac:dyDescent="0.2"/>
    <row r="46046" s="197" customFormat="1" ht="12.75" x14ac:dyDescent="0.2"/>
    <row r="46047" s="197" customFormat="1" ht="12.75" x14ac:dyDescent="0.2"/>
    <row r="46048" s="197" customFormat="1" ht="12.75" x14ac:dyDescent="0.2"/>
    <row r="46049" s="197" customFormat="1" ht="12.75" x14ac:dyDescent="0.2"/>
    <row r="46050" s="197" customFormat="1" ht="12.75" x14ac:dyDescent="0.2"/>
    <row r="46051" s="197" customFormat="1" ht="12.75" x14ac:dyDescent="0.2"/>
    <row r="46052" s="197" customFormat="1" ht="12.75" x14ac:dyDescent="0.2"/>
    <row r="46053" s="197" customFormat="1" ht="12.75" x14ac:dyDescent="0.2"/>
    <row r="46054" s="197" customFormat="1" ht="12.75" x14ac:dyDescent="0.2"/>
    <row r="46055" s="197" customFormat="1" ht="12.75" x14ac:dyDescent="0.2"/>
    <row r="46056" s="197" customFormat="1" ht="12.75" x14ac:dyDescent="0.2"/>
    <row r="46057" s="197" customFormat="1" ht="12.75" x14ac:dyDescent="0.2"/>
    <row r="46058" s="197" customFormat="1" ht="12.75" x14ac:dyDescent="0.2"/>
    <row r="46059" s="197" customFormat="1" ht="12.75" x14ac:dyDescent="0.2"/>
    <row r="46060" s="197" customFormat="1" ht="12.75" x14ac:dyDescent="0.2"/>
    <row r="46061" s="197" customFormat="1" ht="12.75" x14ac:dyDescent="0.2"/>
    <row r="46062" s="197" customFormat="1" ht="12.75" x14ac:dyDescent="0.2"/>
    <row r="46063" s="197" customFormat="1" ht="12.75" x14ac:dyDescent="0.2"/>
    <row r="46064" s="197" customFormat="1" ht="12.75" x14ac:dyDescent="0.2"/>
    <row r="46065" s="197" customFormat="1" ht="12.75" x14ac:dyDescent="0.2"/>
    <row r="46066" s="197" customFormat="1" ht="12.75" x14ac:dyDescent="0.2"/>
    <row r="46067" s="197" customFormat="1" ht="12.75" x14ac:dyDescent="0.2"/>
    <row r="46068" s="197" customFormat="1" ht="12.75" x14ac:dyDescent="0.2"/>
    <row r="46069" s="197" customFormat="1" ht="12.75" x14ac:dyDescent="0.2"/>
    <row r="46070" s="197" customFormat="1" ht="12.75" x14ac:dyDescent="0.2"/>
    <row r="46071" s="197" customFormat="1" ht="12.75" x14ac:dyDescent="0.2"/>
    <row r="46072" s="197" customFormat="1" ht="12.75" x14ac:dyDescent="0.2"/>
    <row r="46073" s="197" customFormat="1" ht="12.75" x14ac:dyDescent="0.2"/>
    <row r="46074" s="197" customFormat="1" ht="12.75" x14ac:dyDescent="0.2"/>
    <row r="46075" s="197" customFormat="1" ht="12.75" x14ac:dyDescent="0.2"/>
    <row r="46076" s="197" customFormat="1" ht="12.75" x14ac:dyDescent="0.2"/>
    <row r="46077" s="197" customFormat="1" ht="12.75" x14ac:dyDescent="0.2"/>
    <row r="46078" s="197" customFormat="1" ht="12.75" x14ac:dyDescent="0.2"/>
    <row r="46079" s="197" customFormat="1" ht="12.75" x14ac:dyDescent="0.2"/>
    <row r="46080" s="197" customFormat="1" ht="12.75" x14ac:dyDescent="0.2"/>
    <row r="46081" s="197" customFormat="1" ht="12.75" x14ac:dyDescent="0.2"/>
    <row r="46082" s="197" customFormat="1" ht="12.75" x14ac:dyDescent="0.2"/>
    <row r="46083" s="197" customFormat="1" ht="12.75" x14ac:dyDescent="0.2"/>
    <row r="46084" s="197" customFormat="1" ht="12.75" x14ac:dyDescent="0.2"/>
    <row r="46085" s="197" customFormat="1" ht="12.75" x14ac:dyDescent="0.2"/>
    <row r="46086" s="197" customFormat="1" ht="12.75" x14ac:dyDescent="0.2"/>
    <row r="46087" s="197" customFormat="1" ht="12.75" x14ac:dyDescent="0.2"/>
    <row r="46088" s="197" customFormat="1" ht="12.75" x14ac:dyDescent="0.2"/>
    <row r="46089" s="197" customFormat="1" ht="12.75" x14ac:dyDescent="0.2"/>
    <row r="46090" s="197" customFormat="1" ht="12.75" x14ac:dyDescent="0.2"/>
    <row r="46091" s="197" customFormat="1" ht="12.75" x14ac:dyDescent="0.2"/>
    <row r="46092" s="197" customFormat="1" ht="12.75" x14ac:dyDescent="0.2"/>
    <row r="46093" s="197" customFormat="1" ht="12.75" x14ac:dyDescent="0.2"/>
    <row r="46094" s="197" customFormat="1" ht="12.75" x14ac:dyDescent="0.2"/>
    <row r="46095" s="197" customFormat="1" ht="12.75" x14ac:dyDescent="0.2"/>
    <row r="46096" s="197" customFormat="1" ht="12.75" x14ac:dyDescent="0.2"/>
    <row r="46097" s="197" customFormat="1" ht="12.75" x14ac:dyDescent="0.2"/>
    <row r="46098" s="197" customFormat="1" ht="12.75" x14ac:dyDescent="0.2"/>
    <row r="46099" s="197" customFormat="1" ht="12.75" x14ac:dyDescent="0.2"/>
    <row r="46100" s="197" customFormat="1" ht="12.75" x14ac:dyDescent="0.2"/>
    <row r="46101" s="197" customFormat="1" ht="12.75" x14ac:dyDescent="0.2"/>
    <row r="46102" s="197" customFormat="1" ht="12.75" x14ac:dyDescent="0.2"/>
    <row r="46103" s="197" customFormat="1" ht="12.75" x14ac:dyDescent="0.2"/>
    <row r="46104" s="197" customFormat="1" ht="12.75" x14ac:dyDescent="0.2"/>
    <row r="46105" s="197" customFormat="1" ht="12.75" x14ac:dyDescent="0.2"/>
    <row r="46106" s="197" customFormat="1" ht="12.75" x14ac:dyDescent="0.2"/>
    <row r="46107" s="197" customFormat="1" ht="12.75" x14ac:dyDescent="0.2"/>
    <row r="46108" s="197" customFormat="1" ht="12.75" x14ac:dyDescent="0.2"/>
    <row r="46109" s="197" customFormat="1" ht="12.75" x14ac:dyDescent="0.2"/>
    <row r="46110" s="197" customFormat="1" ht="12.75" x14ac:dyDescent="0.2"/>
    <row r="46111" s="197" customFormat="1" ht="12.75" x14ac:dyDescent="0.2"/>
    <row r="46112" s="197" customFormat="1" ht="12.75" x14ac:dyDescent="0.2"/>
    <row r="46113" s="197" customFormat="1" ht="12.75" x14ac:dyDescent="0.2"/>
    <row r="46114" s="197" customFormat="1" ht="12.75" x14ac:dyDescent="0.2"/>
    <row r="46115" s="197" customFormat="1" ht="12.75" x14ac:dyDescent="0.2"/>
    <row r="46116" s="197" customFormat="1" ht="12.75" x14ac:dyDescent="0.2"/>
    <row r="46117" s="197" customFormat="1" ht="12.75" x14ac:dyDescent="0.2"/>
    <row r="46118" s="197" customFormat="1" ht="12.75" x14ac:dyDescent="0.2"/>
    <row r="46119" s="197" customFormat="1" ht="12.75" x14ac:dyDescent="0.2"/>
    <row r="46120" s="197" customFormat="1" ht="12.75" x14ac:dyDescent="0.2"/>
    <row r="46121" s="197" customFormat="1" ht="12.75" x14ac:dyDescent="0.2"/>
    <row r="46122" s="197" customFormat="1" ht="12.75" x14ac:dyDescent="0.2"/>
    <row r="46123" s="197" customFormat="1" ht="12.75" x14ac:dyDescent="0.2"/>
    <row r="46124" s="197" customFormat="1" ht="12.75" x14ac:dyDescent="0.2"/>
    <row r="46125" s="197" customFormat="1" ht="12.75" x14ac:dyDescent="0.2"/>
    <row r="46126" s="197" customFormat="1" ht="12.75" x14ac:dyDescent="0.2"/>
    <row r="46127" s="197" customFormat="1" ht="12.75" x14ac:dyDescent="0.2"/>
    <row r="46128" s="197" customFormat="1" ht="12.75" x14ac:dyDescent="0.2"/>
    <row r="46129" s="197" customFormat="1" ht="12.75" x14ac:dyDescent="0.2"/>
    <row r="46130" s="197" customFormat="1" ht="12.75" x14ac:dyDescent="0.2"/>
    <row r="46131" s="197" customFormat="1" ht="12.75" x14ac:dyDescent="0.2"/>
    <row r="46132" s="197" customFormat="1" ht="12.75" x14ac:dyDescent="0.2"/>
    <row r="46133" s="197" customFormat="1" ht="12.75" x14ac:dyDescent="0.2"/>
    <row r="46134" s="197" customFormat="1" ht="12.75" x14ac:dyDescent="0.2"/>
    <row r="46135" s="197" customFormat="1" ht="12.75" x14ac:dyDescent="0.2"/>
    <row r="46136" s="197" customFormat="1" ht="12.75" x14ac:dyDescent="0.2"/>
    <row r="46137" s="197" customFormat="1" ht="12.75" x14ac:dyDescent="0.2"/>
    <row r="46138" s="197" customFormat="1" ht="12.75" x14ac:dyDescent="0.2"/>
    <row r="46139" s="197" customFormat="1" ht="12.75" x14ac:dyDescent="0.2"/>
    <row r="46140" s="197" customFormat="1" ht="12.75" x14ac:dyDescent="0.2"/>
    <row r="46141" s="197" customFormat="1" ht="12.75" x14ac:dyDescent="0.2"/>
    <row r="46142" s="197" customFormat="1" ht="12.75" x14ac:dyDescent="0.2"/>
    <row r="46143" s="197" customFormat="1" ht="12.75" x14ac:dyDescent="0.2"/>
    <row r="46144" s="197" customFormat="1" ht="12.75" x14ac:dyDescent="0.2"/>
    <row r="46145" s="197" customFormat="1" ht="12.75" x14ac:dyDescent="0.2"/>
    <row r="46146" s="197" customFormat="1" ht="12.75" x14ac:dyDescent="0.2"/>
    <row r="46147" s="197" customFormat="1" ht="12.75" x14ac:dyDescent="0.2"/>
    <row r="46148" s="197" customFormat="1" ht="12.75" x14ac:dyDescent="0.2"/>
    <row r="46149" s="197" customFormat="1" ht="12.75" x14ac:dyDescent="0.2"/>
    <row r="46150" s="197" customFormat="1" ht="12.75" x14ac:dyDescent="0.2"/>
    <row r="46151" s="197" customFormat="1" ht="12.75" x14ac:dyDescent="0.2"/>
    <row r="46152" s="197" customFormat="1" ht="12.75" x14ac:dyDescent="0.2"/>
    <row r="46153" s="197" customFormat="1" ht="12.75" x14ac:dyDescent="0.2"/>
    <row r="46154" s="197" customFormat="1" ht="12.75" x14ac:dyDescent="0.2"/>
    <row r="46155" s="197" customFormat="1" ht="12.75" x14ac:dyDescent="0.2"/>
    <row r="46156" s="197" customFormat="1" ht="12.75" x14ac:dyDescent="0.2"/>
    <row r="46157" s="197" customFormat="1" ht="12.75" x14ac:dyDescent="0.2"/>
    <row r="46158" s="197" customFormat="1" ht="12.75" x14ac:dyDescent="0.2"/>
    <row r="46159" s="197" customFormat="1" ht="12.75" x14ac:dyDescent="0.2"/>
    <row r="46160" s="197" customFormat="1" ht="12.75" x14ac:dyDescent="0.2"/>
    <row r="46161" s="197" customFormat="1" ht="12.75" x14ac:dyDescent="0.2"/>
    <row r="46162" s="197" customFormat="1" ht="12.75" x14ac:dyDescent="0.2"/>
    <row r="46163" s="197" customFormat="1" ht="12.75" x14ac:dyDescent="0.2"/>
    <row r="46164" s="197" customFormat="1" ht="12.75" x14ac:dyDescent="0.2"/>
    <row r="46165" s="197" customFormat="1" ht="12.75" x14ac:dyDescent="0.2"/>
    <row r="46166" s="197" customFormat="1" ht="12.75" x14ac:dyDescent="0.2"/>
    <row r="46167" s="197" customFormat="1" ht="12.75" x14ac:dyDescent="0.2"/>
    <row r="46168" s="197" customFormat="1" ht="12.75" x14ac:dyDescent="0.2"/>
    <row r="46169" s="197" customFormat="1" ht="12.75" x14ac:dyDescent="0.2"/>
    <row r="46170" s="197" customFormat="1" ht="12.75" x14ac:dyDescent="0.2"/>
    <row r="46171" s="197" customFormat="1" ht="12.75" x14ac:dyDescent="0.2"/>
    <row r="46172" s="197" customFormat="1" ht="12.75" x14ac:dyDescent="0.2"/>
    <row r="46173" s="197" customFormat="1" ht="12.75" x14ac:dyDescent="0.2"/>
    <row r="46174" s="197" customFormat="1" ht="12.75" x14ac:dyDescent="0.2"/>
    <row r="46175" s="197" customFormat="1" ht="12.75" x14ac:dyDescent="0.2"/>
    <row r="46176" s="197" customFormat="1" ht="12.75" x14ac:dyDescent="0.2"/>
    <row r="46177" s="197" customFormat="1" ht="12.75" x14ac:dyDescent="0.2"/>
    <row r="46178" s="197" customFormat="1" ht="12.75" x14ac:dyDescent="0.2"/>
    <row r="46179" s="197" customFormat="1" ht="12.75" x14ac:dyDescent="0.2"/>
    <row r="46180" s="197" customFormat="1" ht="12.75" x14ac:dyDescent="0.2"/>
    <row r="46181" s="197" customFormat="1" ht="12.75" x14ac:dyDescent="0.2"/>
    <row r="46182" s="197" customFormat="1" ht="12.75" x14ac:dyDescent="0.2"/>
    <row r="46183" s="197" customFormat="1" ht="12.75" x14ac:dyDescent="0.2"/>
    <row r="46184" s="197" customFormat="1" ht="12.75" x14ac:dyDescent="0.2"/>
    <row r="46185" s="197" customFormat="1" ht="12.75" x14ac:dyDescent="0.2"/>
    <row r="46186" s="197" customFormat="1" ht="12.75" x14ac:dyDescent="0.2"/>
    <row r="46187" s="197" customFormat="1" ht="12.75" x14ac:dyDescent="0.2"/>
    <row r="46188" s="197" customFormat="1" ht="12.75" x14ac:dyDescent="0.2"/>
    <row r="46189" s="197" customFormat="1" ht="12.75" x14ac:dyDescent="0.2"/>
    <row r="46190" s="197" customFormat="1" ht="12.75" x14ac:dyDescent="0.2"/>
    <row r="46191" s="197" customFormat="1" ht="12.75" x14ac:dyDescent="0.2"/>
    <row r="46192" s="197" customFormat="1" ht="12.75" x14ac:dyDescent="0.2"/>
    <row r="46193" s="197" customFormat="1" ht="12.75" x14ac:dyDescent="0.2"/>
    <row r="46194" s="197" customFormat="1" ht="12.75" x14ac:dyDescent="0.2"/>
    <row r="46195" s="197" customFormat="1" ht="12.75" x14ac:dyDescent="0.2"/>
    <row r="46196" s="197" customFormat="1" ht="12.75" x14ac:dyDescent="0.2"/>
    <row r="46197" s="197" customFormat="1" ht="12.75" x14ac:dyDescent="0.2"/>
    <row r="46198" s="197" customFormat="1" ht="12.75" x14ac:dyDescent="0.2"/>
    <row r="46199" s="197" customFormat="1" ht="12.75" x14ac:dyDescent="0.2"/>
    <row r="46200" s="197" customFormat="1" ht="12.75" x14ac:dyDescent="0.2"/>
    <row r="46201" s="197" customFormat="1" ht="12.75" x14ac:dyDescent="0.2"/>
    <row r="46202" s="197" customFormat="1" ht="12.75" x14ac:dyDescent="0.2"/>
    <row r="46203" s="197" customFormat="1" ht="12.75" x14ac:dyDescent="0.2"/>
    <row r="46204" s="197" customFormat="1" ht="12.75" x14ac:dyDescent="0.2"/>
    <row r="46205" s="197" customFormat="1" ht="12.75" x14ac:dyDescent="0.2"/>
    <row r="46206" s="197" customFormat="1" ht="12.75" x14ac:dyDescent="0.2"/>
    <row r="46207" s="197" customFormat="1" ht="12.75" x14ac:dyDescent="0.2"/>
    <row r="46208" s="197" customFormat="1" ht="12.75" x14ac:dyDescent="0.2"/>
    <row r="46209" s="197" customFormat="1" ht="12.75" x14ac:dyDescent="0.2"/>
    <row r="46210" s="197" customFormat="1" ht="12.75" x14ac:dyDescent="0.2"/>
    <row r="46211" s="197" customFormat="1" ht="12.75" x14ac:dyDescent="0.2"/>
    <row r="46212" s="197" customFormat="1" ht="12.75" x14ac:dyDescent="0.2"/>
    <row r="46213" s="197" customFormat="1" ht="12.75" x14ac:dyDescent="0.2"/>
    <row r="46214" s="197" customFormat="1" ht="12.75" x14ac:dyDescent="0.2"/>
    <row r="46215" s="197" customFormat="1" ht="12.75" x14ac:dyDescent="0.2"/>
    <row r="46216" s="197" customFormat="1" ht="12.75" x14ac:dyDescent="0.2"/>
    <row r="46217" s="197" customFormat="1" ht="12.75" x14ac:dyDescent="0.2"/>
    <row r="46218" s="197" customFormat="1" ht="12.75" x14ac:dyDescent="0.2"/>
    <row r="46219" s="197" customFormat="1" ht="12.75" x14ac:dyDescent="0.2"/>
    <row r="46220" s="197" customFormat="1" ht="12.75" x14ac:dyDescent="0.2"/>
    <row r="46221" s="197" customFormat="1" ht="12.75" x14ac:dyDescent="0.2"/>
    <row r="46222" s="197" customFormat="1" ht="12.75" x14ac:dyDescent="0.2"/>
    <row r="46223" s="197" customFormat="1" ht="12.75" x14ac:dyDescent="0.2"/>
    <row r="46224" s="197" customFormat="1" ht="12.75" x14ac:dyDescent="0.2"/>
    <row r="46225" s="197" customFormat="1" ht="12.75" x14ac:dyDescent="0.2"/>
    <row r="46226" s="197" customFormat="1" ht="12.75" x14ac:dyDescent="0.2"/>
    <row r="46227" s="197" customFormat="1" ht="12.75" x14ac:dyDescent="0.2"/>
    <row r="46228" s="197" customFormat="1" ht="12.75" x14ac:dyDescent="0.2"/>
    <row r="46229" s="197" customFormat="1" ht="12.75" x14ac:dyDescent="0.2"/>
    <row r="46230" s="197" customFormat="1" ht="12.75" x14ac:dyDescent="0.2"/>
    <row r="46231" s="197" customFormat="1" ht="12.75" x14ac:dyDescent="0.2"/>
    <row r="46232" s="197" customFormat="1" ht="12.75" x14ac:dyDescent="0.2"/>
    <row r="46233" s="197" customFormat="1" ht="12.75" x14ac:dyDescent="0.2"/>
    <row r="46234" s="197" customFormat="1" ht="12.75" x14ac:dyDescent="0.2"/>
    <row r="46235" s="197" customFormat="1" ht="12.75" x14ac:dyDescent="0.2"/>
    <row r="46236" s="197" customFormat="1" ht="12.75" x14ac:dyDescent="0.2"/>
    <row r="46237" s="197" customFormat="1" ht="12.75" x14ac:dyDescent="0.2"/>
    <row r="46238" s="197" customFormat="1" ht="12.75" x14ac:dyDescent="0.2"/>
    <row r="46239" s="197" customFormat="1" ht="12.75" x14ac:dyDescent="0.2"/>
    <row r="46240" s="197" customFormat="1" ht="12.75" x14ac:dyDescent="0.2"/>
    <row r="46241" s="197" customFormat="1" ht="12.75" x14ac:dyDescent="0.2"/>
    <row r="46242" s="197" customFormat="1" ht="12.75" x14ac:dyDescent="0.2"/>
    <row r="46243" s="197" customFormat="1" ht="12.75" x14ac:dyDescent="0.2"/>
    <row r="46244" s="197" customFormat="1" ht="12.75" x14ac:dyDescent="0.2"/>
    <row r="46245" s="197" customFormat="1" ht="12.75" x14ac:dyDescent="0.2"/>
    <row r="46246" s="197" customFormat="1" ht="12.75" x14ac:dyDescent="0.2"/>
    <row r="46247" s="197" customFormat="1" ht="12.75" x14ac:dyDescent="0.2"/>
    <row r="46248" s="197" customFormat="1" ht="12.75" x14ac:dyDescent="0.2"/>
    <row r="46249" s="197" customFormat="1" ht="12.75" x14ac:dyDescent="0.2"/>
    <row r="46250" s="197" customFormat="1" ht="12.75" x14ac:dyDescent="0.2"/>
    <row r="46251" s="197" customFormat="1" ht="12.75" x14ac:dyDescent="0.2"/>
    <row r="46252" s="197" customFormat="1" ht="12.75" x14ac:dyDescent="0.2"/>
    <row r="46253" s="197" customFormat="1" ht="12.75" x14ac:dyDescent="0.2"/>
    <row r="46254" s="197" customFormat="1" ht="12.75" x14ac:dyDescent="0.2"/>
    <row r="46255" s="197" customFormat="1" ht="12.75" x14ac:dyDescent="0.2"/>
    <row r="46256" s="197" customFormat="1" ht="12.75" x14ac:dyDescent="0.2"/>
    <row r="46257" s="197" customFormat="1" ht="12.75" x14ac:dyDescent="0.2"/>
    <row r="46258" s="197" customFormat="1" ht="12.75" x14ac:dyDescent="0.2"/>
    <row r="46259" s="197" customFormat="1" ht="12.75" x14ac:dyDescent="0.2"/>
    <row r="46260" s="197" customFormat="1" ht="12.75" x14ac:dyDescent="0.2"/>
    <row r="46261" s="197" customFormat="1" ht="12.75" x14ac:dyDescent="0.2"/>
    <row r="46262" s="197" customFormat="1" ht="12.75" x14ac:dyDescent="0.2"/>
    <row r="46263" s="197" customFormat="1" ht="12.75" x14ac:dyDescent="0.2"/>
    <row r="46264" s="197" customFormat="1" ht="12.75" x14ac:dyDescent="0.2"/>
    <row r="46265" s="197" customFormat="1" ht="12.75" x14ac:dyDescent="0.2"/>
    <row r="46266" s="197" customFormat="1" ht="12.75" x14ac:dyDescent="0.2"/>
    <row r="46267" s="197" customFormat="1" ht="12.75" x14ac:dyDescent="0.2"/>
    <row r="46268" s="197" customFormat="1" ht="12.75" x14ac:dyDescent="0.2"/>
    <row r="46269" s="197" customFormat="1" ht="12.75" x14ac:dyDescent="0.2"/>
    <row r="46270" s="197" customFormat="1" ht="12.75" x14ac:dyDescent="0.2"/>
    <row r="46271" s="197" customFormat="1" ht="12.75" x14ac:dyDescent="0.2"/>
    <row r="46272" s="197" customFormat="1" ht="12.75" x14ac:dyDescent="0.2"/>
    <row r="46273" s="197" customFormat="1" ht="12.75" x14ac:dyDescent="0.2"/>
    <row r="46274" s="197" customFormat="1" ht="12.75" x14ac:dyDescent="0.2"/>
    <row r="46275" s="197" customFormat="1" ht="12.75" x14ac:dyDescent="0.2"/>
    <row r="46276" s="197" customFormat="1" ht="12.75" x14ac:dyDescent="0.2"/>
    <row r="46277" s="197" customFormat="1" ht="12.75" x14ac:dyDescent="0.2"/>
    <row r="46278" s="197" customFormat="1" ht="12.75" x14ac:dyDescent="0.2"/>
    <row r="46279" s="197" customFormat="1" ht="12.75" x14ac:dyDescent="0.2"/>
    <row r="46280" s="197" customFormat="1" ht="12.75" x14ac:dyDescent="0.2"/>
    <row r="46281" s="197" customFormat="1" ht="12.75" x14ac:dyDescent="0.2"/>
    <row r="46282" s="197" customFormat="1" ht="12.75" x14ac:dyDescent="0.2"/>
    <row r="46283" s="197" customFormat="1" ht="12.75" x14ac:dyDescent="0.2"/>
    <row r="46284" s="197" customFormat="1" ht="12.75" x14ac:dyDescent="0.2"/>
    <row r="46285" s="197" customFormat="1" ht="12.75" x14ac:dyDescent="0.2"/>
    <row r="46286" s="197" customFormat="1" ht="12.75" x14ac:dyDescent="0.2"/>
    <row r="46287" s="197" customFormat="1" ht="12.75" x14ac:dyDescent="0.2"/>
    <row r="46288" s="197" customFormat="1" ht="12.75" x14ac:dyDescent="0.2"/>
    <row r="46289" s="197" customFormat="1" ht="12.75" x14ac:dyDescent="0.2"/>
    <row r="46290" s="197" customFormat="1" ht="12.75" x14ac:dyDescent="0.2"/>
    <row r="46291" s="197" customFormat="1" ht="12.75" x14ac:dyDescent="0.2"/>
    <row r="46292" s="197" customFormat="1" ht="12.75" x14ac:dyDescent="0.2"/>
    <row r="46293" s="197" customFormat="1" ht="12.75" x14ac:dyDescent="0.2"/>
    <row r="46294" s="197" customFormat="1" ht="12.75" x14ac:dyDescent="0.2"/>
    <row r="46295" s="197" customFormat="1" ht="12.75" x14ac:dyDescent="0.2"/>
    <row r="46296" s="197" customFormat="1" ht="12.75" x14ac:dyDescent="0.2"/>
    <row r="46297" s="197" customFormat="1" ht="12.75" x14ac:dyDescent="0.2"/>
    <row r="46298" s="197" customFormat="1" ht="12.75" x14ac:dyDescent="0.2"/>
    <row r="46299" s="197" customFormat="1" ht="12.75" x14ac:dyDescent="0.2"/>
    <row r="46300" s="197" customFormat="1" ht="12.75" x14ac:dyDescent="0.2"/>
    <row r="46301" s="197" customFormat="1" ht="12.75" x14ac:dyDescent="0.2"/>
    <row r="46302" s="197" customFormat="1" ht="12.75" x14ac:dyDescent="0.2"/>
    <row r="46303" s="197" customFormat="1" ht="12.75" x14ac:dyDescent="0.2"/>
    <row r="46304" s="197" customFormat="1" ht="12.75" x14ac:dyDescent="0.2"/>
    <row r="46305" s="197" customFormat="1" ht="12.75" x14ac:dyDescent="0.2"/>
    <row r="46306" s="197" customFormat="1" ht="12.75" x14ac:dyDescent="0.2"/>
    <row r="46307" s="197" customFormat="1" ht="12.75" x14ac:dyDescent="0.2"/>
    <row r="46308" s="197" customFormat="1" ht="12.75" x14ac:dyDescent="0.2"/>
    <row r="46309" s="197" customFormat="1" ht="12.75" x14ac:dyDescent="0.2"/>
    <row r="46310" s="197" customFormat="1" ht="12.75" x14ac:dyDescent="0.2"/>
    <row r="46311" s="197" customFormat="1" ht="12.75" x14ac:dyDescent="0.2"/>
    <row r="46312" s="197" customFormat="1" ht="12.75" x14ac:dyDescent="0.2"/>
    <row r="46313" s="197" customFormat="1" ht="12.75" x14ac:dyDescent="0.2"/>
    <row r="46314" s="197" customFormat="1" ht="12.75" x14ac:dyDescent="0.2"/>
    <row r="46315" s="197" customFormat="1" ht="12.75" x14ac:dyDescent="0.2"/>
    <row r="46316" s="197" customFormat="1" ht="12.75" x14ac:dyDescent="0.2"/>
    <row r="46317" s="197" customFormat="1" ht="12.75" x14ac:dyDescent="0.2"/>
    <row r="46318" s="197" customFormat="1" ht="12.75" x14ac:dyDescent="0.2"/>
    <row r="46319" s="197" customFormat="1" ht="12.75" x14ac:dyDescent="0.2"/>
    <row r="46320" s="197" customFormat="1" ht="12.75" x14ac:dyDescent="0.2"/>
    <row r="46321" s="197" customFormat="1" ht="12.75" x14ac:dyDescent="0.2"/>
    <row r="46322" s="197" customFormat="1" ht="12.75" x14ac:dyDescent="0.2"/>
    <row r="46323" s="197" customFormat="1" ht="12.75" x14ac:dyDescent="0.2"/>
    <row r="46324" s="197" customFormat="1" ht="12.75" x14ac:dyDescent="0.2"/>
    <row r="46325" s="197" customFormat="1" ht="12.75" x14ac:dyDescent="0.2"/>
    <row r="46326" s="197" customFormat="1" ht="12.75" x14ac:dyDescent="0.2"/>
    <row r="46327" s="197" customFormat="1" ht="12.75" x14ac:dyDescent="0.2"/>
    <row r="46328" s="197" customFormat="1" ht="12.75" x14ac:dyDescent="0.2"/>
    <row r="46329" s="197" customFormat="1" ht="12.75" x14ac:dyDescent="0.2"/>
    <row r="46330" s="197" customFormat="1" ht="12.75" x14ac:dyDescent="0.2"/>
    <row r="46331" s="197" customFormat="1" ht="12.75" x14ac:dyDescent="0.2"/>
    <row r="46332" s="197" customFormat="1" ht="12.75" x14ac:dyDescent="0.2"/>
    <row r="46333" s="197" customFormat="1" ht="12.75" x14ac:dyDescent="0.2"/>
    <row r="46334" s="197" customFormat="1" ht="12.75" x14ac:dyDescent="0.2"/>
    <row r="46335" s="197" customFormat="1" ht="12.75" x14ac:dyDescent="0.2"/>
    <row r="46336" s="197" customFormat="1" ht="12.75" x14ac:dyDescent="0.2"/>
    <row r="46337" s="197" customFormat="1" ht="12.75" x14ac:dyDescent="0.2"/>
    <row r="46338" s="197" customFormat="1" ht="12.75" x14ac:dyDescent="0.2"/>
    <row r="46339" s="197" customFormat="1" ht="12.75" x14ac:dyDescent="0.2"/>
    <row r="46340" s="197" customFormat="1" ht="12.75" x14ac:dyDescent="0.2"/>
    <row r="46341" s="197" customFormat="1" ht="12.75" x14ac:dyDescent="0.2"/>
    <row r="46342" s="197" customFormat="1" ht="12.75" x14ac:dyDescent="0.2"/>
    <row r="46343" s="197" customFormat="1" ht="12.75" x14ac:dyDescent="0.2"/>
    <row r="46344" s="197" customFormat="1" ht="12.75" x14ac:dyDescent="0.2"/>
    <row r="46345" s="197" customFormat="1" ht="12.75" x14ac:dyDescent="0.2"/>
    <row r="46346" s="197" customFormat="1" ht="12.75" x14ac:dyDescent="0.2"/>
    <row r="46347" s="197" customFormat="1" ht="12.75" x14ac:dyDescent="0.2"/>
    <row r="46348" s="197" customFormat="1" ht="12.75" x14ac:dyDescent="0.2"/>
    <row r="46349" s="197" customFormat="1" ht="12.75" x14ac:dyDescent="0.2"/>
    <row r="46350" s="197" customFormat="1" ht="12.75" x14ac:dyDescent="0.2"/>
    <row r="46351" s="197" customFormat="1" ht="12.75" x14ac:dyDescent="0.2"/>
    <row r="46352" s="197" customFormat="1" ht="12.75" x14ac:dyDescent="0.2"/>
    <row r="46353" s="197" customFormat="1" ht="12.75" x14ac:dyDescent="0.2"/>
    <row r="46354" s="197" customFormat="1" ht="12.75" x14ac:dyDescent="0.2"/>
    <row r="46355" s="197" customFormat="1" ht="12.75" x14ac:dyDescent="0.2"/>
    <row r="46356" s="197" customFormat="1" ht="12.75" x14ac:dyDescent="0.2"/>
    <row r="46357" s="197" customFormat="1" ht="12.75" x14ac:dyDescent="0.2"/>
    <row r="46358" s="197" customFormat="1" ht="12.75" x14ac:dyDescent="0.2"/>
    <row r="46359" s="197" customFormat="1" ht="12.75" x14ac:dyDescent="0.2"/>
    <row r="46360" s="197" customFormat="1" ht="12.75" x14ac:dyDescent="0.2"/>
    <row r="46361" s="197" customFormat="1" ht="12.75" x14ac:dyDescent="0.2"/>
    <row r="46362" s="197" customFormat="1" ht="12.75" x14ac:dyDescent="0.2"/>
    <row r="46363" s="197" customFormat="1" ht="12.75" x14ac:dyDescent="0.2"/>
    <row r="46364" s="197" customFormat="1" ht="12.75" x14ac:dyDescent="0.2"/>
    <row r="46365" s="197" customFormat="1" ht="12.75" x14ac:dyDescent="0.2"/>
    <row r="46366" s="197" customFormat="1" ht="12.75" x14ac:dyDescent="0.2"/>
    <row r="46367" s="197" customFormat="1" ht="12.75" x14ac:dyDescent="0.2"/>
    <row r="46368" s="197" customFormat="1" ht="12.75" x14ac:dyDescent="0.2"/>
    <row r="46369" s="197" customFormat="1" ht="12.75" x14ac:dyDescent="0.2"/>
    <row r="46370" s="197" customFormat="1" ht="12.75" x14ac:dyDescent="0.2"/>
    <row r="46371" s="197" customFormat="1" ht="12.75" x14ac:dyDescent="0.2"/>
    <row r="46372" s="197" customFormat="1" ht="12.75" x14ac:dyDescent="0.2"/>
    <row r="46373" s="197" customFormat="1" ht="12.75" x14ac:dyDescent="0.2"/>
    <row r="46374" s="197" customFormat="1" ht="12.75" x14ac:dyDescent="0.2"/>
    <row r="46375" s="197" customFormat="1" ht="12.75" x14ac:dyDescent="0.2"/>
    <row r="46376" s="197" customFormat="1" ht="12.75" x14ac:dyDescent="0.2"/>
    <row r="46377" s="197" customFormat="1" ht="12.75" x14ac:dyDescent="0.2"/>
    <row r="46378" s="197" customFormat="1" ht="12.75" x14ac:dyDescent="0.2"/>
    <row r="46379" s="197" customFormat="1" ht="12.75" x14ac:dyDescent="0.2"/>
    <row r="46380" s="197" customFormat="1" ht="12.75" x14ac:dyDescent="0.2"/>
    <row r="46381" s="197" customFormat="1" ht="12.75" x14ac:dyDescent="0.2"/>
    <row r="46382" s="197" customFormat="1" ht="12.75" x14ac:dyDescent="0.2"/>
    <row r="46383" s="197" customFormat="1" ht="12.75" x14ac:dyDescent="0.2"/>
    <row r="46384" s="197" customFormat="1" ht="12.75" x14ac:dyDescent="0.2"/>
    <row r="46385" s="197" customFormat="1" ht="12.75" x14ac:dyDescent="0.2"/>
    <row r="46386" s="197" customFormat="1" ht="12.75" x14ac:dyDescent="0.2"/>
    <row r="46387" s="197" customFormat="1" ht="12.75" x14ac:dyDescent="0.2"/>
    <row r="46388" s="197" customFormat="1" ht="12.75" x14ac:dyDescent="0.2"/>
    <row r="46389" s="197" customFormat="1" ht="12.75" x14ac:dyDescent="0.2"/>
    <row r="46390" s="197" customFormat="1" ht="12.75" x14ac:dyDescent="0.2"/>
    <row r="46391" s="197" customFormat="1" ht="12.75" x14ac:dyDescent="0.2"/>
    <row r="46392" s="197" customFormat="1" ht="12.75" x14ac:dyDescent="0.2"/>
    <row r="46393" s="197" customFormat="1" ht="12.75" x14ac:dyDescent="0.2"/>
    <row r="46394" s="197" customFormat="1" ht="12.75" x14ac:dyDescent="0.2"/>
    <row r="46395" s="197" customFormat="1" ht="12.75" x14ac:dyDescent="0.2"/>
    <row r="46396" s="197" customFormat="1" ht="12.75" x14ac:dyDescent="0.2"/>
    <row r="46397" s="197" customFormat="1" ht="12.75" x14ac:dyDescent="0.2"/>
    <row r="46398" s="197" customFormat="1" ht="12.75" x14ac:dyDescent="0.2"/>
    <row r="46399" s="197" customFormat="1" ht="12.75" x14ac:dyDescent="0.2"/>
    <row r="46400" s="197" customFormat="1" ht="12.75" x14ac:dyDescent="0.2"/>
    <row r="46401" s="197" customFormat="1" ht="12.75" x14ac:dyDescent="0.2"/>
    <row r="46402" s="197" customFormat="1" ht="12.75" x14ac:dyDescent="0.2"/>
    <row r="46403" s="197" customFormat="1" ht="12.75" x14ac:dyDescent="0.2"/>
    <row r="46404" s="197" customFormat="1" ht="12.75" x14ac:dyDescent="0.2"/>
    <row r="46405" s="197" customFormat="1" ht="12.75" x14ac:dyDescent="0.2"/>
    <row r="46406" s="197" customFormat="1" ht="12.75" x14ac:dyDescent="0.2"/>
    <row r="46407" s="197" customFormat="1" ht="12.75" x14ac:dyDescent="0.2"/>
    <row r="46408" s="197" customFormat="1" ht="12.75" x14ac:dyDescent="0.2"/>
    <row r="46409" s="197" customFormat="1" ht="12.75" x14ac:dyDescent="0.2"/>
    <row r="46410" s="197" customFormat="1" ht="12.75" x14ac:dyDescent="0.2"/>
    <row r="46411" s="197" customFormat="1" ht="12.75" x14ac:dyDescent="0.2"/>
    <row r="46412" s="197" customFormat="1" ht="12.75" x14ac:dyDescent="0.2"/>
    <row r="46413" s="197" customFormat="1" ht="12.75" x14ac:dyDescent="0.2"/>
    <row r="46414" s="197" customFormat="1" ht="12.75" x14ac:dyDescent="0.2"/>
    <row r="46415" s="197" customFormat="1" ht="12.75" x14ac:dyDescent="0.2"/>
    <row r="46416" s="197" customFormat="1" ht="12.75" x14ac:dyDescent="0.2"/>
    <row r="46417" s="197" customFormat="1" ht="12.75" x14ac:dyDescent="0.2"/>
    <row r="46418" s="197" customFormat="1" ht="12.75" x14ac:dyDescent="0.2"/>
    <row r="46419" s="197" customFormat="1" ht="12.75" x14ac:dyDescent="0.2"/>
    <row r="46420" s="197" customFormat="1" ht="12.75" x14ac:dyDescent="0.2"/>
    <row r="46421" s="197" customFormat="1" ht="12.75" x14ac:dyDescent="0.2"/>
    <row r="46422" s="197" customFormat="1" ht="12.75" x14ac:dyDescent="0.2"/>
    <row r="46423" s="197" customFormat="1" ht="12.75" x14ac:dyDescent="0.2"/>
    <row r="46424" s="197" customFormat="1" ht="12.75" x14ac:dyDescent="0.2"/>
    <row r="46425" s="197" customFormat="1" ht="12.75" x14ac:dyDescent="0.2"/>
    <row r="46426" s="197" customFormat="1" ht="12.75" x14ac:dyDescent="0.2"/>
    <row r="46427" s="197" customFormat="1" ht="12.75" x14ac:dyDescent="0.2"/>
    <row r="46428" s="197" customFormat="1" ht="12.75" x14ac:dyDescent="0.2"/>
    <row r="46429" s="197" customFormat="1" ht="12.75" x14ac:dyDescent="0.2"/>
    <row r="46430" s="197" customFormat="1" ht="12.75" x14ac:dyDescent="0.2"/>
    <row r="46431" s="197" customFormat="1" ht="12.75" x14ac:dyDescent="0.2"/>
    <row r="46432" s="197" customFormat="1" ht="12.75" x14ac:dyDescent="0.2"/>
    <row r="46433" s="197" customFormat="1" ht="12.75" x14ac:dyDescent="0.2"/>
    <row r="46434" s="197" customFormat="1" ht="12.75" x14ac:dyDescent="0.2"/>
    <row r="46435" s="197" customFormat="1" ht="12.75" x14ac:dyDescent="0.2"/>
    <row r="46436" s="197" customFormat="1" ht="12.75" x14ac:dyDescent="0.2"/>
    <row r="46437" s="197" customFormat="1" ht="12.75" x14ac:dyDescent="0.2"/>
    <row r="46438" s="197" customFormat="1" ht="12.75" x14ac:dyDescent="0.2"/>
    <row r="46439" s="197" customFormat="1" ht="12.75" x14ac:dyDescent="0.2"/>
    <row r="46440" s="197" customFormat="1" ht="12.75" x14ac:dyDescent="0.2"/>
    <row r="46441" s="197" customFormat="1" ht="12.75" x14ac:dyDescent="0.2"/>
    <row r="46442" s="197" customFormat="1" ht="12.75" x14ac:dyDescent="0.2"/>
    <row r="46443" s="197" customFormat="1" ht="12.75" x14ac:dyDescent="0.2"/>
    <row r="46444" s="197" customFormat="1" ht="12.75" x14ac:dyDescent="0.2"/>
    <row r="46445" s="197" customFormat="1" ht="12.75" x14ac:dyDescent="0.2"/>
    <row r="46446" s="197" customFormat="1" ht="12.75" x14ac:dyDescent="0.2"/>
    <row r="46447" s="197" customFormat="1" ht="12.75" x14ac:dyDescent="0.2"/>
    <row r="46448" s="197" customFormat="1" ht="12.75" x14ac:dyDescent="0.2"/>
    <row r="46449" s="197" customFormat="1" ht="12.75" x14ac:dyDescent="0.2"/>
    <row r="46450" s="197" customFormat="1" ht="12.75" x14ac:dyDescent="0.2"/>
    <row r="46451" s="197" customFormat="1" ht="12.75" x14ac:dyDescent="0.2"/>
    <row r="46452" s="197" customFormat="1" ht="12.75" x14ac:dyDescent="0.2"/>
    <row r="46453" s="197" customFormat="1" ht="12.75" x14ac:dyDescent="0.2"/>
    <row r="46454" s="197" customFormat="1" ht="12.75" x14ac:dyDescent="0.2"/>
    <row r="46455" s="197" customFormat="1" ht="12.75" x14ac:dyDescent="0.2"/>
    <row r="46456" s="197" customFormat="1" ht="12.75" x14ac:dyDescent="0.2"/>
    <row r="46457" s="197" customFormat="1" ht="12.75" x14ac:dyDescent="0.2"/>
    <row r="46458" s="197" customFormat="1" ht="12.75" x14ac:dyDescent="0.2"/>
    <row r="46459" s="197" customFormat="1" ht="12.75" x14ac:dyDescent="0.2"/>
    <row r="46460" s="197" customFormat="1" ht="12.75" x14ac:dyDescent="0.2"/>
    <row r="46461" s="197" customFormat="1" ht="12.75" x14ac:dyDescent="0.2"/>
    <row r="46462" s="197" customFormat="1" ht="12.75" x14ac:dyDescent="0.2"/>
    <row r="46463" s="197" customFormat="1" ht="12.75" x14ac:dyDescent="0.2"/>
    <row r="46464" s="197" customFormat="1" ht="12.75" x14ac:dyDescent="0.2"/>
    <row r="46465" s="197" customFormat="1" ht="12.75" x14ac:dyDescent="0.2"/>
    <row r="46466" s="197" customFormat="1" ht="12.75" x14ac:dyDescent="0.2"/>
    <row r="46467" s="197" customFormat="1" ht="12.75" x14ac:dyDescent="0.2"/>
    <row r="46468" s="197" customFormat="1" ht="12.75" x14ac:dyDescent="0.2"/>
    <row r="46469" s="197" customFormat="1" ht="12.75" x14ac:dyDescent="0.2"/>
    <row r="46470" s="197" customFormat="1" ht="12.75" x14ac:dyDescent="0.2"/>
    <row r="46471" s="197" customFormat="1" ht="12.75" x14ac:dyDescent="0.2"/>
    <row r="46472" s="197" customFormat="1" ht="12.75" x14ac:dyDescent="0.2"/>
    <row r="46473" s="197" customFormat="1" ht="12.75" x14ac:dyDescent="0.2"/>
    <row r="46474" s="197" customFormat="1" ht="12.75" x14ac:dyDescent="0.2"/>
    <row r="46475" s="197" customFormat="1" ht="12.75" x14ac:dyDescent="0.2"/>
    <row r="46476" s="197" customFormat="1" ht="12.75" x14ac:dyDescent="0.2"/>
    <row r="46477" s="197" customFormat="1" ht="12.75" x14ac:dyDescent="0.2"/>
    <row r="46478" s="197" customFormat="1" ht="12.75" x14ac:dyDescent="0.2"/>
    <row r="46479" s="197" customFormat="1" ht="12.75" x14ac:dyDescent="0.2"/>
    <row r="46480" s="197" customFormat="1" ht="12.75" x14ac:dyDescent="0.2"/>
    <row r="46481" s="197" customFormat="1" ht="12.75" x14ac:dyDescent="0.2"/>
    <row r="46482" s="197" customFormat="1" ht="12.75" x14ac:dyDescent="0.2"/>
    <row r="46483" s="197" customFormat="1" ht="12.75" x14ac:dyDescent="0.2"/>
    <row r="46484" s="197" customFormat="1" ht="12.75" x14ac:dyDescent="0.2"/>
    <row r="46485" s="197" customFormat="1" ht="12.75" x14ac:dyDescent="0.2"/>
    <row r="46486" s="197" customFormat="1" ht="12.75" x14ac:dyDescent="0.2"/>
    <row r="46487" s="197" customFormat="1" ht="12.75" x14ac:dyDescent="0.2"/>
    <row r="46488" s="197" customFormat="1" ht="12.75" x14ac:dyDescent="0.2"/>
    <row r="46489" s="197" customFormat="1" ht="12.75" x14ac:dyDescent="0.2"/>
    <row r="46490" s="197" customFormat="1" ht="12.75" x14ac:dyDescent="0.2"/>
    <row r="46491" s="197" customFormat="1" ht="12.75" x14ac:dyDescent="0.2"/>
    <row r="46492" s="197" customFormat="1" ht="12.75" x14ac:dyDescent="0.2"/>
    <row r="46493" s="197" customFormat="1" ht="12.75" x14ac:dyDescent="0.2"/>
    <row r="46494" s="197" customFormat="1" ht="12.75" x14ac:dyDescent="0.2"/>
    <row r="46495" s="197" customFormat="1" ht="12.75" x14ac:dyDescent="0.2"/>
    <row r="46496" s="197" customFormat="1" ht="12.75" x14ac:dyDescent="0.2"/>
    <row r="46497" s="197" customFormat="1" ht="12.75" x14ac:dyDescent="0.2"/>
    <row r="46498" s="197" customFormat="1" ht="12.75" x14ac:dyDescent="0.2"/>
    <row r="46499" s="197" customFormat="1" ht="12.75" x14ac:dyDescent="0.2"/>
    <row r="46500" s="197" customFormat="1" ht="12.75" x14ac:dyDescent="0.2"/>
    <row r="46501" s="197" customFormat="1" ht="12.75" x14ac:dyDescent="0.2"/>
    <row r="46502" s="197" customFormat="1" ht="12.75" x14ac:dyDescent="0.2"/>
    <row r="46503" s="197" customFormat="1" ht="12.75" x14ac:dyDescent="0.2"/>
    <row r="46504" s="197" customFormat="1" ht="12.75" x14ac:dyDescent="0.2"/>
    <row r="46505" s="197" customFormat="1" ht="12.75" x14ac:dyDescent="0.2"/>
    <row r="46506" s="197" customFormat="1" ht="12.75" x14ac:dyDescent="0.2"/>
    <row r="46507" s="197" customFormat="1" ht="12.75" x14ac:dyDescent="0.2"/>
    <row r="46508" s="197" customFormat="1" ht="12.75" x14ac:dyDescent="0.2"/>
    <row r="46509" s="197" customFormat="1" ht="12.75" x14ac:dyDescent="0.2"/>
    <row r="46510" s="197" customFormat="1" ht="12.75" x14ac:dyDescent="0.2"/>
    <row r="46511" s="197" customFormat="1" ht="12.75" x14ac:dyDescent="0.2"/>
    <row r="46512" s="197" customFormat="1" ht="12.75" x14ac:dyDescent="0.2"/>
    <row r="46513" s="197" customFormat="1" ht="12.75" x14ac:dyDescent="0.2"/>
    <row r="46514" s="197" customFormat="1" ht="12.75" x14ac:dyDescent="0.2"/>
    <row r="46515" s="197" customFormat="1" ht="12.75" x14ac:dyDescent="0.2"/>
    <row r="46516" s="197" customFormat="1" ht="12.75" x14ac:dyDescent="0.2"/>
    <row r="46517" s="197" customFormat="1" ht="12.75" x14ac:dyDescent="0.2"/>
    <row r="46518" s="197" customFormat="1" ht="12.75" x14ac:dyDescent="0.2"/>
    <row r="46519" s="197" customFormat="1" ht="12.75" x14ac:dyDescent="0.2"/>
    <row r="46520" s="197" customFormat="1" ht="12.75" x14ac:dyDescent="0.2"/>
    <row r="46521" s="197" customFormat="1" ht="12.75" x14ac:dyDescent="0.2"/>
    <row r="46522" s="197" customFormat="1" ht="12.75" x14ac:dyDescent="0.2"/>
    <row r="46523" s="197" customFormat="1" ht="12.75" x14ac:dyDescent="0.2"/>
    <row r="46524" s="197" customFormat="1" ht="12.75" x14ac:dyDescent="0.2"/>
    <row r="46525" s="197" customFormat="1" ht="12.75" x14ac:dyDescent="0.2"/>
    <row r="46526" s="197" customFormat="1" ht="12.75" x14ac:dyDescent="0.2"/>
    <row r="46527" s="197" customFormat="1" ht="12.75" x14ac:dyDescent="0.2"/>
    <row r="46528" s="197" customFormat="1" ht="12.75" x14ac:dyDescent="0.2"/>
    <row r="46529" s="197" customFormat="1" ht="12.75" x14ac:dyDescent="0.2"/>
    <row r="46530" s="197" customFormat="1" ht="12.75" x14ac:dyDescent="0.2"/>
    <row r="46531" s="197" customFormat="1" ht="12.75" x14ac:dyDescent="0.2"/>
    <row r="46532" s="197" customFormat="1" ht="12.75" x14ac:dyDescent="0.2"/>
    <row r="46533" s="197" customFormat="1" ht="12.75" x14ac:dyDescent="0.2"/>
    <row r="46534" s="197" customFormat="1" ht="12.75" x14ac:dyDescent="0.2"/>
    <row r="46535" s="197" customFormat="1" ht="12.75" x14ac:dyDescent="0.2"/>
    <row r="46536" s="197" customFormat="1" ht="12.75" x14ac:dyDescent="0.2"/>
    <row r="46537" s="197" customFormat="1" ht="12.75" x14ac:dyDescent="0.2"/>
    <row r="46538" s="197" customFormat="1" ht="12.75" x14ac:dyDescent="0.2"/>
    <row r="46539" s="197" customFormat="1" ht="12.75" x14ac:dyDescent="0.2"/>
    <row r="46540" s="197" customFormat="1" ht="12.75" x14ac:dyDescent="0.2"/>
    <row r="46541" s="197" customFormat="1" ht="12.75" x14ac:dyDescent="0.2"/>
    <row r="46542" s="197" customFormat="1" ht="12.75" x14ac:dyDescent="0.2"/>
    <row r="46543" s="197" customFormat="1" ht="12.75" x14ac:dyDescent="0.2"/>
    <row r="46544" s="197" customFormat="1" ht="12.75" x14ac:dyDescent="0.2"/>
    <row r="46545" s="197" customFormat="1" ht="12.75" x14ac:dyDescent="0.2"/>
    <row r="46546" s="197" customFormat="1" ht="12.75" x14ac:dyDescent="0.2"/>
    <row r="46547" s="197" customFormat="1" ht="12.75" x14ac:dyDescent="0.2"/>
    <row r="46548" s="197" customFormat="1" ht="12.75" x14ac:dyDescent="0.2"/>
    <row r="46549" s="197" customFormat="1" ht="12.75" x14ac:dyDescent="0.2"/>
    <row r="46550" s="197" customFormat="1" ht="12.75" x14ac:dyDescent="0.2"/>
    <row r="46551" s="197" customFormat="1" ht="12.75" x14ac:dyDescent="0.2"/>
    <row r="46552" s="197" customFormat="1" ht="12.75" x14ac:dyDescent="0.2"/>
    <row r="46553" s="197" customFormat="1" ht="12.75" x14ac:dyDescent="0.2"/>
    <row r="46554" s="197" customFormat="1" ht="12.75" x14ac:dyDescent="0.2"/>
    <row r="46555" s="197" customFormat="1" ht="12.75" x14ac:dyDescent="0.2"/>
    <row r="46556" s="197" customFormat="1" ht="12.75" x14ac:dyDescent="0.2"/>
    <row r="46557" s="197" customFormat="1" ht="12.75" x14ac:dyDescent="0.2"/>
    <row r="46558" s="197" customFormat="1" ht="12.75" x14ac:dyDescent="0.2"/>
    <row r="46559" s="197" customFormat="1" ht="12.75" x14ac:dyDescent="0.2"/>
    <row r="46560" s="197" customFormat="1" ht="12.75" x14ac:dyDescent="0.2"/>
    <row r="46561" s="197" customFormat="1" ht="12.75" x14ac:dyDescent="0.2"/>
    <row r="46562" s="197" customFormat="1" ht="12.75" x14ac:dyDescent="0.2"/>
    <row r="46563" s="197" customFormat="1" ht="12.75" x14ac:dyDescent="0.2"/>
    <row r="46564" s="197" customFormat="1" ht="12.75" x14ac:dyDescent="0.2"/>
    <row r="46565" s="197" customFormat="1" ht="12.75" x14ac:dyDescent="0.2"/>
    <row r="46566" s="197" customFormat="1" ht="12.75" x14ac:dyDescent="0.2"/>
    <row r="46567" s="197" customFormat="1" ht="12.75" x14ac:dyDescent="0.2"/>
    <row r="46568" s="197" customFormat="1" ht="12.75" x14ac:dyDescent="0.2"/>
    <row r="46569" s="197" customFormat="1" ht="12.75" x14ac:dyDescent="0.2"/>
    <row r="46570" s="197" customFormat="1" ht="12.75" x14ac:dyDescent="0.2"/>
    <row r="46571" s="197" customFormat="1" ht="12.75" x14ac:dyDescent="0.2"/>
    <row r="46572" s="197" customFormat="1" ht="12.75" x14ac:dyDescent="0.2"/>
    <row r="46573" s="197" customFormat="1" ht="12.75" x14ac:dyDescent="0.2"/>
    <row r="46574" s="197" customFormat="1" ht="12.75" x14ac:dyDescent="0.2"/>
    <row r="46575" s="197" customFormat="1" ht="12.75" x14ac:dyDescent="0.2"/>
    <row r="46576" s="197" customFormat="1" ht="12.75" x14ac:dyDescent="0.2"/>
    <row r="46577" s="197" customFormat="1" ht="12.75" x14ac:dyDescent="0.2"/>
    <row r="46578" s="197" customFormat="1" ht="12.75" x14ac:dyDescent="0.2"/>
    <row r="46579" s="197" customFormat="1" ht="12.75" x14ac:dyDescent="0.2"/>
    <row r="46580" s="197" customFormat="1" ht="12.75" x14ac:dyDescent="0.2"/>
    <row r="46581" s="197" customFormat="1" ht="12.75" x14ac:dyDescent="0.2"/>
    <row r="46582" s="197" customFormat="1" ht="12.75" x14ac:dyDescent="0.2"/>
    <row r="46583" s="197" customFormat="1" ht="12.75" x14ac:dyDescent="0.2"/>
    <row r="46584" s="197" customFormat="1" ht="12.75" x14ac:dyDescent="0.2"/>
    <row r="46585" s="197" customFormat="1" ht="12.75" x14ac:dyDescent="0.2"/>
    <row r="46586" s="197" customFormat="1" ht="12.75" x14ac:dyDescent="0.2"/>
    <row r="46587" s="197" customFormat="1" ht="12.75" x14ac:dyDescent="0.2"/>
    <row r="46588" s="197" customFormat="1" ht="12.75" x14ac:dyDescent="0.2"/>
    <row r="46589" s="197" customFormat="1" ht="12.75" x14ac:dyDescent="0.2"/>
    <row r="46590" s="197" customFormat="1" ht="12.75" x14ac:dyDescent="0.2"/>
    <row r="46591" s="197" customFormat="1" ht="12.75" x14ac:dyDescent="0.2"/>
    <row r="46592" s="197" customFormat="1" ht="12.75" x14ac:dyDescent="0.2"/>
    <row r="46593" s="197" customFormat="1" ht="12.75" x14ac:dyDescent="0.2"/>
    <row r="46594" s="197" customFormat="1" ht="12.75" x14ac:dyDescent="0.2"/>
    <row r="46595" s="197" customFormat="1" ht="12.75" x14ac:dyDescent="0.2"/>
    <row r="46596" s="197" customFormat="1" ht="12.75" x14ac:dyDescent="0.2"/>
    <row r="46597" s="197" customFormat="1" ht="12.75" x14ac:dyDescent="0.2"/>
    <row r="46598" s="197" customFormat="1" ht="12.75" x14ac:dyDescent="0.2"/>
    <row r="46599" s="197" customFormat="1" ht="12.75" x14ac:dyDescent="0.2"/>
    <row r="46600" s="197" customFormat="1" ht="12.75" x14ac:dyDescent="0.2"/>
    <row r="46601" s="197" customFormat="1" ht="12.75" x14ac:dyDescent="0.2"/>
    <row r="46602" s="197" customFormat="1" ht="12.75" x14ac:dyDescent="0.2"/>
    <row r="46603" s="197" customFormat="1" ht="12.75" x14ac:dyDescent="0.2"/>
    <row r="46604" s="197" customFormat="1" ht="12.75" x14ac:dyDescent="0.2"/>
    <row r="46605" s="197" customFormat="1" ht="12.75" x14ac:dyDescent="0.2"/>
    <row r="46606" s="197" customFormat="1" ht="12.75" x14ac:dyDescent="0.2"/>
    <row r="46607" s="197" customFormat="1" ht="12.75" x14ac:dyDescent="0.2"/>
    <row r="46608" s="197" customFormat="1" ht="12.75" x14ac:dyDescent="0.2"/>
    <row r="46609" s="197" customFormat="1" ht="12.75" x14ac:dyDescent="0.2"/>
    <row r="46610" s="197" customFormat="1" ht="12.75" x14ac:dyDescent="0.2"/>
    <row r="46611" s="197" customFormat="1" ht="12.75" x14ac:dyDescent="0.2"/>
    <row r="46612" s="197" customFormat="1" ht="12.75" x14ac:dyDescent="0.2"/>
    <row r="46613" s="197" customFormat="1" ht="12.75" x14ac:dyDescent="0.2"/>
    <row r="46614" s="197" customFormat="1" ht="12.75" x14ac:dyDescent="0.2"/>
    <row r="46615" s="197" customFormat="1" ht="12.75" x14ac:dyDescent="0.2"/>
    <row r="46616" s="197" customFormat="1" ht="12.75" x14ac:dyDescent="0.2"/>
    <row r="46617" s="197" customFormat="1" ht="12.75" x14ac:dyDescent="0.2"/>
    <row r="46618" s="197" customFormat="1" ht="12.75" x14ac:dyDescent="0.2"/>
    <row r="46619" s="197" customFormat="1" ht="12.75" x14ac:dyDescent="0.2"/>
    <row r="46620" s="197" customFormat="1" ht="12.75" x14ac:dyDescent="0.2"/>
    <row r="46621" s="197" customFormat="1" ht="12.75" x14ac:dyDescent="0.2"/>
    <row r="46622" s="197" customFormat="1" ht="12.75" x14ac:dyDescent="0.2"/>
    <row r="46623" s="197" customFormat="1" ht="12.75" x14ac:dyDescent="0.2"/>
    <row r="46624" s="197" customFormat="1" ht="12.75" x14ac:dyDescent="0.2"/>
    <row r="46625" s="197" customFormat="1" ht="12.75" x14ac:dyDescent="0.2"/>
    <row r="46626" s="197" customFormat="1" ht="12.75" x14ac:dyDescent="0.2"/>
    <row r="46627" s="197" customFormat="1" ht="12.75" x14ac:dyDescent="0.2"/>
    <row r="46628" s="197" customFormat="1" ht="12.75" x14ac:dyDescent="0.2"/>
    <row r="46629" s="197" customFormat="1" ht="12.75" x14ac:dyDescent="0.2"/>
    <row r="46630" s="197" customFormat="1" ht="12.75" x14ac:dyDescent="0.2"/>
    <row r="46631" s="197" customFormat="1" ht="12.75" x14ac:dyDescent="0.2"/>
    <row r="46632" s="197" customFormat="1" ht="12.75" x14ac:dyDescent="0.2"/>
    <row r="46633" s="197" customFormat="1" ht="12.75" x14ac:dyDescent="0.2"/>
    <row r="46634" s="197" customFormat="1" ht="12.75" x14ac:dyDescent="0.2"/>
    <row r="46635" s="197" customFormat="1" ht="12.75" x14ac:dyDescent="0.2"/>
    <row r="46636" s="197" customFormat="1" ht="12.75" x14ac:dyDescent="0.2"/>
    <row r="46637" s="197" customFormat="1" ht="12.75" x14ac:dyDescent="0.2"/>
    <row r="46638" s="197" customFormat="1" ht="12.75" x14ac:dyDescent="0.2"/>
    <row r="46639" s="197" customFormat="1" ht="12.75" x14ac:dyDescent="0.2"/>
    <row r="46640" s="197" customFormat="1" ht="12.75" x14ac:dyDescent="0.2"/>
    <row r="46641" s="197" customFormat="1" ht="12.75" x14ac:dyDescent="0.2"/>
    <row r="46642" s="197" customFormat="1" ht="12.75" x14ac:dyDescent="0.2"/>
    <row r="46643" s="197" customFormat="1" ht="12.75" x14ac:dyDescent="0.2"/>
    <row r="46644" s="197" customFormat="1" ht="12.75" x14ac:dyDescent="0.2"/>
    <row r="46645" s="197" customFormat="1" ht="12.75" x14ac:dyDescent="0.2"/>
    <row r="46646" s="197" customFormat="1" ht="12.75" x14ac:dyDescent="0.2"/>
    <row r="46647" s="197" customFormat="1" ht="12.75" x14ac:dyDescent="0.2"/>
    <row r="46648" s="197" customFormat="1" ht="12.75" x14ac:dyDescent="0.2"/>
    <row r="46649" s="197" customFormat="1" ht="12.75" x14ac:dyDescent="0.2"/>
    <row r="46650" s="197" customFormat="1" ht="12.75" x14ac:dyDescent="0.2"/>
    <row r="46651" s="197" customFormat="1" ht="12.75" x14ac:dyDescent="0.2"/>
    <row r="46652" s="197" customFormat="1" ht="12.75" x14ac:dyDescent="0.2"/>
    <row r="46653" s="197" customFormat="1" ht="12.75" x14ac:dyDescent="0.2"/>
    <row r="46654" s="197" customFormat="1" ht="12.75" x14ac:dyDescent="0.2"/>
    <row r="46655" s="197" customFormat="1" ht="12.75" x14ac:dyDescent="0.2"/>
    <row r="46656" s="197" customFormat="1" ht="12.75" x14ac:dyDescent="0.2"/>
    <row r="46657" s="197" customFormat="1" ht="12.75" x14ac:dyDescent="0.2"/>
    <row r="46658" s="197" customFormat="1" ht="12.75" x14ac:dyDescent="0.2"/>
    <row r="46659" s="197" customFormat="1" ht="12.75" x14ac:dyDescent="0.2"/>
    <row r="46660" s="197" customFormat="1" ht="12.75" x14ac:dyDescent="0.2"/>
    <row r="46661" s="197" customFormat="1" ht="12.75" x14ac:dyDescent="0.2"/>
    <row r="46662" s="197" customFormat="1" ht="12.75" x14ac:dyDescent="0.2"/>
    <row r="46663" s="197" customFormat="1" ht="12.75" x14ac:dyDescent="0.2"/>
    <row r="46664" s="197" customFormat="1" ht="12.75" x14ac:dyDescent="0.2"/>
    <row r="46665" s="197" customFormat="1" ht="12.75" x14ac:dyDescent="0.2"/>
    <row r="46666" s="197" customFormat="1" ht="12.75" x14ac:dyDescent="0.2"/>
    <row r="46667" s="197" customFormat="1" ht="12.75" x14ac:dyDescent="0.2"/>
    <row r="46668" s="197" customFormat="1" ht="12.75" x14ac:dyDescent="0.2"/>
    <row r="46669" s="197" customFormat="1" ht="12.75" x14ac:dyDescent="0.2"/>
    <row r="46670" s="197" customFormat="1" ht="12.75" x14ac:dyDescent="0.2"/>
    <row r="46671" s="197" customFormat="1" ht="12.75" x14ac:dyDescent="0.2"/>
    <row r="46672" s="197" customFormat="1" ht="12.75" x14ac:dyDescent="0.2"/>
    <row r="46673" s="197" customFormat="1" ht="12.75" x14ac:dyDescent="0.2"/>
    <row r="46674" s="197" customFormat="1" ht="12.75" x14ac:dyDescent="0.2"/>
    <row r="46675" s="197" customFormat="1" ht="12.75" x14ac:dyDescent="0.2"/>
    <row r="46676" s="197" customFormat="1" ht="12.75" x14ac:dyDescent="0.2"/>
    <row r="46677" s="197" customFormat="1" ht="12.75" x14ac:dyDescent="0.2"/>
    <row r="46678" s="197" customFormat="1" ht="12.75" x14ac:dyDescent="0.2"/>
    <row r="46679" s="197" customFormat="1" ht="12.75" x14ac:dyDescent="0.2"/>
    <row r="46680" s="197" customFormat="1" ht="12.75" x14ac:dyDescent="0.2"/>
    <row r="46681" s="197" customFormat="1" ht="12.75" x14ac:dyDescent="0.2"/>
    <row r="46682" s="197" customFormat="1" ht="12.75" x14ac:dyDescent="0.2"/>
    <row r="46683" s="197" customFormat="1" ht="12.75" x14ac:dyDescent="0.2"/>
    <row r="46684" s="197" customFormat="1" ht="12.75" x14ac:dyDescent="0.2"/>
    <row r="46685" s="197" customFormat="1" ht="12.75" x14ac:dyDescent="0.2"/>
    <row r="46686" s="197" customFormat="1" ht="12.75" x14ac:dyDescent="0.2"/>
    <row r="46687" s="197" customFormat="1" ht="12.75" x14ac:dyDescent="0.2"/>
    <row r="46688" s="197" customFormat="1" ht="12.75" x14ac:dyDescent="0.2"/>
    <row r="46689" s="197" customFormat="1" ht="12.75" x14ac:dyDescent="0.2"/>
    <row r="46690" s="197" customFormat="1" ht="12.75" x14ac:dyDescent="0.2"/>
    <row r="46691" s="197" customFormat="1" ht="12.75" x14ac:dyDescent="0.2"/>
    <row r="46692" s="197" customFormat="1" ht="12.75" x14ac:dyDescent="0.2"/>
    <row r="46693" s="197" customFormat="1" ht="12.75" x14ac:dyDescent="0.2"/>
    <row r="46694" s="197" customFormat="1" ht="12.75" x14ac:dyDescent="0.2"/>
    <row r="46695" s="197" customFormat="1" ht="12.75" x14ac:dyDescent="0.2"/>
    <row r="46696" s="197" customFormat="1" ht="12.75" x14ac:dyDescent="0.2"/>
    <row r="46697" s="197" customFormat="1" ht="12.75" x14ac:dyDescent="0.2"/>
    <row r="46698" s="197" customFormat="1" ht="12.75" x14ac:dyDescent="0.2"/>
    <row r="46699" s="197" customFormat="1" ht="12.75" x14ac:dyDescent="0.2"/>
    <row r="46700" s="197" customFormat="1" ht="12.75" x14ac:dyDescent="0.2"/>
    <row r="46701" s="197" customFormat="1" ht="12.75" x14ac:dyDescent="0.2"/>
    <row r="46702" s="197" customFormat="1" ht="12.75" x14ac:dyDescent="0.2"/>
    <row r="46703" s="197" customFormat="1" ht="12.75" x14ac:dyDescent="0.2"/>
    <row r="46704" s="197" customFormat="1" ht="12.75" x14ac:dyDescent="0.2"/>
    <row r="46705" s="197" customFormat="1" ht="12.75" x14ac:dyDescent="0.2"/>
    <row r="46706" s="197" customFormat="1" ht="12.75" x14ac:dyDescent="0.2"/>
    <row r="46707" s="197" customFormat="1" ht="12.75" x14ac:dyDescent="0.2"/>
    <row r="46708" s="197" customFormat="1" ht="12.75" x14ac:dyDescent="0.2"/>
    <row r="46709" s="197" customFormat="1" ht="12.75" x14ac:dyDescent="0.2"/>
    <row r="46710" s="197" customFormat="1" ht="12.75" x14ac:dyDescent="0.2"/>
    <row r="46711" s="197" customFormat="1" ht="12.75" x14ac:dyDescent="0.2"/>
    <row r="46712" s="197" customFormat="1" ht="12.75" x14ac:dyDescent="0.2"/>
    <row r="46713" s="197" customFormat="1" ht="12.75" x14ac:dyDescent="0.2"/>
    <row r="46714" s="197" customFormat="1" ht="12.75" x14ac:dyDescent="0.2"/>
    <row r="46715" s="197" customFormat="1" ht="12.75" x14ac:dyDescent="0.2"/>
    <row r="46716" s="197" customFormat="1" ht="12.75" x14ac:dyDescent="0.2"/>
    <row r="46717" s="197" customFormat="1" ht="12.75" x14ac:dyDescent="0.2"/>
    <row r="46718" s="197" customFormat="1" ht="12.75" x14ac:dyDescent="0.2"/>
    <row r="46719" s="197" customFormat="1" ht="12.75" x14ac:dyDescent="0.2"/>
    <row r="46720" s="197" customFormat="1" ht="12.75" x14ac:dyDescent="0.2"/>
    <row r="46721" s="197" customFormat="1" ht="12.75" x14ac:dyDescent="0.2"/>
    <row r="46722" s="197" customFormat="1" ht="12.75" x14ac:dyDescent="0.2"/>
    <row r="46723" s="197" customFormat="1" ht="12.75" x14ac:dyDescent="0.2"/>
    <row r="46724" s="197" customFormat="1" ht="12.75" x14ac:dyDescent="0.2"/>
    <row r="46725" s="197" customFormat="1" ht="12.75" x14ac:dyDescent="0.2"/>
    <row r="46726" s="197" customFormat="1" ht="12.75" x14ac:dyDescent="0.2"/>
    <row r="46727" s="197" customFormat="1" ht="12.75" x14ac:dyDescent="0.2"/>
    <row r="46728" s="197" customFormat="1" ht="12.75" x14ac:dyDescent="0.2"/>
    <row r="46729" s="197" customFormat="1" ht="12.75" x14ac:dyDescent="0.2"/>
    <row r="46730" s="197" customFormat="1" ht="12.75" x14ac:dyDescent="0.2"/>
    <row r="46731" s="197" customFormat="1" ht="12.75" x14ac:dyDescent="0.2"/>
    <row r="46732" s="197" customFormat="1" ht="12.75" x14ac:dyDescent="0.2"/>
    <row r="46733" s="197" customFormat="1" ht="12.75" x14ac:dyDescent="0.2"/>
    <row r="46734" s="197" customFormat="1" ht="12.75" x14ac:dyDescent="0.2"/>
    <row r="46735" s="197" customFormat="1" ht="12.75" x14ac:dyDescent="0.2"/>
    <row r="46736" s="197" customFormat="1" ht="12.75" x14ac:dyDescent="0.2"/>
    <row r="46737" s="197" customFormat="1" ht="12.75" x14ac:dyDescent="0.2"/>
    <row r="46738" s="197" customFormat="1" ht="12.75" x14ac:dyDescent="0.2"/>
    <row r="46739" s="197" customFormat="1" ht="12.75" x14ac:dyDescent="0.2"/>
    <row r="46740" s="197" customFormat="1" ht="12.75" x14ac:dyDescent="0.2"/>
    <row r="46741" s="197" customFormat="1" ht="12.75" x14ac:dyDescent="0.2"/>
    <row r="46742" s="197" customFormat="1" ht="12.75" x14ac:dyDescent="0.2"/>
    <row r="46743" s="197" customFormat="1" ht="12.75" x14ac:dyDescent="0.2"/>
    <row r="46744" s="197" customFormat="1" ht="12.75" x14ac:dyDescent="0.2"/>
    <row r="46745" s="197" customFormat="1" ht="12.75" x14ac:dyDescent="0.2"/>
    <row r="46746" s="197" customFormat="1" ht="12.75" x14ac:dyDescent="0.2"/>
    <row r="46747" s="197" customFormat="1" ht="12.75" x14ac:dyDescent="0.2"/>
    <row r="46748" s="197" customFormat="1" ht="12.75" x14ac:dyDescent="0.2"/>
    <row r="46749" s="197" customFormat="1" ht="12.75" x14ac:dyDescent="0.2"/>
    <row r="46750" s="197" customFormat="1" ht="12.75" x14ac:dyDescent="0.2"/>
    <row r="46751" s="197" customFormat="1" ht="12.75" x14ac:dyDescent="0.2"/>
    <row r="46752" s="197" customFormat="1" ht="12.75" x14ac:dyDescent="0.2"/>
    <row r="46753" s="197" customFormat="1" ht="12.75" x14ac:dyDescent="0.2"/>
    <row r="46754" s="197" customFormat="1" ht="12.75" x14ac:dyDescent="0.2"/>
    <row r="46755" s="197" customFormat="1" ht="12.75" x14ac:dyDescent="0.2"/>
    <row r="46756" s="197" customFormat="1" ht="12.75" x14ac:dyDescent="0.2"/>
    <row r="46757" s="197" customFormat="1" ht="12.75" x14ac:dyDescent="0.2"/>
    <row r="46758" s="197" customFormat="1" ht="12.75" x14ac:dyDescent="0.2"/>
    <row r="46759" s="197" customFormat="1" ht="12.75" x14ac:dyDescent="0.2"/>
    <row r="46760" s="197" customFormat="1" ht="12.75" x14ac:dyDescent="0.2"/>
    <row r="46761" s="197" customFormat="1" ht="12.75" x14ac:dyDescent="0.2"/>
    <row r="46762" s="197" customFormat="1" ht="12.75" x14ac:dyDescent="0.2"/>
    <row r="46763" s="197" customFormat="1" ht="12.75" x14ac:dyDescent="0.2"/>
    <row r="46764" s="197" customFormat="1" ht="12.75" x14ac:dyDescent="0.2"/>
    <row r="46765" s="197" customFormat="1" ht="12.75" x14ac:dyDescent="0.2"/>
    <row r="46766" s="197" customFormat="1" ht="12.75" x14ac:dyDescent="0.2"/>
    <row r="46767" s="197" customFormat="1" ht="12.75" x14ac:dyDescent="0.2"/>
    <row r="46768" s="197" customFormat="1" ht="12.75" x14ac:dyDescent="0.2"/>
    <row r="46769" s="197" customFormat="1" ht="12.75" x14ac:dyDescent="0.2"/>
    <row r="46770" s="197" customFormat="1" ht="12.75" x14ac:dyDescent="0.2"/>
    <row r="46771" s="197" customFormat="1" ht="12.75" x14ac:dyDescent="0.2"/>
    <row r="46772" s="197" customFormat="1" ht="12.75" x14ac:dyDescent="0.2"/>
    <row r="46773" s="197" customFormat="1" ht="12.75" x14ac:dyDescent="0.2"/>
    <row r="46774" s="197" customFormat="1" ht="12.75" x14ac:dyDescent="0.2"/>
    <row r="46775" s="197" customFormat="1" ht="12.75" x14ac:dyDescent="0.2"/>
    <row r="46776" s="197" customFormat="1" ht="12.75" x14ac:dyDescent="0.2"/>
    <row r="46777" s="197" customFormat="1" ht="12.75" x14ac:dyDescent="0.2"/>
    <row r="46778" s="197" customFormat="1" ht="12.75" x14ac:dyDescent="0.2"/>
    <row r="46779" s="197" customFormat="1" ht="12.75" x14ac:dyDescent="0.2"/>
    <row r="46780" s="197" customFormat="1" ht="12.75" x14ac:dyDescent="0.2"/>
    <row r="46781" s="197" customFormat="1" ht="12.75" x14ac:dyDescent="0.2"/>
    <row r="46782" s="197" customFormat="1" ht="12.75" x14ac:dyDescent="0.2"/>
    <row r="46783" s="197" customFormat="1" ht="12.75" x14ac:dyDescent="0.2"/>
    <row r="46784" s="197" customFormat="1" ht="12.75" x14ac:dyDescent="0.2"/>
    <row r="46785" s="197" customFormat="1" ht="12.75" x14ac:dyDescent="0.2"/>
    <row r="46786" s="197" customFormat="1" ht="12.75" x14ac:dyDescent="0.2"/>
    <row r="46787" s="197" customFormat="1" ht="12.75" x14ac:dyDescent="0.2"/>
    <row r="46788" s="197" customFormat="1" ht="12.75" x14ac:dyDescent="0.2"/>
    <row r="46789" s="197" customFormat="1" ht="12.75" x14ac:dyDescent="0.2"/>
    <row r="46790" s="197" customFormat="1" ht="12.75" x14ac:dyDescent="0.2"/>
    <row r="46791" s="197" customFormat="1" ht="12.75" x14ac:dyDescent="0.2"/>
    <row r="46792" s="197" customFormat="1" ht="12.75" x14ac:dyDescent="0.2"/>
    <row r="46793" s="197" customFormat="1" ht="12.75" x14ac:dyDescent="0.2"/>
    <row r="46794" s="197" customFormat="1" ht="12.75" x14ac:dyDescent="0.2"/>
    <row r="46795" s="197" customFormat="1" ht="12.75" x14ac:dyDescent="0.2"/>
    <row r="46796" s="197" customFormat="1" ht="12.75" x14ac:dyDescent="0.2"/>
    <row r="46797" s="197" customFormat="1" ht="12.75" x14ac:dyDescent="0.2"/>
    <row r="46798" s="197" customFormat="1" ht="12.75" x14ac:dyDescent="0.2"/>
    <row r="46799" s="197" customFormat="1" ht="12.75" x14ac:dyDescent="0.2"/>
    <row r="46800" s="197" customFormat="1" ht="12.75" x14ac:dyDescent="0.2"/>
    <row r="46801" s="197" customFormat="1" ht="12.75" x14ac:dyDescent="0.2"/>
    <row r="46802" s="197" customFormat="1" ht="12.75" x14ac:dyDescent="0.2"/>
    <row r="46803" s="197" customFormat="1" ht="12.75" x14ac:dyDescent="0.2"/>
    <row r="46804" s="197" customFormat="1" ht="12.75" x14ac:dyDescent="0.2"/>
    <row r="46805" s="197" customFormat="1" ht="12.75" x14ac:dyDescent="0.2"/>
    <row r="46806" s="197" customFormat="1" ht="12.75" x14ac:dyDescent="0.2"/>
    <row r="46807" s="197" customFormat="1" ht="12.75" x14ac:dyDescent="0.2"/>
    <row r="46808" s="197" customFormat="1" ht="12.75" x14ac:dyDescent="0.2"/>
    <row r="46809" s="197" customFormat="1" ht="12.75" x14ac:dyDescent="0.2"/>
    <row r="46810" s="197" customFormat="1" ht="12.75" x14ac:dyDescent="0.2"/>
    <row r="46811" s="197" customFormat="1" ht="12.75" x14ac:dyDescent="0.2"/>
    <row r="46812" s="197" customFormat="1" ht="12.75" x14ac:dyDescent="0.2"/>
    <row r="46813" s="197" customFormat="1" ht="12.75" x14ac:dyDescent="0.2"/>
    <row r="46814" s="197" customFormat="1" ht="12.75" x14ac:dyDescent="0.2"/>
    <row r="46815" s="197" customFormat="1" ht="12.75" x14ac:dyDescent="0.2"/>
    <row r="46816" s="197" customFormat="1" ht="12.75" x14ac:dyDescent="0.2"/>
    <row r="46817" s="197" customFormat="1" ht="12.75" x14ac:dyDescent="0.2"/>
    <row r="46818" s="197" customFormat="1" ht="12.75" x14ac:dyDescent="0.2"/>
    <row r="46819" s="197" customFormat="1" ht="12.75" x14ac:dyDescent="0.2"/>
    <row r="46820" s="197" customFormat="1" ht="12.75" x14ac:dyDescent="0.2"/>
    <row r="46821" s="197" customFormat="1" ht="12.75" x14ac:dyDescent="0.2"/>
    <row r="46822" s="197" customFormat="1" ht="12.75" x14ac:dyDescent="0.2"/>
    <row r="46823" s="197" customFormat="1" ht="12.75" x14ac:dyDescent="0.2"/>
    <row r="46824" s="197" customFormat="1" ht="12.75" x14ac:dyDescent="0.2"/>
    <row r="46825" s="197" customFormat="1" ht="12.75" x14ac:dyDescent="0.2"/>
    <row r="46826" s="197" customFormat="1" ht="12.75" x14ac:dyDescent="0.2"/>
    <row r="46827" s="197" customFormat="1" ht="12.75" x14ac:dyDescent="0.2"/>
    <row r="46828" s="197" customFormat="1" ht="12.75" x14ac:dyDescent="0.2"/>
    <row r="46829" s="197" customFormat="1" ht="12.75" x14ac:dyDescent="0.2"/>
    <row r="46830" s="197" customFormat="1" ht="12.75" x14ac:dyDescent="0.2"/>
    <row r="46831" s="197" customFormat="1" ht="12.75" x14ac:dyDescent="0.2"/>
    <row r="46832" s="197" customFormat="1" ht="12.75" x14ac:dyDescent="0.2"/>
    <row r="46833" s="197" customFormat="1" ht="12.75" x14ac:dyDescent="0.2"/>
    <row r="46834" s="197" customFormat="1" ht="12.75" x14ac:dyDescent="0.2"/>
    <row r="46835" s="197" customFormat="1" ht="12.75" x14ac:dyDescent="0.2"/>
    <row r="46836" s="197" customFormat="1" ht="12.75" x14ac:dyDescent="0.2"/>
    <row r="46837" s="197" customFormat="1" ht="12.75" x14ac:dyDescent="0.2"/>
    <row r="46838" s="197" customFormat="1" ht="12.75" x14ac:dyDescent="0.2"/>
    <row r="46839" s="197" customFormat="1" ht="12.75" x14ac:dyDescent="0.2"/>
    <row r="46840" s="197" customFormat="1" ht="12.75" x14ac:dyDescent="0.2"/>
    <row r="46841" s="197" customFormat="1" ht="12.75" x14ac:dyDescent="0.2"/>
    <row r="46842" s="197" customFormat="1" ht="12.75" x14ac:dyDescent="0.2"/>
    <row r="46843" s="197" customFormat="1" ht="12.75" x14ac:dyDescent="0.2"/>
    <row r="46844" s="197" customFormat="1" ht="12.75" x14ac:dyDescent="0.2"/>
    <row r="46845" s="197" customFormat="1" ht="12.75" x14ac:dyDescent="0.2"/>
    <row r="46846" s="197" customFormat="1" ht="12.75" x14ac:dyDescent="0.2"/>
    <row r="46847" s="197" customFormat="1" ht="12.75" x14ac:dyDescent="0.2"/>
    <row r="46848" s="197" customFormat="1" ht="12.75" x14ac:dyDescent="0.2"/>
    <row r="46849" s="197" customFormat="1" ht="12.75" x14ac:dyDescent="0.2"/>
    <row r="46850" s="197" customFormat="1" ht="12.75" x14ac:dyDescent="0.2"/>
    <row r="46851" s="197" customFormat="1" ht="12.75" x14ac:dyDescent="0.2"/>
    <row r="46852" s="197" customFormat="1" ht="12.75" x14ac:dyDescent="0.2"/>
    <row r="46853" s="197" customFormat="1" ht="12.75" x14ac:dyDescent="0.2"/>
    <row r="46854" s="197" customFormat="1" ht="12.75" x14ac:dyDescent="0.2"/>
    <row r="46855" s="197" customFormat="1" ht="12.75" x14ac:dyDescent="0.2"/>
    <row r="46856" s="197" customFormat="1" ht="12.75" x14ac:dyDescent="0.2"/>
    <row r="46857" s="197" customFormat="1" ht="12.75" x14ac:dyDescent="0.2"/>
    <row r="46858" s="197" customFormat="1" ht="12.75" x14ac:dyDescent="0.2"/>
    <row r="46859" s="197" customFormat="1" ht="12.75" x14ac:dyDescent="0.2"/>
    <row r="46860" s="197" customFormat="1" ht="12.75" x14ac:dyDescent="0.2"/>
    <row r="46861" s="197" customFormat="1" ht="12.75" x14ac:dyDescent="0.2"/>
    <row r="46862" s="197" customFormat="1" ht="12.75" x14ac:dyDescent="0.2"/>
    <row r="46863" s="197" customFormat="1" ht="12.75" x14ac:dyDescent="0.2"/>
    <row r="46864" s="197" customFormat="1" ht="12.75" x14ac:dyDescent="0.2"/>
    <row r="46865" s="197" customFormat="1" ht="12.75" x14ac:dyDescent="0.2"/>
    <row r="46866" s="197" customFormat="1" ht="12.75" x14ac:dyDescent="0.2"/>
    <row r="46867" s="197" customFormat="1" ht="12.75" x14ac:dyDescent="0.2"/>
    <row r="46868" s="197" customFormat="1" ht="12.75" x14ac:dyDescent="0.2"/>
    <row r="46869" s="197" customFormat="1" ht="12.75" x14ac:dyDescent="0.2"/>
    <row r="46870" s="197" customFormat="1" ht="12.75" x14ac:dyDescent="0.2"/>
    <row r="46871" s="197" customFormat="1" ht="12.75" x14ac:dyDescent="0.2"/>
    <row r="46872" s="197" customFormat="1" ht="12.75" x14ac:dyDescent="0.2"/>
    <row r="46873" s="197" customFormat="1" ht="12.75" x14ac:dyDescent="0.2"/>
    <row r="46874" s="197" customFormat="1" ht="12.75" x14ac:dyDescent="0.2"/>
    <row r="46875" s="197" customFormat="1" ht="12.75" x14ac:dyDescent="0.2"/>
    <row r="46876" s="197" customFormat="1" ht="12.75" x14ac:dyDescent="0.2"/>
    <row r="46877" s="197" customFormat="1" ht="12.75" x14ac:dyDescent="0.2"/>
    <row r="46878" s="197" customFormat="1" ht="12.75" x14ac:dyDescent="0.2"/>
    <row r="46879" s="197" customFormat="1" ht="12.75" x14ac:dyDescent="0.2"/>
    <row r="46880" s="197" customFormat="1" ht="12.75" x14ac:dyDescent="0.2"/>
    <row r="46881" s="197" customFormat="1" ht="12.75" x14ac:dyDescent="0.2"/>
    <row r="46882" s="197" customFormat="1" ht="12.75" x14ac:dyDescent="0.2"/>
    <row r="46883" s="197" customFormat="1" ht="12.75" x14ac:dyDescent="0.2"/>
    <row r="46884" s="197" customFormat="1" ht="12.75" x14ac:dyDescent="0.2"/>
    <row r="46885" s="197" customFormat="1" ht="12.75" x14ac:dyDescent="0.2"/>
    <row r="46886" s="197" customFormat="1" ht="12.75" x14ac:dyDescent="0.2"/>
    <row r="46887" s="197" customFormat="1" ht="12.75" x14ac:dyDescent="0.2"/>
    <row r="46888" s="197" customFormat="1" ht="12.75" x14ac:dyDescent="0.2"/>
    <row r="46889" s="197" customFormat="1" ht="12.75" x14ac:dyDescent="0.2"/>
    <row r="46890" s="197" customFormat="1" ht="12.75" x14ac:dyDescent="0.2"/>
    <row r="46891" s="197" customFormat="1" ht="12.75" x14ac:dyDescent="0.2"/>
    <row r="46892" s="197" customFormat="1" ht="12.75" x14ac:dyDescent="0.2"/>
    <row r="46893" s="197" customFormat="1" ht="12.75" x14ac:dyDescent="0.2"/>
    <row r="46894" s="197" customFormat="1" ht="12.75" x14ac:dyDescent="0.2"/>
    <row r="46895" s="197" customFormat="1" ht="12.75" x14ac:dyDescent="0.2"/>
    <row r="46896" s="197" customFormat="1" ht="12.75" x14ac:dyDescent="0.2"/>
    <row r="46897" s="197" customFormat="1" ht="12.75" x14ac:dyDescent="0.2"/>
    <row r="46898" s="197" customFormat="1" ht="12.75" x14ac:dyDescent="0.2"/>
    <row r="46899" s="197" customFormat="1" ht="12.75" x14ac:dyDescent="0.2"/>
    <row r="46900" s="197" customFormat="1" ht="12.75" x14ac:dyDescent="0.2"/>
    <row r="46901" s="197" customFormat="1" ht="12.75" x14ac:dyDescent="0.2"/>
    <row r="46902" s="197" customFormat="1" ht="12.75" x14ac:dyDescent="0.2"/>
    <row r="46903" s="197" customFormat="1" ht="12.75" x14ac:dyDescent="0.2"/>
    <row r="46904" s="197" customFormat="1" ht="12.75" x14ac:dyDescent="0.2"/>
    <row r="46905" s="197" customFormat="1" ht="12.75" x14ac:dyDescent="0.2"/>
    <row r="46906" s="197" customFormat="1" ht="12.75" x14ac:dyDescent="0.2"/>
    <row r="46907" s="197" customFormat="1" ht="12.75" x14ac:dyDescent="0.2"/>
    <row r="46908" s="197" customFormat="1" ht="12.75" x14ac:dyDescent="0.2"/>
    <row r="46909" s="197" customFormat="1" ht="12.75" x14ac:dyDescent="0.2"/>
    <row r="46910" s="197" customFormat="1" ht="12.75" x14ac:dyDescent="0.2"/>
    <row r="46911" s="197" customFormat="1" ht="12.75" x14ac:dyDescent="0.2"/>
    <row r="46912" s="197" customFormat="1" ht="12.75" x14ac:dyDescent="0.2"/>
    <row r="46913" s="197" customFormat="1" ht="12.75" x14ac:dyDescent="0.2"/>
    <row r="46914" s="197" customFormat="1" ht="12.75" x14ac:dyDescent="0.2"/>
    <row r="46915" s="197" customFormat="1" ht="12.75" x14ac:dyDescent="0.2"/>
    <row r="46916" s="197" customFormat="1" ht="12.75" x14ac:dyDescent="0.2"/>
    <row r="46917" s="197" customFormat="1" ht="12.75" x14ac:dyDescent="0.2"/>
    <row r="46918" s="197" customFormat="1" ht="12.75" x14ac:dyDescent="0.2"/>
    <row r="46919" s="197" customFormat="1" ht="12.75" x14ac:dyDescent="0.2"/>
    <row r="46920" s="197" customFormat="1" ht="12.75" x14ac:dyDescent="0.2"/>
    <row r="46921" s="197" customFormat="1" ht="12.75" x14ac:dyDescent="0.2"/>
    <row r="46922" s="197" customFormat="1" ht="12.75" x14ac:dyDescent="0.2"/>
    <row r="46923" s="197" customFormat="1" ht="12.75" x14ac:dyDescent="0.2"/>
    <row r="46924" s="197" customFormat="1" ht="12.75" x14ac:dyDescent="0.2"/>
    <row r="46925" s="197" customFormat="1" ht="12.75" x14ac:dyDescent="0.2"/>
    <row r="46926" s="197" customFormat="1" ht="12.75" x14ac:dyDescent="0.2"/>
    <row r="46927" s="197" customFormat="1" ht="12.75" x14ac:dyDescent="0.2"/>
    <row r="46928" s="197" customFormat="1" ht="12.75" x14ac:dyDescent="0.2"/>
    <row r="46929" s="197" customFormat="1" ht="12.75" x14ac:dyDescent="0.2"/>
    <row r="46930" s="197" customFormat="1" ht="12.75" x14ac:dyDescent="0.2"/>
    <row r="46931" s="197" customFormat="1" ht="12.75" x14ac:dyDescent="0.2"/>
    <row r="46932" s="197" customFormat="1" ht="12.75" x14ac:dyDescent="0.2"/>
    <row r="46933" s="197" customFormat="1" ht="12.75" x14ac:dyDescent="0.2"/>
    <row r="46934" s="197" customFormat="1" ht="12.75" x14ac:dyDescent="0.2"/>
    <row r="46935" s="197" customFormat="1" ht="12.75" x14ac:dyDescent="0.2"/>
    <row r="46936" s="197" customFormat="1" ht="12.75" x14ac:dyDescent="0.2"/>
    <row r="46937" s="197" customFormat="1" ht="12.75" x14ac:dyDescent="0.2"/>
    <row r="46938" s="197" customFormat="1" ht="12.75" x14ac:dyDescent="0.2"/>
    <row r="46939" s="197" customFormat="1" ht="12.75" x14ac:dyDescent="0.2"/>
    <row r="46940" s="197" customFormat="1" ht="12.75" x14ac:dyDescent="0.2"/>
    <row r="46941" s="197" customFormat="1" ht="12.75" x14ac:dyDescent="0.2"/>
    <row r="46942" s="197" customFormat="1" ht="12.75" x14ac:dyDescent="0.2"/>
    <row r="46943" s="197" customFormat="1" ht="12.75" x14ac:dyDescent="0.2"/>
    <row r="46944" s="197" customFormat="1" ht="12.75" x14ac:dyDescent="0.2"/>
    <row r="46945" s="197" customFormat="1" ht="12.75" x14ac:dyDescent="0.2"/>
    <row r="46946" s="197" customFormat="1" ht="12.75" x14ac:dyDescent="0.2"/>
    <row r="46947" s="197" customFormat="1" ht="12.75" x14ac:dyDescent="0.2"/>
    <row r="46948" s="197" customFormat="1" ht="12.75" x14ac:dyDescent="0.2"/>
    <row r="46949" s="197" customFormat="1" ht="12.75" x14ac:dyDescent="0.2"/>
    <row r="46950" s="197" customFormat="1" ht="12.75" x14ac:dyDescent="0.2"/>
    <row r="46951" s="197" customFormat="1" ht="12.75" x14ac:dyDescent="0.2"/>
    <row r="46952" s="197" customFormat="1" ht="12.75" x14ac:dyDescent="0.2"/>
    <row r="46953" s="197" customFormat="1" ht="12.75" x14ac:dyDescent="0.2"/>
    <row r="46954" s="197" customFormat="1" ht="12.75" x14ac:dyDescent="0.2"/>
    <row r="46955" s="197" customFormat="1" ht="12.75" x14ac:dyDescent="0.2"/>
    <row r="46956" s="197" customFormat="1" ht="12.75" x14ac:dyDescent="0.2"/>
    <row r="46957" s="197" customFormat="1" ht="12.75" x14ac:dyDescent="0.2"/>
    <row r="46958" s="197" customFormat="1" ht="12.75" x14ac:dyDescent="0.2"/>
    <row r="46959" s="197" customFormat="1" ht="12.75" x14ac:dyDescent="0.2"/>
    <row r="46960" s="197" customFormat="1" ht="12.75" x14ac:dyDescent="0.2"/>
    <row r="46961" s="197" customFormat="1" ht="12.75" x14ac:dyDescent="0.2"/>
    <row r="46962" s="197" customFormat="1" ht="12.75" x14ac:dyDescent="0.2"/>
    <row r="46963" s="197" customFormat="1" ht="12.75" x14ac:dyDescent="0.2"/>
    <row r="46964" s="197" customFormat="1" ht="12.75" x14ac:dyDescent="0.2"/>
    <row r="46965" s="197" customFormat="1" ht="12.75" x14ac:dyDescent="0.2"/>
    <row r="46966" s="197" customFormat="1" ht="12.75" x14ac:dyDescent="0.2"/>
    <row r="46967" s="197" customFormat="1" ht="12.75" x14ac:dyDescent="0.2"/>
    <row r="46968" s="197" customFormat="1" ht="12.75" x14ac:dyDescent="0.2"/>
    <row r="46969" s="197" customFormat="1" ht="12.75" x14ac:dyDescent="0.2"/>
    <row r="46970" s="197" customFormat="1" ht="12.75" x14ac:dyDescent="0.2"/>
    <row r="46971" s="197" customFormat="1" ht="12.75" x14ac:dyDescent="0.2"/>
    <row r="46972" s="197" customFormat="1" ht="12.75" x14ac:dyDescent="0.2"/>
    <row r="46973" s="197" customFormat="1" ht="12.75" x14ac:dyDescent="0.2"/>
    <row r="46974" s="197" customFormat="1" ht="12.75" x14ac:dyDescent="0.2"/>
    <row r="46975" s="197" customFormat="1" ht="12.75" x14ac:dyDescent="0.2"/>
    <row r="46976" s="197" customFormat="1" ht="12.75" x14ac:dyDescent="0.2"/>
    <row r="46977" s="197" customFormat="1" ht="12.75" x14ac:dyDescent="0.2"/>
    <row r="46978" s="197" customFormat="1" ht="12.75" x14ac:dyDescent="0.2"/>
    <row r="46979" s="197" customFormat="1" ht="12.75" x14ac:dyDescent="0.2"/>
    <row r="46980" s="197" customFormat="1" ht="12.75" x14ac:dyDescent="0.2"/>
    <row r="46981" s="197" customFormat="1" ht="12.75" x14ac:dyDescent="0.2"/>
    <row r="46982" s="197" customFormat="1" ht="12.75" x14ac:dyDescent="0.2"/>
    <row r="46983" s="197" customFormat="1" ht="12.75" x14ac:dyDescent="0.2"/>
    <row r="46984" s="197" customFormat="1" ht="12.75" x14ac:dyDescent="0.2"/>
    <row r="46985" s="197" customFormat="1" ht="12.75" x14ac:dyDescent="0.2"/>
    <row r="46986" s="197" customFormat="1" ht="12.75" x14ac:dyDescent="0.2"/>
    <row r="46987" s="197" customFormat="1" ht="12.75" x14ac:dyDescent="0.2"/>
    <row r="46988" s="197" customFormat="1" ht="12.75" x14ac:dyDescent="0.2"/>
    <row r="46989" s="197" customFormat="1" ht="12.75" x14ac:dyDescent="0.2"/>
    <row r="46990" s="197" customFormat="1" ht="12.75" x14ac:dyDescent="0.2"/>
    <row r="46991" s="197" customFormat="1" ht="12.75" x14ac:dyDescent="0.2"/>
    <row r="46992" s="197" customFormat="1" ht="12.75" x14ac:dyDescent="0.2"/>
    <row r="46993" s="197" customFormat="1" ht="12.75" x14ac:dyDescent="0.2"/>
    <row r="46994" s="197" customFormat="1" ht="12.75" x14ac:dyDescent="0.2"/>
    <row r="46995" s="197" customFormat="1" ht="12.75" x14ac:dyDescent="0.2"/>
    <row r="46996" s="197" customFormat="1" ht="12.75" x14ac:dyDescent="0.2"/>
    <row r="46997" s="197" customFormat="1" ht="12.75" x14ac:dyDescent="0.2"/>
    <row r="46998" s="197" customFormat="1" ht="12.75" x14ac:dyDescent="0.2"/>
    <row r="46999" s="197" customFormat="1" ht="12.75" x14ac:dyDescent="0.2"/>
    <row r="47000" s="197" customFormat="1" ht="12.75" x14ac:dyDescent="0.2"/>
    <row r="47001" s="197" customFormat="1" ht="12.75" x14ac:dyDescent="0.2"/>
    <row r="47002" s="197" customFormat="1" ht="12.75" x14ac:dyDescent="0.2"/>
    <row r="47003" s="197" customFormat="1" ht="12.75" x14ac:dyDescent="0.2"/>
    <row r="47004" s="197" customFormat="1" ht="12.75" x14ac:dyDescent="0.2"/>
    <row r="47005" s="197" customFormat="1" ht="12.75" x14ac:dyDescent="0.2"/>
    <row r="47006" s="197" customFormat="1" ht="12.75" x14ac:dyDescent="0.2"/>
    <row r="47007" s="197" customFormat="1" ht="12.75" x14ac:dyDescent="0.2"/>
    <row r="47008" s="197" customFormat="1" ht="12.75" x14ac:dyDescent="0.2"/>
    <row r="47009" s="197" customFormat="1" ht="12.75" x14ac:dyDescent="0.2"/>
    <row r="47010" s="197" customFormat="1" ht="12.75" x14ac:dyDescent="0.2"/>
    <row r="47011" s="197" customFormat="1" ht="12.75" x14ac:dyDescent="0.2"/>
    <row r="47012" s="197" customFormat="1" ht="12.75" x14ac:dyDescent="0.2"/>
    <row r="47013" s="197" customFormat="1" ht="12.75" x14ac:dyDescent="0.2"/>
    <row r="47014" s="197" customFormat="1" ht="12.75" x14ac:dyDescent="0.2"/>
    <row r="47015" s="197" customFormat="1" ht="12.75" x14ac:dyDescent="0.2"/>
    <row r="47016" s="197" customFormat="1" ht="12.75" x14ac:dyDescent="0.2"/>
    <row r="47017" s="197" customFormat="1" ht="12.75" x14ac:dyDescent="0.2"/>
    <row r="47018" s="197" customFormat="1" ht="12.75" x14ac:dyDescent="0.2"/>
    <row r="47019" s="197" customFormat="1" ht="12.75" x14ac:dyDescent="0.2"/>
    <row r="47020" s="197" customFormat="1" ht="12.75" x14ac:dyDescent="0.2"/>
    <row r="47021" s="197" customFormat="1" ht="12.75" x14ac:dyDescent="0.2"/>
    <row r="47022" s="197" customFormat="1" ht="12.75" x14ac:dyDescent="0.2"/>
    <row r="47023" s="197" customFormat="1" ht="12.75" x14ac:dyDescent="0.2"/>
    <row r="47024" s="197" customFormat="1" ht="12.75" x14ac:dyDescent="0.2"/>
    <row r="47025" s="197" customFormat="1" ht="12.75" x14ac:dyDescent="0.2"/>
    <row r="47026" s="197" customFormat="1" ht="12.75" x14ac:dyDescent="0.2"/>
    <row r="47027" s="197" customFormat="1" ht="12.75" x14ac:dyDescent="0.2"/>
    <row r="47028" s="197" customFormat="1" ht="12.75" x14ac:dyDescent="0.2"/>
    <row r="47029" s="197" customFormat="1" ht="12.75" x14ac:dyDescent="0.2"/>
    <row r="47030" s="197" customFormat="1" ht="12.75" x14ac:dyDescent="0.2"/>
    <row r="47031" s="197" customFormat="1" ht="12.75" x14ac:dyDescent="0.2"/>
    <row r="47032" s="197" customFormat="1" ht="12.75" x14ac:dyDescent="0.2"/>
    <row r="47033" s="197" customFormat="1" ht="12.75" x14ac:dyDescent="0.2"/>
    <row r="47034" s="197" customFormat="1" ht="12.75" x14ac:dyDescent="0.2"/>
    <row r="47035" s="197" customFormat="1" ht="12.75" x14ac:dyDescent="0.2"/>
    <row r="47036" s="197" customFormat="1" ht="12.75" x14ac:dyDescent="0.2"/>
    <row r="47037" s="197" customFormat="1" ht="12.75" x14ac:dyDescent="0.2"/>
    <row r="47038" s="197" customFormat="1" ht="12.75" x14ac:dyDescent="0.2"/>
    <row r="47039" s="197" customFormat="1" ht="12.75" x14ac:dyDescent="0.2"/>
    <row r="47040" s="197" customFormat="1" ht="12.75" x14ac:dyDescent="0.2"/>
    <row r="47041" s="197" customFormat="1" ht="12.75" x14ac:dyDescent="0.2"/>
    <row r="47042" s="197" customFormat="1" ht="12.75" x14ac:dyDescent="0.2"/>
    <row r="47043" s="197" customFormat="1" ht="12.75" x14ac:dyDescent="0.2"/>
    <row r="47044" s="197" customFormat="1" ht="12.75" x14ac:dyDescent="0.2"/>
    <row r="47045" s="197" customFormat="1" ht="12.75" x14ac:dyDescent="0.2"/>
    <row r="47046" s="197" customFormat="1" ht="12.75" x14ac:dyDescent="0.2"/>
    <row r="47047" s="197" customFormat="1" ht="12.75" x14ac:dyDescent="0.2"/>
    <row r="47048" s="197" customFormat="1" ht="12.75" x14ac:dyDescent="0.2"/>
    <row r="47049" s="197" customFormat="1" ht="12.75" x14ac:dyDescent="0.2"/>
    <row r="47050" s="197" customFormat="1" ht="12.75" x14ac:dyDescent="0.2"/>
    <row r="47051" s="197" customFormat="1" ht="12.75" x14ac:dyDescent="0.2"/>
    <row r="47052" s="197" customFormat="1" ht="12.75" x14ac:dyDescent="0.2"/>
    <row r="47053" s="197" customFormat="1" ht="12.75" x14ac:dyDescent="0.2"/>
    <row r="47054" s="197" customFormat="1" ht="12.75" x14ac:dyDescent="0.2"/>
    <row r="47055" s="197" customFormat="1" ht="12.75" x14ac:dyDescent="0.2"/>
    <row r="47056" s="197" customFormat="1" ht="12.75" x14ac:dyDescent="0.2"/>
    <row r="47057" s="197" customFormat="1" ht="12.75" x14ac:dyDescent="0.2"/>
    <row r="47058" s="197" customFormat="1" ht="12.75" x14ac:dyDescent="0.2"/>
    <row r="47059" s="197" customFormat="1" ht="12.75" x14ac:dyDescent="0.2"/>
    <row r="47060" s="197" customFormat="1" ht="12.75" x14ac:dyDescent="0.2"/>
    <row r="47061" s="197" customFormat="1" ht="12.75" x14ac:dyDescent="0.2"/>
    <row r="47062" s="197" customFormat="1" ht="12.75" x14ac:dyDescent="0.2"/>
    <row r="47063" s="197" customFormat="1" ht="12.75" x14ac:dyDescent="0.2"/>
    <row r="47064" s="197" customFormat="1" ht="12.75" x14ac:dyDescent="0.2"/>
    <row r="47065" s="197" customFormat="1" ht="12.75" x14ac:dyDescent="0.2"/>
    <row r="47066" s="197" customFormat="1" ht="12.75" x14ac:dyDescent="0.2"/>
    <row r="47067" s="197" customFormat="1" ht="12.75" x14ac:dyDescent="0.2"/>
    <row r="47068" s="197" customFormat="1" ht="12.75" x14ac:dyDescent="0.2"/>
    <row r="47069" s="197" customFormat="1" ht="12.75" x14ac:dyDescent="0.2"/>
    <row r="47070" s="197" customFormat="1" ht="12.75" x14ac:dyDescent="0.2"/>
    <row r="47071" s="197" customFormat="1" ht="12.75" x14ac:dyDescent="0.2"/>
    <row r="47072" s="197" customFormat="1" ht="12.75" x14ac:dyDescent="0.2"/>
    <row r="47073" s="197" customFormat="1" ht="12.75" x14ac:dyDescent="0.2"/>
    <row r="47074" s="197" customFormat="1" ht="12.75" x14ac:dyDescent="0.2"/>
    <row r="47075" s="197" customFormat="1" ht="12.75" x14ac:dyDescent="0.2"/>
    <row r="47076" s="197" customFormat="1" ht="12.75" x14ac:dyDescent="0.2"/>
    <row r="47077" s="197" customFormat="1" ht="12.75" x14ac:dyDescent="0.2"/>
    <row r="47078" s="197" customFormat="1" ht="12.75" x14ac:dyDescent="0.2"/>
    <row r="47079" s="197" customFormat="1" ht="12.75" x14ac:dyDescent="0.2"/>
    <row r="47080" s="197" customFormat="1" ht="12.75" x14ac:dyDescent="0.2"/>
    <row r="47081" s="197" customFormat="1" ht="12.75" x14ac:dyDescent="0.2"/>
    <row r="47082" s="197" customFormat="1" ht="12.75" x14ac:dyDescent="0.2"/>
    <row r="47083" s="197" customFormat="1" ht="12.75" x14ac:dyDescent="0.2"/>
    <row r="47084" s="197" customFormat="1" ht="12.75" x14ac:dyDescent="0.2"/>
    <row r="47085" s="197" customFormat="1" ht="12.75" x14ac:dyDescent="0.2"/>
    <row r="47086" s="197" customFormat="1" ht="12.75" x14ac:dyDescent="0.2"/>
    <row r="47087" s="197" customFormat="1" ht="12.75" x14ac:dyDescent="0.2"/>
    <row r="47088" s="197" customFormat="1" ht="12.75" x14ac:dyDescent="0.2"/>
    <row r="47089" s="197" customFormat="1" ht="12.75" x14ac:dyDescent="0.2"/>
    <row r="47090" s="197" customFormat="1" ht="12.75" x14ac:dyDescent="0.2"/>
    <row r="47091" s="197" customFormat="1" ht="12.75" x14ac:dyDescent="0.2"/>
    <row r="47092" s="197" customFormat="1" ht="12.75" x14ac:dyDescent="0.2"/>
    <row r="47093" s="197" customFormat="1" ht="12.75" x14ac:dyDescent="0.2"/>
    <row r="47094" s="197" customFormat="1" ht="12.75" x14ac:dyDescent="0.2"/>
    <row r="47095" s="197" customFormat="1" ht="12.75" x14ac:dyDescent="0.2"/>
    <row r="47096" s="197" customFormat="1" ht="12.75" x14ac:dyDescent="0.2"/>
    <row r="47097" s="197" customFormat="1" ht="12.75" x14ac:dyDescent="0.2"/>
    <row r="47098" s="197" customFormat="1" ht="12.75" x14ac:dyDescent="0.2"/>
    <row r="47099" s="197" customFormat="1" ht="12.75" x14ac:dyDescent="0.2"/>
    <row r="47100" s="197" customFormat="1" ht="12.75" x14ac:dyDescent="0.2"/>
    <row r="47101" s="197" customFormat="1" ht="12.75" x14ac:dyDescent="0.2"/>
    <row r="47102" s="197" customFormat="1" ht="12.75" x14ac:dyDescent="0.2"/>
    <row r="47103" s="197" customFormat="1" ht="12.75" x14ac:dyDescent="0.2"/>
    <row r="47104" s="197" customFormat="1" ht="12.75" x14ac:dyDescent="0.2"/>
    <row r="47105" s="197" customFormat="1" ht="12.75" x14ac:dyDescent="0.2"/>
    <row r="47106" s="197" customFormat="1" ht="12.75" x14ac:dyDescent="0.2"/>
    <row r="47107" s="197" customFormat="1" ht="12.75" x14ac:dyDescent="0.2"/>
    <row r="47108" s="197" customFormat="1" ht="12.75" x14ac:dyDescent="0.2"/>
    <row r="47109" s="197" customFormat="1" ht="12.75" x14ac:dyDescent="0.2"/>
    <row r="47110" s="197" customFormat="1" ht="12.75" x14ac:dyDescent="0.2"/>
    <row r="47111" s="197" customFormat="1" ht="12.75" x14ac:dyDescent="0.2"/>
    <row r="47112" s="197" customFormat="1" ht="12.75" x14ac:dyDescent="0.2"/>
    <row r="47113" s="197" customFormat="1" ht="12.75" x14ac:dyDescent="0.2"/>
    <row r="47114" s="197" customFormat="1" ht="12.75" x14ac:dyDescent="0.2"/>
    <row r="47115" s="197" customFormat="1" ht="12.75" x14ac:dyDescent="0.2"/>
    <row r="47116" s="197" customFormat="1" ht="12.75" x14ac:dyDescent="0.2"/>
    <row r="47117" s="197" customFormat="1" ht="12.75" x14ac:dyDescent="0.2"/>
    <row r="47118" s="197" customFormat="1" ht="12.75" x14ac:dyDescent="0.2"/>
    <row r="47119" s="197" customFormat="1" ht="12.75" x14ac:dyDescent="0.2"/>
    <row r="47120" s="197" customFormat="1" ht="12.75" x14ac:dyDescent="0.2"/>
    <row r="47121" s="197" customFormat="1" ht="12.75" x14ac:dyDescent="0.2"/>
    <row r="47122" s="197" customFormat="1" ht="12.75" x14ac:dyDescent="0.2"/>
    <row r="47123" s="197" customFormat="1" ht="12.75" x14ac:dyDescent="0.2"/>
    <row r="47124" s="197" customFormat="1" ht="12.75" x14ac:dyDescent="0.2"/>
    <row r="47125" s="197" customFormat="1" ht="12.75" x14ac:dyDescent="0.2"/>
    <row r="47126" s="197" customFormat="1" ht="12.75" x14ac:dyDescent="0.2"/>
    <row r="47127" s="197" customFormat="1" ht="12.75" x14ac:dyDescent="0.2"/>
    <row r="47128" s="197" customFormat="1" ht="12.75" x14ac:dyDescent="0.2"/>
    <row r="47129" s="197" customFormat="1" ht="12.75" x14ac:dyDescent="0.2"/>
    <row r="47130" s="197" customFormat="1" ht="12.75" x14ac:dyDescent="0.2"/>
    <row r="47131" s="197" customFormat="1" ht="12.75" x14ac:dyDescent="0.2"/>
    <row r="47132" s="197" customFormat="1" ht="12.75" x14ac:dyDescent="0.2"/>
    <row r="47133" s="197" customFormat="1" ht="12.75" x14ac:dyDescent="0.2"/>
    <row r="47134" s="197" customFormat="1" ht="12.75" x14ac:dyDescent="0.2"/>
    <row r="47135" s="197" customFormat="1" ht="12.75" x14ac:dyDescent="0.2"/>
    <row r="47136" s="197" customFormat="1" ht="12.75" x14ac:dyDescent="0.2"/>
    <row r="47137" s="197" customFormat="1" ht="12.75" x14ac:dyDescent="0.2"/>
    <row r="47138" s="197" customFormat="1" ht="12.75" x14ac:dyDescent="0.2"/>
    <row r="47139" s="197" customFormat="1" ht="12.75" x14ac:dyDescent="0.2"/>
    <row r="47140" s="197" customFormat="1" ht="12.75" x14ac:dyDescent="0.2"/>
    <row r="47141" s="197" customFormat="1" ht="12.75" x14ac:dyDescent="0.2"/>
    <row r="47142" s="197" customFormat="1" ht="12.75" x14ac:dyDescent="0.2"/>
    <row r="47143" s="197" customFormat="1" ht="12.75" x14ac:dyDescent="0.2"/>
    <row r="47144" s="197" customFormat="1" ht="12.75" x14ac:dyDescent="0.2"/>
    <row r="47145" s="197" customFormat="1" ht="12.75" x14ac:dyDescent="0.2"/>
    <row r="47146" s="197" customFormat="1" ht="12.75" x14ac:dyDescent="0.2"/>
    <row r="47147" s="197" customFormat="1" ht="12.75" x14ac:dyDescent="0.2"/>
    <row r="47148" s="197" customFormat="1" ht="12.75" x14ac:dyDescent="0.2"/>
    <row r="47149" s="197" customFormat="1" ht="12.75" x14ac:dyDescent="0.2"/>
    <row r="47150" s="197" customFormat="1" ht="12.75" x14ac:dyDescent="0.2"/>
    <row r="47151" s="197" customFormat="1" ht="12.75" x14ac:dyDescent="0.2"/>
    <row r="47152" s="197" customFormat="1" ht="12.75" x14ac:dyDescent="0.2"/>
    <row r="47153" s="197" customFormat="1" ht="12.75" x14ac:dyDescent="0.2"/>
    <row r="47154" s="197" customFormat="1" ht="12.75" x14ac:dyDescent="0.2"/>
    <row r="47155" s="197" customFormat="1" ht="12.75" x14ac:dyDescent="0.2"/>
    <row r="47156" s="197" customFormat="1" ht="12.75" x14ac:dyDescent="0.2"/>
    <row r="47157" s="197" customFormat="1" ht="12.75" x14ac:dyDescent="0.2"/>
    <row r="47158" s="197" customFormat="1" ht="12.75" x14ac:dyDescent="0.2"/>
    <row r="47159" s="197" customFormat="1" ht="12.75" x14ac:dyDescent="0.2"/>
    <row r="47160" s="197" customFormat="1" ht="12.75" x14ac:dyDescent="0.2"/>
    <row r="47161" s="197" customFormat="1" ht="12.75" x14ac:dyDescent="0.2"/>
    <row r="47162" s="197" customFormat="1" ht="12.75" x14ac:dyDescent="0.2"/>
    <row r="47163" s="197" customFormat="1" ht="12.75" x14ac:dyDescent="0.2"/>
    <row r="47164" s="197" customFormat="1" ht="12.75" x14ac:dyDescent="0.2"/>
    <row r="47165" s="197" customFormat="1" ht="12.75" x14ac:dyDescent="0.2"/>
    <row r="47166" s="197" customFormat="1" ht="12.75" x14ac:dyDescent="0.2"/>
    <row r="47167" s="197" customFormat="1" ht="12.75" x14ac:dyDescent="0.2"/>
    <row r="47168" s="197" customFormat="1" ht="12.75" x14ac:dyDescent="0.2"/>
    <row r="47169" s="197" customFormat="1" ht="12.75" x14ac:dyDescent="0.2"/>
    <row r="47170" s="197" customFormat="1" ht="12.75" x14ac:dyDescent="0.2"/>
    <row r="47171" s="197" customFormat="1" ht="12.75" x14ac:dyDescent="0.2"/>
    <row r="47172" s="197" customFormat="1" ht="12.75" x14ac:dyDescent="0.2"/>
    <row r="47173" s="197" customFormat="1" ht="12.75" x14ac:dyDescent="0.2"/>
    <row r="47174" s="197" customFormat="1" ht="12.75" x14ac:dyDescent="0.2"/>
    <row r="47175" s="197" customFormat="1" ht="12.75" x14ac:dyDescent="0.2"/>
    <row r="47176" s="197" customFormat="1" ht="12.75" x14ac:dyDescent="0.2"/>
    <row r="47177" s="197" customFormat="1" ht="12.75" x14ac:dyDescent="0.2"/>
    <row r="47178" s="197" customFormat="1" ht="12.75" x14ac:dyDescent="0.2"/>
    <row r="47179" s="197" customFormat="1" ht="12.75" x14ac:dyDescent="0.2"/>
    <row r="47180" s="197" customFormat="1" ht="12.75" x14ac:dyDescent="0.2"/>
    <row r="47181" s="197" customFormat="1" ht="12.75" x14ac:dyDescent="0.2"/>
    <row r="47182" s="197" customFormat="1" ht="12.75" x14ac:dyDescent="0.2"/>
    <row r="47183" s="197" customFormat="1" ht="12.75" x14ac:dyDescent="0.2"/>
    <row r="47184" s="197" customFormat="1" ht="12.75" x14ac:dyDescent="0.2"/>
    <row r="47185" s="197" customFormat="1" ht="12.75" x14ac:dyDescent="0.2"/>
    <row r="47186" s="197" customFormat="1" ht="12.75" x14ac:dyDescent="0.2"/>
    <row r="47187" s="197" customFormat="1" ht="12.75" x14ac:dyDescent="0.2"/>
    <row r="47188" s="197" customFormat="1" ht="12.75" x14ac:dyDescent="0.2"/>
    <row r="47189" s="197" customFormat="1" ht="12.75" x14ac:dyDescent="0.2"/>
    <row r="47190" s="197" customFormat="1" ht="12.75" x14ac:dyDescent="0.2"/>
    <row r="47191" s="197" customFormat="1" ht="12.75" x14ac:dyDescent="0.2"/>
    <row r="47192" s="197" customFormat="1" ht="12.75" x14ac:dyDescent="0.2"/>
    <row r="47193" s="197" customFormat="1" ht="12.75" x14ac:dyDescent="0.2"/>
    <row r="47194" s="197" customFormat="1" ht="12.75" x14ac:dyDescent="0.2"/>
    <row r="47195" s="197" customFormat="1" ht="12.75" x14ac:dyDescent="0.2"/>
    <row r="47196" s="197" customFormat="1" ht="12.75" x14ac:dyDescent="0.2"/>
    <row r="47197" s="197" customFormat="1" ht="12.75" x14ac:dyDescent="0.2"/>
    <row r="47198" s="197" customFormat="1" ht="12.75" x14ac:dyDescent="0.2"/>
    <row r="47199" s="197" customFormat="1" ht="12.75" x14ac:dyDescent="0.2"/>
    <row r="47200" s="197" customFormat="1" ht="12.75" x14ac:dyDescent="0.2"/>
    <row r="47201" s="197" customFormat="1" ht="12.75" x14ac:dyDescent="0.2"/>
    <row r="47202" s="197" customFormat="1" ht="12.75" x14ac:dyDescent="0.2"/>
    <row r="47203" s="197" customFormat="1" ht="12.75" x14ac:dyDescent="0.2"/>
    <row r="47204" s="197" customFormat="1" ht="12.75" x14ac:dyDescent="0.2"/>
    <row r="47205" s="197" customFormat="1" ht="12.75" x14ac:dyDescent="0.2"/>
    <row r="47206" s="197" customFormat="1" ht="12.75" x14ac:dyDescent="0.2"/>
    <row r="47207" s="197" customFormat="1" ht="12.75" x14ac:dyDescent="0.2"/>
    <row r="47208" s="197" customFormat="1" ht="12.75" x14ac:dyDescent="0.2"/>
    <row r="47209" s="197" customFormat="1" ht="12.75" x14ac:dyDescent="0.2"/>
    <row r="47210" s="197" customFormat="1" ht="12.75" x14ac:dyDescent="0.2"/>
    <row r="47211" s="197" customFormat="1" ht="12.75" x14ac:dyDescent="0.2"/>
    <row r="47212" s="197" customFormat="1" ht="12.75" x14ac:dyDescent="0.2"/>
    <row r="47213" s="197" customFormat="1" ht="12.75" x14ac:dyDescent="0.2"/>
    <row r="47214" s="197" customFormat="1" ht="12.75" x14ac:dyDescent="0.2"/>
    <row r="47215" s="197" customFormat="1" ht="12.75" x14ac:dyDescent="0.2"/>
    <row r="47216" s="197" customFormat="1" ht="12.75" x14ac:dyDescent="0.2"/>
    <row r="47217" s="197" customFormat="1" ht="12.75" x14ac:dyDescent="0.2"/>
    <row r="47218" s="197" customFormat="1" ht="12.75" x14ac:dyDescent="0.2"/>
    <row r="47219" s="197" customFormat="1" ht="12.75" x14ac:dyDescent="0.2"/>
    <row r="47220" s="197" customFormat="1" ht="12.75" x14ac:dyDescent="0.2"/>
    <row r="47221" s="197" customFormat="1" ht="12.75" x14ac:dyDescent="0.2"/>
    <row r="47222" s="197" customFormat="1" ht="12.75" x14ac:dyDescent="0.2"/>
    <row r="47223" s="197" customFormat="1" ht="12.75" x14ac:dyDescent="0.2"/>
    <row r="47224" s="197" customFormat="1" ht="12.75" x14ac:dyDescent="0.2"/>
    <row r="47225" s="197" customFormat="1" ht="12.75" x14ac:dyDescent="0.2"/>
    <row r="47226" s="197" customFormat="1" ht="12.75" x14ac:dyDescent="0.2"/>
    <row r="47227" s="197" customFormat="1" ht="12.75" x14ac:dyDescent="0.2"/>
    <row r="47228" s="197" customFormat="1" ht="12.75" x14ac:dyDescent="0.2"/>
    <row r="47229" s="197" customFormat="1" ht="12.75" x14ac:dyDescent="0.2"/>
    <row r="47230" s="197" customFormat="1" ht="12.75" x14ac:dyDescent="0.2"/>
    <row r="47231" s="197" customFormat="1" ht="12.75" x14ac:dyDescent="0.2"/>
    <row r="47232" s="197" customFormat="1" ht="12.75" x14ac:dyDescent="0.2"/>
    <row r="47233" s="197" customFormat="1" ht="12.75" x14ac:dyDescent="0.2"/>
    <row r="47234" s="197" customFormat="1" ht="12.75" x14ac:dyDescent="0.2"/>
    <row r="47235" s="197" customFormat="1" ht="12.75" x14ac:dyDescent="0.2"/>
    <row r="47236" s="197" customFormat="1" ht="12.75" x14ac:dyDescent="0.2"/>
    <row r="47237" s="197" customFormat="1" ht="12.75" x14ac:dyDescent="0.2"/>
    <row r="47238" s="197" customFormat="1" ht="12.75" x14ac:dyDescent="0.2"/>
    <row r="47239" s="197" customFormat="1" ht="12.75" x14ac:dyDescent="0.2"/>
    <row r="47240" s="197" customFormat="1" ht="12.75" x14ac:dyDescent="0.2"/>
    <row r="47241" s="197" customFormat="1" ht="12.75" x14ac:dyDescent="0.2"/>
    <row r="47242" s="197" customFormat="1" ht="12.75" x14ac:dyDescent="0.2"/>
    <row r="47243" s="197" customFormat="1" ht="12.75" x14ac:dyDescent="0.2"/>
    <row r="47244" s="197" customFormat="1" ht="12.75" x14ac:dyDescent="0.2"/>
    <row r="47245" s="197" customFormat="1" ht="12.75" x14ac:dyDescent="0.2"/>
    <row r="47246" s="197" customFormat="1" ht="12.75" x14ac:dyDescent="0.2"/>
    <row r="47247" s="197" customFormat="1" ht="12.75" x14ac:dyDescent="0.2"/>
    <row r="47248" s="197" customFormat="1" ht="12.75" x14ac:dyDescent="0.2"/>
    <row r="47249" s="197" customFormat="1" ht="12.75" x14ac:dyDescent="0.2"/>
    <row r="47250" s="197" customFormat="1" ht="12.75" x14ac:dyDescent="0.2"/>
    <row r="47251" s="197" customFormat="1" ht="12.75" x14ac:dyDescent="0.2"/>
    <row r="47252" s="197" customFormat="1" ht="12.75" x14ac:dyDescent="0.2"/>
    <row r="47253" s="197" customFormat="1" ht="12.75" x14ac:dyDescent="0.2"/>
    <row r="47254" s="197" customFormat="1" ht="12.75" x14ac:dyDescent="0.2"/>
    <row r="47255" s="197" customFormat="1" ht="12.75" x14ac:dyDescent="0.2"/>
    <row r="47256" s="197" customFormat="1" ht="12.75" x14ac:dyDescent="0.2"/>
    <row r="47257" s="197" customFormat="1" ht="12.75" x14ac:dyDescent="0.2"/>
    <row r="47258" s="197" customFormat="1" ht="12.75" x14ac:dyDescent="0.2"/>
    <row r="47259" s="197" customFormat="1" ht="12.75" x14ac:dyDescent="0.2"/>
    <row r="47260" s="197" customFormat="1" ht="12.75" x14ac:dyDescent="0.2"/>
    <row r="47261" s="197" customFormat="1" ht="12.75" x14ac:dyDescent="0.2"/>
    <row r="47262" s="197" customFormat="1" ht="12.75" x14ac:dyDescent="0.2"/>
    <row r="47263" s="197" customFormat="1" ht="12.75" x14ac:dyDescent="0.2"/>
    <row r="47264" s="197" customFormat="1" ht="12.75" x14ac:dyDescent="0.2"/>
    <row r="47265" s="197" customFormat="1" ht="12.75" x14ac:dyDescent="0.2"/>
    <row r="47266" s="197" customFormat="1" ht="12.75" x14ac:dyDescent="0.2"/>
    <row r="47267" s="197" customFormat="1" ht="12.75" x14ac:dyDescent="0.2"/>
    <row r="47268" s="197" customFormat="1" ht="12.75" x14ac:dyDescent="0.2"/>
    <row r="47269" s="197" customFormat="1" ht="12.75" x14ac:dyDescent="0.2"/>
    <row r="47270" s="197" customFormat="1" ht="12.75" x14ac:dyDescent="0.2"/>
    <row r="47271" s="197" customFormat="1" ht="12.75" x14ac:dyDescent="0.2"/>
    <row r="47272" s="197" customFormat="1" ht="12.75" x14ac:dyDescent="0.2"/>
    <row r="47273" s="197" customFormat="1" ht="12.75" x14ac:dyDescent="0.2"/>
    <row r="47274" s="197" customFormat="1" ht="12.75" x14ac:dyDescent="0.2"/>
    <row r="47275" s="197" customFormat="1" ht="12.75" x14ac:dyDescent="0.2"/>
    <row r="47276" s="197" customFormat="1" ht="12.75" x14ac:dyDescent="0.2"/>
    <row r="47277" s="197" customFormat="1" ht="12.75" x14ac:dyDescent="0.2"/>
    <row r="47278" s="197" customFormat="1" ht="12.75" x14ac:dyDescent="0.2"/>
    <row r="47279" s="197" customFormat="1" ht="12.75" x14ac:dyDescent="0.2"/>
    <row r="47280" s="197" customFormat="1" ht="12.75" x14ac:dyDescent="0.2"/>
    <row r="47281" s="197" customFormat="1" ht="12.75" x14ac:dyDescent="0.2"/>
    <row r="47282" s="197" customFormat="1" ht="12.75" x14ac:dyDescent="0.2"/>
    <row r="47283" s="197" customFormat="1" ht="12.75" x14ac:dyDescent="0.2"/>
    <row r="47284" s="197" customFormat="1" ht="12.75" x14ac:dyDescent="0.2"/>
    <row r="47285" s="197" customFormat="1" ht="12.75" x14ac:dyDescent="0.2"/>
    <row r="47286" s="197" customFormat="1" ht="12.75" x14ac:dyDescent="0.2"/>
    <row r="47287" s="197" customFormat="1" ht="12.75" x14ac:dyDescent="0.2"/>
    <row r="47288" s="197" customFormat="1" ht="12.75" x14ac:dyDescent="0.2"/>
    <row r="47289" s="197" customFormat="1" ht="12.75" x14ac:dyDescent="0.2"/>
    <row r="47290" s="197" customFormat="1" ht="12.75" x14ac:dyDescent="0.2"/>
    <row r="47291" s="197" customFormat="1" ht="12.75" x14ac:dyDescent="0.2"/>
    <row r="47292" s="197" customFormat="1" ht="12.75" x14ac:dyDescent="0.2"/>
    <row r="47293" s="197" customFormat="1" ht="12.75" x14ac:dyDescent="0.2"/>
    <row r="47294" s="197" customFormat="1" ht="12.75" x14ac:dyDescent="0.2"/>
    <row r="47295" s="197" customFormat="1" ht="12.75" x14ac:dyDescent="0.2"/>
    <row r="47296" s="197" customFormat="1" ht="12.75" x14ac:dyDescent="0.2"/>
    <row r="47297" s="197" customFormat="1" ht="12.75" x14ac:dyDescent="0.2"/>
    <row r="47298" s="197" customFormat="1" ht="12.75" x14ac:dyDescent="0.2"/>
    <row r="47299" s="197" customFormat="1" ht="12.75" x14ac:dyDescent="0.2"/>
    <row r="47300" s="197" customFormat="1" ht="12.75" x14ac:dyDescent="0.2"/>
    <row r="47301" s="197" customFormat="1" ht="12.75" x14ac:dyDescent="0.2"/>
    <row r="47302" s="197" customFormat="1" ht="12.75" x14ac:dyDescent="0.2"/>
    <row r="47303" s="197" customFormat="1" ht="12.75" x14ac:dyDescent="0.2"/>
    <row r="47304" s="197" customFormat="1" ht="12.75" x14ac:dyDescent="0.2"/>
    <row r="47305" s="197" customFormat="1" ht="12.75" x14ac:dyDescent="0.2"/>
    <row r="47306" s="197" customFormat="1" ht="12.75" x14ac:dyDescent="0.2"/>
    <row r="47307" s="197" customFormat="1" ht="12.75" x14ac:dyDescent="0.2"/>
    <row r="47308" s="197" customFormat="1" ht="12.75" x14ac:dyDescent="0.2"/>
    <row r="47309" s="197" customFormat="1" ht="12.75" x14ac:dyDescent="0.2"/>
    <row r="47310" s="197" customFormat="1" ht="12.75" x14ac:dyDescent="0.2"/>
    <row r="47311" s="197" customFormat="1" ht="12.75" x14ac:dyDescent="0.2"/>
    <row r="47312" s="197" customFormat="1" ht="12.75" x14ac:dyDescent="0.2"/>
    <row r="47313" s="197" customFormat="1" ht="12.75" x14ac:dyDescent="0.2"/>
    <row r="47314" s="197" customFormat="1" ht="12.75" x14ac:dyDescent="0.2"/>
    <row r="47315" s="197" customFormat="1" ht="12.75" x14ac:dyDescent="0.2"/>
    <row r="47316" s="197" customFormat="1" ht="12.75" x14ac:dyDescent="0.2"/>
    <row r="47317" s="197" customFormat="1" ht="12.75" x14ac:dyDescent="0.2"/>
    <row r="47318" s="197" customFormat="1" ht="12.75" x14ac:dyDescent="0.2"/>
    <row r="47319" s="197" customFormat="1" ht="12.75" x14ac:dyDescent="0.2"/>
    <row r="47320" s="197" customFormat="1" ht="12.75" x14ac:dyDescent="0.2"/>
    <row r="47321" s="197" customFormat="1" ht="12.75" x14ac:dyDescent="0.2"/>
    <row r="47322" s="197" customFormat="1" ht="12.75" x14ac:dyDescent="0.2"/>
    <row r="47323" s="197" customFormat="1" ht="12.75" x14ac:dyDescent="0.2"/>
    <row r="47324" s="197" customFormat="1" ht="12.75" x14ac:dyDescent="0.2"/>
    <row r="47325" s="197" customFormat="1" ht="12.75" x14ac:dyDescent="0.2"/>
    <row r="47326" s="197" customFormat="1" ht="12.75" x14ac:dyDescent="0.2"/>
    <row r="47327" s="197" customFormat="1" ht="12.75" x14ac:dyDescent="0.2"/>
    <row r="47328" s="197" customFormat="1" ht="12.75" x14ac:dyDescent="0.2"/>
    <row r="47329" s="197" customFormat="1" ht="12.75" x14ac:dyDescent="0.2"/>
    <row r="47330" s="197" customFormat="1" ht="12.75" x14ac:dyDescent="0.2"/>
    <row r="47331" s="197" customFormat="1" ht="12.75" x14ac:dyDescent="0.2"/>
    <row r="47332" s="197" customFormat="1" ht="12.75" x14ac:dyDescent="0.2"/>
    <row r="47333" s="197" customFormat="1" ht="12.75" x14ac:dyDescent="0.2"/>
    <row r="47334" s="197" customFormat="1" ht="12.75" x14ac:dyDescent="0.2"/>
    <row r="47335" s="197" customFormat="1" ht="12.75" x14ac:dyDescent="0.2"/>
    <row r="47336" s="197" customFormat="1" ht="12.75" x14ac:dyDescent="0.2"/>
    <row r="47337" s="197" customFormat="1" ht="12.75" x14ac:dyDescent="0.2"/>
    <row r="47338" s="197" customFormat="1" ht="12.75" x14ac:dyDescent="0.2"/>
    <row r="47339" s="197" customFormat="1" ht="12.75" x14ac:dyDescent="0.2"/>
    <row r="47340" s="197" customFormat="1" ht="12.75" x14ac:dyDescent="0.2"/>
    <row r="47341" s="197" customFormat="1" ht="12.75" x14ac:dyDescent="0.2"/>
    <row r="47342" s="197" customFormat="1" ht="12.75" x14ac:dyDescent="0.2"/>
    <row r="47343" s="197" customFormat="1" ht="12.75" x14ac:dyDescent="0.2"/>
    <row r="47344" s="197" customFormat="1" ht="12.75" x14ac:dyDescent="0.2"/>
    <row r="47345" s="197" customFormat="1" ht="12.75" x14ac:dyDescent="0.2"/>
    <row r="47346" s="197" customFormat="1" ht="12.75" x14ac:dyDescent="0.2"/>
    <row r="47347" s="197" customFormat="1" ht="12.75" x14ac:dyDescent="0.2"/>
    <row r="47348" s="197" customFormat="1" ht="12.75" x14ac:dyDescent="0.2"/>
    <row r="47349" s="197" customFormat="1" ht="12.75" x14ac:dyDescent="0.2"/>
    <row r="47350" s="197" customFormat="1" ht="12.75" x14ac:dyDescent="0.2"/>
    <row r="47351" s="197" customFormat="1" ht="12.75" x14ac:dyDescent="0.2"/>
    <row r="47352" s="197" customFormat="1" ht="12.75" x14ac:dyDescent="0.2"/>
    <row r="47353" s="197" customFormat="1" ht="12.75" x14ac:dyDescent="0.2"/>
    <row r="47354" s="197" customFormat="1" ht="12.75" x14ac:dyDescent="0.2"/>
    <row r="47355" s="197" customFormat="1" ht="12.75" x14ac:dyDescent="0.2"/>
    <row r="47356" s="197" customFormat="1" ht="12.75" x14ac:dyDescent="0.2"/>
    <row r="47357" s="197" customFormat="1" ht="12.75" x14ac:dyDescent="0.2"/>
    <row r="47358" s="197" customFormat="1" ht="12.75" x14ac:dyDescent="0.2"/>
    <row r="47359" s="197" customFormat="1" ht="12.75" x14ac:dyDescent="0.2"/>
    <row r="47360" s="197" customFormat="1" ht="12.75" x14ac:dyDescent="0.2"/>
    <row r="47361" s="197" customFormat="1" ht="12.75" x14ac:dyDescent="0.2"/>
    <row r="47362" s="197" customFormat="1" ht="12.75" x14ac:dyDescent="0.2"/>
    <row r="47363" s="197" customFormat="1" ht="12.75" x14ac:dyDescent="0.2"/>
    <row r="47364" s="197" customFormat="1" ht="12.75" x14ac:dyDescent="0.2"/>
    <row r="47365" s="197" customFormat="1" ht="12.75" x14ac:dyDescent="0.2"/>
    <row r="47366" s="197" customFormat="1" ht="12.75" x14ac:dyDescent="0.2"/>
    <row r="47367" s="197" customFormat="1" ht="12.75" x14ac:dyDescent="0.2"/>
    <row r="47368" s="197" customFormat="1" ht="12.75" x14ac:dyDescent="0.2"/>
    <row r="47369" s="197" customFormat="1" ht="12.75" x14ac:dyDescent="0.2"/>
    <row r="47370" s="197" customFormat="1" ht="12.75" x14ac:dyDescent="0.2"/>
    <row r="47371" s="197" customFormat="1" ht="12.75" x14ac:dyDescent="0.2"/>
    <row r="47372" s="197" customFormat="1" ht="12.75" x14ac:dyDescent="0.2"/>
    <row r="47373" s="197" customFormat="1" ht="12.75" x14ac:dyDescent="0.2"/>
    <row r="47374" s="197" customFormat="1" ht="12.75" x14ac:dyDescent="0.2"/>
    <row r="47375" s="197" customFormat="1" ht="12.75" x14ac:dyDescent="0.2"/>
    <row r="47376" s="197" customFormat="1" ht="12.75" x14ac:dyDescent="0.2"/>
    <row r="47377" s="197" customFormat="1" ht="12.75" x14ac:dyDescent="0.2"/>
    <row r="47378" s="197" customFormat="1" ht="12.75" x14ac:dyDescent="0.2"/>
    <row r="47379" s="197" customFormat="1" ht="12.75" x14ac:dyDescent="0.2"/>
    <row r="47380" s="197" customFormat="1" ht="12.75" x14ac:dyDescent="0.2"/>
    <row r="47381" s="197" customFormat="1" ht="12.75" x14ac:dyDescent="0.2"/>
    <row r="47382" s="197" customFormat="1" ht="12.75" x14ac:dyDescent="0.2"/>
    <row r="47383" s="197" customFormat="1" ht="12.75" x14ac:dyDescent="0.2"/>
    <row r="47384" s="197" customFormat="1" ht="12.75" x14ac:dyDescent="0.2"/>
    <row r="47385" s="197" customFormat="1" ht="12.75" x14ac:dyDescent="0.2"/>
    <row r="47386" s="197" customFormat="1" ht="12.75" x14ac:dyDescent="0.2"/>
    <row r="47387" s="197" customFormat="1" ht="12.75" x14ac:dyDescent="0.2"/>
    <row r="47388" s="197" customFormat="1" ht="12.75" x14ac:dyDescent="0.2"/>
    <row r="47389" s="197" customFormat="1" ht="12.75" x14ac:dyDescent="0.2"/>
    <row r="47390" s="197" customFormat="1" ht="12.75" x14ac:dyDescent="0.2"/>
    <row r="47391" s="197" customFormat="1" ht="12.75" x14ac:dyDescent="0.2"/>
    <row r="47392" s="197" customFormat="1" ht="12.75" x14ac:dyDescent="0.2"/>
    <row r="47393" s="197" customFormat="1" ht="12.75" x14ac:dyDescent="0.2"/>
    <row r="47394" s="197" customFormat="1" ht="12.75" x14ac:dyDescent="0.2"/>
    <row r="47395" s="197" customFormat="1" ht="12.75" x14ac:dyDescent="0.2"/>
    <row r="47396" s="197" customFormat="1" ht="12.75" x14ac:dyDescent="0.2"/>
    <row r="47397" s="197" customFormat="1" ht="12.75" x14ac:dyDescent="0.2"/>
    <row r="47398" s="197" customFormat="1" ht="12.75" x14ac:dyDescent="0.2"/>
    <row r="47399" s="197" customFormat="1" ht="12.75" x14ac:dyDescent="0.2"/>
    <row r="47400" s="197" customFormat="1" ht="12.75" x14ac:dyDescent="0.2"/>
    <row r="47401" s="197" customFormat="1" ht="12.75" x14ac:dyDescent="0.2"/>
    <row r="47402" s="197" customFormat="1" ht="12.75" x14ac:dyDescent="0.2"/>
    <row r="47403" s="197" customFormat="1" ht="12.75" x14ac:dyDescent="0.2"/>
    <row r="47404" s="197" customFormat="1" ht="12.75" x14ac:dyDescent="0.2"/>
    <row r="47405" s="197" customFormat="1" ht="12.75" x14ac:dyDescent="0.2"/>
    <row r="47406" s="197" customFormat="1" ht="12.75" x14ac:dyDescent="0.2"/>
    <row r="47407" s="197" customFormat="1" ht="12.75" x14ac:dyDescent="0.2"/>
    <row r="47408" s="197" customFormat="1" ht="12.75" x14ac:dyDescent="0.2"/>
    <row r="47409" s="197" customFormat="1" ht="12.75" x14ac:dyDescent="0.2"/>
    <row r="47410" s="197" customFormat="1" ht="12.75" x14ac:dyDescent="0.2"/>
    <row r="47411" s="197" customFormat="1" ht="12.75" x14ac:dyDescent="0.2"/>
    <row r="47412" s="197" customFormat="1" ht="12.75" x14ac:dyDescent="0.2"/>
    <row r="47413" s="197" customFormat="1" ht="12.75" x14ac:dyDescent="0.2"/>
    <row r="47414" s="197" customFormat="1" ht="12.75" x14ac:dyDescent="0.2"/>
    <row r="47415" s="197" customFormat="1" ht="12.75" x14ac:dyDescent="0.2"/>
    <row r="47416" s="197" customFormat="1" ht="12.75" x14ac:dyDescent="0.2"/>
    <row r="47417" s="197" customFormat="1" ht="12.75" x14ac:dyDescent="0.2"/>
    <row r="47418" s="197" customFormat="1" ht="12.75" x14ac:dyDescent="0.2"/>
    <row r="47419" s="197" customFormat="1" ht="12.75" x14ac:dyDescent="0.2"/>
    <row r="47420" s="197" customFormat="1" ht="12.75" x14ac:dyDescent="0.2"/>
    <row r="47421" s="197" customFormat="1" ht="12.75" x14ac:dyDescent="0.2"/>
    <row r="47422" s="197" customFormat="1" ht="12.75" x14ac:dyDescent="0.2"/>
    <row r="47423" s="197" customFormat="1" ht="12.75" x14ac:dyDescent="0.2"/>
    <row r="47424" s="197" customFormat="1" ht="12.75" x14ac:dyDescent="0.2"/>
    <row r="47425" s="197" customFormat="1" ht="12.75" x14ac:dyDescent="0.2"/>
    <row r="47426" s="197" customFormat="1" ht="12.75" x14ac:dyDescent="0.2"/>
    <row r="47427" s="197" customFormat="1" ht="12.75" x14ac:dyDescent="0.2"/>
    <row r="47428" s="197" customFormat="1" ht="12.75" x14ac:dyDescent="0.2"/>
    <row r="47429" s="197" customFormat="1" ht="12.75" x14ac:dyDescent="0.2"/>
    <row r="47430" s="197" customFormat="1" ht="12.75" x14ac:dyDescent="0.2"/>
    <row r="47431" s="197" customFormat="1" ht="12.75" x14ac:dyDescent="0.2"/>
    <row r="47432" s="197" customFormat="1" ht="12.75" x14ac:dyDescent="0.2"/>
    <row r="47433" s="197" customFormat="1" ht="12.75" x14ac:dyDescent="0.2"/>
    <row r="47434" s="197" customFormat="1" ht="12.75" x14ac:dyDescent="0.2"/>
    <row r="47435" s="197" customFormat="1" ht="12.75" x14ac:dyDescent="0.2"/>
    <row r="47436" s="197" customFormat="1" ht="12.75" x14ac:dyDescent="0.2"/>
    <row r="47437" s="197" customFormat="1" ht="12.75" x14ac:dyDescent="0.2"/>
    <row r="47438" s="197" customFormat="1" ht="12.75" x14ac:dyDescent="0.2"/>
    <row r="47439" s="197" customFormat="1" ht="12.75" x14ac:dyDescent="0.2"/>
    <row r="47440" s="197" customFormat="1" ht="12.75" x14ac:dyDescent="0.2"/>
    <row r="47441" s="197" customFormat="1" ht="12.75" x14ac:dyDescent="0.2"/>
    <row r="47442" s="197" customFormat="1" ht="12.75" x14ac:dyDescent="0.2"/>
    <row r="47443" s="197" customFormat="1" ht="12.75" x14ac:dyDescent="0.2"/>
    <row r="47444" s="197" customFormat="1" ht="12.75" x14ac:dyDescent="0.2"/>
    <row r="47445" s="197" customFormat="1" ht="12.75" x14ac:dyDescent="0.2"/>
    <row r="47446" s="197" customFormat="1" ht="12.75" x14ac:dyDescent="0.2"/>
    <row r="47447" s="197" customFormat="1" ht="12.75" x14ac:dyDescent="0.2"/>
    <row r="47448" s="197" customFormat="1" ht="12.75" x14ac:dyDescent="0.2"/>
    <row r="47449" s="197" customFormat="1" ht="12.75" x14ac:dyDescent="0.2"/>
    <row r="47450" s="197" customFormat="1" ht="12.75" x14ac:dyDescent="0.2"/>
    <row r="47451" s="197" customFormat="1" ht="12.75" x14ac:dyDescent="0.2"/>
    <row r="47452" s="197" customFormat="1" ht="12.75" x14ac:dyDescent="0.2"/>
    <row r="47453" s="197" customFormat="1" ht="12.75" x14ac:dyDescent="0.2"/>
    <row r="47454" s="197" customFormat="1" ht="12.75" x14ac:dyDescent="0.2"/>
    <row r="47455" s="197" customFormat="1" ht="12.75" x14ac:dyDescent="0.2"/>
    <row r="47456" s="197" customFormat="1" ht="12.75" x14ac:dyDescent="0.2"/>
    <row r="47457" s="197" customFormat="1" ht="12.75" x14ac:dyDescent="0.2"/>
    <row r="47458" s="197" customFormat="1" ht="12.75" x14ac:dyDescent="0.2"/>
    <row r="47459" s="197" customFormat="1" ht="12.75" x14ac:dyDescent="0.2"/>
    <row r="47460" s="197" customFormat="1" ht="12.75" x14ac:dyDescent="0.2"/>
    <row r="47461" s="197" customFormat="1" ht="12.75" x14ac:dyDescent="0.2"/>
    <row r="47462" s="197" customFormat="1" ht="12.75" x14ac:dyDescent="0.2"/>
    <row r="47463" s="197" customFormat="1" ht="12.75" x14ac:dyDescent="0.2"/>
    <row r="47464" s="197" customFormat="1" ht="12.75" x14ac:dyDescent="0.2"/>
    <row r="47465" s="197" customFormat="1" ht="12.75" x14ac:dyDescent="0.2"/>
    <row r="47466" s="197" customFormat="1" ht="12.75" x14ac:dyDescent="0.2"/>
    <row r="47467" s="197" customFormat="1" ht="12.75" x14ac:dyDescent="0.2"/>
    <row r="47468" s="197" customFormat="1" ht="12.75" x14ac:dyDescent="0.2"/>
    <row r="47469" s="197" customFormat="1" ht="12.75" x14ac:dyDescent="0.2"/>
    <row r="47470" s="197" customFormat="1" ht="12.75" x14ac:dyDescent="0.2"/>
    <row r="47471" s="197" customFormat="1" ht="12.75" x14ac:dyDescent="0.2"/>
    <row r="47472" s="197" customFormat="1" ht="12.75" x14ac:dyDescent="0.2"/>
    <row r="47473" s="197" customFormat="1" ht="12.75" x14ac:dyDescent="0.2"/>
    <row r="47474" s="197" customFormat="1" ht="12.75" x14ac:dyDescent="0.2"/>
    <row r="47475" s="197" customFormat="1" ht="12.75" x14ac:dyDescent="0.2"/>
    <row r="47476" s="197" customFormat="1" ht="12.75" x14ac:dyDescent="0.2"/>
    <row r="47477" s="197" customFormat="1" ht="12.75" x14ac:dyDescent="0.2"/>
    <row r="47478" s="197" customFormat="1" ht="12.75" x14ac:dyDescent="0.2"/>
    <row r="47479" s="197" customFormat="1" ht="12.75" x14ac:dyDescent="0.2"/>
    <row r="47480" s="197" customFormat="1" ht="12.75" x14ac:dyDescent="0.2"/>
    <row r="47481" s="197" customFormat="1" ht="12.75" x14ac:dyDescent="0.2"/>
    <row r="47482" s="197" customFormat="1" ht="12.75" x14ac:dyDescent="0.2"/>
    <row r="47483" s="197" customFormat="1" ht="12.75" x14ac:dyDescent="0.2"/>
    <row r="47484" s="197" customFormat="1" ht="12.75" x14ac:dyDescent="0.2"/>
    <row r="47485" s="197" customFormat="1" ht="12.75" x14ac:dyDescent="0.2"/>
    <row r="47486" s="197" customFormat="1" ht="12.75" x14ac:dyDescent="0.2"/>
    <row r="47487" s="197" customFormat="1" ht="12.75" x14ac:dyDescent="0.2"/>
    <row r="47488" s="197" customFormat="1" ht="12.75" x14ac:dyDescent="0.2"/>
    <row r="47489" s="197" customFormat="1" ht="12.75" x14ac:dyDescent="0.2"/>
    <row r="47490" s="197" customFormat="1" ht="12.75" x14ac:dyDescent="0.2"/>
    <row r="47491" s="197" customFormat="1" ht="12.75" x14ac:dyDescent="0.2"/>
    <row r="47492" s="197" customFormat="1" ht="12.75" x14ac:dyDescent="0.2"/>
    <row r="47493" s="197" customFormat="1" ht="12.75" x14ac:dyDescent="0.2"/>
    <row r="47494" s="197" customFormat="1" ht="12.75" x14ac:dyDescent="0.2"/>
    <row r="47495" s="197" customFormat="1" ht="12.75" x14ac:dyDescent="0.2"/>
    <row r="47496" s="197" customFormat="1" ht="12.75" x14ac:dyDescent="0.2"/>
    <row r="47497" s="197" customFormat="1" ht="12.75" x14ac:dyDescent="0.2"/>
    <row r="47498" s="197" customFormat="1" ht="12.75" x14ac:dyDescent="0.2"/>
    <row r="47499" s="197" customFormat="1" ht="12.75" x14ac:dyDescent="0.2"/>
    <row r="47500" s="197" customFormat="1" ht="12.75" x14ac:dyDescent="0.2"/>
    <row r="47501" s="197" customFormat="1" ht="12.75" x14ac:dyDescent="0.2"/>
    <row r="47502" s="197" customFormat="1" ht="12.75" x14ac:dyDescent="0.2"/>
    <row r="47503" s="197" customFormat="1" ht="12.75" x14ac:dyDescent="0.2"/>
    <row r="47504" s="197" customFormat="1" ht="12.75" x14ac:dyDescent="0.2"/>
    <row r="47505" s="197" customFormat="1" ht="12.75" x14ac:dyDescent="0.2"/>
    <row r="47506" s="197" customFormat="1" ht="12.75" x14ac:dyDescent="0.2"/>
    <row r="47507" s="197" customFormat="1" ht="12.75" x14ac:dyDescent="0.2"/>
    <row r="47508" s="197" customFormat="1" ht="12.75" x14ac:dyDescent="0.2"/>
    <row r="47509" s="197" customFormat="1" ht="12.75" x14ac:dyDescent="0.2"/>
    <row r="47510" s="197" customFormat="1" ht="12.75" x14ac:dyDescent="0.2"/>
    <row r="47511" s="197" customFormat="1" ht="12.75" x14ac:dyDescent="0.2"/>
    <row r="47512" s="197" customFormat="1" ht="12.75" x14ac:dyDescent="0.2"/>
    <row r="47513" s="197" customFormat="1" ht="12.75" x14ac:dyDescent="0.2"/>
    <row r="47514" s="197" customFormat="1" ht="12.75" x14ac:dyDescent="0.2"/>
    <row r="47515" s="197" customFormat="1" ht="12.75" x14ac:dyDescent="0.2"/>
    <row r="47516" s="197" customFormat="1" ht="12.75" x14ac:dyDescent="0.2"/>
    <row r="47517" s="197" customFormat="1" ht="12.75" x14ac:dyDescent="0.2"/>
    <row r="47518" s="197" customFormat="1" ht="12.75" x14ac:dyDescent="0.2"/>
    <row r="47519" s="197" customFormat="1" ht="12.75" x14ac:dyDescent="0.2"/>
    <row r="47520" s="197" customFormat="1" ht="12.75" x14ac:dyDescent="0.2"/>
    <row r="47521" s="197" customFormat="1" ht="12.75" x14ac:dyDescent="0.2"/>
    <row r="47522" s="197" customFormat="1" ht="12.75" x14ac:dyDescent="0.2"/>
    <row r="47523" s="197" customFormat="1" ht="12.75" x14ac:dyDescent="0.2"/>
    <row r="47524" s="197" customFormat="1" ht="12.75" x14ac:dyDescent="0.2"/>
    <row r="47525" s="197" customFormat="1" ht="12.75" x14ac:dyDescent="0.2"/>
    <row r="47526" s="197" customFormat="1" ht="12.75" x14ac:dyDescent="0.2"/>
    <row r="47527" s="197" customFormat="1" ht="12.75" x14ac:dyDescent="0.2"/>
    <row r="47528" s="197" customFormat="1" ht="12.75" x14ac:dyDescent="0.2"/>
    <row r="47529" s="197" customFormat="1" ht="12.75" x14ac:dyDescent="0.2"/>
    <row r="47530" s="197" customFormat="1" ht="12.75" x14ac:dyDescent="0.2"/>
    <row r="47531" s="197" customFormat="1" ht="12.75" x14ac:dyDescent="0.2"/>
    <row r="47532" s="197" customFormat="1" ht="12.75" x14ac:dyDescent="0.2"/>
    <row r="47533" s="197" customFormat="1" ht="12.75" x14ac:dyDescent="0.2"/>
    <row r="47534" s="197" customFormat="1" ht="12.75" x14ac:dyDescent="0.2"/>
    <row r="47535" s="197" customFormat="1" ht="12.75" x14ac:dyDescent="0.2"/>
    <row r="47536" s="197" customFormat="1" ht="12.75" x14ac:dyDescent="0.2"/>
    <row r="47537" s="197" customFormat="1" ht="12.75" x14ac:dyDescent="0.2"/>
    <row r="47538" s="197" customFormat="1" ht="12.75" x14ac:dyDescent="0.2"/>
    <row r="47539" s="197" customFormat="1" ht="12.75" x14ac:dyDescent="0.2"/>
    <row r="47540" s="197" customFormat="1" ht="12.75" x14ac:dyDescent="0.2"/>
    <row r="47541" s="197" customFormat="1" ht="12.75" x14ac:dyDescent="0.2"/>
    <row r="47542" s="197" customFormat="1" ht="12.75" x14ac:dyDescent="0.2"/>
    <row r="47543" s="197" customFormat="1" ht="12.75" x14ac:dyDescent="0.2"/>
    <row r="47544" s="197" customFormat="1" ht="12.75" x14ac:dyDescent="0.2"/>
    <row r="47545" s="197" customFormat="1" ht="12.75" x14ac:dyDescent="0.2"/>
    <row r="47546" s="197" customFormat="1" ht="12.75" x14ac:dyDescent="0.2"/>
    <row r="47547" s="197" customFormat="1" ht="12.75" x14ac:dyDescent="0.2"/>
    <row r="47548" s="197" customFormat="1" ht="12.75" x14ac:dyDescent="0.2"/>
    <row r="47549" s="197" customFormat="1" ht="12.75" x14ac:dyDescent="0.2"/>
    <row r="47550" s="197" customFormat="1" ht="12.75" x14ac:dyDescent="0.2"/>
    <row r="47551" s="197" customFormat="1" ht="12.75" x14ac:dyDescent="0.2"/>
    <row r="47552" s="197" customFormat="1" ht="12.75" x14ac:dyDescent="0.2"/>
    <row r="47553" s="197" customFormat="1" ht="12.75" x14ac:dyDescent="0.2"/>
    <row r="47554" s="197" customFormat="1" ht="12.75" x14ac:dyDescent="0.2"/>
    <row r="47555" s="197" customFormat="1" ht="12.75" x14ac:dyDescent="0.2"/>
    <row r="47556" s="197" customFormat="1" ht="12.75" x14ac:dyDescent="0.2"/>
    <row r="47557" s="197" customFormat="1" ht="12.75" x14ac:dyDescent="0.2"/>
    <row r="47558" s="197" customFormat="1" ht="12.75" x14ac:dyDescent="0.2"/>
    <row r="47559" s="197" customFormat="1" ht="12.75" x14ac:dyDescent="0.2"/>
    <row r="47560" s="197" customFormat="1" ht="12.75" x14ac:dyDescent="0.2"/>
    <row r="47561" s="197" customFormat="1" ht="12.75" x14ac:dyDescent="0.2"/>
    <row r="47562" s="197" customFormat="1" ht="12.75" x14ac:dyDescent="0.2"/>
    <row r="47563" s="197" customFormat="1" ht="12.75" x14ac:dyDescent="0.2"/>
    <row r="47564" s="197" customFormat="1" ht="12.75" x14ac:dyDescent="0.2"/>
    <row r="47565" s="197" customFormat="1" ht="12.75" x14ac:dyDescent="0.2"/>
    <row r="47566" s="197" customFormat="1" ht="12.75" x14ac:dyDescent="0.2"/>
    <row r="47567" s="197" customFormat="1" ht="12.75" x14ac:dyDescent="0.2"/>
    <row r="47568" s="197" customFormat="1" ht="12.75" x14ac:dyDescent="0.2"/>
    <row r="47569" s="197" customFormat="1" ht="12.75" x14ac:dyDescent="0.2"/>
    <row r="47570" s="197" customFormat="1" ht="12.75" x14ac:dyDescent="0.2"/>
    <row r="47571" s="197" customFormat="1" ht="12.75" x14ac:dyDescent="0.2"/>
    <row r="47572" s="197" customFormat="1" ht="12.75" x14ac:dyDescent="0.2"/>
    <row r="47573" s="197" customFormat="1" ht="12.75" x14ac:dyDescent="0.2"/>
    <row r="47574" s="197" customFormat="1" ht="12.75" x14ac:dyDescent="0.2"/>
    <row r="47575" s="197" customFormat="1" ht="12.75" x14ac:dyDescent="0.2"/>
    <row r="47576" s="197" customFormat="1" ht="12.75" x14ac:dyDescent="0.2"/>
    <row r="47577" s="197" customFormat="1" ht="12.75" x14ac:dyDescent="0.2"/>
    <row r="47578" s="197" customFormat="1" ht="12.75" x14ac:dyDescent="0.2"/>
    <row r="47579" s="197" customFormat="1" ht="12.75" x14ac:dyDescent="0.2"/>
    <row r="47580" s="197" customFormat="1" ht="12.75" x14ac:dyDescent="0.2"/>
    <row r="47581" s="197" customFormat="1" ht="12.75" x14ac:dyDescent="0.2"/>
    <row r="47582" s="197" customFormat="1" ht="12.75" x14ac:dyDescent="0.2"/>
    <row r="47583" s="197" customFormat="1" ht="12.75" x14ac:dyDescent="0.2"/>
    <row r="47584" s="197" customFormat="1" ht="12.75" x14ac:dyDescent="0.2"/>
    <row r="47585" s="197" customFormat="1" ht="12.75" x14ac:dyDescent="0.2"/>
    <row r="47586" s="197" customFormat="1" ht="12.75" x14ac:dyDescent="0.2"/>
    <row r="47587" s="197" customFormat="1" ht="12.75" x14ac:dyDescent="0.2"/>
    <row r="47588" s="197" customFormat="1" ht="12.75" x14ac:dyDescent="0.2"/>
    <row r="47589" s="197" customFormat="1" ht="12.75" x14ac:dyDescent="0.2"/>
    <row r="47590" s="197" customFormat="1" ht="12.75" x14ac:dyDescent="0.2"/>
    <row r="47591" s="197" customFormat="1" ht="12.75" x14ac:dyDescent="0.2"/>
    <row r="47592" s="197" customFormat="1" ht="12.75" x14ac:dyDescent="0.2"/>
    <row r="47593" s="197" customFormat="1" ht="12.75" x14ac:dyDescent="0.2"/>
    <row r="47594" s="197" customFormat="1" ht="12.75" x14ac:dyDescent="0.2"/>
    <row r="47595" s="197" customFormat="1" ht="12.75" x14ac:dyDescent="0.2"/>
    <row r="47596" s="197" customFormat="1" ht="12.75" x14ac:dyDescent="0.2"/>
    <row r="47597" s="197" customFormat="1" ht="12.75" x14ac:dyDescent="0.2"/>
    <row r="47598" s="197" customFormat="1" ht="12.75" x14ac:dyDescent="0.2"/>
    <row r="47599" s="197" customFormat="1" ht="12.75" x14ac:dyDescent="0.2"/>
    <row r="47600" s="197" customFormat="1" ht="12.75" x14ac:dyDescent="0.2"/>
    <row r="47601" s="197" customFormat="1" ht="12.75" x14ac:dyDescent="0.2"/>
    <row r="47602" s="197" customFormat="1" ht="12.75" x14ac:dyDescent="0.2"/>
    <row r="47603" s="197" customFormat="1" ht="12.75" x14ac:dyDescent="0.2"/>
    <row r="47604" s="197" customFormat="1" ht="12.75" x14ac:dyDescent="0.2"/>
    <row r="47605" s="197" customFormat="1" ht="12.75" x14ac:dyDescent="0.2"/>
    <row r="47606" s="197" customFormat="1" ht="12.75" x14ac:dyDescent="0.2"/>
    <row r="47607" s="197" customFormat="1" ht="12.75" x14ac:dyDescent="0.2"/>
    <row r="47608" s="197" customFormat="1" ht="12.75" x14ac:dyDescent="0.2"/>
    <row r="47609" s="197" customFormat="1" ht="12.75" x14ac:dyDescent="0.2"/>
    <row r="47610" s="197" customFormat="1" ht="12.75" x14ac:dyDescent="0.2"/>
    <row r="47611" s="197" customFormat="1" ht="12.75" x14ac:dyDescent="0.2"/>
    <row r="47612" s="197" customFormat="1" ht="12.75" x14ac:dyDescent="0.2"/>
    <row r="47613" s="197" customFormat="1" ht="12.75" x14ac:dyDescent="0.2"/>
    <row r="47614" s="197" customFormat="1" ht="12.75" x14ac:dyDescent="0.2"/>
    <row r="47615" s="197" customFormat="1" ht="12.75" x14ac:dyDescent="0.2"/>
    <row r="47616" s="197" customFormat="1" ht="12.75" x14ac:dyDescent="0.2"/>
    <row r="47617" s="197" customFormat="1" ht="12.75" x14ac:dyDescent="0.2"/>
    <row r="47618" s="197" customFormat="1" ht="12.75" x14ac:dyDescent="0.2"/>
    <row r="47619" s="197" customFormat="1" ht="12.75" x14ac:dyDescent="0.2"/>
    <row r="47620" s="197" customFormat="1" ht="12.75" x14ac:dyDescent="0.2"/>
    <row r="47621" s="197" customFormat="1" ht="12.75" x14ac:dyDescent="0.2"/>
    <row r="47622" s="197" customFormat="1" ht="12.75" x14ac:dyDescent="0.2"/>
    <row r="47623" s="197" customFormat="1" ht="12.75" x14ac:dyDescent="0.2"/>
    <row r="47624" s="197" customFormat="1" ht="12.75" x14ac:dyDescent="0.2"/>
    <row r="47625" s="197" customFormat="1" ht="12.75" x14ac:dyDescent="0.2"/>
    <row r="47626" s="197" customFormat="1" ht="12.75" x14ac:dyDescent="0.2"/>
    <row r="47627" s="197" customFormat="1" ht="12.75" x14ac:dyDescent="0.2"/>
    <row r="47628" s="197" customFormat="1" ht="12.75" x14ac:dyDescent="0.2"/>
    <row r="47629" s="197" customFormat="1" ht="12.75" x14ac:dyDescent="0.2"/>
    <row r="47630" s="197" customFormat="1" ht="12.75" x14ac:dyDescent="0.2"/>
    <row r="47631" s="197" customFormat="1" ht="12.75" x14ac:dyDescent="0.2"/>
    <row r="47632" s="197" customFormat="1" ht="12.75" x14ac:dyDescent="0.2"/>
    <row r="47633" s="197" customFormat="1" ht="12.75" x14ac:dyDescent="0.2"/>
    <row r="47634" s="197" customFormat="1" ht="12.75" x14ac:dyDescent="0.2"/>
    <row r="47635" s="197" customFormat="1" ht="12.75" x14ac:dyDescent="0.2"/>
    <row r="47636" s="197" customFormat="1" ht="12.75" x14ac:dyDescent="0.2"/>
    <row r="47637" s="197" customFormat="1" ht="12.75" x14ac:dyDescent="0.2"/>
    <row r="47638" s="197" customFormat="1" ht="12.75" x14ac:dyDescent="0.2"/>
    <row r="47639" s="197" customFormat="1" ht="12.75" x14ac:dyDescent="0.2"/>
    <row r="47640" s="197" customFormat="1" ht="12.75" x14ac:dyDescent="0.2"/>
    <row r="47641" s="197" customFormat="1" ht="12.75" x14ac:dyDescent="0.2"/>
    <row r="47642" s="197" customFormat="1" ht="12.75" x14ac:dyDescent="0.2"/>
    <row r="47643" s="197" customFormat="1" ht="12.75" x14ac:dyDescent="0.2"/>
    <row r="47644" s="197" customFormat="1" ht="12.75" x14ac:dyDescent="0.2"/>
    <row r="47645" s="197" customFormat="1" ht="12.75" x14ac:dyDescent="0.2"/>
    <row r="47646" s="197" customFormat="1" ht="12.75" x14ac:dyDescent="0.2"/>
    <row r="47647" s="197" customFormat="1" ht="12.75" x14ac:dyDescent="0.2"/>
    <row r="47648" s="197" customFormat="1" ht="12.75" x14ac:dyDescent="0.2"/>
    <row r="47649" s="197" customFormat="1" ht="12.75" x14ac:dyDescent="0.2"/>
    <row r="47650" s="197" customFormat="1" ht="12.75" x14ac:dyDescent="0.2"/>
    <row r="47651" s="197" customFormat="1" ht="12.75" x14ac:dyDescent="0.2"/>
    <row r="47652" s="197" customFormat="1" ht="12.75" x14ac:dyDescent="0.2"/>
    <row r="47653" s="197" customFormat="1" ht="12.75" x14ac:dyDescent="0.2"/>
    <row r="47654" s="197" customFormat="1" ht="12.75" x14ac:dyDescent="0.2"/>
    <row r="47655" s="197" customFormat="1" ht="12.75" x14ac:dyDescent="0.2"/>
    <row r="47656" s="197" customFormat="1" ht="12.75" x14ac:dyDescent="0.2"/>
    <row r="47657" s="197" customFormat="1" ht="12.75" x14ac:dyDescent="0.2"/>
    <row r="47658" s="197" customFormat="1" ht="12.75" x14ac:dyDescent="0.2"/>
    <row r="47659" s="197" customFormat="1" ht="12.75" x14ac:dyDescent="0.2"/>
    <row r="47660" s="197" customFormat="1" ht="12.75" x14ac:dyDescent="0.2"/>
    <row r="47661" s="197" customFormat="1" ht="12.75" x14ac:dyDescent="0.2"/>
    <row r="47662" s="197" customFormat="1" ht="12.75" x14ac:dyDescent="0.2"/>
    <row r="47663" s="197" customFormat="1" ht="12.75" x14ac:dyDescent="0.2"/>
    <row r="47664" s="197" customFormat="1" ht="12.75" x14ac:dyDescent="0.2"/>
    <row r="47665" s="197" customFormat="1" ht="12.75" x14ac:dyDescent="0.2"/>
    <row r="47666" s="197" customFormat="1" ht="12.75" x14ac:dyDescent="0.2"/>
    <row r="47667" s="197" customFormat="1" ht="12.75" x14ac:dyDescent="0.2"/>
    <row r="47668" s="197" customFormat="1" ht="12.75" x14ac:dyDescent="0.2"/>
    <row r="47669" s="197" customFormat="1" ht="12.75" x14ac:dyDescent="0.2"/>
    <row r="47670" s="197" customFormat="1" ht="12.75" x14ac:dyDescent="0.2"/>
    <row r="47671" s="197" customFormat="1" ht="12.75" x14ac:dyDescent="0.2"/>
    <row r="47672" s="197" customFormat="1" ht="12.75" x14ac:dyDescent="0.2"/>
    <row r="47673" s="197" customFormat="1" ht="12.75" x14ac:dyDescent="0.2"/>
    <row r="47674" s="197" customFormat="1" ht="12.75" x14ac:dyDescent="0.2"/>
    <row r="47675" s="197" customFormat="1" ht="12.75" x14ac:dyDescent="0.2"/>
    <row r="47676" s="197" customFormat="1" ht="12.75" x14ac:dyDescent="0.2"/>
    <row r="47677" s="197" customFormat="1" ht="12.75" x14ac:dyDescent="0.2"/>
    <row r="47678" s="197" customFormat="1" ht="12.75" x14ac:dyDescent="0.2"/>
    <row r="47679" s="197" customFormat="1" ht="12.75" x14ac:dyDescent="0.2"/>
    <row r="47680" s="197" customFormat="1" ht="12.75" x14ac:dyDescent="0.2"/>
    <row r="47681" s="197" customFormat="1" ht="12.75" x14ac:dyDescent="0.2"/>
    <row r="47682" s="197" customFormat="1" ht="12.75" x14ac:dyDescent="0.2"/>
    <row r="47683" s="197" customFormat="1" ht="12.75" x14ac:dyDescent="0.2"/>
    <row r="47684" s="197" customFormat="1" ht="12.75" x14ac:dyDescent="0.2"/>
    <row r="47685" s="197" customFormat="1" ht="12.75" x14ac:dyDescent="0.2"/>
    <row r="47686" s="197" customFormat="1" ht="12.75" x14ac:dyDescent="0.2"/>
    <row r="47687" s="197" customFormat="1" ht="12.75" x14ac:dyDescent="0.2"/>
    <row r="47688" s="197" customFormat="1" ht="12.75" x14ac:dyDescent="0.2"/>
    <row r="47689" s="197" customFormat="1" ht="12.75" x14ac:dyDescent="0.2"/>
    <row r="47690" s="197" customFormat="1" ht="12.75" x14ac:dyDescent="0.2"/>
    <row r="47691" s="197" customFormat="1" ht="12.75" x14ac:dyDescent="0.2"/>
    <row r="47692" s="197" customFormat="1" ht="12.75" x14ac:dyDescent="0.2"/>
    <row r="47693" s="197" customFormat="1" ht="12.75" x14ac:dyDescent="0.2"/>
    <row r="47694" s="197" customFormat="1" ht="12.75" x14ac:dyDescent="0.2"/>
    <row r="47695" s="197" customFormat="1" ht="12.75" x14ac:dyDescent="0.2"/>
    <row r="47696" s="197" customFormat="1" ht="12.75" x14ac:dyDescent="0.2"/>
    <row r="47697" s="197" customFormat="1" ht="12.75" x14ac:dyDescent="0.2"/>
    <row r="47698" s="197" customFormat="1" ht="12.75" x14ac:dyDescent="0.2"/>
    <row r="47699" s="197" customFormat="1" ht="12.75" x14ac:dyDescent="0.2"/>
    <row r="47700" s="197" customFormat="1" ht="12.75" x14ac:dyDescent="0.2"/>
    <row r="47701" s="197" customFormat="1" ht="12.75" x14ac:dyDescent="0.2"/>
    <row r="47702" s="197" customFormat="1" ht="12.75" x14ac:dyDescent="0.2"/>
    <row r="47703" s="197" customFormat="1" ht="12.75" x14ac:dyDescent="0.2"/>
    <row r="47704" s="197" customFormat="1" ht="12.75" x14ac:dyDescent="0.2"/>
    <row r="47705" s="197" customFormat="1" ht="12.75" x14ac:dyDescent="0.2"/>
    <row r="47706" s="197" customFormat="1" ht="12.75" x14ac:dyDescent="0.2"/>
    <row r="47707" s="197" customFormat="1" ht="12.75" x14ac:dyDescent="0.2"/>
    <row r="47708" s="197" customFormat="1" ht="12.75" x14ac:dyDescent="0.2"/>
    <row r="47709" s="197" customFormat="1" ht="12.75" x14ac:dyDescent="0.2"/>
    <row r="47710" s="197" customFormat="1" ht="12.75" x14ac:dyDescent="0.2"/>
    <row r="47711" s="197" customFormat="1" ht="12.75" x14ac:dyDescent="0.2"/>
    <row r="47712" s="197" customFormat="1" ht="12.75" x14ac:dyDescent="0.2"/>
    <row r="47713" s="197" customFormat="1" ht="12.75" x14ac:dyDescent="0.2"/>
    <row r="47714" s="197" customFormat="1" ht="12.75" x14ac:dyDescent="0.2"/>
    <row r="47715" s="197" customFormat="1" ht="12.75" x14ac:dyDescent="0.2"/>
    <row r="47716" s="197" customFormat="1" ht="12.75" x14ac:dyDescent="0.2"/>
    <row r="47717" s="197" customFormat="1" ht="12.75" x14ac:dyDescent="0.2"/>
    <row r="47718" s="197" customFormat="1" ht="12.75" x14ac:dyDescent="0.2"/>
    <row r="47719" s="197" customFormat="1" ht="12.75" x14ac:dyDescent="0.2"/>
    <row r="47720" s="197" customFormat="1" ht="12.75" x14ac:dyDescent="0.2"/>
    <row r="47721" s="197" customFormat="1" ht="12.75" x14ac:dyDescent="0.2"/>
    <row r="47722" s="197" customFormat="1" ht="12.75" x14ac:dyDescent="0.2"/>
    <row r="47723" s="197" customFormat="1" ht="12.75" x14ac:dyDescent="0.2"/>
    <row r="47724" s="197" customFormat="1" ht="12.75" x14ac:dyDescent="0.2"/>
    <row r="47725" s="197" customFormat="1" ht="12.75" x14ac:dyDescent="0.2"/>
    <row r="47726" s="197" customFormat="1" ht="12.75" x14ac:dyDescent="0.2"/>
    <row r="47727" s="197" customFormat="1" ht="12.75" x14ac:dyDescent="0.2"/>
    <row r="47728" s="197" customFormat="1" ht="12.75" x14ac:dyDescent="0.2"/>
    <row r="47729" s="197" customFormat="1" ht="12.75" x14ac:dyDescent="0.2"/>
    <row r="47730" s="197" customFormat="1" ht="12.75" x14ac:dyDescent="0.2"/>
    <row r="47731" s="197" customFormat="1" ht="12.75" x14ac:dyDescent="0.2"/>
    <row r="47732" s="197" customFormat="1" ht="12.75" x14ac:dyDescent="0.2"/>
    <row r="47733" s="197" customFormat="1" ht="12.75" x14ac:dyDescent="0.2"/>
    <row r="47734" s="197" customFormat="1" ht="12.75" x14ac:dyDescent="0.2"/>
    <row r="47735" s="197" customFormat="1" ht="12.75" x14ac:dyDescent="0.2"/>
    <row r="47736" s="197" customFormat="1" ht="12.75" x14ac:dyDescent="0.2"/>
    <row r="47737" s="197" customFormat="1" ht="12.75" x14ac:dyDescent="0.2"/>
    <row r="47738" s="197" customFormat="1" ht="12.75" x14ac:dyDescent="0.2"/>
    <row r="47739" s="197" customFormat="1" ht="12.75" x14ac:dyDescent="0.2"/>
    <row r="47740" s="197" customFormat="1" ht="12.75" x14ac:dyDescent="0.2"/>
    <row r="47741" s="197" customFormat="1" ht="12.75" x14ac:dyDescent="0.2"/>
    <row r="47742" s="197" customFormat="1" ht="12.75" x14ac:dyDescent="0.2"/>
    <row r="47743" s="197" customFormat="1" ht="12.75" x14ac:dyDescent="0.2"/>
    <row r="47744" s="197" customFormat="1" ht="12.75" x14ac:dyDescent="0.2"/>
    <row r="47745" s="197" customFormat="1" ht="12.75" x14ac:dyDescent="0.2"/>
    <row r="47746" s="197" customFormat="1" ht="12.75" x14ac:dyDescent="0.2"/>
    <row r="47747" s="197" customFormat="1" ht="12.75" x14ac:dyDescent="0.2"/>
    <row r="47748" s="197" customFormat="1" ht="12.75" x14ac:dyDescent="0.2"/>
    <row r="47749" s="197" customFormat="1" ht="12.75" x14ac:dyDescent="0.2"/>
    <row r="47750" s="197" customFormat="1" ht="12.75" x14ac:dyDescent="0.2"/>
    <row r="47751" s="197" customFormat="1" ht="12.75" x14ac:dyDescent="0.2"/>
    <row r="47752" s="197" customFormat="1" ht="12.75" x14ac:dyDescent="0.2"/>
    <row r="47753" s="197" customFormat="1" ht="12.75" x14ac:dyDescent="0.2"/>
    <row r="47754" s="197" customFormat="1" ht="12.75" x14ac:dyDescent="0.2"/>
    <row r="47755" s="197" customFormat="1" ht="12.75" x14ac:dyDescent="0.2"/>
    <row r="47756" s="197" customFormat="1" ht="12.75" x14ac:dyDescent="0.2"/>
    <row r="47757" s="197" customFormat="1" ht="12.75" x14ac:dyDescent="0.2"/>
    <row r="47758" s="197" customFormat="1" ht="12.75" x14ac:dyDescent="0.2"/>
    <row r="47759" s="197" customFormat="1" ht="12.75" x14ac:dyDescent="0.2"/>
    <row r="47760" s="197" customFormat="1" ht="12.75" x14ac:dyDescent="0.2"/>
    <row r="47761" s="197" customFormat="1" ht="12.75" x14ac:dyDescent="0.2"/>
    <row r="47762" s="197" customFormat="1" ht="12.75" x14ac:dyDescent="0.2"/>
    <row r="47763" s="197" customFormat="1" ht="12.75" x14ac:dyDescent="0.2"/>
    <row r="47764" s="197" customFormat="1" ht="12.75" x14ac:dyDescent="0.2"/>
    <row r="47765" s="197" customFormat="1" ht="12.75" x14ac:dyDescent="0.2"/>
    <row r="47766" s="197" customFormat="1" ht="12.75" x14ac:dyDescent="0.2"/>
    <row r="47767" s="197" customFormat="1" ht="12.75" x14ac:dyDescent="0.2"/>
    <row r="47768" s="197" customFormat="1" ht="12.75" x14ac:dyDescent="0.2"/>
    <row r="47769" s="197" customFormat="1" ht="12.75" x14ac:dyDescent="0.2"/>
    <row r="47770" s="197" customFormat="1" ht="12.75" x14ac:dyDescent="0.2"/>
    <row r="47771" s="197" customFormat="1" ht="12.75" x14ac:dyDescent="0.2"/>
    <row r="47772" s="197" customFormat="1" ht="12.75" x14ac:dyDescent="0.2"/>
    <row r="47773" s="197" customFormat="1" ht="12.75" x14ac:dyDescent="0.2"/>
    <row r="47774" s="197" customFormat="1" ht="12.75" x14ac:dyDescent="0.2"/>
    <row r="47775" s="197" customFormat="1" ht="12.75" x14ac:dyDescent="0.2"/>
    <row r="47776" s="197" customFormat="1" ht="12.75" x14ac:dyDescent="0.2"/>
    <row r="47777" s="197" customFormat="1" ht="12.75" x14ac:dyDescent="0.2"/>
    <row r="47778" s="197" customFormat="1" ht="12.75" x14ac:dyDescent="0.2"/>
    <row r="47779" s="197" customFormat="1" ht="12.75" x14ac:dyDescent="0.2"/>
    <row r="47780" s="197" customFormat="1" ht="12.75" x14ac:dyDescent="0.2"/>
    <row r="47781" s="197" customFormat="1" ht="12.75" x14ac:dyDescent="0.2"/>
    <row r="47782" s="197" customFormat="1" ht="12.75" x14ac:dyDescent="0.2"/>
    <row r="47783" s="197" customFormat="1" ht="12.75" x14ac:dyDescent="0.2"/>
    <row r="47784" s="197" customFormat="1" ht="12.75" x14ac:dyDescent="0.2"/>
    <row r="47785" s="197" customFormat="1" ht="12.75" x14ac:dyDescent="0.2"/>
    <row r="47786" s="197" customFormat="1" ht="12.75" x14ac:dyDescent="0.2"/>
    <row r="47787" s="197" customFormat="1" ht="12.75" x14ac:dyDescent="0.2"/>
    <row r="47788" s="197" customFormat="1" ht="12.75" x14ac:dyDescent="0.2"/>
    <row r="47789" s="197" customFormat="1" ht="12.75" x14ac:dyDescent="0.2"/>
    <row r="47790" s="197" customFormat="1" ht="12.75" x14ac:dyDescent="0.2"/>
    <row r="47791" s="197" customFormat="1" ht="12.75" x14ac:dyDescent="0.2"/>
    <row r="47792" s="197" customFormat="1" ht="12.75" x14ac:dyDescent="0.2"/>
    <row r="47793" s="197" customFormat="1" ht="12.75" x14ac:dyDescent="0.2"/>
    <row r="47794" s="197" customFormat="1" ht="12.75" x14ac:dyDescent="0.2"/>
    <row r="47795" s="197" customFormat="1" ht="12.75" x14ac:dyDescent="0.2"/>
    <row r="47796" s="197" customFormat="1" ht="12.75" x14ac:dyDescent="0.2"/>
    <row r="47797" s="197" customFormat="1" ht="12.75" x14ac:dyDescent="0.2"/>
    <row r="47798" s="197" customFormat="1" ht="12.75" x14ac:dyDescent="0.2"/>
    <row r="47799" s="197" customFormat="1" ht="12.75" x14ac:dyDescent="0.2"/>
    <row r="47800" s="197" customFormat="1" ht="12.75" x14ac:dyDescent="0.2"/>
    <row r="47801" s="197" customFormat="1" ht="12.75" x14ac:dyDescent="0.2"/>
    <row r="47802" s="197" customFormat="1" ht="12.75" x14ac:dyDescent="0.2"/>
    <row r="47803" s="197" customFormat="1" ht="12.75" x14ac:dyDescent="0.2"/>
    <row r="47804" s="197" customFormat="1" ht="12.75" x14ac:dyDescent="0.2"/>
    <row r="47805" s="197" customFormat="1" ht="12.75" x14ac:dyDescent="0.2"/>
    <row r="47806" s="197" customFormat="1" ht="12.75" x14ac:dyDescent="0.2"/>
    <row r="47807" s="197" customFormat="1" ht="12.75" x14ac:dyDescent="0.2"/>
    <row r="47808" s="197" customFormat="1" ht="12.75" x14ac:dyDescent="0.2"/>
    <row r="47809" s="197" customFormat="1" ht="12.75" x14ac:dyDescent="0.2"/>
    <row r="47810" s="197" customFormat="1" ht="12.75" x14ac:dyDescent="0.2"/>
    <row r="47811" s="197" customFormat="1" ht="12.75" x14ac:dyDescent="0.2"/>
    <row r="47812" s="197" customFormat="1" ht="12.75" x14ac:dyDescent="0.2"/>
    <row r="47813" s="197" customFormat="1" ht="12.75" x14ac:dyDescent="0.2"/>
    <row r="47814" s="197" customFormat="1" ht="12.75" x14ac:dyDescent="0.2"/>
    <row r="47815" s="197" customFormat="1" ht="12.75" x14ac:dyDescent="0.2"/>
    <row r="47816" s="197" customFormat="1" ht="12.75" x14ac:dyDescent="0.2"/>
    <row r="47817" s="197" customFormat="1" ht="12.75" x14ac:dyDescent="0.2"/>
    <row r="47818" s="197" customFormat="1" ht="12.75" x14ac:dyDescent="0.2"/>
    <row r="47819" s="197" customFormat="1" ht="12.75" x14ac:dyDescent="0.2"/>
    <row r="47820" s="197" customFormat="1" ht="12.75" x14ac:dyDescent="0.2"/>
    <row r="47821" s="197" customFormat="1" ht="12.75" x14ac:dyDescent="0.2"/>
    <row r="47822" s="197" customFormat="1" ht="12.75" x14ac:dyDescent="0.2"/>
    <row r="47823" s="197" customFormat="1" ht="12.75" x14ac:dyDescent="0.2"/>
    <row r="47824" s="197" customFormat="1" ht="12.75" x14ac:dyDescent="0.2"/>
    <row r="47825" s="197" customFormat="1" ht="12.75" x14ac:dyDescent="0.2"/>
    <row r="47826" s="197" customFormat="1" ht="12.75" x14ac:dyDescent="0.2"/>
    <row r="47827" s="197" customFormat="1" ht="12.75" x14ac:dyDescent="0.2"/>
    <row r="47828" s="197" customFormat="1" ht="12.75" x14ac:dyDescent="0.2"/>
    <row r="47829" s="197" customFormat="1" ht="12.75" x14ac:dyDescent="0.2"/>
    <row r="47830" s="197" customFormat="1" ht="12.75" x14ac:dyDescent="0.2"/>
    <row r="47831" s="197" customFormat="1" ht="12.75" x14ac:dyDescent="0.2"/>
    <row r="47832" s="197" customFormat="1" ht="12.75" x14ac:dyDescent="0.2"/>
    <row r="47833" s="197" customFormat="1" ht="12.75" x14ac:dyDescent="0.2"/>
    <row r="47834" s="197" customFormat="1" ht="12.75" x14ac:dyDescent="0.2"/>
    <row r="47835" s="197" customFormat="1" ht="12.75" x14ac:dyDescent="0.2"/>
    <row r="47836" s="197" customFormat="1" ht="12.75" x14ac:dyDescent="0.2"/>
    <row r="47837" s="197" customFormat="1" ht="12.75" x14ac:dyDescent="0.2"/>
    <row r="47838" s="197" customFormat="1" ht="12.75" x14ac:dyDescent="0.2"/>
    <row r="47839" s="197" customFormat="1" ht="12.75" x14ac:dyDescent="0.2"/>
    <row r="47840" s="197" customFormat="1" ht="12.75" x14ac:dyDescent="0.2"/>
    <row r="47841" s="197" customFormat="1" ht="12.75" x14ac:dyDescent="0.2"/>
    <row r="47842" s="197" customFormat="1" ht="12.75" x14ac:dyDescent="0.2"/>
    <row r="47843" s="197" customFormat="1" ht="12.75" x14ac:dyDescent="0.2"/>
    <row r="47844" s="197" customFormat="1" ht="12.75" x14ac:dyDescent="0.2"/>
    <row r="47845" s="197" customFormat="1" ht="12.75" x14ac:dyDescent="0.2"/>
    <row r="47846" s="197" customFormat="1" ht="12.75" x14ac:dyDescent="0.2"/>
    <row r="47847" s="197" customFormat="1" ht="12.75" x14ac:dyDescent="0.2"/>
    <row r="47848" s="197" customFormat="1" ht="12.75" x14ac:dyDescent="0.2"/>
    <row r="47849" s="197" customFormat="1" ht="12.75" x14ac:dyDescent="0.2"/>
    <row r="47850" s="197" customFormat="1" ht="12.75" x14ac:dyDescent="0.2"/>
    <row r="47851" s="197" customFormat="1" ht="12.75" x14ac:dyDescent="0.2"/>
    <row r="47852" s="197" customFormat="1" ht="12.75" x14ac:dyDescent="0.2"/>
    <row r="47853" s="197" customFormat="1" ht="12.75" x14ac:dyDescent="0.2"/>
    <row r="47854" s="197" customFormat="1" ht="12.75" x14ac:dyDescent="0.2"/>
    <row r="47855" s="197" customFormat="1" ht="12.75" x14ac:dyDescent="0.2"/>
    <row r="47856" s="197" customFormat="1" ht="12.75" x14ac:dyDescent="0.2"/>
    <row r="47857" s="197" customFormat="1" ht="12.75" x14ac:dyDescent="0.2"/>
    <row r="47858" s="197" customFormat="1" ht="12.75" x14ac:dyDescent="0.2"/>
    <row r="47859" s="197" customFormat="1" ht="12.75" x14ac:dyDescent="0.2"/>
    <row r="47860" s="197" customFormat="1" ht="12.75" x14ac:dyDescent="0.2"/>
    <row r="47861" s="197" customFormat="1" ht="12.75" x14ac:dyDescent="0.2"/>
    <row r="47862" s="197" customFormat="1" ht="12.75" x14ac:dyDescent="0.2"/>
    <row r="47863" s="197" customFormat="1" ht="12.75" x14ac:dyDescent="0.2"/>
    <row r="47864" s="197" customFormat="1" ht="12.75" x14ac:dyDescent="0.2"/>
    <row r="47865" s="197" customFormat="1" ht="12.75" x14ac:dyDescent="0.2"/>
    <row r="47866" s="197" customFormat="1" ht="12.75" x14ac:dyDescent="0.2"/>
    <row r="47867" s="197" customFormat="1" ht="12.75" x14ac:dyDescent="0.2"/>
    <row r="47868" s="197" customFormat="1" ht="12.75" x14ac:dyDescent="0.2"/>
    <row r="47869" s="197" customFormat="1" ht="12.75" x14ac:dyDescent="0.2"/>
    <row r="47870" s="197" customFormat="1" ht="12.75" x14ac:dyDescent="0.2"/>
    <row r="47871" s="197" customFormat="1" ht="12.75" x14ac:dyDescent="0.2"/>
    <row r="47872" s="197" customFormat="1" ht="12.75" x14ac:dyDescent="0.2"/>
    <row r="47873" s="197" customFormat="1" ht="12.75" x14ac:dyDescent="0.2"/>
    <row r="47874" s="197" customFormat="1" ht="12.75" x14ac:dyDescent="0.2"/>
    <row r="47875" s="197" customFormat="1" ht="12.75" x14ac:dyDescent="0.2"/>
    <row r="47876" s="197" customFormat="1" ht="12.75" x14ac:dyDescent="0.2"/>
    <row r="47877" s="197" customFormat="1" ht="12.75" x14ac:dyDescent="0.2"/>
    <row r="47878" s="197" customFormat="1" ht="12.75" x14ac:dyDescent="0.2"/>
    <row r="47879" s="197" customFormat="1" ht="12.75" x14ac:dyDescent="0.2"/>
    <row r="47880" s="197" customFormat="1" ht="12.75" x14ac:dyDescent="0.2"/>
    <row r="47881" s="197" customFormat="1" ht="12.75" x14ac:dyDescent="0.2"/>
    <row r="47882" s="197" customFormat="1" ht="12.75" x14ac:dyDescent="0.2"/>
    <row r="47883" s="197" customFormat="1" ht="12.75" x14ac:dyDescent="0.2"/>
    <row r="47884" s="197" customFormat="1" ht="12.75" x14ac:dyDescent="0.2"/>
    <row r="47885" s="197" customFormat="1" ht="12.75" x14ac:dyDescent="0.2"/>
    <row r="47886" s="197" customFormat="1" ht="12.75" x14ac:dyDescent="0.2"/>
    <row r="47887" s="197" customFormat="1" ht="12.75" x14ac:dyDescent="0.2"/>
    <row r="47888" s="197" customFormat="1" ht="12.75" x14ac:dyDescent="0.2"/>
    <row r="47889" s="197" customFormat="1" ht="12.75" x14ac:dyDescent="0.2"/>
    <row r="47890" s="197" customFormat="1" ht="12.75" x14ac:dyDescent="0.2"/>
    <row r="47891" s="197" customFormat="1" ht="12.75" x14ac:dyDescent="0.2"/>
    <row r="47892" s="197" customFormat="1" ht="12.75" x14ac:dyDescent="0.2"/>
    <row r="47893" s="197" customFormat="1" ht="12.75" x14ac:dyDescent="0.2"/>
    <row r="47894" s="197" customFormat="1" ht="12.75" x14ac:dyDescent="0.2"/>
    <row r="47895" s="197" customFormat="1" ht="12.75" x14ac:dyDescent="0.2"/>
    <row r="47896" s="197" customFormat="1" ht="12.75" x14ac:dyDescent="0.2"/>
    <row r="47897" s="197" customFormat="1" ht="12.75" x14ac:dyDescent="0.2"/>
    <row r="47898" s="197" customFormat="1" ht="12.75" x14ac:dyDescent="0.2"/>
    <row r="47899" s="197" customFormat="1" ht="12.75" x14ac:dyDescent="0.2"/>
    <row r="47900" s="197" customFormat="1" ht="12.75" x14ac:dyDescent="0.2"/>
    <row r="47901" s="197" customFormat="1" ht="12.75" x14ac:dyDescent="0.2"/>
    <row r="47902" s="197" customFormat="1" ht="12.75" x14ac:dyDescent="0.2"/>
    <row r="47903" s="197" customFormat="1" ht="12.75" x14ac:dyDescent="0.2"/>
    <row r="47904" s="197" customFormat="1" ht="12.75" x14ac:dyDescent="0.2"/>
    <row r="47905" s="197" customFormat="1" ht="12.75" x14ac:dyDescent="0.2"/>
    <row r="47906" s="197" customFormat="1" ht="12.75" x14ac:dyDescent="0.2"/>
    <row r="47907" s="197" customFormat="1" ht="12.75" x14ac:dyDescent="0.2"/>
    <row r="47908" s="197" customFormat="1" ht="12.75" x14ac:dyDescent="0.2"/>
    <row r="47909" s="197" customFormat="1" ht="12.75" x14ac:dyDescent="0.2"/>
    <row r="47910" s="197" customFormat="1" ht="12.75" x14ac:dyDescent="0.2"/>
    <row r="47911" s="197" customFormat="1" ht="12.75" x14ac:dyDescent="0.2"/>
    <row r="47912" s="197" customFormat="1" ht="12.75" x14ac:dyDescent="0.2"/>
    <row r="47913" s="197" customFormat="1" ht="12.75" x14ac:dyDescent="0.2"/>
    <row r="47914" s="197" customFormat="1" ht="12.75" x14ac:dyDescent="0.2"/>
    <row r="47915" s="197" customFormat="1" ht="12.75" x14ac:dyDescent="0.2"/>
    <row r="47916" s="197" customFormat="1" ht="12.75" x14ac:dyDescent="0.2"/>
    <row r="47917" s="197" customFormat="1" ht="12.75" x14ac:dyDescent="0.2"/>
    <row r="47918" s="197" customFormat="1" ht="12.75" x14ac:dyDescent="0.2"/>
    <row r="47919" s="197" customFormat="1" ht="12.75" x14ac:dyDescent="0.2"/>
    <row r="47920" s="197" customFormat="1" ht="12.75" x14ac:dyDescent="0.2"/>
    <row r="47921" s="197" customFormat="1" ht="12.75" x14ac:dyDescent="0.2"/>
    <row r="47922" s="197" customFormat="1" ht="12.75" x14ac:dyDescent="0.2"/>
    <row r="47923" s="197" customFormat="1" ht="12.75" x14ac:dyDescent="0.2"/>
    <row r="47924" s="197" customFormat="1" ht="12.75" x14ac:dyDescent="0.2"/>
    <row r="47925" s="197" customFormat="1" ht="12.75" x14ac:dyDescent="0.2"/>
    <row r="47926" s="197" customFormat="1" ht="12.75" x14ac:dyDescent="0.2"/>
    <row r="47927" s="197" customFormat="1" ht="12.75" x14ac:dyDescent="0.2"/>
    <row r="47928" s="197" customFormat="1" ht="12.75" x14ac:dyDescent="0.2"/>
    <row r="47929" s="197" customFormat="1" ht="12.75" x14ac:dyDescent="0.2"/>
    <row r="47930" s="197" customFormat="1" ht="12.75" x14ac:dyDescent="0.2"/>
    <row r="47931" s="197" customFormat="1" ht="12.75" x14ac:dyDescent="0.2"/>
    <row r="47932" s="197" customFormat="1" ht="12.75" x14ac:dyDescent="0.2"/>
    <row r="47933" s="197" customFormat="1" ht="12.75" x14ac:dyDescent="0.2"/>
    <row r="47934" s="197" customFormat="1" ht="12.75" x14ac:dyDescent="0.2"/>
    <row r="47935" s="197" customFormat="1" ht="12.75" x14ac:dyDescent="0.2"/>
    <row r="47936" s="197" customFormat="1" ht="12.75" x14ac:dyDescent="0.2"/>
    <row r="47937" s="197" customFormat="1" ht="12.75" x14ac:dyDescent="0.2"/>
    <row r="47938" s="197" customFormat="1" ht="12.75" x14ac:dyDescent="0.2"/>
    <row r="47939" s="197" customFormat="1" ht="12.75" x14ac:dyDescent="0.2"/>
    <row r="47940" s="197" customFormat="1" ht="12.75" x14ac:dyDescent="0.2"/>
    <row r="47941" s="197" customFormat="1" ht="12.75" x14ac:dyDescent="0.2"/>
    <row r="47942" s="197" customFormat="1" ht="12.75" x14ac:dyDescent="0.2"/>
    <row r="47943" s="197" customFormat="1" ht="12.75" x14ac:dyDescent="0.2"/>
    <row r="47944" s="197" customFormat="1" ht="12.75" x14ac:dyDescent="0.2"/>
    <row r="47945" s="197" customFormat="1" ht="12.75" x14ac:dyDescent="0.2"/>
    <row r="47946" s="197" customFormat="1" ht="12.75" x14ac:dyDescent="0.2"/>
    <row r="47947" s="197" customFormat="1" ht="12.75" x14ac:dyDescent="0.2"/>
    <row r="47948" s="197" customFormat="1" ht="12.75" x14ac:dyDescent="0.2"/>
    <row r="47949" s="197" customFormat="1" ht="12.75" x14ac:dyDescent="0.2"/>
    <row r="47950" s="197" customFormat="1" ht="12.75" x14ac:dyDescent="0.2"/>
    <row r="47951" s="197" customFormat="1" ht="12.75" x14ac:dyDescent="0.2"/>
    <row r="47952" s="197" customFormat="1" ht="12.75" x14ac:dyDescent="0.2"/>
    <row r="47953" s="197" customFormat="1" ht="12.75" x14ac:dyDescent="0.2"/>
    <row r="47954" s="197" customFormat="1" ht="12.75" x14ac:dyDescent="0.2"/>
    <row r="47955" s="197" customFormat="1" ht="12.75" x14ac:dyDescent="0.2"/>
    <row r="47956" s="197" customFormat="1" ht="12.75" x14ac:dyDescent="0.2"/>
    <row r="47957" s="197" customFormat="1" ht="12.75" x14ac:dyDescent="0.2"/>
    <row r="47958" s="197" customFormat="1" ht="12.75" x14ac:dyDescent="0.2"/>
    <row r="47959" s="197" customFormat="1" ht="12.75" x14ac:dyDescent="0.2"/>
    <row r="47960" s="197" customFormat="1" ht="12.75" x14ac:dyDescent="0.2"/>
    <row r="47961" s="197" customFormat="1" ht="12.75" x14ac:dyDescent="0.2"/>
    <row r="47962" s="197" customFormat="1" ht="12.75" x14ac:dyDescent="0.2"/>
    <row r="47963" s="197" customFormat="1" ht="12.75" x14ac:dyDescent="0.2"/>
    <row r="47964" s="197" customFormat="1" ht="12.75" x14ac:dyDescent="0.2"/>
    <row r="47965" s="197" customFormat="1" ht="12.75" x14ac:dyDescent="0.2"/>
    <row r="47966" s="197" customFormat="1" ht="12.75" x14ac:dyDescent="0.2"/>
    <row r="47967" s="197" customFormat="1" ht="12.75" x14ac:dyDescent="0.2"/>
    <row r="47968" s="197" customFormat="1" ht="12.75" x14ac:dyDescent="0.2"/>
    <row r="47969" s="197" customFormat="1" ht="12.75" x14ac:dyDescent="0.2"/>
    <row r="47970" s="197" customFormat="1" ht="12.75" x14ac:dyDescent="0.2"/>
    <row r="47971" s="197" customFormat="1" ht="12.75" x14ac:dyDescent="0.2"/>
    <row r="47972" s="197" customFormat="1" ht="12.75" x14ac:dyDescent="0.2"/>
    <row r="47973" s="197" customFormat="1" ht="12.75" x14ac:dyDescent="0.2"/>
    <row r="47974" s="197" customFormat="1" ht="12.75" x14ac:dyDescent="0.2"/>
    <row r="47975" s="197" customFormat="1" ht="12.75" x14ac:dyDescent="0.2"/>
    <row r="47976" s="197" customFormat="1" ht="12.75" x14ac:dyDescent="0.2"/>
    <row r="47977" s="197" customFormat="1" ht="12.75" x14ac:dyDescent="0.2"/>
    <row r="47978" s="197" customFormat="1" ht="12.75" x14ac:dyDescent="0.2"/>
    <row r="47979" s="197" customFormat="1" ht="12.75" x14ac:dyDescent="0.2"/>
    <row r="47980" s="197" customFormat="1" ht="12.75" x14ac:dyDescent="0.2"/>
    <row r="47981" s="197" customFormat="1" ht="12.75" x14ac:dyDescent="0.2"/>
    <row r="47982" s="197" customFormat="1" ht="12.75" x14ac:dyDescent="0.2"/>
    <row r="47983" s="197" customFormat="1" ht="12.75" x14ac:dyDescent="0.2"/>
    <row r="47984" s="197" customFormat="1" ht="12.75" x14ac:dyDescent="0.2"/>
    <row r="47985" s="197" customFormat="1" ht="12.75" x14ac:dyDescent="0.2"/>
    <row r="47986" s="197" customFormat="1" ht="12.75" x14ac:dyDescent="0.2"/>
    <row r="47987" s="197" customFormat="1" ht="12.75" x14ac:dyDescent="0.2"/>
    <row r="47988" s="197" customFormat="1" ht="12.75" x14ac:dyDescent="0.2"/>
    <row r="47989" s="197" customFormat="1" ht="12.75" x14ac:dyDescent="0.2"/>
    <row r="47990" s="197" customFormat="1" ht="12.75" x14ac:dyDescent="0.2"/>
    <row r="47991" s="197" customFormat="1" ht="12.75" x14ac:dyDescent="0.2"/>
    <row r="47992" s="197" customFormat="1" ht="12.75" x14ac:dyDescent="0.2"/>
    <row r="47993" s="197" customFormat="1" ht="12.75" x14ac:dyDescent="0.2"/>
    <row r="47994" s="197" customFormat="1" ht="12.75" x14ac:dyDescent="0.2"/>
    <row r="47995" s="197" customFormat="1" ht="12.75" x14ac:dyDescent="0.2"/>
    <row r="47996" s="197" customFormat="1" ht="12.75" x14ac:dyDescent="0.2"/>
    <row r="47997" s="197" customFormat="1" ht="12.75" x14ac:dyDescent="0.2"/>
    <row r="47998" s="197" customFormat="1" ht="12.75" x14ac:dyDescent="0.2"/>
    <row r="47999" s="197" customFormat="1" ht="12.75" x14ac:dyDescent="0.2"/>
    <row r="48000" s="197" customFormat="1" ht="12.75" x14ac:dyDescent="0.2"/>
    <row r="48001" s="197" customFormat="1" ht="12.75" x14ac:dyDescent="0.2"/>
    <row r="48002" s="197" customFormat="1" ht="12.75" x14ac:dyDescent="0.2"/>
    <row r="48003" s="197" customFormat="1" ht="12.75" x14ac:dyDescent="0.2"/>
    <row r="48004" s="197" customFormat="1" ht="12.75" x14ac:dyDescent="0.2"/>
    <row r="48005" s="197" customFormat="1" ht="12.75" x14ac:dyDescent="0.2"/>
    <row r="48006" s="197" customFormat="1" ht="12.75" x14ac:dyDescent="0.2"/>
    <row r="48007" s="197" customFormat="1" ht="12.75" x14ac:dyDescent="0.2"/>
    <row r="48008" s="197" customFormat="1" ht="12.75" x14ac:dyDescent="0.2"/>
    <row r="48009" s="197" customFormat="1" ht="12.75" x14ac:dyDescent="0.2"/>
    <row r="48010" s="197" customFormat="1" ht="12.75" x14ac:dyDescent="0.2"/>
    <row r="48011" s="197" customFormat="1" ht="12.75" x14ac:dyDescent="0.2"/>
    <row r="48012" s="197" customFormat="1" ht="12.75" x14ac:dyDescent="0.2"/>
    <row r="48013" s="197" customFormat="1" ht="12.75" x14ac:dyDescent="0.2"/>
    <row r="48014" s="197" customFormat="1" ht="12.75" x14ac:dyDescent="0.2"/>
    <row r="48015" s="197" customFormat="1" ht="12.75" x14ac:dyDescent="0.2"/>
    <row r="48016" s="197" customFormat="1" ht="12.75" x14ac:dyDescent="0.2"/>
    <row r="48017" s="197" customFormat="1" ht="12.75" x14ac:dyDescent="0.2"/>
    <row r="48018" s="197" customFormat="1" ht="12.75" x14ac:dyDescent="0.2"/>
    <row r="48019" s="197" customFormat="1" ht="12.75" x14ac:dyDescent="0.2"/>
    <row r="48020" s="197" customFormat="1" ht="12.75" x14ac:dyDescent="0.2"/>
    <row r="48021" s="197" customFormat="1" ht="12.75" x14ac:dyDescent="0.2"/>
    <row r="48022" s="197" customFormat="1" ht="12.75" x14ac:dyDescent="0.2"/>
    <row r="48023" s="197" customFormat="1" ht="12.75" x14ac:dyDescent="0.2"/>
    <row r="48024" s="197" customFormat="1" ht="12.75" x14ac:dyDescent="0.2"/>
    <row r="48025" s="197" customFormat="1" ht="12.75" x14ac:dyDescent="0.2"/>
    <row r="48026" s="197" customFormat="1" ht="12.75" x14ac:dyDescent="0.2"/>
    <row r="48027" s="197" customFormat="1" ht="12.75" x14ac:dyDescent="0.2"/>
    <row r="48028" s="197" customFormat="1" ht="12.75" x14ac:dyDescent="0.2"/>
    <row r="48029" s="197" customFormat="1" ht="12.75" x14ac:dyDescent="0.2"/>
    <row r="48030" s="197" customFormat="1" ht="12.75" x14ac:dyDescent="0.2"/>
    <row r="48031" s="197" customFormat="1" ht="12.75" x14ac:dyDescent="0.2"/>
    <row r="48032" s="197" customFormat="1" ht="12.75" x14ac:dyDescent="0.2"/>
    <row r="48033" s="197" customFormat="1" ht="12.75" x14ac:dyDescent="0.2"/>
    <row r="48034" s="197" customFormat="1" ht="12.75" x14ac:dyDescent="0.2"/>
    <row r="48035" s="197" customFormat="1" ht="12.75" x14ac:dyDescent="0.2"/>
    <row r="48036" s="197" customFormat="1" ht="12.75" x14ac:dyDescent="0.2"/>
    <row r="48037" s="197" customFormat="1" ht="12.75" x14ac:dyDescent="0.2"/>
    <row r="48038" s="197" customFormat="1" ht="12.75" x14ac:dyDescent="0.2"/>
    <row r="48039" s="197" customFormat="1" ht="12.75" x14ac:dyDescent="0.2"/>
    <row r="48040" s="197" customFormat="1" ht="12.75" x14ac:dyDescent="0.2"/>
    <row r="48041" s="197" customFormat="1" ht="12.75" x14ac:dyDescent="0.2"/>
    <row r="48042" s="197" customFormat="1" ht="12.75" x14ac:dyDescent="0.2"/>
    <row r="48043" s="197" customFormat="1" ht="12.75" x14ac:dyDescent="0.2"/>
    <row r="48044" s="197" customFormat="1" ht="12.75" x14ac:dyDescent="0.2"/>
    <row r="48045" s="197" customFormat="1" ht="12.75" x14ac:dyDescent="0.2"/>
    <row r="48046" s="197" customFormat="1" ht="12.75" x14ac:dyDescent="0.2"/>
    <row r="48047" s="197" customFormat="1" ht="12.75" x14ac:dyDescent="0.2"/>
    <row r="48048" s="197" customFormat="1" ht="12.75" x14ac:dyDescent="0.2"/>
    <row r="48049" s="197" customFormat="1" ht="12.75" x14ac:dyDescent="0.2"/>
    <row r="48050" s="197" customFormat="1" ht="12.75" x14ac:dyDescent="0.2"/>
    <row r="48051" s="197" customFormat="1" ht="12.75" x14ac:dyDescent="0.2"/>
    <row r="48052" s="197" customFormat="1" ht="12.75" x14ac:dyDescent="0.2"/>
    <row r="48053" s="197" customFormat="1" ht="12.75" x14ac:dyDescent="0.2"/>
    <row r="48054" s="197" customFormat="1" ht="12.75" x14ac:dyDescent="0.2"/>
    <row r="48055" s="197" customFormat="1" ht="12.75" x14ac:dyDescent="0.2"/>
    <row r="48056" s="197" customFormat="1" ht="12.75" x14ac:dyDescent="0.2"/>
    <row r="48057" s="197" customFormat="1" ht="12.75" x14ac:dyDescent="0.2"/>
    <row r="48058" s="197" customFormat="1" ht="12.75" x14ac:dyDescent="0.2"/>
    <row r="48059" s="197" customFormat="1" ht="12.75" x14ac:dyDescent="0.2"/>
    <row r="48060" s="197" customFormat="1" ht="12.75" x14ac:dyDescent="0.2"/>
    <row r="48061" s="197" customFormat="1" ht="12.75" x14ac:dyDescent="0.2"/>
    <row r="48062" s="197" customFormat="1" ht="12.75" x14ac:dyDescent="0.2"/>
    <row r="48063" s="197" customFormat="1" ht="12.75" x14ac:dyDescent="0.2"/>
    <row r="48064" s="197" customFormat="1" ht="12.75" x14ac:dyDescent="0.2"/>
    <row r="48065" s="197" customFormat="1" ht="12.75" x14ac:dyDescent="0.2"/>
    <row r="48066" s="197" customFormat="1" ht="12.75" x14ac:dyDescent="0.2"/>
    <row r="48067" s="197" customFormat="1" ht="12.75" x14ac:dyDescent="0.2"/>
    <row r="48068" s="197" customFormat="1" ht="12.75" x14ac:dyDescent="0.2"/>
    <row r="48069" s="197" customFormat="1" ht="12.75" x14ac:dyDescent="0.2"/>
    <row r="48070" s="197" customFormat="1" ht="12.75" x14ac:dyDescent="0.2"/>
    <row r="48071" s="197" customFormat="1" ht="12.75" x14ac:dyDescent="0.2"/>
    <row r="48072" s="197" customFormat="1" ht="12.75" x14ac:dyDescent="0.2"/>
    <row r="48073" s="197" customFormat="1" ht="12.75" x14ac:dyDescent="0.2"/>
    <row r="48074" s="197" customFormat="1" ht="12.75" x14ac:dyDescent="0.2"/>
    <row r="48075" s="197" customFormat="1" ht="12.75" x14ac:dyDescent="0.2"/>
    <row r="48076" s="197" customFormat="1" ht="12.75" x14ac:dyDescent="0.2"/>
    <row r="48077" s="197" customFormat="1" ht="12.75" x14ac:dyDescent="0.2"/>
    <row r="48078" s="197" customFormat="1" ht="12.75" x14ac:dyDescent="0.2"/>
    <row r="48079" s="197" customFormat="1" ht="12.75" x14ac:dyDescent="0.2"/>
    <row r="48080" s="197" customFormat="1" ht="12.75" x14ac:dyDescent="0.2"/>
    <row r="48081" s="197" customFormat="1" ht="12.75" x14ac:dyDescent="0.2"/>
    <row r="48082" s="197" customFormat="1" ht="12.75" x14ac:dyDescent="0.2"/>
    <row r="48083" s="197" customFormat="1" ht="12.75" x14ac:dyDescent="0.2"/>
    <row r="48084" s="197" customFormat="1" ht="12.75" x14ac:dyDescent="0.2"/>
    <row r="48085" s="197" customFormat="1" ht="12.75" x14ac:dyDescent="0.2"/>
    <row r="48086" s="197" customFormat="1" ht="12.75" x14ac:dyDescent="0.2"/>
    <row r="48087" s="197" customFormat="1" ht="12.75" x14ac:dyDescent="0.2"/>
    <row r="48088" s="197" customFormat="1" ht="12.75" x14ac:dyDescent="0.2"/>
    <row r="48089" s="197" customFormat="1" ht="12.75" x14ac:dyDescent="0.2"/>
    <row r="48090" s="197" customFormat="1" ht="12.75" x14ac:dyDescent="0.2"/>
    <row r="48091" s="197" customFormat="1" ht="12.75" x14ac:dyDescent="0.2"/>
    <row r="48092" s="197" customFormat="1" ht="12.75" x14ac:dyDescent="0.2"/>
    <row r="48093" s="197" customFormat="1" ht="12.75" x14ac:dyDescent="0.2"/>
    <row r="48094" s="197" customFormat="1" ht="12.75" x14ac:dyDescent="0.2"/>
    <row r="48095" s="197" customFormat="1" ht="12.75" x14ac:dyDescent="0.2"/>
    <row r="48096" s="197" customFormat="1" ht="12.75" x14ac:dyDescent="0.2"/>
    <row r="48097" s="197" customFormat="1" ht="12.75" x14ac:dyDescent="0.2"/>
    <row r="48098" s="197" customFormat="1" ht="12.75" x14ac:dyDescent="0.2"/>
    <row r="48099" s="197" customFormat="1" ht="12.75" x14ac:dyDescent="0.2"/>
    <row r="48100" s="197" customFormat="1" ht="12.75" x14ac:dyDescent="0.2"/>
    <row r="48101" s="197" customFormat="1" ht="12.75" x14ac:dyDescent="0.2"/>
    <row r="48102" s="197" customFormat="1" ht="12.75" x14ac:dyDescent="0.2"/>
    <row r="48103" s="197" customFormat="1" ht="12.75" x14ac:dyDescent="0.2"/>
    <row r="48104" s="197" customFormat="1" ht="12.75" x14ac:dyDescent="0.2"/>
    <row r="48105" s="197" customFormat="1" ht="12.75" x14ac:dyDescent="0.2"/>
    <row r="48106" s="197" customFormat="1" ht="12.75" x14ac:dyDescent="0.2"/>
    <row r="48107" s="197" customFormat="1" ht="12.75" x14ac:dyDescent="0.2"/>
    <row r="48108" s="197" customFormat="1" ht="12.75" x14ac:dyDescent="0.2"/>
    <row r="48109" s="197" customFormat="1" ht="12.75" x14ac:dyDescent="0.2"/>
    <row r="48110" s="197" customFormat="1" ht="12.75" x14ac:dyDescent="0.2"/>
    <row r="48111" s="197" customFormat="1" ht="12.75" x14ac:dyDescent="0.2"/>
    <row r="48112" s="197" customFormat="1" ht="12.75" x14ac:dyDescent="0.2"/>
    <row r="48113" s="197" customFormat="1" ht="12.75" x14ac:dyDescent="0.2"/>
    <row r="48114" s="197" customFormat="1" ht="12.75" x14ac:dyDescent="0.2"/>
    <row r="48115" s="197" customFormat="1" ht="12.75" x14ac:dyDescent="0.2"/>
    <row r="48116" s="197" customFormat="1" ht="12.75" x14ac:dyDescent="0.2"/>
    <row r="48117" s="197" customFormat="1" ht="12.75" x14ac:dyDescent="0.2"/>
    <row r="48118" s="197" customFormat="1" ht="12.75" x14ac:dyDescent="0.2"/>
    <row r="48119" s="197" customFormat="1" ht="12.75" x14ac:dyDescent="0.2"/>
    <row r="48120" s="197" customFormat="1" ht="12.75" x14ac:dyDescent="0.2"/>
    <row r="48121" s="197" customFormat="1" ht="12.75" x14ac:dyDescent="0.2"/>
    <row r="48122" s="197" customFormat="1" ht="12.75" x14ac:dyDescent="0.2"/>
    <row r="48123" s="197" customFormat="1" ht="12.75" x14ac:dyDescent="0.2"/>
    <row r="48124" s="197" customFormat="1" ht="12.75" x14ac:dyDescent="0.2"/>
    <row r="48125" s="197" customFormat="1" ht="12.75" x14ac:dyDescent="0.2"/>
    <row r="48126" s="197" customFormat="1" ht="12.75" x14ac:dyDescent="0.2"/>
    <row r="48127" s="197" customFormat="1" ht="12.75" x14ac:dyDescent="0.2"/>
    <row r="48128" s="197" customFormat="1" ht="12.75" x14ac:dyDescent="0.2"/>
    <row r="48129" s="197" customFormat="1" ht="12.75" x14ac:dyDescent="0.2"/>
    <row r="48130" s="197" customFormat="1" ht="12.75" x14ac:dyDescent="0.2"/>
    <row r="48131" s="197" customFormat="1" ht="12.75" x14ac:dyDescent="0.2"/>
    <row r="48132" s="197" customFormat="1" ht="12.75" x14ac:dyDescent="0.2"/>
    <row r="48133" s="197" customFormat="1" ht="12.75" x14ac:dyDescent="0.2"/>
    <row r="48134" s="197" customFormat="1" ht="12.75" x14ac:dyDescent="0.2"/>
    <row r="48135" s="197" customFormat="1" ht="12.75" x14ac:dyDescent="0.2"/>
    <row r="48136" s="197" customFormat="1" ht="12.75" x14ac:dyDescent="0.2"/>
    <row r="48137" s="197" customFormat="1" ht="12.75" x14ac:dyDescent="0.2"/>
    <row r="48138" s="197" customFormat="1" ht="12.75" x14ac:dyDescent="0.2"/>
    <row r="48139" s="197" customFormat="1" ht="12.75" x14ac:dyDescent="0.2"/>
    <row r="48140" s="197" customFormat="1" ht="12.75" x14ac:dyDescent="0.2"/>
    <row r="48141" s="197" customFormat="1" ht="12.75" x14ac:dyDescent="0.2"/>
    <row r="48142" s="197" customFormat="1" ht="12.75" x14ac:dyDescent="0.2"/>
    <row r="48143" s="197" customFormat="1" ht="12.75" x14ac:dyDescent="0.2"/>
    <row r="48144" s="197" customFormat="1" ht="12.75" x14ac:dyDescent="0.2"/>
    <row r="48145" s="197" customFormat="1" ht="12.75" x14ac:dyDescent="0.2"/>
    <row r="48146" s="197" customFormat="1" ht="12.75" x14ac:dyDescent="0.2"/>
    <row r="48147" s="197" customFormat="1" ht="12.75" x14ac:dyDescent="0.2"/>
    <row r="48148" s="197" customFormat="1" ht="12.75" x14ac:dyDescent="0.2"/>
    <row r="48149" s="197" customFormat="1" ht="12.75" x14ac:dyDescent="0.2"/>
    <row r="48150" s="197" customFormat="1" ht="12.75" x14ac:dyDescent="0.2"/>
    <row r="48151" s="197" customFormat="1" ht="12.75" x14ac:dyDescent="0.2"/>
    <row r="48152" s="197" customFormat="1" ht="12.75" x14ac:dyDescent="0.2"/>
    <row r="48153" s="197" customFormat="1" ht="12.75" x14ac:dyDescent="0.2"/>
    <row r="48154" s="197" customFormat="1" ht="12.75" x14ac:dyDescent="0.2"/>
    <row r="48155" s="197" customFormat="1" ht="12.75" x14ac:dyDescent="0.2"/>
    <row r="48156" s="197" customFormat="1" ht="12.75" x14ac:dyDescent="0.2"/>
    <row r="48157" s="197" customFormat="1" ht="12.75" x14ac:dyDescent="0.2"/>
    <row r="48158" s="197" customFormat="1" ht="12.75" x14ac:dyDescent="0.2"/>
    <row r="48159" s="197" customFormat="1" ht="12.75" x14ac:dyDescent="0.2"/>
    <row r="48160" s="197" customFormat="1" ht="12.75" x14ac:dyDescent="0.2"/>
    <row r="48161" s="197" customFormat="1" ht="12.75" x14ac:dyDescent="0.2"/>
    <row r="48162" s="197" customFormat="1" ht="12.75" x14ac:dyDescent="0.2"/>
    <row r="48163" s="197" customFormat="1" ht="12.75" x14ac:dyDescent="0.2"/>
    <row r="48164" s="197" customFormat="1" ht="12.75" x14ac:dyDescent="0.2"/>
    <row r="48165" s="197" customFormat="1" ht="12.75" x14ac:dyDescent="0.2"/>
    <row r="48166" s="197" customFormat="1" ht="12.75" x14ac:dyDescent="0.2"/>
    <row r="48167" s="197" customFormat="1" ht="12.75" x14ac:dyDescent="0.2"/>
    <row r="48168" s="197" customFormat="1" ht="12.75" x14ac:dyDescent="0.2"/>
    <row r="48169" s="197" customFormat="1" ht="12.75" x14ac:dyDescent="0.2"/>
    <row r="48170" s="197" customFormat="1" ht="12.75" x14ac:dyDescent="0.2"/>
    <row r="48171" s="197" customFormat="1" ht="12.75" x14ac:dyDescent="0.2"/>
    <row r="48172" s="197" customFormat="1" ht="12.75" x14ac:dyDescent="0.2"/>
    <row r="48173" s="197" customFormat="1" ht="12.75" x14ac:dyDescent="0.2"/>
    <row r="48174" s="197" customFormat="1" ht="12.75" x14ac:dyDescent="0.2"/>
    <row r="48175" s="197" customFormat="1" ht="12.75" x14ac:dyDescent="0.2"/>
    <row r="48176" s="197" customFormat="1" ht="12.75" x14ac:dyDescent="0.2"/>
    <row r="48177" s="197" customFormat="1" ht="12.75" x14ac:dyDescent="0.2"/>
    <row r="48178" s="197" customFormat="1" ht="12.75" x14ac:dyDescent="0.2"/>
    <row r="48179" s="197" customFormat="1" ht="12.75" x14ac:dyDescent="0.2"/>
    <row r="48180" s="197" customFormat="1" ht="12.75" x14ac:dyDescent="0.2"/>
    <row r="48181" s="197" customFormat="1" ht="12.75" x14ac:dyDescent="0.2"/>
    <row r="48182" s="197" customFormat="1" ht="12.75" x14ac:dyDescent="0.2"/>
    <row r="48183" s="197" customFormat="1" ht="12.75" x14ac:dyDescent="0.2"/>
    <row r="48184" s="197" customFormat="1" ht="12.75" x14ac:dyDescent="0.2"/>
    <row r="48185" s="197" customFormat="1" ht="12.75" x14ac:dyDescent="0.2"/>
    <row r="48186" s="197" customFormat="1" ht="12.75" x14ac:dyDescent="0.2"/>
    <row r="48187" s="197" customFormat="1" ht="12.75" x14ac:dyDescent="0.2"/>
    <row r="48188" s="197" customFormat="1" ht="12.75" x14ac:dyDescent="0.2"/>
    <row r="48189" s="197" customFormat="1" ht="12.75" x14ac:dyDescent="0.2"/>
    <row r="48190" s="197" customFormat="1" ht="12.75" x14ac:dyDescent="0.2"/>
    <row r="48191" s="197" customFormat="1" ht="12.75" x14ac:dyDescent="0.2"/>
    <row r="48192" s="197" customFormat="1" ht="12.75" x14ac:dyDescent="0.2"/>
    <row r="48193" s="197" customFormat="1" ht="12.75" x14ac:dyDescent="0.2"/>
    <row r="48194" s="197" customFormat="1" ht="12.75" x14ac:dyDescent="0.2"/>
    <row r="48195" s="197" customFormat="1" ht="12.75" x14ac:dyDescent="0.2"/>
    <row r="48196" s="197" customFormat="1" ht="12.75" x14ac:dyDescent="0.2"/>
    <row r="48197" s="197" customFormat="1" ht="12.75" x14ac:dyDescent="0.2"/>
    <row r="48198" s="197" customFormat="1" ht="12.75" x14ac:dyDescent="0.2"/>
    <row r="48199" s="197" customFormat="1" ht="12.75" x14ac:dyDescent="0.2"/>
    <row r="48200" s="197" customFormat="1" ht="12.75" x14ac:dyDescent="0.2"/>
    <row r="48201" s="197" customFormat="1" ht="12.75" x14ac:dyDescent="0.2"/>
    <row r="48202" s="197" customFormat="1" ht="12.75" x14ac:dyDescent="0.2"/>
    <row r="48203" s="197" customFormat="1" ht="12.75" x14ac:dyDescent="0.2"/>
    <row r="48204" s="197" customFormat="1" ht="12.75" x14ac:dyDescent="0.2"/>
    <row r="48205" s="197" customFormat="1" ht="12.75" x14ac:dyDescent="0.2"/>
    <row r="48206" s="197" customFormat="1" ht="12.75" x14ac:dyDescent="0.2"/>
    <row r="48207" s="197" customFormat="1" ht="12.75" x14ac:dyDescent="0.2"/>
    <row r="48208" s="197" customFormat="1" ht="12.75" x14ac:dyDescent="0.2"/>
    <row r="48209" s="197" customFormat="1" ht="12.75" x14ac:dyDescent="0.2"/>
    <row r="48210" s="197" customFormat="1" ht="12.75" x14ac:dyDescent="0.2"/>
    <row r="48211" s="197" customFormat="1" ht="12.75" x14ac:dyDescent="0.2"/>
    <row r="48212" s="197" customFormat="1" ht="12.75" x14ac:dyDescent="0.2"/>
    <row r="48213" s="197" customFormat="1" ht="12.75" x14ac:dyDescent="0.2"/>
    <row r="48214" s="197" customFormat="1" ht="12.75" x14ac:dyDescent="0.2"/>
    <row r="48215" s="197" customFormat="1" ht="12.75" x14ac:dyDescent="0.2"/>
    <row r="48216" s="197" customFormat="1" ht="12.75" x14ac:dyDescent="0.2"/>
    <row r="48217" s="197" customFormat="1" ht="12.75" x14ac:dyDescent="0.2"/>
    <row r="48218" s="197" customFormat="1" ht="12.75" x14ac:dyDescent="0.2"/>
    <row r="48219" s="197" customFormat="1" ht="12.75" x14ac:dyDescent="0.2"/>
    <row r="48220" s="197" customFormat="1" ht="12.75" x14ac:dyDescent="0.2"/>
    <row r="48221" s="197" customFormat="1" ht="12.75" x14ac:dyDescent="0.2"/>
    <row r="48222" s="197" customFormat="1" ht="12.75" x14ac:dyDescent="0.2"/>
    <row r="48223" s="197" customFormat="1" ht="12.75" x14ac:dyDescent="0.2"/>
    <row r="48224" s="197" customFormat="1" ht="12.75" x14ac:dyDescent="0.2"/>
    <row r="48225" s="197" customFormat="1" ht="12.75" x14ac:dyDescent="0.2"/>
    <row r="48226" s="197" customFormat="1" ht="12.75" x14ac:dyDescent="0.2"/>
    <row r="48227" s="197" customFormat="1" ht="12.75" x14ac:dyDescent="0.2"/>
    <row r="48228" s="197" customFormat="1" ht="12.75" x14ac:dyDescent="0.2"/>
    <row r="48229" s="197" customFormat="1" ht="12.75" x14ac:dyDescent="0.2"/>
    <row r="48230" s="197" customFormat="1" ht="12.75" x14ac:dyDescent="0.2"/>
    <row r="48231" s="197" customFormat="1" ht="12.75" x14ac:dyDescent="0.2"/>
    <row r="48232" s="197" customFormat="1" ht="12.75" x14ac:dyDescent="0.2"/>
    <row r="48233" s="197" customFormat="1" ht="12.75" x14ac:dyDescent="0.2"/>
    <row r="48234" s="197" customFormat="1" ht="12.75" x14ac:dyDescent="0.2"/>
    <row r="48235" s="197" customFormat="1" ht="12.75" x14ac:dyDescent="0.2"/>
    <row r="48236" s="197" customFormat="1" ht="12.75" x14ac:dyDescent="0.2"/>
    <row r="48237" s="197" customFormat="1" ht="12.75" x14ac:dyDescent="0.2"/>
    <row r="48238" s="197" customFormat="1" ht="12.75" x14ac:dyDescent="0.2"/>
    <row r="48239" s="197" customFormat="1" ht="12.75" x14ac:dyDescent="0.2"/>
    <row r="48240" s="197" customFormat="1" ht="12.75" x14ac:dyDescent="0.2"/>
    <row r="48241" s="197" customFormat="1" ht="12.75" x14ac:dyDescent="0.2"/>
    <row r="48242" s="197" customFormat="1" ht="12.75" x14ac:dyDescent="0.2"/>
    <row r="48243" s="197" customFormat="1" ht="12.75" x14ac:dyDescent="0.2"/>
    <row r="48244" s="197" customFormat="1" ht="12.75" x14ac:dyDescent="0.2"/>
    <row r="48245" s="197" customFormat="1" ht="12.75" x14ac:dyDescent="0.2"/>
    <row r="48246" s="197" customFormat="1" ht="12.75" x14ac:dyDescent="0.2"/>
    <row r="48247" s="197" customFormat="1" ht="12.75" x14ac:dyDescent="0.2"/>
    <row r="48248" s="197" customFormat="1" ht="12.75" x14ac:dyDescent="0.2"/>
    <row r="48249" s="197" customFormat="1" ht="12.75" x14ac:dyDescent="0.2"/>
    <row r="48250" s="197" customFormat="1" ht="12.75" x14ac:dyDescent="0.2"/>
    <row r="48251" s="197" customFormat="1" ht="12.75" x14ac:dyDescent="0.2"/>
    <row r="48252" s="197" customFormat="1" ht="12.75" x14ac:dyDescent="0.2"/>
    <row r="48253" s="197" customFormat="1" ht="12.75" x14ac:dyDescent="0.2"/>
    <row r="48254" s="197" customFormat="1" ht="12.75" x14ac:dyDescent="0.2"/>
    <row r="48255" s="197" customFormat="1" ht="12.75" x14ac:dyDescent="0.2"/>
    <row r="48256" s="197" customFormat="1" ht="12.75" x14ac:dyDescent="0.2"/>
    <row r="48257" s="197" customFormat="1" ht="12.75" x14ac:dyDescent="0.2"/>
    <row r="48258" s="197" customFormat="1" ht="12.75" x14ac:dyDescent="0.2"/>
    <row r="48259" s="197" customFormat="1" ht="12.75" x14ac:dyDescent="0.2"/>
    <row r="48260" s="197" customFormat="1" ht="12.75" x14ac:dyDescent="0.2"/>
    <row r="48261" s="197" customFormat="1" ht="12.75" x14ac:dyDescent="0.2"/>
    <row r="48262" s="197" customFormat="1" ht="12.75" x14ac:dyDescent="0.2"/>
    <row r="48263" s="197" customFormat="1" ht="12.75" x14ac:dyDescent="0.2"/>
    <row r="48264" s="197" customFormat="1" ht="12.75" x14ac:dyDescent="0.2"/>
    <row r="48265" s="197" customFormat="1" ht="12.75" x14ac:dyDescent="0.2"/>
    <row r="48266" s="197" customFormat="1" ht="12.75" x14ac:dyDescent="0.2"/>
    <row r="48267" s="197" customFormat="1" ht="12.75" x14ac:dyDescent="0.2"/>
    <row r="48268" s="197" customFormat="1" ht="12.75" x14ac:dyDescent="0.2"/>
    <row r="48269" s="197" customFormat="1" ht="12.75" x14ac:dyDescent="0.2"/>
    <row r="48270" s="197" customFormat="1" ht="12.75" x14ac:dyDescent="0.2"/>
    <row r="48271" s="197" customFormat="1" ht="12.75" x14ac:dyDescent="0.2"/>
    <row r="48272" s="197" customFormat="1" ht="12.75" x14ac:dyDescent="0.2"/>
    <row r="48273" s="197" customFormat="1" ht="12.75" x14ac:dyDescent="0.2"/>
    <row r="48274" s="197" customFormat="1" ht="12.75" x14ac:dyDescent="0.2"/>
    <row r="48275" s="197" customFormat="1" ht="12.75" x14ac:dyDescent="0.2"/>
    <row r="48276" s="197" customFormat="1" ht="12.75" x14ac:dyDescent="0.2"/>
    <row r="48277" s="197" customFormat="1" ht="12.75" x14ac:dyDescent="0.2"/>
    <row r="48278" s="197" customFormat="1" ht="12.75" x14ac:dyDescent="0.2"/>
    <row r="48279" s="197" customFormat="1" ht="12.75" x14ac:dyDescent="0.2"/>
    <row r="48280" s="197" customFormat="1" ht="12.75" x14ac:dyDescent="0.2"/>
    <row r="48281" s="197" customFormat="1" ht="12.75" x14ac:dyDescent="0.2"/>
    <row r="48282" s="197" customFormat="1" ht="12.75" x14ac:dyDescent="0.2"/>
    <row r="48283" s="197" customFormat="1" ht="12.75" x14ac:dyDescent="0.2"/>
    <row r="48284" s="197" customFormat="1" ht="12.75" x14ac:dyDescent="0.2"/>
    <row r="48285" s="197" customFormat="1" ht="12.75" x14ac:dyDescent="0.2"/>
    <row r="48286" s="197" customFormat="1" ht="12.75" x14ac:dyDescent="0.2"/>
    <row r="48287" s="197" customFormat="1" ht="12.75" x14ac:dyDescent="0.2"/>
    <row r="48288" s="197" customFormat="1" ht="12.75" x14ac:dyDescent="0.2"/>
    <row r="48289" s="197" customFormat="1" ht="12.75" x14ac:dyDescent="0.2"/>
    <row r="48290" s="197" customFormat="1" ht="12.75" x14ac:dyDescent="0.2"/>
    <row r="48291" s="197" customFormat="1" ht="12.75" x14ac:dyDescent="0.2"/>
    <row r="48292" s="197" customFormat="1" ht="12.75" x14ac:dyDescent="0.2"/>
    <row r="48293" s="197" customFormat="1" ht="12.75" x14ac:dyDescent="0.2"/>
    <row r="48294" s="197" customFormat="1" ht="12.75" x14ac:dyDescent="0.2"/>
    <row r="48295" s="197" customFormat="1" ht="12.75" x14ac:dyDescent="0.2"/>
    <row r="48296" s="197" customFormat="1" ht="12.75" x14ac:dyDescent="0.2"/>
    <row r="48297" s="197" customFormat="1" ht="12.75" x14ac:dyDescent="0.2"/>
    <row r="48298" s="197" customFormat="1" ht="12.75" x14ac:dyDescent="0.2"/>
    <row r="48299" s="197" customFormat="1" ht="12.75" x14ac:dyDescent="0.2"/>
    <row r="48300" s="197" customFormat="1" ht="12.75" x14ac:dyDescent="0.2"/>
    <row r="48301" s="197" customFormat="1" ht="12.75" x14ac:dyDescent="0.2"/>
    <row r="48302" s="197" customFormat="1" ht="12.75" x14ac:dyDescent="0.2"/>
    <row r="48303" s="197" customFormat="1" ht="12.75" x14ac:dyDescent="0.2"/>
    <row r="48304" s="197" customFormat="1" ht="12.75" x14ac:dyDescent="0.2"/>
    <row r="48305" s="197" customFormat="1" ht="12.75" x14ac:dyDescent="0.2"/>
    <row r="48306" s="197" customFormat="1" ht="12.75" x14ac:dyDescent="0.2"/>
    <row r="48307" s="197" customFormat="1" ht="12.75" x14ac:dyDescent="0.2"/>
    <row r="48308" s="197" customFormat="1" ht="12.75" x14ac:dyDescent="0.2"/>
    <row r="48309" s="197" customFormat="1" ht="12.75" x14ac:dyDescent="0.2"/>
    <row r="48310" s="197" customFormat="1" ht="12.75" x14ac:dyDescent="0.2"/>
    <row r="48311" s="197" customFormat="1" ht="12.75" x14ac:dyDescent="0.2"/>
    <row r="48312" s="197" customFormat="1" ht="12.75" x14ac:dyDescent="0.2"/>
    <row r="48313" s="197" customFormat="1" ht="12.75" x14ac:dyDescent="0.2"/>
    <row r="48314" s="197" customFormat="1" ht="12.75" x14ac:dyDescent="0.2"/>
    <row r="48315" s="197" customFormat="1" ht="12.75" x14ac:dyDescent="0.2"/>
    <row r="48316" s="197" customFormat="1" ht="12.75" x14ac:dyDescent="0.2"/>
    <row r="48317" s="197" customFormat="1" ht="12.75" x14ac:dyDescent="0.2"/>
    <row r="48318" s="197" customFormat="1" ht="12.75" x14ac:dyDescent="0.2"/>
    <row r="48319" s="197" customFormat="1" ht="12.75" x14ac:dyDescent="0.2"/>
    <row r="48320" s="197" customFormat="1" ht="12.75" x14ac:dyDescent="0.2"/>
    <row r="48321" s="197" customFormat="1" ht="12.75" x14ac:dyDescent="0.2"/>
    <row r="48322" s="197" customFormat="1" ht="12.75" x14ac:dyDescent="0.2"/>
    <row r="48323" s="197" customFormat="1" ht="12.75" x14ac:dyDescent="0.2"/>
    <row r="48324" s="197" customFormat="1" ht="12.75" x14ac:dyDescent="0.2"/>
    <row r="48325" s="197" customFormat="1" ht="12.75" x14ac:dyDescent="0.2"/>
    <row r="48326" s="197" customFormat="1" ht="12.75" x14ac:dyDescent="0.2"/>
    <row r="48327" s="197" customFormat="1" ht="12.75" x14ac:dyDescent="0.2"/>
    <row r="48328" s="197" customFormat="1" ht="12.75" x14ac:dyDescent="0.2"/>
    <row r="48329" s="197" customFormat="1" ht="12.75" x14ac:dyDescent="0.2"/>
    <row r="48330" s="197" customFormat="1" ht="12.75" x14ac:dyDescent="0.2"/>
    <row r="48331" s="197" customFormat="1" ht="12.75" x14ac:dyDescent="0.2"/>
    <row r="48332" s="197" customFormat="1" ht="12.75" x14ac:dyDescent="0.2"/>
    <row r="48333" s="197" customFormat="1" ht="12.75" x14ac:dyDescent="0.2"/>
    <row r="48334" s="197" customFormat="1" ht="12.75" x14ac:dyDescent="0.2"/>
    <row r="48335" s="197" customFormat="1" ht="12.75" x14ac:dyDescent="0.2"/>
    <row r="48336" s="197" customFormat="1" ht="12.75" x14ac:dyDescent="0.2"/>
    <row r="48337" s="197" customFormat="1" ht="12.75" x14ac:dyDescent="0.2"/>
    <row r="48338" s="197" customFormat="1" ht="12.75" x14ac:dyDescent="0.2"/>
    <row r="48339" s="197" customFormat="1" ht="12.75" x14ac:dyDescent="0.2"/>
    <row r="48340" s="197" customFormat="1" ht="12.75" x14ac:dyDescent="0.2"/>
    <row r="48341" s="197" customFormat="1" ht="12.75" x14ac:dyDescent="0.2"/>
    <row r="48342" s="197" customFormat="1" ht="12.75" x14ac:dyDescent="0.2"/>
    <row r="48343" s="197" customFormat="1" ht="12.75" x14ac:dyDescent="0.2"/>
    <row r="48344" s="197" customFormat="1" ht="12.75" x14ac:dyDescent="0.2"/>
    <row r="48345" s="197" customFormat="1" ht="12.75" x14ac:dyDescent="0.2"/>
    <row r="48346" s="197" customFormat="1" ht="12.75" x14ac:dyDescent="0.2"/>
    <row r="48347" s="197" customFormat="1" ht="12.75" x14ac:dyDescent="0.2"/>
    <row r="48348" s="197" customFormat="1" ht="12.75" x14ac:dyDescent="0.2"/>
    <row r="48349" s="197" customFormat="1" ht="12.75" x14ac:dyDescent="0.2"/>
    <row r="48350" s="197" customFormat="1" ht="12.75" x14ac:dyDescent="0.2"/>
    <row r="48351" s="197" customFormat="1" ht="12.75" x14ac:dyDescent="0.2"/>
    <row r="48352" s="197" customFormat="1" ht="12.75" x14ac:dyDescent="0.2"/>
    <row r="48353" s="197" customFormat="1" ht="12.75" x14ac:dyDescent="0.2"/>
    <row r="48354" s="197" customFormat="1" ht="12.75" x14ac:dyDescent="0.2"/>
    <row r="48355" s="197" customFormat="1" ht="12.75" x14ac:dyDescent="0.2"/>
    <row r="48356" s="197" customFormat="1" ht="12.75" x14ac:dyDescent="0.2"/>
    <row r="48357" s="197" customFormat="1" ht="12.75" x14ac:dyDescent="0.2"/>
    <row r="48358" s="197" customFormat="1" ht="12.75" x14ac:dyDescent="0.2"/>
    <row r="48359" s="197" customFormat="1" ht="12.75" x14ac:dyDescent="0.2"/>
    <row r="48360" s="197" customFormat="1" ht="12.75" x14ac:dyDescent="0.2"/>
    <row r="48361" s="197" customFormat="1" ht="12.75" x14ac:dyDescent="0.2"/>
    <row r="48362" s="197" customFormat="1" ht="12.75" x14ac:dyDescent="0.2"/>
    <row r="48363" s="197" customFormat="1" ht="12.75" x14ac:dyDescent="0.2"/>
    <row r="48364" s="197" customFormat="1" ht="12.75" x14ac:dyDescent="0.2"/>
    <row r="48365" s="197" customFormat="1" ht="12.75" x14ac:dyDescent="0.2"/>
    <row r="48366" s="197" customFormat="1" ht="12.75" x14ac:dyDescent="0.2"/>
    <row r="48367" s="197" customFormat="1" ht="12.75" x14ac:dyDescent="0.2"/>
    <row r="48368" s="197" customFormat="1" ht="12.75" x14ac:dyDescent="0.2"/>
    <row r="48369" s="197" customFormat="1" ht="12.75" x14ac:dyDescent="0.2"/>
    <row r="48370" s="197" customFormat="1" ht="12.75" x14ac:dyDescent="0.2"/>
    <row r="48371" s="197" customFormat="1" ht="12.75" x14ac:dyDescent="0.2"/>
    <row r="48372" s="197" customFormat="1" ht="12.75" x14ac:dyDescent="0.2"/>
    <row r="48373" s="197" customFormat="1" ht="12.75" x14ac:dyDescent="0.2"/>
    <row r="48374" s="197" customFormat="1" ht="12.75" x14ac:dyDescent="0.2"/>
    <row r="48375" s="197" customFormat="1" ht="12.75" x14ac:dyDescent="0.2"/>
    <row r="48376" s="197" customFormat="1" ht="12.75" x14ac:dyDescent="0.2"/>
    <row r="48377" s="197" customFormat="1" ht="12.75" x14ac:dyDescent="0.2"/>
    <row r="48378" s="197" customFormat="1" ht="12.75" x14ac:dyDescent="0.2"/>
    <row r="48379" s="197" customFormat="1" ht="12.75" x14ac:dyDescent="0.2"/>
    <row r="48380" s="197" customFormat="1" ht="12.75" x14ac:dyDescent="0.2"/>
    <row r="48381" s="197" customFormat="1" ht="12.75" x14ac:dyDescent="0.2"/>
    <row r="48382" s="197" customFormat="1" ht="12.75" x14ac:dyDescent="0.2"/>
    <row r="48383" s="197" customFormat="1" ht="12.75" x14ac:dyDescent="0.2"/>
    <row r="48384" s="197" customFormat="1" ht="12.75" x14ac:dyDescent="0.2"/>
    <row r="48385" s="197" customFormat="1" ht="12.75" x14ac:dyDescent="0.2"/>
    <row r="48386" s="197" customFormat="1" ht="12.75" x14ac:dyDescent="0.2"/>
    <row r="48387" s="197" customFormat="1" ht="12.75" x14ac:dyDescent="0.2"/>
    <row r="48388" s="197" customFormat="1" ht="12.75" x14ac:dyDescent="0.2"/>
    <row r="48389" s="197" customFormat="1" ht="12.75" x14ac:dyDescent="0.2"/>
    <row r="48390" s="197" customFormat="1" ht="12.75" x14ac:dyDescent="0.2"/>
    <row r="48391" s="197" customFormat="1" ht="12.75" x14ac:dyDescent="0.2"/>
    <row r="48392" s="197" customFormat="1" ht="12.75" x14ac:dyDescent="0.2"/>
    <row r="48393" s="197" customFormat="1" ht="12.75" x14ac:dyDescent="0.2"/>
    <row r="48394" s="197" customFormat="1" ht="12.75" x14ac:dyDescent="0.2"/>
    <row r="48395" s="197" customFormat="1" ht="12.75" x14ac:dyDescent="0.2"/>
    <row r="48396" s="197" customFormat="1" ht="12.75" x14ac:dyDescent="0.2"/>
    <row r="48397" s="197" customFormat="1" ht="12.75" x14ac:dyDescent="0.2"/>
    <row r="48398" s="197" customFormat="1" ht="12.75" x14ac:dyDescent="0.2"/>
    <row r="48399" s="197" customFormat="1" ht="12.75" x14ac:dyDescent="0.2"/>
    <row r="48400" s="197" customFormat="1" ht="12.75" x14ac:dyDescent="0.2"/>
    <row r="48401" s="197" customFormat="1" ht="12.75" x14ac:dyDescent="0.2"/>
    <row r="48402" s="197" customFormat="1" ht="12.75" x14ac:dyDescent="0.2"/>
    <row r="48403" s="197" customFormat="1" ht="12.75" x14ac:dyDescent="0.2"/>
    <row r="48404" s="197" customFormat="1" ht="12.75" x14ac:dyDescent="0.2"/>
    <row r="48405" s="197" customFormat="1" ht="12.75" x14ac:dyDescent="0.2"/>
    <row r="48406" s="197" customFormat="1" ht="12.75" x14ac:dyDescent="0.2"/>
    <row r="48407" s="197" customFormat="1" ht="12.75" x14ac:dyDescent="0.2"/>
    <row r="48408" s="197" customFormat="1" ht="12.75" x14ac:dyDescent="0.2"/>
    <row r="48409" s="197" customFormat="1" ht="12.75" x14ac:dyDescent="0.2"/>
    <row r="48410" s="197" customFormat="1" ht="12.75" x14ac:dyDescent="0.2"/>
    <row r="48411" s="197" customFormat="1" ht="12.75" x14ac:dyDescent="0.2"/>
    <row r="48412" s="197" customFormat="1" ht="12.75" x14ac:dyDescent="0.2"/>
    <row r="48413" s="197" customFormat="1" ht="12.75" x14ac:dyDescent="0.2"/>
    <row r="48414" s="197" customFormat="1" ht="12.75" x14ac:dyDescent="0.2"/>
    <row r="48415" s="197" customFormat="1" ht="12.75" x14ac:dyDescent="0.2"/>
    <row r="48416" s="197" customFormat="1" ht="12.75" x14ac:dyDescent="0.2"/>
    <row r="48417" s="197" customFormat="1" ht="12.75" x14ac:dyDescent="0.2"/>
    <row r="48418" s="197" customFormat="1" ht="12.75" x14ac:dyDescent="0.2"/>
    <row r="48419" s="197" customFormat="1" ht="12.75" x14ac:dyDescent="0.2"/>
    <row r="48420" s="197" customFormat="1" ht="12.75" x14ac:dyDescent="0.2"/>
    <row r="48421" s="197" customFormat="1" ht="12.75" x14ac:dyDescent="0.2"/>
    <row r="48422" s="197" customFormat="1" ht="12.75" x14ac:dyDescent="0.2"/>
    <row r="48423" s="197" customFormat="1" ht="12.75" x14ac:dyDescent="0.2"/>
    <row r="48424" s="197" customFormat="1" ht="12.75" x14ac:dyDescent="0.2"/>
    <row r="48425" s="197" customFormat="1" ht="12.75" x14ac:dyDescent="0.2"/>
    <row r="48426" s="197" customFormat="1" ht="12.75" x14ac:dyDescent="0.2"/>
    <row r="48427" s="197" customFormat="1" ht="12.75" x14ac:dyDescent="0.2"/>
    <row r="48428" s="197" customFormat="1" ht="12.75" x14ac:dyDescent="0.2"/>
    <row r="48429" s="197" customFormat="1" ht="12.75" x14ac:dyDescent="0.2"/>
    <row r="48430" s="197" customFormat="1" ht="12.75" x14ac:dyDescent="0.2"/>
    <row r="48431" s="197" customFormat="1" ht="12.75" x14ac:dyDescent="0.2"/>
    <row r="48432" s="197" customFormat="1" ht="12.75" x14ac:dyDescent="0.2"/>
    <row r="48433" s="197" customFormat="1" ht="12.75" x14ac:dyDescent="0.2"/>
    <row r="48434" s="197" customFormat="1" ht="12.75" x14ac:dyDescent="0.2"/>
    <row r="48435" s="197" customFormat="1" ht="12.75" x14ac:dyDescent="0.2"/>
    <row r="48436" s="197" customFormat="1" ht="12.75" x14ac:dyDescent="0.2"/>
    <row r="48437" s="197" customFormat="1" ht="12.75" x14ac:dyDescent="0.2"/>
    <row r="48438" s="197" customFormat="1" ht="12.75" x14ac:dyDescent="0.2"/>
    <row r="48439" s="197" customFormat="1" ht="12.75" x14ac:dyDescent="0.2"/>
    <row r="48440" s="197" customFormat="1" ht="12.75" x14ac:dyDescent="0.2"/>
    <row r="48441" s="197" customFormat="1" ht="12.75" x14ac:dyDescent="0.2"/>
    <row r="48442" s="197" customFormat="1" ht="12.75" x14ac:dyDescent="0.2"/>
    <row r="48443" s="197" customFormat="1" ht="12.75" x14ac:dyDescent="0.2"/>
    <row r="48444" s="197" customFormat="1" ht="12.75" x14ac:dyDescent="0.2"/>
    <row r="48445" s="197" customFormat="1" ht="12.75" x14ac:dyDescent="0.2"/>
    <row r="48446" s="197" customFormat="1" ht="12.75" x14ac:dyDescent="0.2"/>
    <row r="48447" s="197" customFormat="1" ht="12.75" x14ac:dyDescent="0.2"/>
    <row r="48448" s="197" customFormat="1" ht="12.75" x14ac:dyDescent="0.2"/>
    <row r="48449" s="197" customFormat="1" ht="12.75" x14ac:dyDescent="0.2"/>
    <row r="48450" s="197" customFormat="1" ht="12.75" x14ac:dyDescent="0.2"/>
    <row r="48451" s="197" customFormat="1" ht="12.75" x14ac:dyDescent="0.2"/>
    <row r="48452" s="197" customFormat="1" ht="12.75" x14ac:dyDescent="0.2"/>
    <row r="48453" s="197" customFormat="1" ht="12.75" x14ac:dyDescent="0.2"/>
    <row r="48454" s="197" customFormat="1" ht="12.75" x14ac:dyDescent="0.2"/>
    <row r="48455" s="197" customFormat="1" ht="12.75" x14ac:dyDescent="0.2"/>
    <row r="48456" s="197" customFormat="1" ht="12.75" x14ac:dyDescent="0.2"/>
    <row r="48457" s="197" customFormat="1" ht="12.75" x14ac:dyDescent="0.2"/>
    <row r="48458" s="197" customFormat="1" ht="12.75" x14ac:dyDescent="0.2"/>
    <row r="48459" s="197" customFormat="1" ht="12.75" x14ac:dyDescent="0.2"/>
    <row r="48460" s="197" customFormat="1" ht="12.75" x14ac:dyDescent="0.2"/>
    <row r="48461" s="197" customFormat="1" ht="12.75" x14ac:dyDescent="0.2"/>
    <row r="48462" s="197" customFormat="1" ht="12.75" x14ac:dyDescent="0.2"/>
    <row r="48463" s="197" customFormat="1" ht="12.75" x14ac:dyDescent="0.2"/>
    <row r="48464" s="197" customFormat="1" ht="12.75" x14ac:dyDescent="0.2"/>
    <row r="48465" s="197" customFormat="1" ht="12.75" x14ac:dyDescent="0.2"/>
    <row r="48466" s="197" customFormat="1" ht="12.75" x14ac:dyDescent="0.2"/>
    <row r="48467" s="197" customFormat="1" ht="12.75" x14ac:dyDescent="0.2"/>
    <row r="48468" s="197" customFormat="1" ht="12.75" x14ac:dyDescent="0.2"/>
    <row r="48469" s="197" customFormat="1" ht="12.75" x14ac:dyDescent="0.2"/>
    <row r="48470" s="197" customFormat="1" ht="12.75" x14ac:dyDescent="0.2"/>
    <row r="48471" s="197" customFormat="1" ht="12.75" x14ac:dyDescent="0.2"/>
    <row r="48472" s="197" customFormat="1" ht="12.75" x14ac:dyDescent="0.2"/>
    <row r="48473" s="197" customFormat="1" ht="12.75" x14ac:dyDescent="0.2"/>
    <row r="48474" s="197" customFormat="1" ht="12.75" x14ac:dyDescent="0.2"/>
    <row r="48475" s="197" customFormat="1" ht="12.75" x14ac:dyDescent="0.2"/>
    <row r="48476" s="197" customFormat="1" ht="12.75" x14ac:dyDescent="0.2"/>
    <row r="48477" s="197" customFormat="1" ht="12.75" x14ac:dyDescent="0.2"/>
    <row r="48478" s="197" customFormat="1" ht="12.75" x14ac:dyDescent="0.2"/>
    <row r="48479" s="197" customFormat="1" ht="12.75" x14ac:dyDescent="0.2"/>
    <row r="48480" s="197" customFormat="1" ht="12.75" x14ac:dyDescent="0.2"/>
    <row r="48481" s="197" customFormat="1" ht="12.75" x14ac:dyDescent="0.2"/>
    <row r="48482" s="197" customFormat="1" ht="12.75" x14ac:dyDescent="0.2"/>
    <row r="48483" s="197" customFormat="1" ht="12.75" x14ac:dyDescent="0.2"/>
    <row r="48484" s="197" customFormat="1" ht="12.75" x14ac:dyDescent="0.2"/>
    <row r="48485" s="197" customFormat="1" ht="12.75" x14ac:dyDescent="0.2"/>
    <row r="48486" s="197" customFormat="1" ht="12.75" x14ac:dyDescent="0.2"/>
    <row r="48487" s="197" customFormat="1" ht="12.75" x14ac:dyDescent="0.2"/>
    <row r="48488" s="197" customFormat="1" ht="12.75" x14ac:dyDescent="0.2"/>
    <row r="48489" s="197" customFormat="1" ht="12.75" x14ac:dyDescent="0.2"/>
    <row r="48490" s="197" customFormat="1" ht="12.75" x14ac:dyDescent="0.2"/>
    <row r="48491" s="197" customFormat="1" ht="12.75" x14ac:dyDescent="0.2"/>
    <row r="48492" s="197" customFormat="1" ht="12.75" x14ac:dyDescent="0.2"/>
    <row r="48493" s="197" customFormat="1" ht="12.75" x14ac:dyDescent="0.2"/>
    <row r="48494" s="197" customFormat="1" ht="12.75" x14ac:dyDescent="0.2"/>
    <row r="48495" s="197" customFormat="1" ht="12.75" x14ac:dyDescent="0.2"/>
    <row r="48496" s="197" customFormat="1" ht="12.75" x14ac:dyDescent="0.2"/>
    <row r="48497" s="197" customFormat="1" ht="12.75" x14ac:dyDescent="0.2"/>
    <row r="48498" s="197" customFormat="1" ht="12.75" x14ac:dyDescent="0.2"/>
    <row r="48499" s="197" customFormat="1" ht="12.75" x14ac:dyDescent="0.2"/>
    <row r="48500" s="197" customFormat="1" ht="12.75" x14ac:dyDescent="0.2"/>
    <row r="48501" s="197" customFormat="1" ht="12.75" x14ac:dyDescent="0.2"/>
    <row r="48502" s="197" customFormat="1" ht="12.75" x14ac:dyDescent="0.2"/>
    <row r="48503" s="197" customFormat="1" ht="12.75" x14ac:dyDescent="0.2"/>
    <row r="48504" s="197" customFormat="1" ht="12.75" x14ac:dyDescent="0.2"/>
    <row r="48505" s="197" customFormat="1" ht="12.75" x14ac:dyDescent="0.2"/>
    <row r="48506" s="197" customFormat="1" ht="12.75" x14ac:dyDescent="0.2"/>
    <row r="48507" s="197" customFormat="1" ht="12.75" x14ac:dyDescent="0.2"/>
    <row r="48508" s="197" customFormat="1" ht="12.75" x14ac:dyDescent="0.2"/>
    <row r="48509" s="197" customFormat="1" ht="12.75" x14ac:dyDescent="0.2"/>
    <row r="48510" s="197" customFormat="1" ht="12.75" x14ac:dyDescent="0.2"/>
    <row r="48511" s="197" customFormat="1" ht="12.75" x14ac:dyDescent="0.2"/>
    <row r="48512" s="197" customFormat="1" ht="12.75" x14ac:dyDescent="0.2"/>
    <row r="48513" s="197" customFormat="1" ht="12.75" x14ac:dyDescent="0.2"/>
    <row r="48514" s="197" customFormat="1" ht="12.75" x14ac:dyDescent="0.2"/>
    <row r="48515" s="197" customFormat="1" ht="12.75" x14ac:dyDescent="0.2"/>
    <row r="48516" s="197" customFormat="1" ht="12.75" x14ac:dyDescent="0.2"/>
    <row r="48517" s="197" customFormat="1" ht="12.75" x14ac:dyDescent="0.2"/>
    <row r="48518" s="197" customFormat="1" ht="12.75" x14ac:dyDescent="0.2"/>
    <row r="48519" s="197" customFormat="1" ht="12.75" x14ac:dyDescent="0.2"/>
    <row r="48520" s="197" customFormat="1" ht="12.75" x14ac:dyDescent="0.2"/>
    <row r="48521" s="197" customFormat="1" ht="12.75" x14ac:dyDescent="0.2"/>
    <row r="48522" s="197" customFormat="1" ht="12.75" x14ac:dyDescent="0.2"/>
    <row r="48523" s="197" customFormat="1" ht="12.75" x14ac:dyDescent="0.2"/>
    <row r="48524" s="197" customFormat="1" ht="12.75" x14ac:dyDescent="0.2"/>
    <row r="48525" s="197" customFormat="1" ht="12.75" x14ac:dyDescent="0.2"/>
    <row r="48526" s="197" customFormat="1" ht="12.75" x14ac:dyDescent="0.2"/>
    <row r="48527" s="197" customFormat="1" ht="12.75" x14ac:dyDescent="0.2"/>
    <row r="48528" s="197" customFormat="1" ht="12.75" x14ac:dyDescent="0.2"/>
    <row r="48529" s="197" customFormat="1" ht="12.75" x14ac:dyDescent="0.2"/>
    <row r="48530" s="197" customFormat="1" ht="12.75" x14ac:dyDescent="0.2"/>
    <row r="48531" s="197" customFormat="1" ht="12.75" x14ac:dyDescent="0.2"/>
    <row r="48532" s="197" customFormat="1" ht="12.75" x14ac:dyDescent="0.2"/>
    <row r="48533" s="197" customFormat="1" ht="12.75" x14ac:dyDescent="0.2"/>
    <row r="48534" s="197" customFormat="1" ht="12.75" x14ac:dyDescent="0.2"/>
    <row r="48535" s="197" customFormat="1" ht="12.75" x14ac:dyDescent="0.2"/>
    <row r="48536" s="197" customFormat="1" ht="12.75" x14ac:dyDescent="0.2"/>
    <row r="48537" s="197" customFormat="1" ht="12.75" x14ac:dyDescent="0.2"/>
    <row r="48538" s="197" customFormat="1" ht="12.75" x14ac:dyDescent="0.2"/>
    <row r="48539" s="197" customFormat="1" ht="12.75" x14ac:dyDescent="0.2"/>
    <row r="48540" s="197" customFormat="1" ht="12.75" x14ac:dyDescent="0.2"/>
    <row r="48541" s="197" customFormat="1" ht="12.75" x14ac:dyDescent="0.2"/>
    <row r="48542" s="197" customFormat="1" ht="12.75" x14ac:dyDescent="0.2"/>
    <row r="48543" s="197" customFormat="1" ht="12.75" x14ac:dyDescent="0.2"/>
    <row r="48544" s="197" customFormat="1" ht="12.75" x14ac:dyDescent="0.2"/>
    <row r="48545" s="197" customFormat="1" ht="12.75" x14ac:dyDescent="0.2"/>
    <row r="48546" s="197" customFormat="1" ht="12.75" x14ac:dyDescent="0.2"/>
    <row r="48547" s="197" customFormat="1" ht="12.75" x14ac:dyDescent="0.2"/>
    <row r="48548" s="197" customFormat="1" ht="12.75" x14ac:dyDescent="0.2"/>
    <row r="48549" s="197" customFormat="1" ht="12.75" x14ac:dyDescent="0.2"/>
    <row r="48550" s="197" customFormat="1" ht="12.75" x14ac:dyDescent="0.2"/>
    <row r="48551" s="197" customFormat="1" ht="12.75" x14ac:dyDescent="0.2"/>
    <row r="48552" s="197" customFormat="1" ht="12.75" x14ac:dyDescent="0.2"/>
    <row r="48553" s="197" customFormat="1" ht="12.75" x14ac:dyDescent="0.2"/>
    <row r="48554" s="197" customFormat="1" ht="12.75" x14ac:dyDescent="0.2"/>
    <row r="48555" s="197" customFormat="1" ht="12.75" x14ac:dyDescent="0.2"/>
    <row r="48556" s="197" customFormat="1" ht="12.75" x14ac:dyDescent="0.2"/>
    <row r="48557" s="197" customFormat="1" ht="12.75" x14ac:dyDescent="0.2"/>
    <row r="48558" s="197" customFormat="1" ht="12.75" x14ac:dyDescent="0.2"/>
    <row r="48559" s="197" customFormat="1" ht="12.75" x14ac:dyDescent="0.2"/>
    <row r="48560" s="197" customFormat="1" ht="12.75" x14ac:dyDescent="0.2"/>
    <row r="48561" s="197" customFormat="1" ht="12.75" x14ac:dyDescent="0.2"/>
    <row r="48562" s="197" customFormat="1" ht="12.75" x14ac:dyDescent="0.2"/>
    <row r="48563" s="197" customFormat="1" ht="12.75" x14ac:dyDescent="0.2"/>
    <row r="48564" s="197" customFormat="1" ht="12.75" x14ac:dyDescent="0.2"/>
    <row r="48565" s="197" customFormat="1" ht="12.75" x14ac:dyDescent="0.2"/>
    <row r="48566" s="197" customFormat="1" ht="12.75" x14ac:dyDescent="0.2"/>
    <row r="48567" s="197" customFormat="1" ht="12.75" x14ac:dyDescent="0.2"/>
    <row r="48568" s="197" customFormat="1" ht="12.75" x14ac:dyDescent="0.2"/>
    <row r="48569" s="197" customFormat="1" ht="12.75" x14ac:dyDescent="0.2"/>
    <row r="48570" s="197" customFormat="1" ht="12.75" x14ac:dyDescent="0.2"/>
    <row r="48571" s="197" customFormat="1" ht="12.75" x14ac:dyDescent="0.2"/>
    <row r="48572" s="197" customFormat="1" ht="12.75" x14ac:dyDescent="0.2"/>
    <row r="48573" s="197" customFormat="1" ht="12.75" x14ac:dyDescent="0.2"/>
    <row r="48574" s="197" customFormat="1" ht="12.75" x14ac:dyDescent="0.2"/>
    <row r="48575" s="197" customFormat="1" ht="12.75" x14ac:dyDescent="0.2"/>
    <row r="48576" s="197" customFormat="1" ht="12.75" x14ac:dyDescent="0.2"/>
    <row r="48577" s="197" customFormat="1" ht="12.75" x14ac:dyDescent="0.2"/>
    <row r="48578" s="197" customFormat="1" ht="12.75" x14ac:dyDescent="0.2"/>
    <row r="48579" s="197" customFormat="1" ht="12.75" x14ac:dyDescent="0.2"/>
    <row r="48580" s="197" customFormat="1" ht="12.75" x14ac:dyDescent="0.2"/>
    <row r="48581" s="197" customFormat="1" ht="12.75" x14ac:dyDescent="0.2"/>
    <row r="48582" s="197" customFormat="1" ht="12.75" x14ac:dyDescent="0.2"/>
    <row r="48583" s="197" customFormat="1" ht="12.75" x14ac:dyDescent="0.2"/>
    <row r="48584" s="197" customFormat="1" ht="12.75" x14ac:dyDescent="0.2"/>
    <row r="48585" s="197" customFormat="1" ht="12.75" x14ac:dyDescent="0.2"/>
    <row r="48586" s="197" customFormat="1" ht="12.75" x14ac:dyDescent="0.2"/>
    <row r="48587" s="197" customFormat="1" ht="12.75" x14ac:dyDescent="0.2"/>
    <row r="48588" s="197" customFormat="1" ht="12.75" x14ac:dyDescent="0.2"/>
    <row r="48589" s="197" customFormat="1" ht="12.75" x14ac:dyDescent="0.2"/>
    <row r="48590" s="197" customFormat="1" ht="12.75" x14ac:dyDescent="0.2"/>
    <row r="48591" s="197" customFormat="1" ht="12.75" x14ac:dyDescent="0.2"/>
    <row r="48592" s="197" customFormat="1" ht="12.75" x14ac:dyDescent="0.2"/>
    <row r="48593" s="197" customFormat="1" ht="12.75" x14ac:dyDescent="0.2"/>
    <row r="48594" s="197" customFormat="1" ht="12.75" x14ac:dyDescent="0.2"/>
    <row r="48595" s="197" customFormat="1" ht="12.75" x14ac:dyDescent="0.2"/>
    <row r="48596" s="197" customFormat="1" ht="12.75" x14ac:dyDescent="0.2"/>
    <row r="48597" s="197" customFormat="1" ht="12.75" x14ac:dyDescent="0.2"/>
    <row r="48598" s="197" customFormat="1" ht="12.75" x14ac:dyDescent="0.2"/>
    <row r="48599" s="197" customFormat="1" ht="12.75" x14ac:dyDescent="0.2"/>
    <row r="48600" s="197" customFormat="1" ht="12.75" x14ac:dyDescent="0.2"/>
    <row r="48601" s="197" customFormat="1" ht="12.75" x14ac:dyDescent="0.2"/>
    <row r="48602" s="197" customFormat="1" ht="12.75" x14ac:dyDescent="0.2"/>
    <row r="48603" s="197" customFormat="1" ht="12.75" x14ac:dyDescent="0.2"/>
    <row r="48604" s="197" customFormat="1" ht="12.75" x14ac:dyDescent="0.2"/>
    <row r="48605" s="197" customFormat="1" ht="12.75" x14ac:dyDescent="0.2"/>
    <row r="48606" s="197" customFormat="1" ht="12.75" x14ac:dyDescent="0.2"/>
    <row r="48607" s="197" customFormat="1" ht="12.75" x14ac:dyDescent="0.2"/>
    <row r="48608" s="197" customFormat="1" ht="12.75" x14ac:dyDescent="0.2"/>
    <row r="48609" s="197" customFormat="1" ht="12.75" x14ac:dyDescent="0.2"/>
    <row r="48610" s="197" customFormat="1" ht="12.75" x14ac:dyDescent="0.2"/>
    <row r="48611" s="197" customFormat="1" ht="12.75" x14ac:dyDescent="0.2"/>
    <row r="48612" s="197" customFormat="1" ht="12.75" x14ac:dyDescent="0.2"/>
    <row r="48613" s="197" customFormat="1" ht="12.75" x14ac:dyDescent="0.2"/>
    <row r="48614" s="197" customFormat="1" ht="12.75" x14ac:dyDescent="0.2"/>
    <row r="48615" s="197" customFormat="1" ht="12.75" x14ac:dyDescent="0.2"/>
    <row r="48616" s="197" customFormat="1" ht="12.75" x14ac:dyDescent="0.2"/>
    <row r="48617" s="197" customFormat="1" ht="12.75" x14ac:dyDescent="0.2"/>
    <row r="48618" s="197" customFormat="1" ht="12.75" x14ac:dyDescent="0.2"/>
    <row r="48619" s="197" customFormat="1" ht="12.75" x14ac:dyDescent="0.2"/>
    <row r="48620" s="197" customFormat="1" ht="12.75" x14ac:dyDescent="0.2"/>
    <row r="48621" s="197" customFormat="1" ht="12.75" x14ac:dyDescent="0.2"/>
    <row r="48622" s="197" customFormat="1" ht="12.75" x14ac:dyDescent="0.2"/>
    <row r="48623" s="197" customFormat="1" ht="12.75" x14ac:dyDescent="0.2"/>
    <row r="48624" s="197" customFormat="1" ht="12.75" x14ac:dyDescent="0.2"/>
    <row r="48625" s="197" customFormat="1" ht="12.75" x14ac:dyDescent="0.2"/>
    <row r="48626" s="197" customFormat="1" ht="12.75" x14ac:dyDescent="0.2"/>
    <row r="48627" s="197" customFormat="1" ht="12.75" x14ac:dyDescent="0.2"/>
    <row r="48628" s="197" customFormat="1" ht="12.75" x14ac:dyDescent="0.2"/>
    <row r="48629" s="197" customFormat="1" ht="12.75" x14ac:dyDescent="0.2"/>
    <row r="48630" s="197" customFormat="1" ht="12.75" x14ac:dyDescent="0.2"/>
    <row r="48631" s="197" customFormat="1" ht="12.75" x14ac:dyDescent="0.2"/>
    <row r="48632" s="197" customFormat="1" ht="12.75" x14ac:dyDescent="0.2"/>
    <row r="48633" s="197" customFormat="1" ht="12.75" x14ac:dyDescent="0.2"/>
    <row r="48634" s="197" customFormat="1" ht="12.75" x14ac:dyDescent="0.2"/>
    <row r="48635" s="197" customFormat="1" ht="12.75" x14ac:dyDescent="0.2"/>
    <row r="48636" s="197" customFormat="1" ht="12.75" x14ac:dyDescent="0.2"/>
    <row r="48637" s="197" customFormat="1" ht="12.75" x14ac:dyDescent="0.2"/>
    <row r="48638" s="197" customFormat="1" ht="12.75" x14ac:dyDescent="0.2"/>
    <row r="48639" s="197" customFormat="1" ht="12.75" x14ac:dyDescent="0.2"/>
    <row r="48640" s="197" customFormat="1" ht="12.75" x14ac:dyDescent="0.2"/>
    <row r="48641" s="197" customFormat="1" ht="12.75" x14ac:dyDescent="0.2"/>
    <row r="48642" s="197" customFormat="1" ht="12.75" x14ac:dyDescent="0.2"/>
    <row r="48643" s="197" customFormat="1" ht="12.75" x14ac:dyDescent="0.2"/>
    <row r="48644" s="197" customFormat="1" ht="12.75" x14ac:dyDescent="0.2"/>
    <row r="48645" s="197" customFormat="1" ht="12.75" x14ac:dyDescent="0.2"/>
    <row r="48646" s="197" customFormat="1" ht="12.75" x14ac:dyDescent="0.2"/>
    <row r="48647" s="197" customFormat="1" ht="12.75" x14ac:dyDescent="0.2"/>
    <row r="48648" s="197" customFormat="1" ht="12.75" x14ac:dyDescent="0.2"/>
    <row r="48649" s="197" customFormat="1" ht="12.75" x14ac:dyDescent="0.2"/>
    <row r="48650" s="197" customFormat="1" ht="12.75" x14ac:dyDescent="0.2"/>
    <row r="48651" s="197" customFormat="1" ht="12.75" x14ac:dyDescent="0.2"/>
    <row r="48652" s="197" customFormat="1" ht="12.75" x14ac:dyDescent="0.2"/>
    <row r="48653" s="197" customFormat="1" ht="12.75" x14ac:dyDescent="0.2"/>
    <row r="48654" s="197" customFormat="1" ht="12.75" x14ac:dyDescent="0.2"/>
    <row r="48655" s="197" customFormat="1" ht="12.75" x14ac:dyDescent="0.2"/>
    <row r="48656" s="197" customFormat="1" ht="12.75" x14ac:dyDescent="0.2"/>
    <row r="48657" s="197" customFormat="1" ht="12.75" x14ac:dyDescent="0.2"/>
    <row r="48658" s="197" customFormat="1" ht="12.75" x14ac:dyDescent="0.2"/>
    <row r="48659" s="197" customFormat="1" ht="12.75" x14ac:dyDescent="0.2"/>
    <row r="48660" s="197" customFormat="1" ht="12.75" x14ac:dyDescent="0.2"/>
    <row r="48661" s="197" customFormat="1" ht="12.75" x14ac:dyDescent="0.2"/>
    <row r="48662" s="197" customFormat="1" ht="12.75" x14ac:dyDescent="0.2"/>
    <row r="48663" s="197" customFormat="1" ht="12.75" x14ac:dyDescent="0.2"/>
    <row r="48664" s="197" customFormat="1" ht="12.75" x14ac:dyDescent="0.2"/>
    <row r="48665" s="197" customFormat="1" ht="12.75" x14ac:dyDescent="0.2"/>
    <row r="48666" s="197" customFormat="1" ht="12.75" x14ac:dyDescent="0.2"/>
    <row r="48667" s="197" customFormat="1" ht="12.75" x14ac:dyDescent="0.2"/>
    <row r="48668" s="197" customFormat="1" ht="12.75" x14ac:dyDescent="0.2"/>
    <row r="48669" s="197" customFormat="1" ht="12.75" x14ac:dyDescent="0.2"/>
    <row r="48670" s="197" customFormat="1" ht="12.75" x14ac:dyDescent="0.2"/>
    <row r="48671" s="197" customFormat="1" ht="12.75" x14ac:dyDescent="0.2"/>
    <row r="48672" s="197" customFormat="1" ht="12.75" x14ac:dyDescent="0.2"/>
    <row r="48673" s="197" customFormat="1" ht="12.75" x14ac:dyDescent="0.2"/>
    <row r="48674" s="197" customFormat="1" ht="12.75" x14ac:dyDescent="0.2"/>
    <row r="48675" s="197" customFormat="1" ht="12.75" x14ac:dyDescent="0.2"/>
    <row r="48676" s="197" customFormat="1" ht="12.75" x14ac:dyDescent="0.2"/>
    <row r="48677" s="197" customFormat="1" ht="12.75" x14ac:dyDescent="0.2"/>
    <row r="48678" s="197" customFormat="1" ht="12.75" x14ac:dyDescent="0.2"/>
    <row r="48679" s="197" customFormat="1" ht="12.75" x14ac:dyDescent="0.2"/>
    <row r="48680" s="197" customFormat="1" ht="12.75" x14ac:dyDescent="0.2"/>
    <row r="48681" s="197" customFormat="1" ht="12.75" x14ac:dyDescent="0.2"/>
    <row r="48682" s="197" customFormat="1" ht="12.75" x14ac:dyDescent="0.2"/>
    <row r="48683" s="197" customFormat="1" ht="12.75" x14ac:dyDescent="0.2"/>
    <row r="48684" s="197" customFormat="1" ht="12.75" x14ac:dyDescent="0.2"/>
    <row r="48685" s="197" customFormat="1" ht="12.75" x14ac:dyDescent="0.2"/>
    <row r="48686" s="197" customFormat="1" ht="12.75" x14ac:dyDescent="0.2"/>
    <row r="48687" s="197" customFormat="1" ht="12.75" x14ac:dyDescent="0.2"/>
    <row r="48688" s="197" customFormat="1" ht="12.75" x14ac:dyDescent="0.2"/>
    <row r="48689" s="197" customFormat="1" ht="12.75" x14ac:dyDescent="0.2"/>
    <row r="48690" s="197" customFormat="1" ht="12.75" x14ac:dyDescent="0.2"/>
    <row r="48691" s="197" customFormat="1" ht="12.75" x14ac:dyDescent="0.2"/>
    <row r="48692" s="197" customFormat="1" ht="12.75" x14ac:dyDescent="0.2"/>
    <row r="48693" s="197" customFormat="1" ht="12.75" x14ac:dyDescent="0.2"/>
    <row r="48694" s="197" customFormat="1" ht="12.75" x14ac:dyDescent="0.2"/>
    <row r="48695" s="197" customFormat="1" ht="12.75" x14ac:dyDescent="0.2"/>
    <row r="48696" s="197" customFormat="1" ht="12.75" x14ac:dyDescent="0.2"/>
    <row r="48697" s="197" customFormat="1" ht="12.75" x14ac:dyDescent="0.2"/>
    <row r="48698" s="197" customFormat="1" ht="12.75" x14ac:dyDescent="0.2"/>
    <row r="48699" s="197" customFormat="1" ht="12.75" x14ac:dyDescent="0.2"/>
    <row r="48700" s="197" customFormat="1" ht="12.75" x14ac:dyDescent="0.2"/>
    <row r="48701" s="197" customFormat="1" ht="12.75" x14ac:dyDescent="0.2"/>
    <row r="48702" s="197" customFormat="1" ht="12.75" x14ac:dyDescent="0.2"/>
    <row r="48703" s="197" customFormat="1" ht="12.75" x14ac:dyDescent="0.2"/>
    <row r="48704" s="197" customFormat="1" ht="12.75" x14ac:dyDescent="0.2"/>
    <row r="48705" s="197" customFormat="1" ht="12.75" x14ac:dyDescent="0.2"/>
    <row r="48706" s="197" customFormat="1" ht="12.75" x14ac:dyDescent="0.2"/>
    <row r="48707" s="197" customFormat="1" ht="12.75" x14ac:dyDescent="0.2"/>
    <row r="48708" s="197" customFormat="1" ht="12.75" x14ac:dyDescent="0.2"/>
    <row r="48709" s="197" customFormat="1" ht="12.75" x14ac:dyDescent="0.2"/>
    <row r="48710" s="197" customFormat="1" ht="12.75" x14ac:dyDescent="0.2"/>
    <row r="48711" s="197" customFormat="1" ht="12.75" x14ac:dyDescent="0.2"/>
    <row r="48712" s="197" customFormat="1" ht="12.75" x14ac:dyDescent="0.2"/>
    <row r="48713" s="197" customFormat="1" ht="12.75" x14ac:dyDescent="0.2"/>
    <row r="48714" s="197" customFormat="1" ht="12.75" x14ac:dyDescent="0.2"/>
    <row r="48715" s="197" customFormat="1" ht="12.75" x14ac:dyDescent="0.2"/>
    <row r="48716" s="197" customFormat="1" ht="12.75" x14ac:dyDescent="0.2"/>
    <row r="48717" s="197" customFormat="1" ht="12.75" x14ac:dyDescent="0.2"/>
    <row r="48718" s="197" customFormat="1" ht="12.75" x14ac:dyDescent="0.2"/>
    <row r="48719" s="197" customFormat="1" ht="12.75" x14ac:dyDescent="0.2"/>
    <row r="48720" s="197" customFormat="1" ht="12.75" x14ac:dyDescent="0.2"/>
    <row r="48721" s="197" customFormat="1" ht="12.75" x14ac:dyDescent="0.2"/>
    <row r="48722" s="197" customFormat="1" ht="12.75" x14ac:dyDescent="0.2"/>
    <row r="48723" s="197" customFormat="1" ht="12.75" x14ac:dyDescent="0.2"/>
    <row r="48724" s="197" customFormat="1" ht="12.75" x14ac:dyDescent="0.2"/>
    <row r="48725" s="197" customFormat="1" ht="12.75" x14ac:dyDescent="0.2"/>
    <row r="48726" s="197" customFormat="1" ht="12.75" x14ac:dyDescent="0.2"/>
    <row r="48727" s="197" customFormat="1" ht="12.75" x14ac:dyDescent="0.2"/>
    <row r="48728" s="197" customFormat="1" ht="12.75" x14ac:dyDescent="0.2"/>
    <row r="48729" s="197" customFormat="1" ht="12.75" x14ac:dyDescent="0.2"/>
    <row r="48730" s="197" customFormat="1" ht="12.75" x14ac:dyDescent="0.2"/>
    <row r="48731" s="197" customFormat="1" ht="12.75" x14ac:dyDescent="0.2"/>
    <row r="48732" s="197" customFormat="1" ht="12.75" x14ac:dyDescent="0.2"/>
    <row r="48733" s="197" customFormat="1" ht="12.75" x14ac:dyDescent="0.2"/>
    <row r="48734" s="197" customFormat="1" ht="12.75" x14ac:dyDescent="0.2"/>
    <row r="48735" s="197" customFormat="1" ht="12.75" x14ac:dyDescent="0.2"/>
    <row r="48736" s="197" customFormat="1" ht="12.75" x14ac:dyDescent="0.2"/>
    <row r="48737" s="197" customFormat="1" ht="12.75" x14ac:dyDescent="0.2"/>
    <row r="48738" s="197" customFormat="1" ht="12.75" x14ac:dyDescent="0.2"/>
    <row r="48739" s="197" customFormat="1" ht="12.75" x14ac:dyDescent="0.2"/>
    <row r="48740" s="197" customFormat="1" ht="12.75" x14ac:dyDescent="0.2"/>
    <row r="48741" s="197" customFormat="1" ht="12.75" x14ac:dyDescent="0.2"/>
    <row r="48742" s="197" customFormat="1" ht="12.75" x14ac:dyDescent="0.2"/>
    <row r="48743" s="197" customFormat="1" ht="12.75" x14ac:dyDescent="0.2"/>
    <row r="48744" s="197" customFormat="1" ht="12.75" x14ac:dyDescent="0.2"/>
    <row r="48745" s="197" customFormat="1" ht="12.75" x14ac:dyDescent="0.2"/>
    <row r="48746" s="197" customFormat="1" ht="12.75" x14ac:dyDescent="0.2"/>
    <row r="48747" s="197" customFormat="1" ht="12.75" x14ac:dyDescent="0.2"/>
    <row r="48748" s="197" customFormat="1" ht="12.75" x14ac:dyDescent="0.2"/>
    <row r="48749" s="197" customFormat="1" ht="12.75" x14ac:dyDescent="0.2"/>
    <row r="48750" s="197" customFormat="1" ht="12.75" x14ac:dyDescent="0.2"/>
    <row r="48751" s="197" customFormat="1" ht="12.75" x14ac:dyDescent="0.2"/>
    <row r="48752" s="197" customFormat="1" ht="12.75" x14ac:dyDescent="0.2"/>
    <row r="48753" s="197" customFormat="1" ht="12.75" x14ac:dyDescent="0.2"/>
    <row r="48754" s="197" customFormat="1" ht="12.75" x14ac:dyDescent="0.2"/>
    <row r="48755" s="197" customFormat="1" ht="12.75" x14ac:dyDescent="0.2"/>
    <row r="48756" s="197" customFormat="1" ht="12.75" x14ac:dyDescent="0.2"/>
    <row r="48757" s="197" customFormat="1" ht="12.75" x14ac:dyDescent="0.2"/>
    <row r="48758" s="197" customFormat="1" ht="12.75" x14ac:dyDescent="0.2"/>
    <row r="48759" s="197" customFormat="1" ht="12.75" x14ac:dyDescent="0.2"/>
    <row r="48760" s="197" customFormat="1" ht="12.75" x14ac:dyDescent="0.2"/>
    <row r="48761" s="197" customFormat="1" ht="12.75" x14ac:dyDescent="0.2"/>
    <row r="48762" s="197" customFormat="1" ht="12.75" x14ac:dyDescent="0.2"/>
    <row r="48763" s="197" customFormat="1" ht="12.75" x14ac:dyDescent="0.2"/>
    <row r="48764" s="197" customFormat="1" ht="12.75" x14ac:dyDescent="0.2"/>
    <row r="48765" s="197" customFormat="1" ht="12.75" x14ac:dyDescent="0.2"/>
    <row r="48766" s="197" customFormat="1" ht="12.75" x14ac:dyDescent="0.2"/>
    <row r="48767" s="197" customFormat="1" ht="12.75" x14ac:dyDescent="0.2"/>
    <row r="48768" s="197" customFormat="1" ht="12.75" x14ac:dyDescent="0.2"/>
    <row r="48769" s="197" customFormat="1" ht="12.75" x14ac:dyDescent="0.2"/>
    <row r="48770" s="197" customFormat="1" ht="12.75" x14ac:dyDescent="0.2"/>
    <row r="48771" s="197" customFormat="1" ht="12.75" x14ac:dyDescent="0.2"/>
    <row r="48772" s="197" customFormat="1" ht="12.75" x14ac:dyDescent="0.2"/>
    <row r="48773" s="197" customFormat="1" ht="12.75" x14ac:dyDescent="0.2"/>
    <row r="48774" s="197" customFormat="1" ht="12.75" x14ac:dyDescent="0.2"/>
    <row r="48775" s="197" customFormat="1" ht="12.75" x14ac:dyDescent="0.2"/>
    <row r="48776" s="197" customFormat="1" ht="12.75" x14ac:dyDescent="0.2"/>
    <row r="48777" s="197" customFormat="1" ht="12.75" x14ac:dyDescent="0.2"/>
    <row r="48778" s="197" customFormat="1" ht="12.75" x14ac:dyDescent="0.2"/>
    <row r="48779" s="197" customFormat="1" ht="12.75" x14ac:dyDescent="0.2"/>
    <row r="48780" s="197" customFormat="1" ht="12.75" x14ac:dyDescent="0.2"/>
    <row r="48781" s="197" customFormat="1" ht="12.75" x14ac:dyDescent="0.2"/>
    <row r="48782" s="197" customFormat="1" ht="12.75" x14ac:dyDescent="0.2"/>
    <row r="48783" s="197" customFormat="1" ht="12.75" x14ac:dyDescent="0.2"/>
    <row r="48784" s="197" customFormat="1" ht="12.75" x14ac:dyDescent="0.2"/>
    <row r="48785" s="197" customFormat="1" ht="12.75" x14ac:dyDescent="0.2"/>
    <row r="48786" s="197" customFormat="1" ht="12.75" x14ac:dyDescent="0.2"/>
    <row r="48787" s="197" customFormat="1" ht="12.75" x14ac:dyDescent="0.2"/>
    <row r="48788" s="197" customFormat="1" ht="12.75" x14ac:dyDescent="0.2"/>
    <row r="48789" s="197" customFormat="1" ht="12.75" x14ac:dyDescent="0.2"/>
    <row r="48790" s="197" customFormat="1" ht="12.75" x14ac:dyDescent="0.2"/>
    <row r="48791" s="197" customFormat="1" ht="12.75" x14ac:dyDescent="0.2"/>
    <row r="48792" s="197" customFormat="1" ht="12.75" x14ac:dyDescent="0.2"/>
    <row r="48793" s="197" customFormat="1" ht="12.75" x14ac:dyDescent="0.2"/>
    <row r="48794" s="197" customFormat="1" ht="12.75" x14ac:dyDescent="0.2"/>
    <row r="48795" s="197" customFormat="1" ht="12.75" x14ac:dyDescent="0.2"/>
    <row r="48796" s="197" customFormat="1" ht="12.75" x14ac:dyDescent="0.2"/>
    <row r="48797" s="197" customFormat="1" ht="12.75" x14ac:dyDescent="0.2"/>
    <row r="48798" s="197" customFormat="1" ht="12.75" x14ac:dyDescent="0.2"/>
    <row r="48799" s="197" customFormat="1" ht="12.75" x14ac:dyDescent="0.2"/>
    <row r="48800" s="197" customFormat="1" ht="12.75" x14ac:dyDescent="0.2"/>
    <row r="48801" s="197" customFormat="1" ht="12.75" x14ac:dyDescent="0.2"/>
    <row r="48802" s="197" customFormat="1" ht="12.75" x14ac:dyDescent="0.2"/>
    <row r="48803" s="197" customFormat="1" ht="12.75" x14ac:dyDescent="0.2"/>
    <row r="48804" s="197" customFormat="1" ht="12.75" x14ac:dyDescent="0.2"/>
    <row r="48805" s="197" customFormat="1" ht="12.75" x14ac:dyDescent="0.2"/>
    <row r="48806" s="197" customFormat="1" ht="12.75" x14ac:dyDescent="0.2"/>
    <row r="48807" s="197" customFormat="1" ht="12.75" x14ac:dyDescent="0.2"/>
    <row r="48808" s="197" customFormat="1" ht="12.75" x14ac:dyDescent="0.2"/>
    <row r="48809" s="197" customFormat="1" ht="12.75" x14ac:dyDescent="0.2"/>
    <row r="48810" s="197" customFormat="1" ht="12.75" x14ac:dyDescent="0.2"/>
    <row r="48811" s="197" customFormat="1" ht="12.75" x14ac:dyDescent="0.2"/>
    <row r="48812" s="197" customFormat="1" ht="12.75" x14ac:dyDescent="0.2"/>
    <row r="48813" s="197" customFormat="1" ht="12.75" x14ac:dyDescent="0.2"/>
    <row r="48814" s="197" customFormat="1" ht="12.75" x14ac:dyDescent="0.2"/>
    <row r="48815" s="197" customFormat="1" ht="12.75" x14ac:dyDescent="0.2"/>
    <row r="48816" s="197" customFormat="1" ht="12.75" x14ac:dyDescent="0.2"/>
    <row r="48817" s="197" customFormat="1" ht="12.75" x14ac:dyDescent="0.2"/>
    <row r="48818" s="197" customFormat="1" ht="12.75" x14ac:dyDescent="0.2"/>
    <row r="48819" s="197" customFormat="1" ht="12.75" x14ac:dyDescent="0.2"/>
    <row r="48820" s="197" customFormat="1" ht="12.75" x14ac:dyDescent="0.2"/>
    <row r="48821" s="197" customFormat="1" ht="12.75" x14ac:dyDescent="0.2"/>
    <row r="48822" s="197" customFormat="1" ht="12.75" x14ac:dyDescent="0.2"/>
    <row r="48823" s="197" customFormat="1" ht="12.75" x14ac:dyDescent="0.2"/>
    <row r="48824" s="197" customFormat="1" ht="12.75" x14ac:dyDescent="0.2"/>
    <row r="48825" s="197" customFormat="1" ht="12.75" x14ac:dyDescent="0.2"/>
    <row r="48826" s="197" customFormat="1" ht="12.75" x14ac:dyDescent="0.2"/>
    <row r="48827" s="197" customFormat="1" ht="12.75" x14ac:dyDescent="0.2"/>
    <row r="48828" s="197" customFormat="1" ht="12.75" x14ac:dyDescent="0.2"/>
    <row r="48829" s="197" customFormat="1" ht="12.75" x14ac:dyDescent="0.2"/>
    <row r="48830" s="197" customFormat="1" ht="12.75" x14ac:dyDescent="0.2"/>
    <row r="48831" s="197" customFormat="1" ht="12.75" x14ac:dyDescent="0.2"/>
    <row r="48832" s="197" customFormat="1" ht="12.75" x14ac:dyDescent="0.2"/>
    <row r="48833" s="197" customFormat="1" ht="12.75" x14ac:dyDescent="0.2"/>
    <row r="48834" s="197" customFormat="1" ht="12.75" x14ac:dyDescent="0.2"/>
    <row r="48835" s="197" customFormat="1" ht="12.75" x14ac:dyDescent="0.2"/>
    <row r="48836" s="197" customFormat="1" ht="12.75" x14ac:dyDescent="0.2"/>
    <row r="48837" s="197" customFormat="1" ht="12.75" x14ac:dyDescent="0.2"/>
    <row r="48838" s="197" customFormat="1" ht="12.75" x14ac:dyDescent="0.2"/>
    <row r="48839" s="197" customFormat="1" ht="12.75" x14ac:dyDescent="0.2"/>
    <row r="48840" s="197" customFormat="1" ht="12.75" x14ac:dyDescent="0.2"/>
    <row r="48841" s="197" customFormat="1" ht="12.75" x14ac:dyDescent="0.2"/>
    <row r="48842" s="197" customFormat="1" ht="12.75" x14ac:dyDescent="0.2"/>
    <row r="48843" s="197" customFormat="1" ht="12.75" x14ac:dyDescent="0.2"/>
    <row r="48844" s="197" customFormat="1" ht="12.75" x14ac:dyDescent="0.2"/>
    <row r="48845" s="197" customFormat="1" ht="12.75" x14ac:dyDescent="0.2"/>
    <row r="48846" s="197" customFormat="1" ht="12.75" x14ac:dyDescent="0.2"/>
    <row r="48847" s="197" customFormat="1" ht="12.75" x14ac:dyDescent="0.2"/>
    <row r="48848" s="197" customFormat="1" ht="12.75" x14ac:dyDescent="0.2"/>
    <row r="48849" s="197" customFormat="1" ht="12.75" x14ac:dyDescent="0.2"/>
    <row r="48850" s="197" customFormat="1" ht="12.75" x14ac:dyDescent="0.2"/>
    <row r="48851" s="197" customFormat="1" ht="12.75" x14ac:dyDescent="0.2"/>
    <row r="48852" s="197" customFormat="1" ht="12.75" x14ac:dyDescent="0.2"/>
    <row r="48853" s="197" customFormat="1" ht="12.75" x14ac:dyDescent="0.2"/>
    <row r="48854" s="197" customFormat="1" ht="12.75" x14ac:dyDescent="0.2"/>
    <row r="48855" s="197" customFormat="1" ht="12.75" x14ac:dyDescent="0.2"/>
    <row r="48856" s="197" customFormat="1" ht="12.75" x14ac:dyDescent="0.2"/>
    <row r="48857" s="197" customFormat="1" ht="12.75" x14ac:dyDescent="0.2"/>
    <row r="48858" s="197" customFormat="1" ht="12.75" x14ac:dyDescent="0.2"/>
    <row r="48859" s="197" customFormat="1" ht="12.75" x14ac:dyDescent="0.2"/>
    <row r="48860" s="197" customFormat="1" ht="12.75" x14ac:dyDescent="0.2"/>
    <row r="48861" s="197" customFormat="1" ht="12.75" x14ac:dyDescent="0.2"/>
    <row r="48862" s="197" customFormat="1" ht="12.75" x14ac:dyDescent="0.2"/>
    <row r="48863" s="197" customFormat="1" ht="12.75" x14ac:dyDescent="0.2"/>
    <row r="48864" s="197" customFormat="1" ht="12.75" x14ac:dyDescent="0.2"/>
    <row r="48865" s="197" customFormat="1" ht="12.75" x14ac:dyDescent="0.2"/>
    <row r="48866" s="197" customFormat="1" ht="12.75" x14ac:dyDescent="0.2"/>
    <row r="48867" s="197" customFormat="1" ht="12.75" x14ac:dyDescent="0.2"/>
    <row r="48868" s="197" customFormat="1" ht="12.75" x14ac:dyDescent="0.2"/>
    <row r="48869" s="197" customFormat="1" ht="12.75" x14ac:dyDescent="0.2"/>
    <row r="48870" s="197" customFormat="1" ht="12.75" x14ac:dyDescent="0.2"/>
    <row r="48871" s="197" customFormat="1" ht="12.75" x14ac:dyDescent="0.2"/>
    <row r="48872" s="197" customFormat="1" ht="12.75" x14ac:dyDescent="0.2"/>
    <row r="48873" s="197" customFormat="1" ht="12.75" x14ac:dyDescent="0.2"/>
    <row r="48874" s="197" customFormat="1" ht="12.75" x14ac:dyDescent="0.2"/>
    <row r="48875" s="197" customFormat="1" ht="12.75" x14ac:dyDescent="0.2"/>
    <row r="48876" s="197" customFormat="1" ht="12.75" x14ac:dyDescent="0.2"/>
    <row r="48877" s="197" customFormat="1" ht="12.75" x14ac:dyDescent="0.2"/>
    <row r="48878" s="197" customFormat="1" ht="12.75" x14ac:dyDescent="0.2"/>
    <row r="48879" s="197" customFormat="1" ht="12.75" x14ac:dyDescent="0.2"/>
    <row r="48880" s="197" customFormat="1" ht="12.75" x14ac:dyDescent="0.2"/>
    <row r="48881" s="197" customFormat="1" ht="12.75" x14ac:dyDescent="0.2"/>
    <row r="48882" s="197" customFormat="1" ht="12.75" x14ac:dyDescent="0.2"/>
    <row r="48883" s="197" customFormat="1" ht="12.75" x14ac:dyDescent="0.2"/>
    <row r="48884" s="197" customFormat="1" ht="12.75" x14ac:dyDescent="0.2"/>
    <row r="48885" s="197" customFormat="1" ht="12.75" x14ac:dyDescent="0.2"/>
    <row r="48886" s="197" customFormat="1" ht="12.75" x14ac:dyDescent="0.2"/>
    <row r="48887" s="197" customFormat="1" ht="12.75" x14ac:dyDescent="0.2"/>
    <row r="48888" s="197" customFormat="1" ht="12.75" x14ac:dyDescent="0.2"/>
    <row r="48889" s="197" customFormat="1" ht="12.75" x14ac:dyDescent="0.2"/>
    <row r="48890" s="197" customFormat="1" ht="12.75" x14ac:dyDescent="0.2"/>
    <row r="48891" s="197" customFormat="1" ht="12.75" x14ac:dyDescent="0.2"/>
    <row r="48892" s="197" customFormat="1" ht="12.75" x14ac:dyDescent="0.2"/>
    <row r="48893" s="197" customFormat="1" ht="12.75" x14ac:dyDescent="0.2"/>
    <row r="48894" s="197" customFormat="1" ht="12.75" x14ac:dyDescent="0.2"/>
    <row r="48895" s="197" customFormat="1" ht="12.75" x14ac:dyDescent="0.2"/>
    <row r="48896" s="197" customFormat="1" ht="12.75" x14ac:dyDescent="0.2"/>
    <row r="48897" s="197" customFormat="1" ht="12.75" x14ac:dyDescent="0.2"/>
    <row r="48898" s="197" customFormat="1" ht="12.75" x14ac:dyDescent="0.2"/>
    <row r="48899" s="197" customFormat="1" ht="12.75" x14ac:dyDescent="0.2"/>
    <row r="48900" s="197" customFormat="1" ht="12.75" x14ac:dyDescent="0.2"/>
    <row r="48901" s="197" customFormat="1" ht="12.75" x14ac:dyDescent="0.2"/>
    <row r="48902" s="197" customFormat="1" ht="12.75" x14ac:dyDescent="0.2"/>
    <row r="48903" s="197" customFormat="1" ht="12.75" x14ac:dyDescent="0.2"/>
    <row r="48904" s="197" customFormat="1" ht="12.75" x14ac:dyDescent="0.2"/>
    <row r="48905" s="197" customFormat="1" ht="12.75" x14ac:dyDescent="0.2"/>
    <row r="48906" s="197" customFormat="1" ht="12.75" x14ac:dyDescent="0.2"/>
    <row r="48907" s="197" customFormat="1" ht="12.75" x14ac:dyDescent="0.2"/>
    <row r="48908" s="197" customFormat="1" ht="12.75" x14ac:dyDescent="0.2"/>
    <row r="48909" s="197" customFormat="1" ht="12.75" x14ac:dyDescent="0.2"/>
    <row r="48910" s="197" customFormat="1" ht="12.75" x14ac:dyDescent="0.2"/>
    <row r="48911" s="197" customFormat="1" ht="12.75" x14ac:dyDescent="0.2"/>
    <row r="48912" s="197" customFormat="1" ht="12.75" x14ac:dyDescent="0.2"/>
    <row r="48913" s="197" customFormat="1" ht="12.75" x14ac:dyDescent="0.2"/>
    <row r="48914" s="197" customFormat="1" ht="12.75" x14ac:dyDescent="0.2"/>
    <row r="48915" s="197" customFormat="1" ht="12.75" x14ac:dyDescent="0.2"/>
    <row r="48916" s="197" customFormat="1" ht="12.75" x14ac:dyDescent="0.2"/>
    <row r="48917" s="197" customFormat="1" ht="12.75" x14ac:dyDescent="0.2"/>
    <row r="48918" s="197" customFormat="1" ht="12.75" x14ac:dyDescent="0.2"/>
    <row r="48919" s="197" customFormat="1" ht="12.75" x14ac:dyDescent="0.2"/>
    <row r="48920" s="197" customFormat="1" ht="12.75" x14ac:dyDescent="0.2"/>
    <row r="48921" s="197" customFormat="1" ht="12.75" x14ac:dyDescent="0.2"/>
    <row r="48922" s="197" customFormat="1" ht="12.75" x14ac:dyDescent="0.2"/>
    <row r="48923" s="197" customFormat="1" ht="12.75" x14ac:dyDescent="0.2"/>
    <row r="48924" s="197" customFormat="1" ht="12.75" x14ac:dyDescent="0.2"/>
    <row r="48925" s="197" customFormat="1" ht="12.75" x14ac:dyDescent="0.2"/>
    <row r="48926" s="197" customFormat="1" ht="12.75" x14ac:dyDescent="0.2"/>
    <row r="48927" s="197" customFormat="1" ht="12.75" x14ac:dyDescent="0.2"/>
    <row r="48928" s="197" customFormat="1" ht="12.75" x14ac:dyDescent="0.2"/>
    <row r="48929" s="197" customFormat="1" ht="12.75" x14ac:dyDescent="0.2"/>
    <row r="48930" s="197" customFormat="1" ht="12.75" x14ac:dyDescent="0.2"/>
    <row r="48931" s="197" customFormat="1" ht="12.75" x14ac:dyDescent="0.2"/>
    <row r="48932" s="197" customFormat="1" ht="12.75" x14ac:dyDescent="0.2"/>
    <row r="48933" s="197" customFormat="1" ht="12.75" x14ac:dyDescent="0.2"/>
    <row r="48934" s="197" customFormat="1" ht="12.75" x14ac:dyDescent="0.2"/>
    <row r="48935" s="197" customFormat="1" ht="12.75" x14ac:dyDescent="0.2"/>
    <row r="48936" s="197" customFormat="1" ht="12.75" x14ac:dyDescent="0.2"/>
    <row r="48937" s="197" customFormat="1" ht="12.75" x14ac:dyDescent="0.2"/>
    <row r="48938" s="197" customFormat="1" ht="12.75" x14ac:dyDescent="0.2"/>
    <row r="48939" s="197" customFormat="1" ht="12.75" x14ac:dyDescent="0.2"/>
    <row r="48940" s="197" customFormat="1" ht="12.75" x14ac:dyDescent="0.2"/>
    <row r="48941" s="197" customFormat="1" ht="12.75" x14ac:dyDescent="0.2"/>
    <row r="48942" s="197" customFormat="1" ht="12.75" x14ac:dyDescent="0.2"/>
    <row r="48943" s="197" customFormat="1" ht="12.75" x14ac:dyDescent="0.2"/>
    <row r="48944" s="197" customFormat="1" ht="12.75" x14ac:dyDescent="0.2"/>
    <row r="48945" s="197" customFormat="1" ht="12.75" x14ac:dyDescent="0.2"/>
    <row r="48946" s="197" customFormat="1" ht="12.75" x14ac:dyDescent="0.2"/>
    <row r="48947" s="197" customFormat="1" ht="12.75" x14ac:dyDescent="0.2"/>
    <row r="48948" s="197" customFormat="1" ht="12.75" x14ac:dyDescent="0.2"/>
    <row r="48949" s="197" customFormat="1" ht="12.75" x14ac:dyDescent="0.2"/>
    <row r="48950" s="197" customFormat="1" ht="12.75" x14ac:dyDescent="0.2"/>
    <row r="48951" s="197" customFormat="1" ht="12.75" x14ac:dyDescent="0.2"/>
    <row r="48952" s="197" customFormat="1" ht="12.75" x14ac:dyDescent="0.2"/>
    <row r="48953" s="197" customFormat="1" ht="12.75" x14ac:dyDescent="0.2"/>
    <row r="48954" s="197" customFormat="1" ht="12.75" x14ac:dyDescent="0.2"/>
    <row r="48955" s="197" customFormat="1" ht="12.75" x14ac:dyDescent="0.2"/>
    <row r="48956" s="197" customFormat="1" ht="12.75" x14ac:dyDescent="0.2"/>
    <row r="48957" s="197" customFormat="1" ht="12.75" x14ac:dyDescent="0.2"/>
    <row r="48958" s="197" customFormat="1" ht="12.75" x14ac:dyDescent="0.2"/>
    <row r="48959" s="197" customFormat="1" ht="12.75" x14ac:dyDescent="0.2"/>
    <row r="48960" s="197" customFormat="1" ht="12.75" x14ac:dyDescent="0.2"/>
    <row r="48961" s="197" customFormat="1" ht="12.75" x14ac:dyDescent="0.2"/>
    <row r="48962" s="197" customFormat="1" ht="12.75" x14ac:dyDescent="0.2"/>
    <row r="48963" s="197" customFormat="1" ht="12.75" x14ac:dyDescent="0.2"/>
    <row r="48964" s="197" customFormat="1" ht="12.75" x14ac:dyDescent="0.2"/>
    <row r="48965" s="197" customFormat="1" ht="12.75" x14ac:dyDescent="0.2"/>
    <row r="48966" s="197" customFormat="1" ht="12.75" x14ac:dyDescent="0.2"/>
    <row r="48967" s="197" customFormat="1" ht="12.75" x14ac:dyDescent="0.2"/>
    <row r="48968" s="197" customFormat="1" ht="12.75" x14ac:dyDescent="0.2"/>
    <row r="48969" s="197" customFormat="1" ht="12.75" x14ac:dyDescent="0.2"/>
    <row r="48970" s="197" customFormat="1" ht="12.75" x14ac:dyDescent="0.2"/>
    <row r="48971" s="197" customFormat="1" ht="12.75" x14ac:dyDescent="0.2"/>
    <row r="48972" s="197" customFormat="1" ht="12.75" x14ac:dyDescent="0.2"/>
    <row r="48973" s="197" customFormat="1" ht="12.75" x14ac:dyDescent="0.2"/>
    <row r="48974" s="197" customFormat="1" ht="12.75" x14ac:dyDescent="0.2"/>
    <row r="48975" s="197" customFormat="1" ht="12.75" x14ac:dyDescent="0.2"/>
    <row r="48976" s="197" customFormat="1" ht="12.75" x14ac:dyDescent="0.2"/>
    <row r="48977" s="197" customFormat="1" ht="12.75" x14ac:dyDescent="0.2"/>
    <row r="48978" s="197" customFormat="1" ht="12.75" x14ac:dyDescent="0.2"/>
    <row r="48979" s="197" customFormat="1" ht="12.75" x14ac:dyDescent="0.2"/>
    <row r="48980" s="197" customFormat="1" ht="12.75" x14ac:dyDescent="0.2"/>
    <row r="48981" s="197" customFormat="1" ht="12.75" x14ac:dyDescent="0.2"/>
    <row r="48982" s="197" customFormat="1" ht="12.75" x14ac:dyDescent="0.2"/>
    <row r="48983" s="197" customFormat="1" ht="12.75" x14ac:dyDescent="0.2"/>
    <row r="48984" s="197" customFormat="1" ht="12.75" x14ac:dyDescent="0.2"/>
    <row r="48985" s="197" customFormat="1" ht="12.75" x14ac:dyDescent="0.2"/>
    <row r="48986" s="197" customFormat="1" ht="12.75" x14ac:dyDescent="0.2"/>
    <row r="48987" s="197" customFormat="1" ht="12.75" x14ac:dyDescent="0.2"/>
    <row r="48988" s="197" customFormat="1" ht="12.75" x14ac:dyDescent="0.2"/>
    <row r="48989" s="197" customFormat="1" ht="12.75" x14ac:dyDescent="0.2"/>
    <row r="48990" s="197" customFormat="1" ht="12.75" x14ac:dyDescent="0.2"/>
    <row r="48991" s="197" customFormat="1" ht="12.75" x14ac:dyDescent="0.2"/>
    <row r="48992" s="197" customFormat="1" ht="12.75" x14ac:dyDescent="0.2"/>
    <row r="48993" s="197" customFormat="1" ht="12.75" x14ac:dyDescent="0.2"/>
    <row r="48994" s="197" customFormat="1" ht="12.75" x14ac:dyDescent="0.2"/>
    <row r="48995" s="197" customFormat="1" ht="12.75" x14ac:dyDescent="0.2"/>
    <row r="48996" s="197" customFormat="1" ht="12.75" x14ac:dyDescent="0.2"/>
    <row r="48997" s="197" customFormat="1" ht="12.75" x14ac:dyDescent="0.2"/>
    <row r="48998" s="197" customFormat="1" ht="12.75" x14ac:dyDescent="0.2"/>
    <row r="48999" s="197" customFormat="1" ht="12.75" x14ac:dyDescent="0.2"/>
    <row r="49000" s="197" customFormat="1" ht="12.75" x14ac:dyDescent="0.2"/>
    <row r="49001" s="197" customFormat="1" ht="12.75" x14ac:dyDescent="0.2"/>
    <row r="49002" s="197" customFormat="1" ht="12.75" x14ac:dyDescent="0.2"/>
    <row r="49003" s="197" customFormat="1" ht="12.75" x14ac:dyDescent="0.2"/>
    <row r="49004" s="197" customFormat="1" ht="12.75" x14ac:dyDescent="0.2"/>
    <row r="49005" s="197" customFormat="1" ht="12.75" x14ac:dyDescent="0.2"/>
    <row r="49006" s="197" customFormat="1" ht="12.75" x14ac:dyDescent="0.2"/>
    <row r="49007" s="197" customFormat="1" ht="12.75" x14ac:dyDescent="0.2"/>
    <row r="49008" s="197" customFormat="1" ht="12.75" x14ac:dyDescent="0.2"/>
    <row r="49009" s="197" customFormat="1" ht="12.75" x14ac:dyDescent="0.2"/>
    <row r="49010" s="197" customFormat="1" ht="12.75" x14ac:dyDescent="0.2"/>
    <row r="49011" s="197" customFormat="1" ht="12.75" x14ac:dyDescent="0.2"/>
    <row r="49012" s="197" customFormat="1" ht="12.75" x14ac:dyDescent="0.2"/>
    <row r="49013" s="197" customFormat="1" ht="12.75" x14ac:dyDescent="0.2"/>
    <row r="49014" s="197" customFormat="1" ht="12.75" x14ac:dyDescent="0.2"/>
    <row r="49015" s="197" customFormat="1" ht="12.75" x14ac:dyDescent="0.2"/>
    <row r="49016" s="197" customFormat="1" ht="12.75" x14ac:dyDescent="0.2"/>
    <row r="49017" s="197" customFormat="1" ht="12.75" x14ac:dyDescent="0.2"/>
    <row r="49018" s="197" customFormat="1" ht="12.75" x14ac:dyDescent="0.2"/>
    <row r="49019" s="197" customFormat="1" ht="12.75" x14ac:dyDescent="0.2"/>
    <row r="49020" s="197" customFormat="1" ht="12.75" x14ac:dyDescent="0.2"/>
    <row r="49021" s="197" customFormat="1" ht="12.75" x14ac:dyDescent="0.2"/>
    <row r="49022" s="197" customFormat="1" ht="12.75" x14ac:dyDescent="0.2"/>
    <row r="49023" s="197" customFormat="1" ht="12.75" x14ac:dyDescent="0.2"/>
    <row r="49024" s="197" customFormat="1" ht="12.75" x14ac:dyDescent="0.2"/>
    <row r="49025" s="197" customFormat="1" ht="12.75" x14ac:dyDescent="0.2"/>
    <row r="49026" s="197" customFormat="1" ht="12.75" x14ac:dyDescent="0.2"/>
    <row r="49027" s="197" customFormat="1" ht="12.75" x14ac:dyDescent="0.2"/>
    <row r="49028" s="197" customFormat="1" ht="12.75" x14ac:dyDescent="0.2"/>
    <row r="49029" s="197" customFormat="1" ht="12.75" x14ac:dyDescent="0.2"/>
    <row r="49030" s="197" customFormat="1" ht="12.75" x14ac:dyDescent="0.2"/>
    <row r="49031" s="197" customFormat="1" ht="12.75" x14ac:dyDescent="0.2"/>
    <row r="49032" s="197" customFormat="1" ht="12.75" x14ac:dyDescent="0.2"/>
    <row r="49033" s="197" customFormat="1" ht="12.75" x14ac:dyDescent="0.2"/>
    <row r="49034" s="197" customFormat="1" ht="12.75" x14ac:dyDescent="0.2"/>
    <row r="49035" s="197" customFormat="1" ht="12.75" x14ac:dyDescent="0.2"/>
    <row r="49036" s="197" customFormat="1" ht="12.75" x14ac:dyDescent="0.2"/>
    <row r="49037" s="197" customFormat="1" ht="12.75" x14ac:dyDescent="0.2"/>
    <row r="49038" s="197" customFormat="1" ht="12.75" x14ac:dyDescent="0.2"/>
    <row r="49039" s="197" customFormat="1" ht="12.75" x14ac:dyDescent="0.2"/>
    <row r="49040" s="197" customFormat="1" ht="12.75" x14ac:dyDescent="0.2"/>
    <row r="49041" s="197" customFormat="1" ht="12.75" x14ac:dyDescent="0.2"/>
    <row r="49042" s="197" customFormat="1" ht="12.75" x14ac:dyDescent="0.2"/>
    <row r="49043" s="197" customFormat="1" ht="12.75" x14ac:dyDescent="0.2"/>
    <row r="49044" s="197" customFormat="1" ht="12.75" x14ac:dyDescent="0.2"/>
    <row r="49045" s="197" customFormat="1" ht="12.75" x14ac:dyDescent="0.2"/>
    <row r="49046" s="197" customFormat="1" ht="12.75" x14ac:dyDescent="0.2"/>
    <row r="49047" s="197" customFormat="1" ht="12.75" x14ac:dyDescent="0.2"/>
    <row r="49048" s="197" customFormat="1" ht="12.75" x14ac:dyDescent="0.2"/>
    <row r="49049" s="197" customFormat="1" ht="12.75" x14ac:dyDescent="0.2"/>
    <row r="49050" s="197" customFormat="1" ht="12.75" x14ac:dyDescent="0.2"/>
    <row r="49051" s="197" customFormat="1" ht="12.75" x14ac:dyDescent="0.2"/>
    <row r="49052" s="197" customFormat="1" ht="12.75" x14ac:dyDescent="0.2"/>
    <row r="49053" s="197" customFormat="1" ht="12.75" x14ac:dyDescent="0.2"/>
    <row r="49054" s="197" customFormat="1" ht="12.75" x14ac:dyDescent="0.2"/>
    <row r="49055" s="197" customFormat="1" ht="12.75" x14ac:dyDescent="0.2"/>
    <row r="49056" s="197" customFormat="1" ht="12.75" x14ac:dyDescent="0.2"/>
    <row r="49057" s="197" customFormat="1" ht="12.75" x14ac:dyDescent="0.2"/>
    <row r="49058" s="197" customFormat="1" ht="12.75" x14ac:dyDescent="0.2"/>
    <row r="49059" s="197" customFormat="1" ht="12.75" x14ac:dyDescent="0.2"/>
    <row r="49060" s="197" customFormat="1" ht="12.75" x14ac:dyDescent="0.2"/>
    <row r="49061" s="197" customFormat="1" ht="12.75" x14ac:dyDescent="0.2"/>
    <row r="49062" s="197" customFormat="1" ht="12.75" x14ac:dyDescent="0.2"/>
    <row r="49063" s="197" customFormat="1" ht="12.75" x14ac:dyDescent="0.2"/>
    <row r="49064" s="197" customFormat="1" ht="12.75" x14ac:dyDescent="0.2"/>
    <row r="49065" s="197" customFormat="1" ht="12.75" x14ac:dyDescent="0.2"/>
    <row r="49066" s="197" customFormat="1" ht="12.75" x14ac:dyDescent="0.2"/>
    <row r="49067" s="197" customFormat="1" ht="12.75" x14ac:dyDescent="0.2"/>
    <row r="49068" s="197" customFormat="1" ht="12.75" x14ac:dyDescent="0.2"/>
    <row r="49069" s="197" customFormat="1" ht="12.75" x14ac:dyDescent="0.2"/>
    <row r="49070" s="197" customFormat="1" ht="12.75" x14ac:dyDescent="0.2"/>
    <row r="49071" s="197" customFormat="1" ht="12.75" x14ac:dyDescent="0.2"/>
    <row r="49072" s="197" customFormat="1" ht="12.75" x14ac:dyDescent="0.2"/>
    <row r="49073" s="197" customFormat="1" ht="12.75" x14ac:dyDescent="0.2"/>
    <row r="49074" s="197" customFormat="1" ht="12.75" x14ac:dyDescent="0.2"/>
    <row r="49075" s="197" customFormat="1" ht="12.75" x14ac:dyDescent="0.2"/>
    <row r="49076" s="197" customFormat="1" ht="12.75" x14ac:dyDescent="0.2"/>
    <row r="49077" s="197" customFormat="1" ht="12.75" x14ac:dyDescent="0.2"/>
    <row r="49078" s="197" customFormat="1" ht="12.75" x14ac:dyDescent="0.2"/>
    <row r="49079" s="197" customFormat="1" ht="12.75" x14ac:dyDescent="0.2"/>
    <row r="49080" s="197" customFormat="1" ht="12.75" x14ac:dyDescent="0.2"/>
    <row r="49081" s="197" customFormat="1" ht="12.75" x14ac:dyDescent="0.2"/>
    <row r="49082" s="197" customFormat="1" ht="12.75" x14ac:dyDescent="0.2"/>
    <row r="49083" s="197" customFormat="1" ht="12.75" x14ac:dyDescent="0.2"/>
    <row r="49084" s="197" customFormat="1" ht="12.75" x14ac:dyDescent="0.2"/>
    <row r="49085" s="197" customFormat="1" ht="12.75" x14ac:dyDescent="0.2"/>
    <row r="49086" s="197" customFormat="1" ht="12.75" x14ac:dyDescent="0.2"/>
    <row r="49087" s="197" customFormat="1" ht="12.75" x14ac:dyDescent="0.2"/>
    <row r="49088" s="197" customFormat="1" ht="12.75" x14ac:dyDescent="0.2"/>
    <row r="49089" s="197" customFormat="1" ht="12.75" x14ac:dyDescent="0.2"/>
    <row r="49090" s="197" customFormat="1" ht="12.75" x14ac:dyDescent="0.2"/>
    <row r="49091" s="197" customFormat="1" ht="12.75" x14ac:dyDescent="0.2"/>
    <row r="49092" s="197" customFormat="1" ht="12.75" x14ac:dyDescent="0.2"/>
    <row r="49093" s="197" customFormat="1" ht="12.75" x14ac:dyDescent="0.2"/>
    <row r="49094" s="197" customFormat="1" ht="12.75" x14ac:dyDescent="0.2"/>
    <row r="49095" s="197" customFormat="1" ht="12.75" x14ac:dyDescent="0.2"/>
    <row r="49096" s="197" customFormat="1" ht="12.75" x14ac:dyDescent="0.2"/>
    <row r="49097" s="197" customFormat="1" ht="12.75" x14ac:dyDescent="0.2"/>
    <row r="49098" s="197" customFormat="1" ht="12.75" x14ac:dyDescent="0.2"/>
    <row r="49099" s="197" customFormat="1" ht="12.75" x14ac:dyDescent="0.2"/>
    <row r="49100" s="197" customFormat="1" ht="12.75" x14ac:dyDescent="0.2"/>
    <row r="49101" s="197" customFormat="1" ht="12.75" x14ac:dyDescent="0.2"/>
    <row r="49102" s="197" customFormat="1" ht="12.75" x14ac:dyDescent="0.2"/>
    <row r="49103" s="197" customFormat="1" ht="12.75" x14ac:dyDescent="0.2"/>
    <row r="49104" s="197" customFormat="1" ht="12.75" x14ac:dyDescent="0.2"/>
    <row r="49105" s="197" customFormat="1" ht="12.75" x14ac:dyDescent="0.2"/>
    <row r="49106" s="197" customFormat="1" ht="12.75" x14ac:dyDescent="0.2"/>
    <row r="49107" s="197" customFormat="1" ht="12.75" x14ac:dyDescent="0.2"/>
    <row r="49108" s="197" customFormat="1" ht="12.75" x14ac:dyDescent="0.2"/>
    <row r="49109" s="197" customFormat="1" ht="12.75" x14ac:dyDescent="0.2"/>
    <row r="49110" s="197" customFormat="1" ht="12.75" x14ac:dyDescent="0.2"/>
    <row r="49111" s="197" customFormat="1" ht="12.75" x14ac:dyDescent="0.2"/>
    <row r="49112" s="197" customFormat="1" ht="12.75" x14ac:dyDescent="0.2"/>
    <row r="49113" s="197" customFormat="1" ht="12.75" x14ac:dyDescent="0.2"/>
    <row r="49114" s="197" customFormat="1" ht="12.75" x14ac:dyDescent="0.2"/>
    <row r="49115" s="197" customFormat="1" ht="12.75" x14ac:dyDescent="0.2"/>
    <row r="49116" s="197" customFormat="1" ht="12.75" x14ac:dyDescent="0.2"/>
    <row r="49117" s="197" customFormat="1" ht="12.75" x14ac:dyDescent="0.2"/>
    <row r="49118" s="197" customFormat="1" ht="12.75" x14ac:dyDescent="0.2"/>
    <row r="49119" s="197" customFormat="1" ht="12.75" x14ac:dyDescent="0.2"/>
    <row r="49120" s="197" customFormat="1" ht="12.75" x14ac:dyDescent="0.2"/>
    <row r="49121" s="197" customFormat="1" ht="12.75" x14ac:dyDescent="0.2"/>
    <row r="49122" s="197" customFormat="1" ht="12.75" x14ac:dyDescent="0.2"/>
    <row r="49123" s="197" customFormat="1" ht="12.75" x14ac:dyDescent="0.2"/>
    <row r="49124" s="197" customFormat="1" ht="12.75" x14ac:dyDescent="0.2"/>
    <row r="49125" s="197" customFormat="1" ht="12.75" x14ac:dyDescent="0.2"/>
    <row r="49126" s="197" customFormat="1" ht="12.75" x14ac:dyDescent="0.2"/>
    <row r="49127" s="197" customFormat="1" ht="12.75" x14ac:dyDescent="0.2"/>
    <row r="49128" s="197" customFormat="1" ht="12.75" x14ac:dyDescent="0.2"/>
    <row r="49129" s="197" customFormat="1" ht="12.75" x14ac:dyDescent="0.2"/>
    <row r="49130" s="197" customFormat="1" ht="12.75" x14ac:dyDescent="0.2"/>
    <row r="49131" s="197" customFormat="1" ht="12.75" x14ac:dyDescent="0.2"/>
    <row r="49132" s="197" customFormat="1" ht="12.75" x14ac:dyDescent="0.2"/>
    <row r="49133" s="197" customFormat="1" ht="12.75" x14ac:dyDescent="0.2"/>
    <row r="49134" s="197" customFormat="1" ht="12.75" x14ac:dyDescent="0.2"/>
    <row r="49135" s="197" customFormat="1" ht="12.75" x14ac:dyDescent="0.2"/>
    <row r="49136" s="197" customFormat="1" ht="12.75" x14ac:dyDescent="0.2"/>
    <row r="49137" s="197" customFormat="1" ht="12.75" x14ac:dyDescent="0.2"/>
    <row r="49138" s="197" customFormat="1" ht="12.75" x14ac:dyDescent="0.2"/>
    <row r="49139" s="197" customFormat="1" ht="12.75" x14ac:dyDescent="0.2"/>
    <row r="49140" s="197" customFormat="1" ht="12.75" x14ac:dyDescent="0.2"/>
    <row r="49141" s="197" customFormat="1" ht="12.75" x14ac:dyDescent="0.2"/>
    <row r="49142" s="197" customFormat="1" ht="12.75" x14ac:dyDescent="0.2"/>
    <row r="49143" s="197" customFormat="1" ht="12.75" x14ac:dyDescent="0.2"/>
    <row r="49144" s="197" customFormat="1" ht="12.75" x14ac:dyDescent="0.2"/>
    <row r="49145" s="197" customFormat="1" ht="12.75" x14ac:dyDescent="0.2"/>
    <row r="49146" s="197" customFormat="1" ht="12.75" x14ac:dyDescent="0.2"/>
    <row r="49147" s="197" customFormat="1" ht="12.75" x14ac:dyDescent="0.2"/>
    <row r="49148" s="197" customFormat="1" ht="12.75" x14ac:dyDescent="0.2"/>
    <row r="49149" s="197" customFormat="1" ht="12.75" x14ac:dyDescent="0.2"/>
    <row r="49150" s="197" customFormat="1" ht="12.75" x14ac:dyDescent="0.2"/>
    <row r="49151" s="197" customFormat="1" ht="12.75" x14ac:dyDescent="0.2"/>
    <row r="49152" s="197" customFormat="1" ht="12.75" x14ac:dyDescent="0.2"/>
    <row r="49153" s="197" customFormat="1" ht="12.75" x14ac:dyDescent="0.2"/>
    <row r="49154" s="197" customFormat="1" ht="12.75" x14ac:dyDescent="0.2"/>
    <row r="49155" s="197" customFormat="1" ht="12.75" x14ac:dyDescent="0.2"/>
    <row r="49156" s="197" customFormat="1" ht="12.75" x14ac:dyDescent="0.2"/>
    <row r="49157" s="197" customFormat="1" ht="12.75" x14ac:dyDescent="0.2"/>
    <row r="49158" s="197" customFormat="1" ht="12.75" x14ac:dyDescent="0.2"/>
    <row r="49159" s="197" customFormat="1" ht="12.75" x14ac:dyDescent="0.2"/>
    <row r="49160" s="197" customFormat="1" ht="12.75" x14ac:dyDescent="0.2"/>
    <row r="49161" s="197" customFormat="1" ht="12.75" x14ac:dyDescent="0.2"/>
    <row r="49162" s="197" customFormat="1" ht="12.75" x14ac:dyDescent="0.2"/>
    <row r="49163" s="197" customFormat="1" ht="12.75" x14ac:dyDescent="0.2"/>
    <row r="49164" s="197" customFormat="1" ht="12.75" x14ac:dyDescent="0.2"/>
    <row r="49165" s="197" customFormat="1" ht="12.75" x14ac:dyDescent="0.2"/>
    <row r="49166" s="197" customFormat="1" ht="12.75" x14ac:dyDescent="0.2"/>
    <row r="49167" s="197" customFormat="1" ht="12.75" x14ac:dyDescent="0.2"/>
    <row r="49168" s="197" customFormat="1" ht="12.75" x14ac:dyDescent="0.2"/>
    <row r="49169" s="197" customFormat="1" ht="12.75" x14ac:dyDescent="0.2"/>
    <row r="49170" s="197" customFormat="1" ht="12.75" x14ac:dyDescent="0.2"/>
    <row r="49171" s="197" customFormat="1" ht="12.75" x14ac:dyDescent="0.2"/>
    <row r="49172" s="197" customFormat="1" ht="12.75" x14ac:dyDescent="0.2"/>
    <row r="49173" s="197" customFormat="1" ht="12.75" x14ac:dyDescent="0.2"/>
    <row r="49174" s="197" customFormat="1" ht="12.75" x14ac:dyDescent="0.2"/>
    <row r="49175" s="197" customFormat="1" ht="12.75" x14ac:dyDescent="0.2"/>
    <row r="49176" s="197" customFormat="1" ht="12.75" x14ac:dyDescent="0.2"/>
    <row r="49177" s="197" customFormat="1" ht="12.75" x14ac:dyDescent="0.2"/>
    <row r="49178" s="197" customFormat="1" ht="12.75" x14ac:dyDescent="0.2"/>
    <row r="49179" s="197" customFormat="1" ht="12.75" x14ac:dyDescent="0.2"/>
    <row r="49180" s="197" customFormat="1" ht="12.75" x14ac:dyDescent="0.2"/>
    <row r="49181" s="197" customFormat="1" ht="12.75" x14ac:dyDescent="0.2"/>
    <row r="49182" s="197" customFormat="1" ht="12.75" x14ac:dyDescent="0.2"/>
    <row r="49183" s="197" customFormat="1" ht="12.75" x14ac:dyDescent="0.2"/>
    <row r="49184" s="197" customFormat="1" ht="12.75" x14ac:dyDescent="0.2"/>
    <row r="49185" s="197" customFormat="1" ht="12.75" x14ac:dyDescent="0.2"/>
    <row r="49186" s="197" customFormat="1" ht="12.75" x14ac:dyDescent="0.2"/>
    <row r="49187" s="197" customFormat="1" ht="12.75" x14ac:dyDescent="0.2"/>
    <row r="49188" s="197" customFormat="1" ht="12.75" x14ac:dyDescent="0.2"/>
    <row r="49189" s="197" customFormat="1" ht="12.75" x14ac:dyDescent="0.2"/>
    <row r="49190" s="197" customFormat="1" ht="12.75" x14ac:dyDescent="0.2"/>
    <row r="49191" s="197" customFormat="1" ht="12.75" x14ac:dyDescent="0.2"/>
    <row r="49192" s="197" customFormat="1" ht="12.75" x14ac:dyDescent="0.2"/>
    <row r="49193" s="197" customFormat="1" ht="12.75" x14ac:dyDescent="0.2"/>
    <row r="49194" s="197" customFormat="1" ht="12.75" x14ac:dyDescent="0.2"/>
    <row r="49195" s="197" customFormat="1" ht="12.75" x14ac:dyDescent="0.2"/>
    <row r="49196" s="197" customFormat="1" ht="12.75" x14ac:dyDescent="0.2"/>
    <row r="49197" s="197" customFormat="1" ht="12.75" x14ac:dyDescent="0.2"/>
    <row r="49198" s="197" customFormat="1" ht="12.75" x14ac:dyDescent="0.2"/>
    <row r="49199" s="197" customFormat="1" ht="12.75" x14ac:dyDescent="0.2"/>
    <row r="49200" s="197" customFormat="1" ht="12.75" x14ac:dyDescent="0.2"/>
    <row r="49201" s="197" customFormat="1" ht="12.75" x14ac:dyDescent="0.2"/>
    <row r="49202" s="197" customFormat="1" ht="12.75" x14ac:dyDescent="0.2"/>
    <row r="49203" s="197" customFormat="1" ht="12.75" x14ac:dyDescent="0.2"/>
    <row r="49204" s="197" customFormat="1" ht="12.75" x14ac:dyDescent="0.2"/>
    <row r="49205" s="197" customFormat="1" ht="12.75" x14ac:dyDescent="0.2"/>
    <row r="49206" s="197" customFormat="1" ht="12.75" x14ac:dyDescent="0.2"/>
    <row r="49207" s="197" customFormat="1" ht="12.75" x14ac:dyDescent="0.2"/>
    <row r="49208" s="197" customFormat="1" ht="12.75" x14ac:dyDescent="0.2"/>
    <row r="49209" s="197" customFormat="1" ht="12.75" x14ac:dyDescent="0.2"/>
    <row r="49210" s="197" customFormat="1" ht="12.75" x14ac:dyDescent="0.2"/>
    <row r="49211" s="197" customFormat="1" ht="12.75" x14ac:dyDescent="0.2"/>
    <row r="49212" s="197" customFormat="1" ht="12.75" x14ac:dyDescent="0.2"/>
    <row r="49213" s="197" customFormat="1" ht="12.75" x14ac:dyDescent="0.2"/>
    <row r="49214" s="197" customFormat="1" ht="12.75" x14ac:dyDescent="0.2"/>
    <row r="49215" s="197" customFormat="1" ht="12.75" x14ac:dyDescent="0.2"/>
    <row r="49216" s="197" customFormat="1" ht="12.75" x14ac:dyDescent="0.2"/>
    <row r="49217" s="197" customFormat="1" ht="12.75" x14ac:dyDescent="0.2"/>
    <row r="49218" s="197" customFormat="1" ht="12.75" x14ac:dyDescent="0.2"/>
    <row r="49219" s="197" customFormat="1" ht="12.75" x14ac:dyDescent="0.2"/>
    <row r="49220" s="197" customFormat="1" ht="12.75" x14ac:dyDescent="0.2"/>
    <row r="49221" s="197" customFormat="1" ht="12.75" x14ac:dyDescent="0.2"/>
    <row r="49222" s="197" customFormat="1" ht="12.75" x14ac:dyDescent="0.2"/>
    <row r="49223" s="197" customFormat="1" ht="12.75" x14ac:dyDescent="0.2"/>
    <row r="49224" s="197" customFormat="1" ht="12.75" x14ac:dyDescent="0.2"/>
    <row r="49225" s="197" customFormat="1" ht="12.75" x14ac:dyDescent="0.2"/>
    <row r="49226" s="197" customFormat="1" ht="12.75" x14ac:dyDescent="0.2"/>
    <row r="49227" s="197" customFormat="1" ht="12.75" x14ac:dyDescent="0.2"/>
    <row r="49228" s="197" customFormat="1" ht="12.75" x14ac:dyDescent="0.2"/>
    <row r="49229" s="197" customFormat="1" ht="12.75" x14ac:dyDescent="0.2"/>
    <row r="49230" s="197" customFormat="1" ht="12.75" x14ac:dyDescent="0.2"/>
    <row r="49231" s="197" customFormat="1" ht="12.75" x14ac:dyDescent="0.2"/>
    <row r="49232" s="197" customFormat="1" ht="12.75" x14ac:dyDescent="0.2"/>
    <row r="49233" s="197" customFormat="1" ht="12.75" x14ac:dyDescent="0.2"/>
    <row r="49234" s="197" customFormat="1" ht="12.75" x14ac:dyDescent="0.2"/>
    <row r="49235" s="197" customFormat="1" ht="12.75" x14ac:dyDescent="0.2"/>
    <row r="49236" s="197" customFormat="1" ht="12.75" x14ac:dyDescent="0.2"/>
    <row r="49237" s="197" customFormat="1" ht="12.75" x14ac:dyDescent="0.2"/>
    <row r="49238" s="197" customFormat="1" ht="12.75" x14ac:dyDescent="0.2"/>
    <row r="49239" s="197" customFormat="1" ht="12.75" x14ac:dyDescent="0.2"/>
    <row r="49240" s="197" customFormat="1" ht="12.75" x14ac:dyDescent="0.2"/>
    <row r="49241" s="197" customFormat="1" ht="12.75" x14ac:dyDescent="0.2"/>
    <row r="49242" s="197" customFormat="1" ht="12.75" x14ac:dyDescent="0.2"/>
    <row r="49243" s="197" customFormat="1" ht="12.75" x14ac:dyDescent="0.2"/>
    <row r="49244" s="197" customFormat="1" ht="12.75" x14ac:dyDescent="0.2"/>
    <row r="49245" s="197" customFormat="1" ht="12.75" x14ac:dyDescent="0.2"/>
    <row r="49246" s="197" customFormat="1" ht="12.75" x14ac:dyDescent="0.2"/>
    <row r="49247" s="197" customFormat="1" ht="12.75" x14ac:dyDescent="0.2"/>
    <row r="49248" s="197" customFormat="1" ht="12.75" x14ac:dyDescent="0.2"/>
    <row r="49249" s="197" customFormat="1" ht="12.75" x14ac:dyDescent="0.2"/>
    <row r="49250" s="197" customFormat="1" ht="12.75" x14ac:dyDescent="0.2"/>
    <row r="49251" s="197" customFormat="1" ht="12.75" x14ac:dyDescent="0.2"/>
    <row r="49252" s="197" customFormat="1" ht="12.75" x14ac:dyDescent="0.2"/>
    <row r="49253" s="197" customFormat="1" ht="12.75" x14ac:dyDescent="0.2"/>
    <row r="49254" s="197" customFormat="1" ht="12.75" x14ac:dyDescent="0.2"/>
    <row r="49255" s="197" customFormat="1" ht="12.75" x14ac:dyDescent="0.2"/>
    <row r="49256" s="197" customFormat="1" ht="12.75" x14ac:dyDescent="0.2"/>
    <row r="49257" s="197" customFormat="1" ht="12.75" x14ac:dyDescent="0.2"/>
    <row r="49258" s="197" customFormat="1" ht="12.75" x14ac:dyDescent="0.2"/>
    <row r="49259" s="197" customFormat="1" ht="12.75" x14ac:dyDescent="0.2"/>
    <row r="49260" s="197" customFormat="1" ht="12.75" x14ac:dyDescent="0.2"/>
    <row r="49261" s="197" customFormat="1" ht="12.75" x14ac:dyDescent="0.2"/>
    <row r="49262" s="197" customFormat="1" ht="12.75" x14ac:dyDescent="0.2"/>
    <row r="49263" s="197" customFormat="1" ht="12.75" x14ac:dyDescent="0.2"/>
    <row r="49264" s="197" customFormat="1" ht="12.75" x14ac:dyDescent="0.2"/>
    <row r="49265" s="197" customFormat="1" ht="12.75" x14ac:dyDescent="0.2"/>
    <row r="49266" s="197" customFormat="1" ht="12.75" x14ac:dyDescent="0.2"/>
    <row r="49267" s="197" customFormat="1" ht="12.75" x14ac:dyDescent="0.2"/>
    <row r="49268" s="197" customFormat="1" ht="12.75" x14ac:dyDescent="0.2"/>
    <row r="49269" s="197" customFormat="1" ht="12.75" x14ac:dyDescent="0.2"/>
    <row r="49270" s="197" customFormat="1" ht="12.75" x14ac:dyDescent="0.2"/>
    <row r="49271" s="197" customFormat="1" ht="12.75" x14ac:dyDescent="0.2"/>
    <row r="49272" s="197" customFormat="1" ht="12.75" x14ac:dyDescent="0.2"/>
    <row r="49273" s="197" customFormat="1" ht="12.75" x14ac:dyDescent="0.2"/>
    <row r="49274" s="197" customFormat="1" ht="12.75" x14ac:dyDescent="0.2"/>
    <row r="49275" s="197" customFormat="1" ht="12.75" x14ac:dyDescent="0.2"/>
    <row r="49276" s="197" customFormat="1" ht="12.75" x14ac:dyDescent="0.2"/>
    <row r="49277" s="197" customFormat="1" ht="12.75" x14ac:dyDescent="0.2"/>
    <row r="49278" s="197" customFormat="1" ht="12.75" x14ac:dyDescent="0.2"/>
    <row r="49279" s="197" customFormat="1" ht="12.75" x14ac:dyDescent="0.2"/>
    <row r="49280" s="197" customFormat="1" ht="12.75" x14ac:dyDescent="0.2"/>
    <row r="49281" s="197" customFormat="1" ht="12.75" x14ac:dyDescent="0.2"/>
    <row r="49282" s="197" customFormat="1" ht="12.75" x14ac:dyDescent="0.2"/>
    <row r="49283" s="197" customFormat="1" ht="12.75" x14ac:dyDescent="0.2"/>
    <row r="49284" s="197" customFormat="1" ht="12.75" x14ac:dyDescent="0.2"/>
    <row r="49285" s="197" customFormat="1" ht="12.75" x14ac:dyDescent="0.2"/>
    <row r="49286" s="197" customFormat="1" ht="12.75" x14ac:dyDescent="0.2"/>
    <row r="49287" s="197" customFormat="1" ht="12.75" x14ac:dyDescent="0.2"/>
    <row r="49288" s="197" customFormat="1" ht="12.75" x14ac:dyDescent="0.2"/>
    <row r="49289" s="197" customFormat="1" ht="12.75" x14ac:dyDescent="0.2"/>
    <row r="49290" s="197" customFormat="1" ht="12.75" x14ac:dyDescent="0.2"/>
    <row r="49291" s="197" customFormat="1" ht="12.75" x14ac:dyDescent="0.2"/>
    <row r="49292" s="197" customFormat="1" ht="12.75" x14ac:dyDescent="0.2"/>
    <row r="49293" s="197" customFormat="1" ht="12.75" x14ac:dyDescent="0.2"/>
    <row r="49294" s="197" customFormat="1" ht="12.75" x14ac:dyDescent="0.2"/>
    <row r="49295" s="197" customFormat="1" ht="12.75" x14ac:dyDescent="0.2"/>
    <row r="49296" s="197" customFormat="1" ht="12.75" x14ac:dyDescent="0.2"/>
    <row r="49297" s="197" customFormat="1" ht="12.75" x14ac:dyDescent="0.2"/>
    <row r="49298" s="197" customFormat="1" ht="12.75" x14ac:dyDescent="0.2"/>
    <row r="49299" s="197" customFormat="1" ht="12.75" x14ac:dyDescent="0.2"/>
    <row r="49300" s="197" customFormat="1" ht="12.75" x14ac:dyDescent="0.2"/>
    <row r="49301" s="197" customFormat="1" ht="12.75" x14ac:dyDescent="0.2"/>
    <row r="49302" s="197" customFormat="1" ht="12.75" x14ac:dyDescent="0.2"/>
    <row r="49303" s="197" customFormat="1" ht="12.75" x14ac:dyDescent="0.2"/>
    <row r="49304" s="197" customFormat="1" ht="12.75" x14ac:dyDescent="0.2"/>
    <row r="49305" s="197" customFormat="1" ht="12.75" x14ac:dyDescent="0.2"/>
    <row r="49306" s="197" customFormat="1" ht="12.75" x14ac:dyDescent="0.2"/>
    <row r="49307" s="197" customFormat="1" ht="12.75" x14ac:dyDescent="0.2"/>
    <row r="49308" s="197" customFormat="1" ht="12.75" x14ac:dyDescent="0.2"/>
    <row r="49309" s="197" customFormat="1" ht="12.75" x14ac:dyDescent="0.2"/>
    <row r="49310" s="197" customFormat="1" ht="12.75" x14ac:dyDescent="0.2"/>
    <row r="49311" s="197" customFormat="1" ht="12.75" x14ac:dyDescent="0.2"/>
    <row r="49312" s="197" customFormat="1" ht="12.75" x14ac:dyDescent="0.2"/>
    <row r="49313" s="197" customFormat="1" ht="12.75" x14ac:dyDescent="0.2"/>
    <row r="49314" s="197" customFormat="1" ht="12.75" x14ac:dyDescent="0.2"/>
    <row r="49315" s="197" customFormat="1" ht="12.75" x14ac:dyDescent="0.2"/>
    <row r="49316" s="197" customFormat="1" ht="12.75" x14ac:dyDescent="0.2"/>
    <row r="49317" s="197" customFormat="1" ht="12.75" x14ac:dyDescent="0.2"/>
    <row r="49318" s="197" customFormat="1" ht="12.75" x14ac:dyDescent="0.2"/>
    <row r="49319" s="197" customFormat="1" ht="12.75" x14ac:dyDescent="0.2"/>
    <row r="49320" s="197" customFormat="1" ht="12.75" x14ac:dyDescent="0.2"/>
    <row r="49321" s="197" customFormat="1" ht="12.75" x14ac:dyDescent="0.2"/>
    <row r="49322" s="197" customFormat="1" ht="12.75" x14ac:dyDescent="0.2"/>
    <row r="49323" s="197" customFormat="1" ht="12.75" x14ac:dyDescent="0.2"/>
    <row r="49324" s="197" customFormat="1" ht="12.75" x14ac:dyDescent="0.2"/>
    <row r="49325" s="197" customFormat="1" ht="12.75" x14ac:dyDescent="0.2"/>
    <row r="49326" s="197" customFormat="1" ht="12.75" x14ac:dyDescent="0.2"/>
    <row r="49327" s="197" customFormat="1" ht="12.75" x14ac:dyDescent="0.2"/>
    <row r="49328" s="197" customFormat="1" ht="12.75" x14ac:dyDescent="0.2"/>
    <row r="49329" s="197" customFormat="1" ht="12.75" x14ac:dyDescent="0.2"/>
    <row r="49330" s="197" customFormat="1" ht="12.75" x14ac:dyDescent="0.2"/>
    <row r="49331" s="197" customFormat="1" ht="12.75" x14ac:dyDescent="0.2"/>
    <row r="49332" s="197" customFormat="1" ht="12.75" x14ac:dyDescent="0.2"/>
    <row r="49333" s="197" customFormat="1" ht="12.75" x14ac:dyDescent="0.2"/>
    <row r="49334" s="197" customFormat="1" ht="12.75" x14ac:dyDescent="0.2"/>
    <row r="49335" s="197" customFormat="1" ht="12.75" x14ac:dyDescent="0.2"/>
    <row r="49336" s="197" customFormat="1" ht="12.75" x14ac:dyDescent="0.2"/>
    <row r="49337" s="197" customFormat="1" ht="12.75" x14ac:dyDescent="0.2"/>
    <row r="49338" s="197" customFormat="1" ht="12.75" x14ac:dyDescent="0.2"/>
    <row r="49339" s="197" customFormat="1" ht="12.75" x14ac:dyDescent="0.2"/>
    <row r="49340" s="197" customFormat="1" ht="12.75" x14ac:dyDescent="0.2"/>
    <row r="49341" s="197" customFormat="1" ht="12.75" x14ac:dyDescent="0.2"/>
    <row r="49342" s="197" customFormat="1" ht="12.75" x14ac:dyDescent="0.2"/>
    <row r="49343" s="197" customFormat="1" ht="12.75" x14ac:dyDescent="0.2"/>
    <row r="49344" s="197" customFormat="1" ht="12.75" x14ac:dyDescent="0.2"/>
    <row r="49345" s="197" customFormat="1" ht="12.75" x14ac:dyDescent="0.2"/>
    <row r="49346" s="197" customFormat="1" ht="12.75" x14ac:dyDescent="0.2"/>
    <row r="49347" s="197" customFormat="1" ht="12.75" x14ac:dyDescent="0.2"/>
    <row r="49348" s="197" customFormat="1" ht="12.75" x14ac:dyDescent="0.2"/>
    <row r="49349" s="197" customFormat="1" ht="12.75" x14ac:dyDescent="0.2"/>
    <row r="49350" s="197" customFormat="1" ht="12.75" x14ac:dyDescent="0.2"/>
    <row r="49351" s="197" customFormat="1" ht="12.75" x14ac:dyDescent="0.2"/>
    <row r="49352" s="197" customFormat="1" ht="12.75" x14ac:dyDescent="0.2"/>
    <row r="49353" s="197" customFormat="1" ht="12.75" x14ac:dyDescent="0.2"/>
    <row r="49354" s="197" customFormat="1" ht="12.75" x14ac:dyDescent="0.2"/>
    <row r="49355" s="197" customFormat="1" ht="12.75" x14ac:dyDescent="0.2"/>
    <row r="49356" s="197" customFormat="1" ht="12.75" x14ac:dyDescent="0.2"/>
    <row r="49357" s="197" customFormat="1" ht="12.75" x14ac:dyDescent="0.2"/>
    <row r="49358" s="197" customFormat="1" ht="12.75" x14ac:dyDescent="0.2"/>
    <row r="49359" s="197" customFormat="1" ht="12.75" x14ac:dyDescent="0.2"/>
    <row r="49360" s="197" customFormat="1" ht="12.75" x14ac:dyDescent="0.2"/>
    <row r="49361" s="197" customFormat="1" ht="12.75" x14ac:dyDescent="0.2"/>
    <row r="49362" s="197" customFormat="1" ht="12.75" x14ac:dyDescent="0.2"/>
    <row r="49363" s="197" customFormat="1" ht="12.75" x14ac:dyDescent="0.2"/>
    <row r="49364" s="197" customFormat="1" ht="12.75" x14ac:dyDescent="0.2"/>
    <row r="49365" s="197" customFormat="1" ht="12.75" x14ac:dyDescent="0.2"/>
    <row r="49366" s="197" customFormat="1" ht="12.75" x14ac:dyDescent="0.2"/>
    <row r="49367" s="197" customFormat="1" ht="12.75" x14ac:dyDescent="0.2"/>
    <row r="49368" s="197" customFormat="1" ht="12.75" x14ac:dyDescent="0.2"/>
    <row r="49369" s="197" customFormat="1" ht="12.75" x14ac:dyDescent="0.2"/>
    <row r="49370" s="197" customFormat="1" ht="12.75" x14ac:dyDescent="0.2"/>
    <row r="49371" s="197" customFormat="1" ht="12.75" x14ac:dyDescent="0.2"/>
    <row r="49372" s="197" customFormat="1" ht="12.75" x14ac:dyDescent="0.2"/>
    <row r="49373" s="197" customFormat="1" ht="12.75" x14ac:dyDescent="0.2"/>
    <row r="49374" s="197" customFormat="1" ht="12.75" x14ac:dyDescent="0.2"/>
    <row r="49375" s="197" customFormat="1" ht="12.75" x14ac:dyDescent="0.2"/>
    <row r="49376" s="197" customFormat="1" ht="12.75" x14ac:dyDescent="0.2"/>
    <row r="49377" s="197" customFormat="1" ht="12.75" x14ac:dyDescent="0.2"/>
    <row r="49378" s="197" customFormat="1" ht="12.75" x14ac:dyDescent="0.2"/>
    <row r="49379" s="197" customFormat="1" ht="12.75" x14ac:dyDescent="0.2"/>
    <row r="49380" s="197" customFormat="1" ht="12.75" x14ac:dyDescent="0.2"/>
    <row r="49381" s="197" customFormat="1" ht="12.75" x14ac:dyDescent="0.2"/>
    <row r="49382" s="197" customFormat="1" ht="12.75" x14ac:dyDescent="0.2"/>
    <row r="49383" s="197" customFormat="1" ht="12.75" x14ac:dyDescent="0.2"/>
    <row r="49384" s="197" customFormat="1" ht="12.75" x14ac:dyDescent="0.2"/>
    <row r="49385" s="197" customFormat="1" ht="12.75" x14ac:dyDescent="0.2"/>
    <row r="49386" s="197" customFormat="1" ht="12.75" x14ac:dyDescent="0.2"/>
    <row r="49387" s="197" customFormat="1" ht="12.75" x14ac:dyDescent="0.2"/>
    <row r="49388" s="197" customFormat="1" ht="12.75" x14ac:dyDescent="0.2"/>
    <row r="49389" s="197" customFormat="1" ht="12.75" x14ac:dyDescent="0.2"/>
    <row r="49390" s="197" customFormat="1" ht="12.75" x14ac:dyDescent="0.2"/>
    <row r="49391" s="197" customFormat="1" ht="12.75" x14ac:dyDescent="0.2"/>
    <row r="49392" s="197" customFormat="1" ht="12.75" x14ac:dyDescent="0.2"/>
    <row r="49393" s="197" customFormat="1" ht="12.75" x14ac:dyDescent="0.2"/>
    <row r="49394" s="197" customFormat="1" ht="12.75" x14ac:dyDescent="0.2"/>
    <row r="49395" s="197" customFormat="1" ht="12.75" x14ac:dyDescent="0.2"/>
    <row r="49396" s="197" customFormat="1" ht="12.75" x14ac:dyDescent="0.2"/>
    <row r="49397" s="197" customFormat="1" ht="12.75" x14ac:dyDescent="0.2"/>
    <row r="49398" s="197" customFormat="1" ht="12.75" x14ac:dyDescent="0.2"/>
    <row r="49399" s="197" customFormat="1" ht="12.75" x14ac:dyDescent="0.2"/>
    <row r="49400" s="197" customFormat="1" ht="12.75" x14ac:dyDescent="0.2"/>
    <row r="49401" s="197" customFormat="1" ht="12.75" x14ac:dyDescent="0.2"/>
    <row r="49402" s="197" customFormat="1" ht="12.75" x14ac:dyDescent="0.2"/>
    <row r="49403" s="197" customFormat="1" ht="12.75" x14ac:dyDescent="0.2"/>
    <row r="49404" s="197" customFormat="1" ht="12.75" x14ac:dyDescent="0.2"/>
    <row r="49405" s="197" customFormat="1" ht="12.75" x14ac:dyDescent="0.2"/>
    <row r="49406" s="197" customFormat="1" ht="12.75" x14ac:dyDescent="0.2"/>
    <row r="49407" s="197" customFormat="1" ht="12.75" x14ac:dyDescent="0.2"/>
    <row r="49408" s="197" customFormat="1" ht="12.75" x14ac:dyDescent="0.2"/>
    <row r="49409" s="197" customFormat="1" ht="12.75" x14ac:dyDescent="0.2"/>
    <row r="49410" s="197" customFormat="1" ht="12.75" x14ac:dyDescent="0.2"/>
    <row r="49411" s="197" customFormat="1" ht="12.75" x14ac:dyDescent="0.2"/>
    <row r="49412" s="197" customFormat="1" ht="12.75" x14ac:dyDescent="0.2"/>
    <row r="49413" s="197" customFormat="1" ht="12.75" x14ac:dyDescent="0.2"/>
    <row r="49414" s="197" customFormat="1" ht="12.75" x14ac:dyDescent="0.2"/>
    <row r="49415" s="197" customFormat="1" ht="12.75" x14ac:dyDescent="0.2"/>
    <row r="49416" s="197" customFormat="1" ht="12.75" x14ac:dyDescent="0.2"/>
    <row r="49417" s="197" customFormat="1" ht="12.75" x14ac:dyDescent="0.2"/>
    <row r="49418" s="197" customFormat="1" ht="12.75" x14ac:dyDescent="0.2"/>
    <row r="49419" s="197" customFormat="1" ht="12.75" x14ac:dyDescent="0.2"/>
    <row r="49420" s="197" customFormat="1" ht="12.75" x14ac:dyDescent="0.2"/>
    <row r="49421" s="197" customFormat="1" ht="12.75" x14ac:dyDescent="0.2"/>
    <row r="49422" s="197" customFormat="1" ht="12.75" x14ac:dyDescent="0.2"/>
    <row r="49423" s="197" customFormat="1" ht="12.75" x14ac:dyDescent="0.2"/>
    <row r="49424" s="197" customFormat="1" ht="12.75" x14ac:dyDescent="0.2"/>
    <row r="49425" s="197" customFormat="1" ht="12.75" x14ac:dyDescent="0.2"/>
    <row r="49426" s="197" customFormat="1" ht="12.75" x14ac:dyDescent="0.2"/>
    <row r="49427" s="197" customFormat="1" ht="12.75" x14ac:dyDescent="0.2"/>
    <row r="49428" s="197" customFormat="1" ht="12.75" x14ac:dyDescent="0.2"/>
    <row r="49429" s="197" customFormat="1" ht="12.75" x14ac:dyDescent="0.2"/>
    <row r="49430" s="197" customFormat="1" ht="12.75" x14ac:dyDescent="0.2"/>
    <row r="49431" s="197" customFormat="1" ht="12.75" x14ac:dyDescent="0.2"/>
    <row r="49432" s="197" customFormat="1" ht="12.75" x14ac:dyDescent="0.2"/>
    <row r="49433" s="197" customFormat="1" ht="12.75" x14ac:dyDescent="0.2"/>
    <row r="49434" s="197" customFormat="1" ht="12.75" x14ac:dyDescent="0.2"/>
    <row r="49435" s="197" customFormat="1" ht="12.75" x14ac:dyDescent="0.2"/>
    <row r="49436" s="197" customFormat="1" ht="12.75" x14ac:dyDescent="0.2"/>
    <row r="49437" s="197" customFormat="1" ht="12.75" x14ac:dyDescent="0.2"/>
    <row r="49438" s="197" customFormat="1" ht="12.75" x14ac:dyDescent="0.2"/>
    <row r="49439" s="197" customFormat="1" ht="12.75" x14ac:dyDescent="0.2"/>
    <row r="49440" s="197" customFormat="1" ht="12.75" x14ac:dyDescent="0.2"/>
    <row r="49441" s="197" customFormat="1" ht="12.75" x14ac:dyDescent="0.2"/>
    <row r="49442" s="197" customFormat="1" ht="12.75" x14ac:dyDescent="0.2"/>
    <row r="49443" s="197" customFormat="1" ht="12.75" x14ac:dyDescent="0.2"/>
    <row r="49444" s="197" customFormat="1" ht="12.75" x14ac:dyDescent="0.2"/>
    <row r="49445" s="197" customFormat="1" ht="12.75" x14ac:dyDescent="0.2"/>
    <row r="49446" s="197" customFormat="1" ht="12.75" x14ac:dyDescent="0.2"/>
    <row r="49447" s="197" customFormat="1" ht="12.75" x14ac:dyDescent="0.2"/>
    <row r="49448" s="197" customFormat="1" ht="12.75" x14ac:dyDescent="0.2"/>
    <row r="49449" s="197" customFormat="1" ht="12.75" x14ac:dyDescent="0.2"/>
    <row r="49450" s="197" customFormat="1" ht="12.75" x14ac:dyDescent="0.2"/>
    <row r="49451" s="197" customFormat="1" ht="12.75" x14ac:dyDescent="0.2"/>
    <row r="49452" s="197" customFormat="1" ht="12.75" x14ac:dyDescent="0.2"/>
    <row r="49453" s="197" customFormat="1" ht="12.75" x14ac:dyDescent="0.2"/>
    <row r="49454" s="197" customFormat="1" ht="12.75" x14ac:dyDescent="0.2"/>
    <row r="49455" s="197" customFormat="1" ht="12.75" x14ac:dyDescent="0.2"/>
    <row r="49456" s="197" customFormat="1" ht="12.75" x14ac:dyDescent="0.2"/>
    <row r="49457" s="197" customFormat="1" ht="12.75" x14ac:dyDescent="0.2"/>
    <row r="49458" s="197" customFormat="1" ht="12.75" x14ac:dyDescent="0.2"/>
    <row r="49459" s="197" customFormat="1" ht="12.75" x14ac:dyDescent="0.2"/>
    <row r="49460" s="197" customFormat="1" ht="12.75" x14ac:dyDescent="0.2"/>
    <row r="49461" s="197" customFormat="1" ht="12.75" x14ac:dyDescent="0.2"/>
    <row r="49462" s="197" customFormat="1" ht="12.75" x14ac:dyDescent="0.2"/>
    <row r="49463" s="197" customFormat="1" ht="12.75" x14ac:dyDescent="0.2"/>
    <row r="49464" s="197" customFormat="1" ht="12.75" x14ac:dyDescent="0.2"/>
    <row r="49465" s="197" customFormat="1" ht="12.75" x14ac:dyDescent="0.2"/>
    <row r="49466" s="197" customFormat="1" ht="12.75" x14ac:dyDescent="0.2"/>
    <row r="49467" s="197" customFormat="1" ht="12.75" x14ac:dyDescent="0.2"/>
    <row r="49468" s="197" customFormat="1" ht="12.75" x14ac:dyDescent="0.2"/>
    <row r="49469" s="197" customFormat="1" ht="12.75" x14ac:dyDescent="0.2"/>
    <row r="49470" s="197" customFormat="1" ht="12.75" x14ac:dyDescent="0.2"/>
    <row r="49471" s="197" customFormat="1" ht="12.75" x14ac:dyDescent="0.2"/>
    <row r="49472" s="197" customFormat="1" ht="12.75" x14ac:dyDescent="0.2"/>
    <row r="49473" s="197" customFormat="1" ht="12.75" x14ac:dyDescent="0.2"/>
    <row r="49474" s="197" customFormat="1" ht="12.75" x14ac:dyDescent="0.2"/>
    <row r="49475" s="197" customFormat="1" ht="12.75" x14ac:dyDescent="0.2"/>
    <row r="49476" s="197" customFormat="1" ht="12.75" x14ac:dyDescent="0.2"/>
    <row r="49477" s="197" customFormat="1" ht="12.75" x14ac:dyDescent="0.2"/>
    <row r="49478" s="197" customFormat="1" ht="12.75" x14ac:dyDescent="0.2"/>
    <row r="49479" s="197" customFormat="1" ht="12.75" x14ac:dyDescent="0.2"/>
    <row r="49480" s="197" customFormat="1" ht="12.75" x14ac:dyDescent="0.2"/>
    <row r="49481" s="197" customFormat="1" ht="12.75" x14ac:dyDescent="0.2"/>
    <row r="49482" s="197" customFormat="1" ht="12.75" x14ac:dyDescent="0.2"/>
    <row r="49483" s="197" customFormat="1" ht="12.75" x14ac:dyDescent="0.2"/>
    <row r="49484" s="197" customFormat="1" ht="12.75" x14ac:dyDescent="0.2"/>
    <row r="49485" s="197" customFormat="1" ht="12.75" x14ac:dyDescent="0.2"/>
    <row r="49486" s="197" customFormat="1" ht="12.75" x14ac:dyDescent="0.2"/>
    <row r="49487" s="197" customFormat="1" ht="12.75" x14ac:dyDescent="0.2"/>
    <row r="49488" s="197" customFormat="1" ht="12.75" x14ac:dyDescent="0.2"/>
    <row r="49489" s="197" customFormat="1" ht="12.75" x14ac:dyDescent="0.2"/>
    <row r="49490" s="197" customFormat="1" ht="12.75" x14ac:dyDescent="0.2"/>
    <row r="49491" s="197" customFormat="1" ht="12.75" x14ac:dyDescent="0.2"/>
    <row r="49492" s="197" customFormat="1" ht="12.75" x14ac:dyDescent="0.2"/>
    <row r="49493" s="197" customFormat="1" ht="12.75" x14ac:dyDescent="0.2"/>
    <row r="49494" s="197" customFormat="1" ht="12.75" x14ac:dyDescent="0.2"/>
    <row r="49495" s="197" customFormat="1" ht="12.75" x14ac:dyDescent="0.2"/>
    <row r="49496" s="197" customFormat="1" ht="12.75" x14ac:dyDescent="0.2"/>
    <row r="49497" s="197" customFormat="1" ht="12.75" x14ac:dyDescent="0.2"/>
    <row r="49498" s="197" customFormat="1" ht="12.75" x14ac:dyDescent="0.2"/>
    <row r="49499" s="197" customFormat="1" ht="12.75" x14ac:dyDescent="0.2"/>
    <row r="49500" s="197" customFormat="1" ht="12.75" x14ac:dyDescent="0.2"/>
    <row r="49501" s="197" customFormat="1" ht="12.75" x14ac:dyDescent="0.2"/>
    <row r="49502" s="197" customFormat="1" ht="12.75" x14ac:dyDescent="0.2"/>
    <row r="49503" s="197" customFormat="1" ht="12.75" x14ac:dyDescent="0.2"/>
    <row r="49504" s="197" customFormat="1" ht="12.75" x14ac:dyDescent="0.2"/>
    <row r="49505" s="197" customFormat="1" ht="12.75" x14ac:dyDescent="0.2"/>
    <row r="49506" s="197" customFormat="1" ht="12.75" x14ac:dyDescent="0.2"/>
    <row r="49507" s="197" customFormat="1" ht="12.75" x14ac:dyDescent="0.2"/>
    <row r="49508" s="197" customFormat="1" ht="12.75" x14ac:dyDescent="0.2"/>
    <row r="49509" s="197" customFormat="1" ht="12.75" x14ac:dyDescent="0.2"/>
    <row r="49510" s="197" customFormat="1" ht="12.75" x14ac:dyDescent="0.2"/>
    <row r="49511" s="197" customFormat="1" ht="12.75" x14ac:dyDescent="0.2"/>
    <row r="49512" s="197" customFormat="1" ht="12.75" x14ac:dyDescent="0.2"/>
    <row r="49513" s="197" customFormat="1" ht="12.75" x14ac:dyDescent="0.2"/>
    <row r="49514" s="197" customFormat="1" ht="12.75" x14ac:dyDescent="0.2"/>
    <row r="49515" s="197" customFormat="1" ht="12.75" x14ac:dyDescent="0.2"/>
    <row r="49516" s="197" customFormat="1" ht="12.75" x14ac:dyDescent="0.2"/>
    <row r="49517" s="197" customFormat="1" ht="12.75" x14ac:dyDescent="0.2"/>
    <row r="49518" s="197" customFormat="1" ht="12.75" x14ac:dyDescent="0.2"/>
    <row r="49519" s="197" customFormat="1" ht="12.75" x14ac:dyDescent="0.2"/>
    <row r="49520" s="197" customFormat="1" ht="12.75" x14ac:dyDescent="0.2"/>
    <row r="49521" s="197" customFormat="1" ht="12.75" x14ac:dyDescent="0.2"/>
    <row r="49522" s="197" customFormat="1" ht="12.75" x14ac:dyDescent="0.2"/>
    <row r="49523" s="197" customFormat="1" ht="12.75" x14ac:dyDescent="0.2"/>
    <row r="49524" s="197" customFormat="1" ht="12.75" x14ac:dyDescent="0.2"/>
    <row r="49525" s="197" customFormat="1" ht="12.75" x14ac:dyDescent="0.2"/>
    <row r="49526" s="197" customFormat="1" ht="12.75" x14ac:dyDescent="0.2"/>
    <row r="49527" s="197" customFormat="1" ht="12.75" x14ac:dyDescent="0.2"/>
    <row r="49528" s="197" customFormat="1" ht="12.75" x14ac:dyDescent="0.2"/>
    <row r="49529" s="197" customFormat="1" ht="12.75" x14ac:dyDescent="0.2"/>
    <row r="49530" s="197" customFormat="1" ht="12.75" x14ac:dyDescent="0.2"/>
    <row r="49531" s="197" customFormat="1" ht="12.75" x14ac:dyDescent="0.2"/>
    <row r="49532" s="197" customFormat="1" ht="12.75" x14ac:dyDescent="0.2"/>
    <row r="49533" s="197" customFormat="1" ht="12.75" x14ac:dyDescent="0.2"/>
    <row r="49534" s="197" customFormat="1" ht="12.75" x14ac:dyDescent="0.2"/>
    <row r="49535" s="197" customFormat="1" ht="12.75" x14ac:dyDescent="0.2"/>
    <row r="49536" s="197" customFormat="1" ht="12.75" x14ac:dyDescent="0.2"/>
    <row r="49537" s="197" customFormat="1" ht="12.75" x14ac:dyDescent="0.2"/>
    <row r="49538" s="197" customFormat="1" ht="12.75" x14ac:dyDescent="0.2"/>
    <row r="49539" s="197" customFormat="1" ht="12.75" x14ac:dyDescent="0.2"/>
    <row r="49540" s="197" customFormat="1" ht="12.75" x14ac:dyDescent="0.2"/>
    <row r="49541" s="197" customFormat="1" ht="12.75" x14ac:dyDescent="0.2"/>
    <row r="49542" s="197" customFormat="1" ht="12.75" x14ac:dyDescent="0.2"/>
    <row r="49543" s="197" customFormat="1" ht="12.75" x14ac:dyDescent="0.2"/>
    <row r="49544" s="197" customFormat="1" ht="12.75" x14ac:dyDescent="0.2"/>
    <row r="49545" s="197" customFormat="1" ht="12.75" x14ac:dyDescent="0.2"/>
    <row r="49546" s="197" customFormat="1" ht="12.75" x14ac:dyDescent="0.2"/>
    <row r="49547" s="197" customFormat="1" ht="12.75" x14ac:dyDescent="0.2"/>
    <row r="49548" s="197" customFormat="1" ht="12.75" x14ac:dyDescent="0.2"/>
    <row r="49549" s="197" customFormat="1" ht="12.75" x14ac:dyDescent="0.2"/>
    <row r="49550" s="197" customFormat="1" ht="12.75" x14ac:dyDescent="0.2"/>
    <row r="49551" s="197" customFormat="1" ht="12.75" x14ac:dyDescent="0.2"/>
    <row r="49552" s="197" customFormat="1" ht="12.75" x14ac:dyDescent="0.2"/>
    <row r="49553" s="197" customFormat="1" ht="12.75" x14ac:dyDescent="0.2"/>
    <row r="49554" s="197" customFormat="1" ht="12.75" x14ac:dyDescent="0.2"/>
    <row r="49555" s="197" customFormat="1" ht="12.75" x14ac:dyDescent="0.2"/>
    <row r="49556" s="197" customFormat="1" ht="12.75" x14ac:dyDescent="0.2"/>
    <row r="49557" s="197" customFormat="1" ht="12.75" x14ac:dyDescent="0.2"/>
    <row r="49558" s="197" customFormat="1" ht="12.75" x14ac:dyDescent="0.2"/>
    <row r="49559" s="197" customFormat="1" ht="12.75" x14ac:dyDescent="0.2"/>
    <row r="49560" s="197" customFormat="1" ht="12.75" x14ac:dyDescent="0.2"/>
    <row r="49561" s="197" customFormat="1" ht="12.75" x14ac:dyDescent="0.2"/>
    <row r="49562" s="197" customFormat="1" ht="12.75" x14ac:dyDescent="0.2"/>
    <row r="49563" s="197" customFormat="1" ht="12.75" x14ac:dyDescent="0.2"/>
    <row r="49564" s="197" customFormat="1" ht="12.75" x14ac:dyDescent="0.2"/>
    <row r="49565" s="197" customFormat="1" ht="12.75" x14ac:dyDescent="0.2"/>
    <row r="49566" s="197" customFormat="1" ht="12.75" x14ac:dyDescent="0.2"/>
    <row r="49567" s="197" customFormat="1" ht="12.75" x14ac:dyDescent="0.2"/>
    <row r="49568" s="197" customFormat="1" ht="12.75" x14ac:dyDescent="0.2"/>
    <row r="49569" s="197" customFormat="1" ht="12.75" x14ac:dyDescent="0.2"/>
    <row r="49570" s="197" customFormat="1" ht="12.75" x14ac:dyDescent="0.2"/>
    <row r="49571" s="197" customFormat="1" ht="12.75" x14ac:dyDescent="0.2"/>
    <row r="49572" s="197" customFormat="1" ht="12.75" x14ac:dyDescent="0.2"/>
    <row r="49573" s="197" customFormat="1" ht="12.75" x14ac:dyDescent="0.2"/>
    <row r="49574" s="197" customFormat="1" ht="12.75" x14ac:dyDescent="0.2"/>
    <row r="49575" s="197" customFormat="1" ht="12.75" x14ac:dyDescent="0.2"/>
    <row r="49576" s="197" customFormat="1" ht="12.75" x14ac:dyDescent="0.2"/>
    <row r="49577" s="197" customFormat="1" ht="12.75" x14ac:dyDescent="0.2"/>
    <row r="49578" s="197" customFormat="1" ht="12.75" x14ac:dyDescent="0.2"/>
    <row r="49579" s="197" customFormat="1" ht="12.75" x14ac:dyDescent="0.2"/>
    <row r="49580" s="197" customFormat="1" ht="12.75" x14ac:dyDescent="0.2"/>
    <row r="49581" s="197" customFormat="1" ht="12.75" x14ac:dyDescent="0.2"/>
    <row r="49582" s="197" customFormat="1" ht="12.75" x14ac:dyDescent="0.2"/>
    <row r="49583" s="197" customFormat="1" ht="12.75" x14ac:dyDescent="0.2"/>
    <row r="49584" s="197" customFormat="1" ht="12.75" x14ac:dyDescent="0.2"/>
    <row r="49585" s="197" customFormat="1" ht="12.75" x14ac:dyDescent="0.2"/>
    <row r="49586" s="197" customFormat="1" ht="12.75" x14ac:dyDescent="0.2"/>
    <row r="49587" s="197" customFormat="1" ht="12.75" x14ac:dyDescent="0.2"/>
    <row r="49588" s="197" customFormat="1" ht="12.75" x14ac:dyDescent="0.2"/>
    <row r="49589" s="197" customFormat="1" ht="12.75" x14ac:dyDescent="0.2"/>
    <row r="49590" s="197" customFormat="1" ht="12.75" x14ac:dyDescent="0.2"/>
    <row r="49591" s="197" customFormat="1" ht="12.75" x14ac:dyDescent="0.2"/>
    <row r="49592" s="197" customFormat="1" ht="12.75" x14ac:dyDescent="0.2"/>
    <row r="49593" s="197" customFormat="1" ht="12.75" x14ac:dyDescent="0.2"/>
    <row r="49594" s="197" customFormat="1" ht="12.75" x14ac:dyDescent="0.2"/>
    <row r="49595" s="197" customFormat="1" ht="12.75" x14ac:dyDescent="0.2"/>
    <row r="49596" s="197" customFormat="1" ht="12.75" x14ac:dyDescent="0.2"/>
    <row r="49597" s="197" customFormat="1" ht="12.75" x14ac:dyDescent="0.2"/>
    <row r="49598" s="197" customFormat="1" ht="12.75" x14ac:dyDescent="0.2"/>
    <row r="49599" s="197" customFormat="1" ht="12.75" x14ac:dyDescent="0.2"/>
    <row r="49600" s="197" customFormat="1" ht="12.75" x14ac:dyDescent="0.2"/>
    <row r="49601" s="197" customFormat="1" ht="12.75" x14ac:dyDescent="0.2"/>
    <row r="49602" s="197" customFormat="1" ht="12.75" x14ac:dyDescent="0.2"/>
    <row r="49603" s="197" customFormat="1" ht="12.75" x14ac:dyDescent="0.2"/>
    <row r="49604" s="197" customFormat="1" ht="12.75" x14ac:dyDescent="0.2"/>
    <row r="49605" s="197" customFormat="1" ht="12.75" x14ac:dyDescent="0.2"/>
    <row r="49606" s="197" customFormat="1" ht="12.75" x14ac:dyDescent="0.2"/>
    <row r="49607" s="197" customFormat="1" ht="12.75" x14ac:dyDescent="0.2"/>
    <row r="49608" s="197" customFormat="1" ht="12.75" x14ac:dyDescent="0.2"/>
    <row r="49609" s="197" customFormat="1" ht="12.75" x14ac:dyDescent="0.2"/>
    <row r="49610" s="197" customFormat="1" ht="12.75" x14ac:dyDescent="0.2"/>
    <row r="49611" s="197" customFormat="1" ht="12.75" x14ac:dyDescent="0.2"/>
    <row r="49612" s="197" customFormat="1" ht="12.75" x14ac:dyDescent="0.2"/>
    <row r="49613" s="197" customFormat="1" ht="12.75" x14ac:dyDescent="0.2"/>
    <row r="49614" s="197" customFormat="1" ht="12.75" x14ac:dyDescent="0.2"/>
    <row r="49615" s="197" customFormat="1" ht="12.75" x14ac:dyDescent="0.2"/>
    <row r="49616" s="197" customFormat="1" ht="12.75" x14ac:dyDescent="0.2"/>
    <row r="49617" s="197" customFormat="1" ht="12.75" x14ac:dyDescent="0.2"/>
    <row r="49618" s="197" customFormat="1" ht="12.75" x14ac:dyDescent="0.2"/>
    <row r="49619" s="197" customFormat="1" ht="12.75" x14ac:dyDescent="0.2"/>
    <row r="49620" s="197" customFormat="1" ht="12.75" x14ac:dyDescent="0.2"/>
    <row r="49621" s="197" customFormat="1" ht="12.75" x14ac:dyDescent="0.2"/>
    <row r="49622" s="197" customFormat="1" ht="12.75" x14ac:dyDescent="0.2"/>
    <row r="49623" s="197" customFormat="1" ht="12.75" x14ac:dyDescent="0.2"/>
    <row r="49624" s="197" customFormat="1" ht="12.75" x14ac:dyDescent="0.2"/>
    <row r="49625" s="197" customFormat="1" ht="12.75" x14ac:dyDescent="0.2"/>
    <row r="49626" s="197" customFormat="1" ht="12.75" x14ac:dyDescent="0.2"/>
    <row r="49627" s="197" customFormat="1" ht="12.75" x14ac:dyDescent="0.2"/>
    <row r="49628" s="197" customFormat="1" ht="12.75" x14ac:dyDescent="0.2"/>
    <row r="49629" s="197" customFormat="1" ht="12.75" x14ac:dyDescent="0.2"/>
    <row r="49630" s="197" customFormat="1" ht="12.75" x14ac:dyDescent="0.2"/>
    <row r="49631" s="197" customFormat="1" ht="12.75" x14ac:dyDescent="0.2"/>
    <row r="49632" s="197" customFormat="1" ht="12.75" x14ac:dyDescent="0.2"/>
    <row r="49633" s="197" customFormat="1" ht="12.75" x14ac:dyDescent="0.2"/>
    <row r="49634" s="197" customFormat="1" ht="12.75" x14ac:dyDescent="0.2"/>
    <row r="49635" s="197" customFormat="1" ht="12.75" x14ac:dyDescent="0.2"/>
    <row r="49636" s="197" customFormat="1" ht="12.75" x14ac:dyDescent="0.2"/>
    <row r="49637" s="197" customFormat="1" ht="12.75" x14ac:dyDescent="0.2"/>
    <row r="49638" s="197" customFormat="1" ht="12.75" x14ac:dyDescent="0.2"/>
    <row r="49639" s="197" customFormat="1" ht="12.75" x14ac:dyDescent="0.2"/>
    <row r="49640" s="197" customFormat="1" ht="12.75" x14ac:dyDescent="0.2"/>
    <row r="49641" s="197" customFormat="1" ht="12.75" x14ac:dyDescent="0.2"/>
    <row r="49642" s="197" customFormat="1" ht="12.75" x14ac:dyDescent="0.2"/>
    <row r="49643" s="197" customFormat="1" ht="12.75" x14ac:dyDescent="0.2"/>
    <row r="49644" s="197" customFormat="1" ht="12.75" x14ac:dyDescent="0.2"/>
    <row r="49645" s="197" customFormat="1" ht="12.75" x14ac:dyDescent="0.2"/>
    <row r="49646" s="197" customFormat="1" ht="12.75" x14ac:dyDescent="0.2"/>
    <row r="49647" s="197" customFormat="1" ht="12.75" x14ac:dyDescent="0.2"/>
    <row r="49648" s="197" customFormat="1" ht="12.75" x14ac:dyDescent="0.2"/>
    <row r="49649" s="197" customFormat="1" ht="12.75" x14ac:dyDescent="0.2"/>
    <row r="49650" s="197" customFormat="1" ht="12.75" x14ac:dyDescent="0.2"/>
    <row r="49651" s="197" customFormat="1" ht="12.75" x14ac:dyDescent="0.2"/>
    <row r="49652" s="197" customFormat="1" ht="12.75" x14ac:dyDescent="0.2"/>
    <row r="49653" s="197" customFormat="1" ht="12.75" x14ac:dyDescent="0.2"/>
    <row r="49654" s="197" customFormat="1" ht="12.75" x14ac:dyDescent="0.2"/>
    <row r="49655" s="197" customFormat="1" ht="12.75" x14ac:dyDescent="0.2"/>
    <row r="49656" s="197" customFormat="1" ht="12.75" x14ac:dyDescent="0.2"/>
    <row r="49657" s="197" customFormat="1" ht="12.75" x14ac:dyDescent="0.2"/>
    <row r="49658" s="197" customFormat="1" ht="12.75" x14ac:dyDescent="0.2"/>
    <row r="49659" s="197" customFormat="1" ht="12.75" x14ac:dyDescent="0.2"/>
    <row r="49660" s="197" customFormat="1" ht="12.75" x14ac:dyDescent="0.2"/>
    <row r="49661" s="197" customFormat="1" ht="12.75" x14ac:dyDescent="0.2"/>
    <row r="49662" s="197" customFormat="1" ht="12.75" x14ac:dyDescent="0.2"/>
    <row r="49663" s="197" customFormat="1" ht="12.75" x14ac:dyDescent="0.2"/>
    <row r="49664" s="197" customFormat="1" ht="12.75" x14ac:dyDescent="0.2"/>
    <row r="49665" s="197" customFormat="1" ht="12.75" x14ac:dyDescent="0.2"/>
    <row r="49666" s="197" customFormat="1" ht="12.75" x14ac:dyDescent="0.2"/>
    <row r="49667" s="197" customFormat="1" ht="12.75" x14ac:dyDescent="0.2"/>
    <row r="49668" s="197" customFormat="1" ht="12.75" x14ac:dyDescent="0.2"/>
    <row r="49669" s="197" customFormat="1" ht="12.75" x14ac:dyDescent="0.2"/>
    <row r="49670" s="197" customFormat="1" ht="12.75" x14ac:dyDescent="0.2"/>
    <row r="49671" s="197" customFormat="1" ht="12.75" x14ac:dyDescent="0.2"/>
    <row r="49672" s="197" customFormat="1" ht="12.75" x14ac:dyDescent="0.2"/>
    <row r="49673" s="197" customFormat="1" ht="12.75" x14ac:dyDescent="0.2"/>
    <row r="49674" s="197" customFormat="1" ht="12.75" x14ac:dyDescent="0.2"/>
    <row r="49675" s="197" customFormat="1" ht="12.75" x14ac:dyDescent="0.2"/>
    <row r="49676" s="197" customFormat="1" ht="12.75" x14ac:dyDescent="0.2"/>
    <row r="49677" s="197" customFormat="1" ht="12.75" x14ac:dyDescent="0.2"/>
    <row r="49678" s="197" customFormat="1" ht="12.75" x14ac:dyDescent="0.2"/>
    <row r="49679" s="197" customFormat="1" ht="12.75" x14ac:dyDescent="0.2"/>
    <row r="49680" s="197" customFormat="1" ht="12.75" x14ac:dyDescent="0.2"/>
    <row r="49681" s="197" customFormat="1" ht="12.75" x14ac:dyDescent="0.2"/>
    <row r="49682" s="197" customFormat="1" ht="12.75" x14ac:dyDescent="0.2"/>
    <row r="49683" s="197" customFormat="1" ht="12.75" x14ac:dyDescent="0.2"/>
    <row r="49684" s="197" customFormat="1" ht="12.75" x14ac:dyDescent="0.2"/>
    <row r="49685" s="197" customFormat="1" ht="12.75" x14ac:dyDescent="0.2"/>
    <row r="49686" s="197" customFormat="1" ht="12.75" x14ac:dyDescent="0.2"/>
    <row r="49687" s="197" customFormat="1" ht="12.75" x14ac:dyDescent="0.2"/>
    <row r="49688" s="197" customFormat="1" ht="12.75" x14ac:dyDescent="0.2"/>
    <row r="49689" s="197" customFormat="1" ht="12.75" x14ac:dyDescent="0.2"/>
    <row r="49690" s="197" customFormat="1" ht="12.75" x14ac:dyDescent="0.2"/>
    <row r="49691" s="197" customFormat="1" ht="12.75" x14ac:dyDescent="0.2"/>
    <row r="49692" s="197" customFormat="1" ht="12.75" x14ac:dyDescent="0.2"/>
    <row r="49693" s="197" customFormat="1" ht="12.75" x14ac:dyDescent="0.2"/>
    <row r="49694" s="197" customFormat="1" ht="12.75" x14ac:dyDescent="0.2"/>
    <row r="49695" s="197" customFormat="1" ht="12.75" x14ac:dyDescent="0.2"/>
    <row r="49696" s="197" customFormat="1" ht="12.75" x14ac:dyDescent="0.2"/>
    <row r="49697" s="197" customFormat="1" ht="12.75" x14ac:dyDescent="0.2"/>
    <row r="49698" s="197" customFormat="1" ht="12.75" x14ac:dyDescent="0.2"/>
    <row r="49699" s="197" customFormat="1" ht="12.75" x14ac:dyDescent="0.2"/>
    <row r="49700" s="197" customFormat="1" ht="12.75" x14ac:dyDescent="0.2"/>
    <row r="49701" s="197" customFormat="1" ht="12.75" x14ac:dyDescent="0.2"/>
    <row r="49702" s="197" customFormat="1" ht="12.75" x14ac:dyDescent="0.2"/>
    <row r="49703" s="197" customFormat="1" ht="12.75" x14ac:dyDescent="0.2"/>
    <row r="49704" s="197" customFormat="1" ht="12.75" x14ac:dyDescent="0.2"/>
    <row r="49705" s="197" customFormat="1" ht="12.75" x14ac:dyDescent="0.2"/>
    <row r="49706" s="197" customFormat="1" ht="12.75" x14ac:dyDescent="0.2"/>
    <row r="49707" s="197" customFormat="1" ht="12.75" x14ac:dyDescent="0.2"/>
    <row r="49708" s="197" customFormat="1" ht="12.75" x14ac:dyDescent="0.2"/>
    <row r="49709" s="197" customFormat="1" ht="12.75" x14ac:dyDescent="0.2"/>
    <row r="49710" s="197" customFormat="1" ht="12.75" x14ac:dyDescent="0.2"/>
    <row r="49711" s="197" customFormat="1" ht="12.75" x14ac:dyDescent="0.2"/>
    <row r="49712" s="197" customFormat="1" ht="12.75" x14ac:dyDescent="0.2"/>
    <row r="49713" s="197" customFormat="1" ht="12.75" x14ac:dyDescent="0.2"/>
    <row r="49714" s="197" customFormat="1" ht="12.75" x14ac:dyDescent="0.2"/>
    <row r="49715" s="197" customFormat="1" ht="12.75" x14ac:dyDescent="0.2"/>
    <row r="49716" s="197" customFormat="1" ht="12.75" x14ac:dyDescent="0.2"/>
    <row r="49717" s="197" customFormat="1" ht="12.75" x14ac:dyDescent="0.2"/>
    <row r="49718" s="197" customFormat="1" ht="12.75" x14ac:dyDescent="0.2"/>
    <row r="49719" s="197" customFormat="1" ht="12.75" x14ac:dyDescent="0.2"/>
    <row r="49720" s="197" customFormat="1" ht="12.75" x14ac:dyDescent="0.2"/>
    <row r="49721" s="197" customFormat="1" ht="12.75" x14ac:dyDescent="0.2"/>
    <row r="49722" s="197" customFormat="1" ht="12.75" x14ac:dyDescent="0.2"/>
    <row r="49723" s="197" customFormat="1" ht="12.75" x14ac:dyDescent="0.2"/>
    <row r="49724" s="197" customFormat="1" ht="12.75" x14ac:dyDescent="0.2"/>
    <row r="49725" s="197" customFormat="1" ht="12.75" x14ac:dyDescent="0.2"/>
    <row r="49726" s="197" customFormat="1" ht="12.75" x14ac:dyDescent="0.2"/>
    <row r="49727" s="197" customFormat="1" ht="12.75" x14ac:dyDescent="0.2"/>
    <row r="49728" s="197" customFormat="1" ht="12.75" x14ac:dyDescent="0.2"/>
    <row r="49729" s="197" customFormat="1" ht="12.75" x14ac:dyDescent="0.2"/>
    <row r="49730" s="197" customFormat="1" ht="12.75" x14ac:dyDescent="0.2"/>
    <row r="49731" s="197" customFormat="1" ht="12.75" x14ac:dyDescent="0.2"/>
    <row r="49732" s="197" customFormat="1" ht="12.75" x14ac:dyDescent="0.2"/>
    <row r="49733" s="197" customFormat="1" ht="12.75" x14ac:dyDescent="0.2"/>
    <row r="49734" s="197" customFormat="1" ht="12.75" x14ac:dyDescent="0.2"/>
    <row r="49735" s="197" customFormat="1" ht="12.75" x14ac:dyDescent="0.2"/>
    <row r="49736" s="197" customFormat="1" ht="12.75" x14ac:dyDescent="0.2"/>
    <row r="49737" s="197" customFormat="1" ht="12.75" x14ac:dyDescent="0.2"/>
    <row r="49738" s="197" customFormat="1" ht="12.75" x14ac:dyDescent="0.2"/>
    <row r="49739" s="197" customFormat="1" ht="12.75" x14ac:dyDescent="0.2"/>
    <row r="49740" s="197" customFormat="1" ht="12.75" x14ac:dyDescent="0.2"/>
    <row r="49741" s="197" customFormat="1" ht="12.75" x14ac:dyDescent="0.2"/>
    <row r="49742" s="197" customFormat="1" ht="12.75" x14ac:dyDescent="0.2"/>
    <row r="49743" s="197" customFormat="1" ht="12.75" x14ac:dyDescent="0.2"/>
    <row r="49744" s="197" customFormat="1" ht="12.75" x14ac:dyDescent="0.2"/>
    <row r="49745" s="197" customFormat="1" ht="12.75" x14ac:dyDescent="0.2"/>
    <row r="49746" s="197" customFormat="1" ht="12.75" x14ac:dyDescent="0.2"/>
    <row r="49747" s="197" customFormat="1" ht="12.75" x14ac:dyDescent="0.2"/>
    <row r="49748" s="197" customFormat="1" ht="12.75" x14ac:dyDescent="0.2"/>
    <row r="49749" s="197" customFormat="1" ht="12.75" x14ac:dyDescent="0.2"/>
    <row r="49750" s="197" customFormat="1" ht="12.75" x14ac:dyDescent="0.2"/>
    <row r="49751" s="197" customFormat="1" ht="12.75" x14ac:dyDescent="0.2"/>
    <row r="49752" s="197" customFormat="1" ht="12.75" x14ac:dyDescent="0.2"/>
    <row r="49753" s="197" customFormat="1" ht="12.75" x14ac:dyDescent="0.2"/>
    <row r="49754" s="197" customFormat="1" ht="12.75" x14ac:dyDescent="0.2"/>
    <row r="49755" s="197" customFormat="1" ht="12.75" x14ac:dyDescent="0.2"/>
    <row r="49756" s="197" customFormat="1" ht="12.75" x14ac:dyDescent="0.2"/>
    <row r="49757" s="197" customFormat="1" ht="12.75" x14ac:dyDescent="0.2"/>
    <row r="49758" s="197" customFormat="1" ht="12.75" x14ac:dyDescent="0.2"/>
    <row r="49759" s="197" customFormat="1" ht="12.75" x14ac:dyDescent="0.2"/>
    <row r="49760" s="197" customFormat="1" ht="12.75" x14ac:dyDescent="0.2"/>
    <row r="49761" s="197" customFormat="1" ht="12.75" x14ac:dyDescent="0.2"/>
    <row r="49762" s="197" customFormat="1" ht="12.75" x14ac:dyDescent="0.2"/>
    <row r="49763" s="197" customFormat="1" ht="12.75" x14ac:dyDescent="0.2"/>
    <row r="49764" s="197" customFormat="1" ht="12.75" x14ac:dyDescent="0.2"/>
    <row r="49765" s="197" customFormat="1" ht="12.75" x14ac:dyDescent="0.2"/>
    <row r="49766" s="197" customFormat="1" ht="12.75" x14ac:dyDescent="0.2"/>
    <row r="49767" s="197" customFormat="1" ht="12.75" x14ac:dyDescent="0.2"/>
    <row r="49768" s="197" customFormat="1" ht="12.75" x14ac:dyDescent="0.2"/>
    <row r="49769" s="197" customFormat="1" ht="12.75" x14ac:dyDescent="0.2"/>
    <row r="49770" s="197" customFormat="1" ht="12.75" x14ac:dyDescent="0.2"/>
    <row r="49771" s="197" customFormat="1" ht="12.75" x14ac:dyDescent="0.2"/>
    <row r="49772" s="197" customFormat="1" ht="12.75" x14ac:dyDescent="0.2"/>
    <row r="49773" s="197" customFormat="1" ht="12.75" x14ac:dyDescent="0.2"/>
    <row r="49774" s="197" customFormat="1" ht="12.75" x14ac:dyDescent="0.2"/>
    <row r="49775" s="197" customFormat="1" ht="12.75" x14ac:dyDescent="0.2"/>
    <row r="49776" s="197" customFormat="1" ht="12.75" x14ac:dyDescent="0.2"/>
    <row r="49777" s="197" customFormat="1" ht="12.75" x14ac:dyDescent="0.2"/>
    <row r="49778" s="197" customFormat="1" ht="12.75" x14ac:dyDescent="0.2"/>
    <row r="49779" s="197" customFormat="1" ht="12.75" x14ac:dyDescent="0.2"/>
    <row r="49780" s="197" customFormat="1" ht="12.75" x14ac:dyDescent="0.2"/>
    <row r="49781" s="197" customFormat="1" ht="12.75" x14ac:dyDescent="0.2"/>
    <row r="49782" s="197" customFormat="1" ht="12.75" x14ac:dyDescent="0.2"/>
    <row r="49783" s="197" customFormat="1" ht="12.75" x14ac:dyDescent="0.2"/>
    <row r="49784" s="197" customFormat="1" ht="12.75" x14ac:dyDescent="0.2"/>
    <row r="49785" s="197" customFormat="1" ht="12.75" x14ac:dyDescent="0.2"/>
    <row r="49786" s="197" customFormat="1" ht="12.75" x14ac:dyDescent="0.2"/>
    <row r="49787" s="197" customFormat="1" ht="12.75" x14ac:dyDescent="0.2"/>
    <row r="49788" s="197" customFormat="1" ht="12.75" x14ac:dyDescent="0.2"/>
    <row r="49789" s="197" customFormat="1" ht="12.75" x14ac:dyDescent="0.2"/>
    <row r="49790" s="197" customFormat="1" ht="12.75" x14ac:dyDescent="0.2"/>
    <row r="49791" s="197" customFormat="1" ht="12.75" x14ac:dyDescent="0.2"/>
    <row r="49792" s="197" customFormat="1" ht="12.75" x14ac:dyDescent="0.2"/>
    <row r="49793" s="197" customFormat="1" ht="12.75" x14ac:dyDescent="0.2"/>
    <row r="49794" s="197" customFormat="1" ht="12.75" x14ac:dyDescent="0.2"/>
    <row r="49795" s="197" customFormat="1" ht="12.75" x14ac:dyDescent="0.2"/>
    <row r="49796" s="197" customFormat="1" ht="12.75" x14ac:dyDescent="0.2"/>
    <row r="49797" s="197" customFormat="1" ht="12.75" x14ac:dyDescent="0.2"/>
    <row r="49798" s="197" customFormat="1" ht="12.75" x14ac:dyDescent="0.2"/>
    <row r="49799" s="197" customFormat="1" ht="12.75" x14ac:dyDescent="0.2"/>
    <row r="49800" s="197" customFormat="1" ht="12.75" x14ac:dyDescent="0.2"/>
    <row r="49801" s="197" customFormat="1" ht="12.75" x14ac:dyDescent="0.2"/>
    <row r="49802" s="197" customFormat="1" ht="12.75" x14ac:dyDescent="0.2"/>
    <row r="49803" s="197" customFormat="1" ht="12.75" x14ac:dyDescent="0.2"/>
    <row r="49804" s="197" customFormat="1" ht="12.75" x14ac:dyDescent="0.2"/>
    <row r="49805" s="197" customFormat="1" ht="12.75" x14ac:dyDescent="0.2"/>
    <row r="49806" s="197" customFormat="1" ht="12.75" x14ac:dyDescent="0.2"/>
    <row r="49807" s="197" customFormat="1" ht="12.75" x14ac:dyDescent="0.2"/>
    <row r="49808" s="197" customFormat="1" ht="12.75" x14ac:dyDescent="0.2"/>
    <row r="49809" s="197" customFormat="1" ht="12.75" x14ac:dyDescent="0.2"/>
    <row r="49810" s="197" customFormat="1" ht="12.75" x14ac:dyDescent="0.2"/>
    <row r="49811" s="197" customFormat="1" ht="12.75" x14ac:dyDescent="0.2"/>
    <row r="49812" s="197" customFormat="1" ht="12.75" x14ac:dyDescent="0.2"/>
    <row r="49813" s="197" customFormat="1" ht="12.75" x14ac:dyDescent="0.2"/>
    <row r="49814" s="197" customFormat="1" ht="12.75" x14ac:dyDescent="0.2"/>
    <row r="49815" s="197" customFormat="1" ht="12.75" x14ac:dyDescent="0.2"/>
    <row r="49816" s="197" customFormat="1" ht="12.75" x14ac:dyDescent="0.2"/>
    <row r="49817" s="197" customFormat="1" ht="12.75" x14ac:dyDescent="0.2"/>
    <row r="49818" s="197" customFormat="1" ht="12.75" x14ac:dyDescent="0.2"/>
    <row r="49819" s="197" customFormat="1" ht="12.75" x14ac:dyDescent="0.2"/>
    <row r="49820" s="197" customFormat="1" ht="12.75" x14ac:dyDescent="0.2"/>
    <row r="49821" s="197" customFormat="1" ht="12.75" x14ac:dyDescent="0.2"/>
    <row r="49822" s="197" customFormat="1" ht="12.75" x14ac:dyDescent="0.2"/>
    <row r="49823" s="197" customFormat="1" ht="12.75" x14ac:dyDescent="0.2"/>
    <row r="49824" s="197" customFormat="1" ht="12.75" x14ac:dyDescent="0.2"/>
    <row r="49825" s="197" customFormat="1" ht="12.75" x14ac:dyDescent="0.2"/>
    <row r="49826" s="197" customFormat="1" ht="12.75" x14ac:dyDescent="0.2"/>
    <row r="49827" s="197" customFormat="1" ht="12.75" x14ac:dyDescent="0.2"/>
    <row r="49828" s="197" customFormat="1" ht="12.75" x14ac:dyDescent="0.2"/>
    <row r="49829" s="197" customFormat="1" ht="12.75" x14ac:dyDescent="0.2"/>
    <row r="49830" s="197" customFormat="1" ht="12.75" x14ac:dyDescent="0.2"/>
    <row r="49831" s="197" customFormat="1" ht="12.75" x14ac:dyDescent="0.2"/>
    <row r="49832" s="197" customFormat="1" ht="12.75" x14ac:dyDescent="0.2"/>
    <row r="49833" s="197" customFormat="1" ht="12.75" x14ac:dyDescent="0.2"/>
    <row r="49834" s="197" customFormat="1" ht="12.75" x14ac:dyDescent="0.2"/>
    <row r="49835" s="197" customFormat="1" ht="12.75" x14ac:dyDescent="0.2"/>
    <row r="49836" s="197" customFormat="1" ht="12.75" x14ac:dyDescent="0.2"/>
    <row r="49837" s="197" customFormat="1" ht="12.75" x14ac:dyDescent="0.2"/>
    <row r="49838" s="197" customFormat="1" ht="12.75" x14ac:dyDescent="0.2"/>
    <row r="49839" s="197" customFormat="1" ht="12.75" x14ac:dyDescent="0.2"/>
    <row r="49840" s="197" customFormat="1" ht="12.75" x14ac:dyDescent="0.2"/>
    <row r="49841" s="197" customFormat="1" ht="12.75" x14ac:dyDescent="0.2"/>
    <row r="49842" s="197" customFormat="1" ht="12.75" x14ac:dyDescent="0.2"/>
    <row r="49843" s="197" customFormat="1" ht="12.75" x14ac:dyDescent="0.2"/>
    <row r="49844" s="197" customFormat="1" ht="12.75" x14ac:dyDescent="0.2"/>
    <row r="49845" s="197" customFormat="1" ht="12.75" x14ac:dyDescent="0.2"/>
    <row r="49846" s="197" customFormat="1" ht="12.75" x14ac:dyDescent="0.2"/>
    <row r="49847" s="197" customFormat="1" ht="12.75" x14ac:dyDescent="0.2"/>
    <row r="49848" s="197" customFormat="1" ht="12.75" x14ac:dyDescent="0.2"/>
    <row r="49849" s="197" customFormat="1" ht="12.75" x14ac:dyDescent="0.2"/>
    <row r="49850" s="197" customFormat="1" ht="12.75" x14ac:dyDescent="0.2"/>
    <row r="49851" s="197" customFormat="1" ht="12.75" x14ac:dyDescent="0.2"/>
    <row r="49852" s="197" customFormat="1" ht="12.75" x14ac:dyDescent="0.2"/>
    <row r="49853" s="197" customFormat="1" ht="12.75" x14ac:dyDescent="0.2"/>
    <row r="49854" s="197" customFormat="1" ht="12.75" x14ac:dyDescent="0.2"/>
    <row r="49855" s="197" customFormat="1" ht="12.75" x14ac:dyDescent="0.2"/>
    <row r="49856" s="197" customFormat="1" ht="12.75" x14ac:dyDescent="0.2"/>
    <row r="49857" s="197" customFormat="1" ht="12.75" x14ac:dyDescent="0.2"/>
    <row r="49858" s="197" customFormat="1" ht="12.75" x14ac:dyDescent="0.2"/>
    <row r="49859" s="197" customFormat="1" ht="12.75" x14ac:dyDescent="0.2"/>
    <row r="49860" s="197" customFormat="1" ht="12.75" x14ac:dyDescent="0.2"/>
    <row r="49861" s="197" customFormat="1" ht="12.75" x14ac:dyDescent="0.2"/>
    <row r="49862" s="197" customFormat="1" ht="12.75" x14ac:dyDescent="0.2"/>
    <row r="49863" s="197" customFormat="1" ht="12.75" x14ac:dyDescent="0.2"/>
    <row r="49864" s="197" customFormat="1" ht="12.75" x14ac:dyDescent="0.2"/>
    <row r="49865" s="197" customFormat="1" ht="12.75" x14ac:dyDescent="0.2"/>
    <row r="49866" s="197" customFormat="1" ht="12.75" x14ac:dyDescent="0.2"/>
    <row r="49867" s="197" customFormat="1" ht="12.75" x14ac:dyDescent="0.2"/>
    <row r="49868" s="197" customFormat="1" ht="12.75" x14ac:dyDescent="0.2"/>
    <row r="49869" s="197" customFormat="1" ht="12.75" x14ac:dyDescent="0.2"/>
    <row r="49870" s="197" customFormat="1" ht="12.75" x14ac:dyDescent="0.2"/>
    <row r="49871" s="197" customFormat="1" ht="12.75" x14ac:dyDescent="0.2"/>
    <row r="49872" s="197" customFormat="1" ht="12.75" x14ac:dyDescent="0.2"/>
    <row r="49873" s="197" customFormat="1" ht="12.75" x14ac:dyDescent="0.2"/>
    <row r="49874" s="197" customFormat="1" ht="12.75" x14ac:dyDescent="0.2"/>
    <row r="49875" s="197" customFormat="1" ht="12.75" x14ac:dyDescent="0.2"/>
    <row r="49876" s="197" customFormat="1" ht="12.75" x14ac:dyDescent="0.2"/>
    <row r="49877" s="197" customFormat="1" ht="12.75" x14ac:dyDescent="0.2"/>
    <row r="49878" s="197" customFormat="1" ht="12.75" x14ac:dyDescent="0.2"/>
    <row r="49879" s="197" customFormat="1" ht="12.75" x14ac:dyDescent="0.2"/>
    <row r="49880" s="197" customFormat="1" ht="12.75" x14ac:dyDescent="0.2"/>
    <row r="49881" s="197" customFormat="1" ht="12.75" x14ac:dyDescent="0.2"/>
    <row r="49882" s="197" customFormat="1" ht="12.75" x14ac:dyDescent="0.2"/>
    <row r="49883" s="197" customFormat="1" ht="12.75" x14ac:dyDescent="0.2"/>
    <row r="49884" s="197" customFormat="1" ht="12.75" x14ac:dyDescent="0.2"/>
    <row r="49885" s="197" customFormat="1" ht="12.75" x14ac:dyDescent="0.2"/>
    <row r="49886" s="197" customFormat="1" ht="12.75" x14ac:dyDescent="0.2"/>
    <row r="49887" s="197" customFormat="1" ht="12.75" x14ac:dyDescent="0.2"/>
    <row r="49888" s="197" customFormat="1" ht="12.75" x14ac:dyDescent="0.2"/>
    <row r="49889" s="197" customFormat="1" ht="12.75" x14ac:dyDescent="0.2"/>
    <row r="49890" s="197" customFormat="1" ht="12.75" x14ac:dyDescent="0.2"/>
    <row r="49891" s="197" customFormat="1" ht="12.75" x14ac:dyDescent="0.2"/>
    <row r="49892" s="197" customFormat="1" ht="12.75" x14ac:dyDescent="0.2"/>
    <row r="49893" s="197" customFormat="1" ht="12.75" x14ac:dyDescent="0.2"/>
    <row r="49894" s="197" customFormat="1" ht="12.75" x14ac:dyDescent="0.2"/>
    <row r="49895" s="197" customFormat="1" ht="12.75" x14ac:dyDescent="0.2"/>
    <row r="49896" s="197" customFormat="1" ht="12.75" x14ac:dyDescent="0.2"/>
    <row r="49897" s="197" customFormat="1" ht="12.75" x14ac:dyDescent="0.2"/>
    <row r="49898" s="197" customFormat="1" ht="12.75" x14ac:dyDescent="0.2"/>
    <row r="49899" s="197" customFormat="1" ht="12.75" x14ac:dyDescent="0.2"/>
    <row r="49900" s="197" customFormat="1" ht="12.75" x14ac:dyDescent="0.2"/>
    <row r="49901" s="197" customFormat="1" ht="12.75" x14ac:dyDescent="0.2"/>
    <row r="49902" s="197" customFormat="1" ht="12.75" x14ac:dyDescent="0.2"/>
    <row r="49903" s="197" customFormat="1" ht="12.75" x14ac:dyDescent="0.2"/>
    <row r="49904" s="197" customFormat="1" ht="12.75" x14ac:dyDescent="0.2"/>
    <row r="49905" s="197" customFormat="1" ht="12.75" x14ac:dyDescent="0.2"/>
    <row r="49906" s="197" customFormat="1" ht="12.75" x14ac:dyDescent="0.2"/>
    <row r="49907" s="197" customFormat="1" ht="12.75" x14ac:dyDescent="0.2"/>
    <row r="49908" s="197" customFormat="1" ht="12.75" x14ac:dyDescent="0.2"/>
    <row r="49909" s="197" customFormat="1" ht="12.75" x14ac:dyDescent="0.2"/>
    <row r="49910" s="197" customFormat="1" ht="12.75" x14ac:dyDescent="0.2"/>
    <row r="49911" s="197" customFormat="1" ht="12.75" x14ac:dyDescent="0.2"/>
    <row r="49912" s="197" customFormat="1" ht="12.75" x14ac:dyDescent="0.2"/>
    <row r="49913" s="197" customFormat="1" ht="12.75" x14ac:dyDescent="0.2"/>
    <row r="49914" s="197" customFormat="1" ht="12.75" x14ac:dyDescent="0.2"/>
    <row r="49915" s="197" customFormat="1" ht="12.75" x14ac:dyDescent="0.2"/>
    <row r="49916" s="197" customFormat="1" ht="12.75" x14ac:dyDescent="0.2"/>
    <row r="49917" s="197" customFormat="1" ht="12.75" x14ac:dyDescent="0.2"/>
    <row r="49918" s="197" customFormat="1" ht="12.75" x14ac:dyDescent="0.2"/>
    <row r="49919" s="197" customFormat="1" ht="12.75" x14ac:dyDescent="0.2"/>
    <row r="49920" s="197" customFormat="1" ht="12.75" x14ac:dyDescent="0.2"/>
    <row r="49921" s="197" customFormat="1" ht="12.75" x14ac:dyDescent="0.2"/>
    <row r="49922" s="197" customFormat="1" ht="12.75" x14ac:dyDescent="0.2"/>
    <row r="49923" s="197" customFormat="1" ht="12.75" x14ac:dyDescent="0.2"/>
    <row r="49924" s="197" customFormat="1" ht="12.75" x14ac:dyDescent="0.2"/>
    <row r="49925" s="197" customFormat="1" ht="12.75" x14ac:dyDescent="0.2"/>
    <row r="49926" s="197" customFormat="1" ht="12.75" x14ac:dyDescent="0.2"/>
    <row r="49927" s="197" customFormat="1" ht="12.75" x14ac:dyDescent="0.2"/>
    <row r="49928" s="197" customFormat="1" ht="12.75" x14ac:dyDescent="0.2"/>
    <row r="49929" s="197" customFormat="1" ht="12.75" x14ac:dyDescent="0.2"/>
    <row r="49930" s="197" customFormat="1" ht="12.75" x14ac:dyDescent="0.2"/>
    <row r="49931" s="197" customFormat="1" ht="12.75" x14ac:dyDescent="0.2"/>
    <row r="49932" s="197" customFormat="1" ht="12.75" x14ac:dyDescent="0.2"/>
    <row r="49933" s="197" customFormat="1" ht="12.75" x14ac:dyDescent="0.2"/>
    <row r="49934" s="197" customFormat="1" ht="12.75" x14ac:dyDescent="0.2"/>
    <row r="49935" s="197" customFormat="1" ht="12.75" x14ac:dyDescent="0.2"/>
    <row r="49936" s="197" customFormat="1" ht="12.75" x14ac:dyDescent="0.2"/>
    <row r="49937" s="197" customFormat="1" ht="12.75" x14ac:dyDescent="0.2"/>
    <row r="49938" s="197" customFormat="1" ht="12.75" x14ac:dyDescent="0.2"/>
    <row r="49939" s="197" customFormat="1" ht="12.75" x14ac:dyDescent="0.2"/>
    <row r="49940" s="197" customFormat="1" ht="12.75" x14ac:dyDescent="0.2"/>
    <row r="49941" s="197" customFormat="1" ht="12.75" x14ac:dyDescent="0.2"/>
    <row r="49942" s="197" customFormat="1" ht="12.75" x14ac:dyDescent="0.2"/>
    <row r="49943" s="197" customFormat="1" ht="12.75" x14ac:dyDescent="0.2"/>
    <row r="49944" s="197" customFormat="1" ht="12.75" x14ac:dyDescent="0.2"/>
    <row r="49945" s="197" customFormat="1" ht="12.75" x14ac:dyDescent="0.2"/>
    <row r="49946" s="197" customFormat="1" ht="12.75" x14ac:dyDescent="0.2"/>
    <row r="49947" s="197" customFormat="1" ht="12.75" x14ac:dyDescent="0.2"/>
    <row r="49948" s="197" customFormat="1" ht="12.75" x14ac:dyDescent="0.2"/>
    <row r="49949" s="197" customFormat="1" ht="12.75" x14ac:dyDescent="0.2"/>
    <row r="49950" s="197" customFormat="1" ht="12.75" x14ac:dyDescent="0.2"/>
    <row r="49951" s="197" customFormat="1" ht="12.75" x14ac:dyDescent="0.2"/>
    <row r="49952" s="197" customFormat="1" ht="12.75" x14ac:dyDescent="0.2"/>
    <row r="49953" s="197" customFormat="1" ht="12.75" x14ac:dyDescent="0.2"/>
    <row r="49954" s="197" customFormat="1" ht="12.75" x14ac:dyDescent="0.2"/>
    <row r="49955" s="197" customFormat="1" ht="12.75" x14ac:dyDescent="0.2"/>
    <row r="49956" s="197" customFormat="1" ht="12.75" x14ac:dyDescent="0.2"/>
    <row r="49957" s="197" customFormat="1" ht="12.75" x14ac:dyDescent="0.2"/>
    <row r="49958" s="197" customFormat="1" ht="12.75" x14ac:dyDescent="0.2"/>
    <row r="49959" s="197" customFormat="1" ht="12.75" x14ac:dyDescent="0.2"/>
    <row r="49960" s="197" customFormat="1" ht="12.75" x14ac:dyDescent="0.2"/>
    <row r="49961" s="197" customFormat="1" ht="12.75" x14ac:dyDescent="0.2"/>
    <row r="49962" s="197" customFormat="1" ht="12.75" x14ac:dyDescent="0.2"/>
    <row r="49963" s="197" customFormat="1" ht="12.75" x14ac:dyDescent="0.2"/>
    <row r="49964" s="197" customFormat="1" ht="12.75" x14ac:dyDescent="0.2"/>
    <row r="49965" s="197" customFormat="1" ht="12.75" x14ac:dyDescent="0.2"/>
    <row r="49966" s="197" customFormat="1" ht="12.75" x14ac:dyDescent="0.2"/>
    <row r="49967" s="197" customFormat="1" ht="12.75" x14ac:dyDescent="0.2"/>
    <row r="49968" s="197" customFormat="1" ht="12.75" x14ac:dyDescent="0.2"/>
    <row r="49969" s="197" customFormat="1" ht="12.75" x14ac:dyDescent="0.2"/>
    <row r="49970" s="197" customFormat="1" ht="12.75" x14ac:dyDescent="0.2"/>
    <row r="49971" s="197" customFormat="1" ht="12.75" x14ac:dyDescent="0.2"/>
    <row r="49972" s="197" customFormat="1" ht="12.75" x14ac:dyDescent="0.2"/>
    <row r="49973" s="197" customFormat="1" ht="12.75" x14ac:dyDescent="0.2"/>
    <row r="49974" s="197" customFormat="1" ht="12.75" x14ac:dyDescent="0.2"/>
    <row r="49975" s="197" customFormat="1" ht="12.75" x14ac:dyDescent="0.2"/>
    <row r="49976" s="197" customFormat="1" ht="12.75" x14ac:dyDescent="0.2"/>
    <row r="49977" s="197" customFormat="1" ht="12.75" x14ac:dyDescent="0.2"/>
    <row r="49978" s="197" customFormat="1" ht="12.75" x14ac:dyDescent="0.2"/>
    <row r="49979" s="197" customFormat="1" ht="12.75" x14ac:dyDescent="0.2"/>
    <row r="49980" s="197" customFormat="1" ht="12.75" x14ac:dyDescent="0.2"/>
    <row r="49981" s="197" customFormat="1" ht="12.75" x14ac:dyDescent="0.2"/>
    <row r="49982" s="197" customFormat="1" ht="12.75" x14ac:dyDescent="0.2"/>
    <row r="49983" s="197" customFormat="1" ht="12.75" x14ac:dyDescent="0.2"/>
    <row r="49984" s="197" customFormat="1" ht="12.75" x14ac:dyDescent="0.2"/>
    <row r="49985" s="197" customFormat="1" ht="12.75" x14ac:dyDescent="0.2"/>
    <row r="49986" s="197" customFormat="1" ht="12.75" x14ac:dyDescent="0.2"/>
    <row r="49987" s="197" customFormat="1" ht="12.75" x14ac:dyDescent="0.2"/>
    <row r="49988" s="197" customFormat="1" ht="12.75" x14ac:dyDescent="0.2"/>
    <row r="49989" s="197" customFormat="1" ht="12.75" x14ac:dyDescent="0.2"/>
    <row r="49990" s="197" customFormat="1" ht="12.75" x14ac:dyDescent="0.2"/>
    <row r="49991" s="197" customFormat="1" ht="12.75" x14ac:dyDescent="0.2"/>
    <row r="49992" s="197" customFormat="1" ht="12.75" x14ac:dyDescent="0.2"/>
    <row r="49993" s="197" customFormat="1" ht="12.75" x14ac:dyDescent="0.2"/>
    <row r="49994" s="197" customFormat="1" ht="12.75" x14ac:dyDescent="0.2"/>
    <row r="49995" s="197" customFormat="1" ht="12.75" x14ac:dyDescent="0.2"/>
    <row r="49996" s="197" customFormat="1" ht="12.75" x14ac:dyDescent="0.2"/>
    <row r="49997" s="197" customFormat="1" ht="12.75" x14ac:dyDescent="0.2"/>
    <row r="49998" s="197" customFormat="1" ht="12.75" x14ac:dyDescent="0.2"/>
    <row r="49999" s="197" customFormat="1" ht="12.75" x14ac:dyDescent="0.2"/>
    <row r="50000" s="197" customFormat="1" ht="12.75" x14ac:dyDescent="0.2"/>
    <row r="50001" s="197" customFormat="1" ht="12.75" x14ac:dyDescent="0.2"/>
    <row r="50002" s="197" customFormat="1" ht="12.75" x14ac:dyDescent="0.2"/>
    <row r="50003" s="197" customFormat="1" ht="12.75" x14ac:dyDescent="0.2"/>
    <row r="50004" s="197" customFormat="1" ht="12.75" x14ac:dyDescent="0.2"/>
    <row r="50005" s="197" customFormat="1" ht="12.75" x14ac:dyDescent="0.2"/>
    <row r="50006" s="197" customFormat="1" ht="12.75" x14ac:dyDescent="0.2"/>
    <row r="50007" s="197" customFormat="1" ht="12.75" x14ac:dyDescent="0.2"/>
    <row r="50008" s="197" customFormat="1" ht="12.75" x14ac:dyDescent="0.2"/>
    <row r="50009" s="197" customFormat="1" ht="12.75" x14ac:dyDescent="0.2"/>
    <row r="50010" s="197" customFormat="1" ht="12.75" x14ac:dyDescent="0.2"/>
    <row r="50011" s="197" customFormat="1" ht="12.75" x14ac:dyDescent="0.2"/>
    <row r="50012" s="197" customFormat="1" ht="12.75" x14ac:dyDescent="0.2"/>
    <row r="50013" s="197" customFormat="1" ht="12.75" x14ac:dyDescent="0.2"/>
    <row r="50014" s="197" customFormat="1" ht="12.75" x14ac:dyDescent="0.2"/>
    <row r="50015" s="197" customFormat="1" ht="12.75" x14ac:dyDescent="0.2"/>
    <row r="50016" s="197" customFormat="1" ht="12.75" x14ac:dyDescent="0.2"/>
    <row r="50017" s="197" customFormat="1" ht="12.75" x14ac:dyDescent="0.2"/>
    <row r="50018" s="197" customFormat="1" ht="12.75" x14ac:dyDescent="0.2"/>
    <row r="50019" s="197" customFormat="1" ht="12.75" x14ac:dyDescent="0.2"/>
    <row r="50020" s="197" customFormat="1" ht="12.75" x14ac:dyDescent="0.2"/>
    <row r="50021" s="197" customFormat="1" ht="12.75" x14ac:dyDescent="0.2"/>
    <row r="50022" s="197" customFormat="1" ht="12.75" x14ac:dyDescent="0.2"/>
    <row r="50023" s="197" customFormat="1" ht="12.75" x14ac:dyDescent="0.2"/>
    <row r="50024" s="197" customFormat="1" ht="12.75" x14ac:dyDescent="0.2"/>
    <row r="50025" s="197" customFormat="1" ht="12.75" x14ac:dyDescent="0.2"/>
    <row r="50026" s="197" customFormat="1" ht="12.75" x14ac:dyDescent="0.2"/>
    <row r="50027" s="197" customFormat="1" ht="12.75" x14ac:dyDescent="0.2"/>
    <row r="50028" s="197" customFormat="1" ht="12.75" x14ac:dyDescent="0.2"/>
    <row r="50029" s="197" customFormat="1" ht="12.75" x14ac:dyDescent="0.2"/>
    <row r="50030" s="197" customFormat="1" ht="12.75" x14ac:dyDescent="0.2"/>
    <row r="50031" s="197" customFormat="1" ht="12.75" x14ac:dyDescent="0.2"/>
    <row r="50032" s="197" customFormat="1" ht="12.75" x14ac:dyDescent="0.2"/>
    <row r="50033" s="197" customFormat="1" ht="12.75" x14ac:dyDescent="0.2"/>
    <row r="50034" s="197" customFormat="1" ht="12.75" x14ac:dyDescent="0.2"/>
    <row r="50035" s="197" customFormat="1" ht="12.75" x14ac:dyDescent="0.2"/>
    <row r="50036" s="197" customFormat="1" ht="12.75" x14ac:dyDescent="0.2"/>
    <row r="50037" s="197" customFormat="1" ht="12.75" x14ac:dyDescent="0.2"/>
    <row r="50038" s="197" customFormat="1" ht="12.75" x14ac:dyDescent="0.2"/>
    <row r="50039" s="197" customFormat="1" ht="12.75" x14ac:dyDescent="0.2"/>
    <row r="50040" s="197" customFormat="1" ht="12.75" x14ac:dyDescent="0.2"/>
    <row r="50041" s="197" customFormat="1" ht="12.75" x14ac:dyDescent="0.2"/>
    <row r="50042" s="197" customFormat="1" ht="12.75" x14ac:dyDescent="0.2"/>
    <row r="50043" s="197" customFormat="1" ht="12.75" x14ac:dyDescent="0.2"/>
    <row r="50044" s="197" customFormat="1" ht="12.75" x14ac:dyDescent="0.2"/>
    <row r="50045" s="197" customFormat="1" ht="12.75" x14ac:dyDescent="0.2"/>
    <row r="50046" s="197" customFormat="1" ht="12.75" x14ac:dyDescent="0.2"/>
    <row r="50047" s="197" customFormat="1" ht="12.75" x14ac:dyDescent="0.2"/>
    <row r="50048" s="197" customFormat="1" ht="12.75" x14ac:dyDescent="0.2"/>
    <row r="50049" s="197" customFormat="1" ht="12.75" x14ac:dyDescent="0.2"/>
    <row r="50050" s="197" customFormat="1" ht="12.75" x14ac:dyDescent="0.2"/>
    <row r="50051" s="197" customFormat="1" ht="12.75" x14ac:dyDescent="0.2"/>
    <row r="50052" s="197" customFormat="1" ht="12.75" x14ac:dyDescent="0.2"/>
    <row r="50053" s="197" customFormat="1" ht="12.75" x14ac:dyDescent="0.2"/>
    <row r="50054" s="197" customFormat="1" ht="12.75" x14ac:dyDescent="0.2"/>
    <row r="50055" s="197" customFormat="1" ht="12.75" x14ac:dyDescent="0.2"/>
    <row r="50056" s="197" customFormat="1" ht="12.75" x14ac:dyDescent="0.2"/>
    <row r="50057" s="197" customFormat="1" ht="12.75" x14ac:dyDescent="0.2"/>
    <row r="50058" s="197" customFormat="1" ht="12.75" x14ac:dyDescent="0.2"/>
    <row r="50059" s="197" customFormat="1" ht="12.75" x14ac:dyDescent="0.2"/>
    <row r="50060" s="197" customFormat="1" ht="12.75" x14ac:dyDescent="0.2"/>
    <row r="50061" s="197" customFormat="1" ht="12.75" x14ac:dyDescent="0.2"/>
    <row r="50062" s="197" customFormat="1" ht="12.75" x14ac:dyDescent="0.2"/>
    <row r="50063" s="197" customFormat="1" ht="12.75" x14ac:dyDescent="0.2"/>
    <row r="50064" s="197" customFormat="1" ht="12.75" x14ac:dyDescent="0.2"/>
    <row r="50065" s="197" customFormat="1" ht="12.75" x14ac:dyDescent="0.2"/>
    <row r="50066" s="197" customFormat="1" ht="12.75" x14ac:dyDescent="0.2"/>
    <row r="50067" s="197" customFormat="1" ht="12.75" x14ac:dyDescent="0.2"/>
    <row r="50068" s="197" customFormat="1" ht="12.75" x14ac:dyDescent="0.2"/>
    <row r="50069" s="197" customFormat="1" ht="12.75" x14ac:dyDescent="0.2"/>
    <row r="50070" s="197" customFormat="1" ht="12.75" x14ac:dyDescent="0.2"/>
    <row r="50071" s="197" customFormat="1" ht="12.75" x14ac:dyDescent="0.2"/>
    <row r="50072" s="197" customFormat="1" ht="12.75" x14ac:dyDescent="0.2"/>
    <row r="50073" s="197" customFormat="1" ht="12.75" x14ac:dyDescent="0.2"/>
    <row r="50074" s="197" customFormat="1" ht="12.75" x14ac:dyDescent="0.2"/>
    <row r="50075" s="197" customFormat="1" ht="12.75" x14ac:dyDescent="0.2"/>
    <row r="50076" s="197" customFormat="1" ht="12.75" x14ac:dyDescent="0.2"/>
    <row r="50077" s="197" customFormat="1" ht="12.75" x14ac:dyDescent="0.2"/>
    <row r="50078" s="197" customFormat="1" ht="12.75" x14ac:dyDescent="0.2"/>
    <row r="50079" s="197" customFormat="1" ht="12.75" x14ac:dyDescent="0.2"/>
    <row r="50080" s="197" customFormat="1" ht="12.75" x14ac:dyDescent="0.2"/>
    <row r="50081" s="197" customFormat="1" ht="12.75" x14ac:dyDescent="0.2"/>
    <row r="50082" s="197" customFormat="1" ht="12.75" x14ac:dyDescent="0.2"/>
    <row r="50083" s="197" customFormat="1" ht="12.75" x14ac:dyDescent="0.2"/>
    <row r="50084" s="197" customFormat="1" ht="12.75" x14ac:dyDescent="0.2"/>
    <row r="50085" s="197" customFormat="1" ht="12.75" x14ac:dyDescent="0.2"/>
    <row r="50086" s="197" customFormat="1" ht="12.75" x14ac:dyDescent="0.2"/>
    <row r="50087" s="197" customFormat="1" ht="12.75" x14ac:dyDescent="0.2"/>
    <row r="50088" s="197" customFormat="1" ht="12.75" x14ac:dyDescent="0.2"/>
    <row r="50089" s="197" customFormat="1" ht="12.75" x14ac:dyDescent="0.2"/>
    <row r="50090" s="197" customFormat="1" ht="12.75" x14ac:dyDescent="0.2"/>
    <row r="50091" s="197" customFormat="1" ht="12.75" x14ac:dyDescent="0.2"/>
    <row r="50092" s="197" customFormat="1" ht="12.75" x14ac:dyDescent="0.2"/>
    <row r="50093" s="197" customFormat="1" ht="12.75" x14ac:dyDescent="0.2"/>
    <row r="50094" s="197" customFormat="1" ht="12.75" x14ac:dyDescent="0.2"/>
    <row r="50095" s="197" customFormat="1" ht="12.75" x14ac:dyDescent="0.2"/>
    <row r="50096" s="197" customFormat="1" ht="12.75" x14ac:dyDescent="0.2"/>
    <row r="50097" s="197" customFormat="1" ht="12.75" x14ac:dyDescent="0.2"/>
    <row r="50098" s="197" customFormat="1" ht="12.75" x14ac:dyDescent="0.2"/>
    <row r="50099" s="197" customFormat="1" ht="12.75" x14ac:dyDescent="0.2"/>
    <row r="50100" s="197" customFormat="1" ht="12.75" x14ac:dyDescent="0.2"/>
    <row r="50101" s="197" customFormat="1" ht="12.75" x14ac:dyDescent="0.2"/>
    <row r="50102" s="197" customFormat="1" ht="12.75" x14ac:dyDescent="0.2"/>
    <row r="50103" s="197" customFormat="1" ht="12.75" x14ac:dyDescent="0.2"/>
    <row r="50104" s="197" customFormat="1" ht="12.75" x14ac:dyDescent="0.2"/>
    <row r="50105" s="197" customFormat="1" ht="12.75" x14ac:dyDescent="0.2"/>
    <row r="50106" s="197" customFormat="1" ht="12.75" x14ac:dyDescent="0.2"/>
    <row r="50107" s="197" customFormat="1" ht="12.75" x14ac:dyDescent="0.2"/>
    <row r="50108" s="197" customFormat="1" ht="12.75" x14ac:dyDescent="0.2"/>
    <row r="50109" s="197" customFormat="1" ht="12.75" x14ac:dyDescent="0.2"/>
    <row r="50110" s="197" customFormat="1" ht="12.75" x14ac:dyDescent="0.2"/>
    <row r="50111" s="197" customFormat="1" ht="12.75" x14ac:dyDescent="0.2"/>
    <row r="50112" s="197" customFormat="1" ht="12.75" x14ac:dyDescent="0.2"/>
    <row r="50113" s="197" customFormat="1" ht="12.75" x14ac:dyDescent="0.2"/>
    <row r="50114" s="197" customFormat="1" ht="12.75" x14ac:dyDescent="0.2"/>
    <row r="50115" s="197" customFormat="1" ht="12.75" x14ac:dyDescent="0.2"/>
    <row r="50116" s="197" customFormat="1" ht="12.75" x14ac:dyDescent="0.2"/>
    <row r="50117" s="197" customFormat="1" ht="12.75" x14ac:dyDescent="0.2"/>
    <row r="50118" s="197" customFormat="1" ht="12.75" x14ac:dyDescent="0.2"/>
    <row r="50119" s="197" customFormat="1" ht="12.75" x14ac:dyDescent="0.2"/>
    <row r="50120" s="197" customFormat="1" ht="12.75" x14ac:dyDescent="0.2"/>
    <row r="50121" s="197" customFormat="1" ht="12.75" x14ac:dyDescent="0.2"/>
    <row r="50122" s="197" customFormat="1" ht="12.75" x14ac:dyDescent="0.2"/>
    <row r="50123" s="197" customFormat="1" ht="12.75" x14ac:dyDescent="0.2"/>
    <row r="50124" s="197" customFormat="1" ht="12.75" x14ac:dyDescent="0.2"/>
    <row r="50125" s="197" customFormat="1" ht="12.75" x14ac:dyDescent="0.2"/>
    <row r="50126" s="197" customFormat="1" ht="12.75" x14ac:dyDescent="0.2"/>
    <row r="50127" s="197" customFormat="1" ht="12.75" x14ac:dyDescent="0.2"/>
    <row r="50128" s="197" customFormat="1" ht="12.75" x14ac:dyDescent="0.2"/>
    <row r="50129" s="197" customFormat="1" ht="12.75" x14ac:dyDescent="0.2"/>
    <row r="50130" s="197" customFormat="1" ht="12.75" x14ac:dyDescent="0.2"/>
    <row r="50131" s="197" customFormat="1" ht="12.75" x14ac:dyDescent="0.2"/>
    <row r="50132" s="197" customFormat="1" ht="12.75" x14ac:dyDescent="0.2"/>
    <row r="50133" s="197" customFormat="1" ht="12.75" x14ac:dyDescent="0.2"/>
    <row r="50134" s="197" customFormat="1" ht="12.75" x14ac:dyDescent="0.2"/>
    <row r="50135" s="197" customFormat="1" ht="12.75" x14ac:dyDescent="0.2"/>
    <row r="50136" s="197" customFormat="1" ht="12.75" x14ac:dyDescent="0.2"/>
    <row r="50137" s="197" customFormat="1" ht="12.75" x14ac:dyDescent="0.2"/>
    <row r="50138" s="197" customFormat="1" ht="12.75" x14ac:dyDescent="0.2"/>
    <row r="50139" s="197" customFormat="1" ht="12.75" x14ac:dyDescent="0.2"/>
    <row r="50140" s="197" customFormat="1" ht="12.75" x14ac:dyDescent="0.2"/>
    <row r="50141" s="197" customFormat="1" ht="12.75" x14ac:dyDescent="0.2"/>
    <row r="50142" s="197" customFormat="1" ht="12.75" x14ac:dyDescent="0.2"/>
    <row r="50143" s="197" customFormat="1" ht="12.75" x14ac:dyDescent="0.2"/>
    <row r="50144" s="197" customFormat="1" ht="12.75" x14ac:dyDescent="0.2"/>
    <row r="50145" s="197" customFormat="1" ht="12.75" x14ac:dyDescent="0.2"/>
    <row r="50146" s="197" customFormat="1" ht="12.75" x14ac:dyDescent="0.2"/>
    <row r="50147" s="197" customFormat="1" ht="12.75" x14ac:dyDescent="0.2"/>
    <row r="50148" s="197" customFormat="1" ht="12.75" x14ac:dyDescent="0.2"/>
    <row r="50149" s="197" customFormat="1" ht="12.75" x14ac:dyDescent="0.2"/>
    <row r="50150" s="197" customFormat="1" ht="12.75" x14ac:dyDescent="0.2"/>
    <row r="50151" s="197" customFormat="1" ht="12.75" x14ac:dyDescent="0.2"/>
    <row r="50152" s="197" customFormat="1" ht="12.75" x14ac:dyDescent="0.2"/>
    <row r="50153" s="197" customFormat="1" ht="12.75" x14ac:dyDescent="0.2"/>
    <row r="50154" s="197" customFormat="1" ht="12.75" x14ac:dyDescent="0.2"/>
    <row r="50155" s="197" customFormat="1" ht="12.75" x14ac:dyDescent="0.2"/>
    <row r="50156" s="197" customFormat="1" ht="12.75" x14ac:dyDescent="0.2"/>
    <row r="50157" s="197" customFormat="1" ht="12.75" x14ac:dyDescent="0.2"/>
    <row r="50158" s="197" customFormat="1" ht="12.75" x14ac:dyDescent="0.2"/>
    <row r="50159" s="197" customFormat="1" ht="12.75" x14ac:dyDescent="0.2"/>
    <row r="50160" s="197" customFormat="1" ht="12.75" x14ac:dyDescent="0.2"/>
    <row r="50161" s="197" customFormat="1" ht="12.75" x14ac:dyDescent="0.2"/>
    <row r="50162" s="197" customFormat="1" ht="12.75" x14ac:dyDescent="0.2"/>
    <row r="50163" s="197" customFormat="1" ht="12.75" x14ac:dyDescent="0.2"/>
    <row r="50164" s="197" customFormat="1" ht="12.75" x14ac:dyDescent="0.2"/>
    <row r="50165" s="197" customFormat="1" ht="12.75" x14ac:dyDescent="0.2"/>
    <row r="50166" s="197" customFormat="1" ht="12.75" x14ac:dyDescent="0.2"/>
    <row r="50167" s="197" customFormat="1" ht="12.75" x14ac:dyDescent="0.2"/>
    <row r="50168" s="197" customFormat="1" ht="12.75" x14ac:dyDescent="0.2"/>
    <row r="50169" s="197" customFormat="1" ht="12.75" x14ac:dyDescent="0.2"/>
    <row r="50170" s="197" customFormat="1" ht="12.75" x14ac:dyDescent="0.2"/>
    <row r="50171" s="197" customFormat="1" ht="12.75" x14ac:dyDescent="0.2"/>
    <row r="50172" s="197" customFormat="1" ht="12.75" x14ac:dyDescent="0.2"/>
    <row r="50173" s="197" customFormat="1" ht="12.75" x14ac:dyDescent="0.2"/>
    <row r="50174" s="197" customFormat="1" ht="12.75" x14ac:dyDescent="0.2"/>
    <row r="50175" s="197" customFormat="1" ht="12.75" x14ac:dyDescent="0.2"/>
    <row r="50176" s="197" customFormat="1" ht="12.75" x14ac:dyDescent="0.2"/>
    <row r="50177" s="197" customFormat="1" ht="12.75" x14ac:dyDescent="0.2"/>
    <row r="50178" s="197" customFormat="1" ht="12.75" x14ac:dyDescent="0.2"/>
    <row r="50179" s="197" customFormat="1" ht="12.75" x14ac:dyDescent="0.2"/>
    <row r="50180" s="197" customFormat="1" ht="12.75" x14ac:dyDescent="0.2"/>
    <row r="50181" s="197" customFormat="1" ht="12.75" x14ac:dyDescent="0.2"/>
    <row r="50182" s="197" customFormat="1" ht="12.75" x14ac:dyDescent="0.2"/>
    <row r="50183" s="197" customFormat="1" ht="12.75" x14ac:dyDescent="0.2"/>
    <row r="50184" s="197" customFormat="1" ht="12.75" x14ac:dyDescent="0.2"/>
    <row r="50185" s="197" customFormat="1" ht="12.75" x14ac:dyDescent="0.2"/>
    <row r="50186" s="197" customFormat="1" ht="12.75" x14ac:dyDescent="0.2"/>
    <row r="50187" s="197" customFormat="1" ht="12.75" x14ac:dyDescent="0.2"/>
    <row r="50188" s="197" customFormat="1" ht="12.75" x14ac:dyDescent="0.2"/>
    <row r="50189" s="197" customFormat="1" ht="12.75" x14ac:dyDescent="0.2"/>
    <row r="50190" s="197" customFormat="1" ht="12.75" x14ac:dyDescent="0.2"/>
    <row r="50191" s="197" customFormat="1" ht="12.75" x14ac:dyDescent="0.2"/>
    <row r="50192" s="197" customFormat="1" ht="12.75" x14ac:dyDescent="0.2"/>
    <row r="50193" s="197" customFormat="1" ht="12.75" x14ac:dyDescent="0.2"/>
    <row r="50194" s="197" customFormat="1" ht="12.75" x14ac:dyDescent="0.2"/>
    <row r="50195" s="197" customFormat="1" ht="12.75" x14ac:dyDescent="0.2"/>
    <row r="50196" s="197" customFormat="1" ht="12.75" x14ac:dyDescent="0.2"/>
    <row r="50197" s="197" customFormat="1" ht="12.75" x14ac:dyDescent="0.2"/>
    <row r="50198" s="197" customFormat="1" ht="12.75" x14ac:dyDescent="0.2"/>
    <row r="50199" s="197" customFormat="1" ht="12.75" x14ac:dyDescent="0.2"/>
    <row r="50200" s="197" customFormat="1" ht="12.75" x14ac:dyDescent="0.2"/>
    <row r="50201" s="197" customFormat="1" ht="12.75" x14ac:dyDescent="0.2"/>
    <row r="50202" s="197" customFormat="1" ht="12.75" x14ac:dyDescent="0.2"/>
    <row r="50203" s="197" customFormat="1" ht="12.75" x14ac:dyDescent="0.2"/>
    <row r="50204" s="197" customFormat="1" ht="12.75" x14ac:dyDescent="0.2"/>
    <row r="50205" s="197" customFormat="1" ht="12.75" x14ac:dyDescent="0.2"/>
    <row r="50206" s="197" customFormat="1" ht="12.75" x14ac:dyDescent="0.2"/>
    <row r="50207" s="197" customFormat="1" ht="12.75" x14ac:dyDescent="0.2"/>
    <row r="50208" s="197" customFormat="1" ht="12.75" x14ac:dyDescent="0.2"/>
    <row r="50209" s="197" customFormat="1" ht="12.75" x14ac:dyDescent="0.2"/>
    <row r="50210" s="197" customFormat="1" ht="12.75" x14ac:dyDescent="0.2"/>
    <row r="50211" s="197" customFormat="1" ht="12.75" x14ac:dyDescent="0.2"/>
    <row r="50212" s="197" customFormat="1" ht="12.75" x14ac:dyDescent="0.2"/>
    <row r="50213" s="197" customFormat="1" ht="12.75" x14ac:dyDescent="0.2"/>
    <row r="50214" s="197" customFormat="1" ht="12.75" x14ac:dyDescent="0.2"/>
    <row r="50215" s="197" customFormat="1" ht="12.75" x14ac:dyDescent="0.2"/>
    <row r="50216" s="197" customFormat="1" ht="12.75" x14ac:dyDescent="0.2"/>
    <row r="50217" s="197" customFormat="1" ht="12.75" x14ac:dyDescent="0.2"/>
    <row r="50218" s="197" customFormat="1" ht="12.75" x14ac:dyDescent="0.2"/>
    <row r="50219" s="197" customFormat="1" ht="12.75" x14ac:dyDescent="0.2"/>
    <row r="50220" s="197" customFormat="1" ht="12.75" x14ac:dyDescent="0.2"/>
    <row r="50221" s="197" customFormat="1" ht="12.75" x14ac:dyDescent="0.2"/>
    <row r="50222" s="197" customFormat="1" ht="12.75" x14ac:dyDescent="0.2"/>
    <row r="50223" s="197" customFormat="1" ht="12.75" x14ac:dyDescent="0.2"/>
    <row r="50224" s="197" customFormat="1" ht="12.75" x14ac:dyDescent="0.2"/>
    <row r="50225" s="197" customFormat="1" ht="12.75" x14ac:dyDescent="0.2"/>
    <row r="50226" s="197" customFormat="1" ht="12.75" x14ac:dyDescent="0.2"/>
    <row r="50227" s="197" customFormat="1" ht="12.75" x14ac:dyDescent="0.2"/>
    <row r="50228" s="197" customFormat="1" ht="12.75" x14ac:dyDescent="0.2"/>
    <row r="50229" s="197" customFormat="1" ht="12.75" x14ac:dyDescent="0.2"/>
    <row r="50230" s="197" customFormat="1" ht="12.75" x14ac:dyDescent="0.2"/>
    <row r="50231" s="197" customFormat="1" ht="12.75" x14ac:dyDescent="0.2"/>
    <row r="50232" s="197" customFormat="1" ht="12.75" x14ac:dyDescent="0.2"/>
    <row r="50233" s="197" customFormat="1" ht="12.75" x14ac:dyDescent="0.2"/>
    <row r="50234" s="197" customFormat="1" ht="12.75" x14ac:dyDescent="0.2"/>
    <row r="50235" s="197" customFormat="1" ht="12.75" x14ac:dyDescent="0.2"/>
    <row r="50236" s="197" customFormat="1" ht="12.75" x14ac:dyDescent="0.2"/>
    <row r="50237" s="197" customFormat="1" ht="12.75" x14ac:dyDescent="0.2"/>
    <row r="50238" s="197" customFormat="1" ht="12.75" x14ac:dyDescent="0.2"/>
    <row r="50239" s="197" customFormat="1" ht="12.75" x14ac:dyDescent="0.2"/>
    <row r="50240" s="197" customFormat="1" ht="12.75" x14ac:dyDescent="0.2"/>
    <row r="50241" s="197" customFormat="1" ht="12.75" x14ac:dyDescent="0.2"/>
    <row r="50242" s="197" customFormat="1" ht="12.75" x14ac:dyDescent="0.2"/>
    <row r="50243" s="197" customFormat="1" ht="12.75" x14ac:dyDescent="0.2"/>
    <row r="50244" s="197" customFormat="1" ht="12.75" x14ac:dyDescent="0.2"/>
    <row r="50245" s="197" customFormat="1" ht="12.75" x14ac:dyDescent="0.2"/>
    <row r="50246" s="197" customFormat="1" ht="12.75" x14ac:dyDescent="0.2"/>
    <row r="50247" s="197" customFormat="1" ht="12.75" x14ac:dyDescent="0.2"/>
    <row r="50248" s="197" customFormat="1" ht="12.75" x14ac:dyDescent="0.2"/>
    <row r="50249" s="197" customFormat="1" ht="12.75" x14ac:dyDescent="0.2"/>
    <row r="50250" s="197" customFormat="1" ht="12.75" x14ac:dyDescent="0.2"/>
    <row r="50251" s="197" customFormat="1" ht="12.75" x14ac:dyDescent="0.2"/>
    <row r="50252" s="197" customFormat="1" ht="12.75" x14ac:dyDescent="0.2"/>
    <row r="50253" s="197" customFormat="1" ht="12.75" x14ac:dyDescent="0.2"/>
    <row r="50254" s="197" customFormat="1" ht="12.75" x14ac:dyDescent="0.2"/>
    <row r="50255" s="197" customFormat="1" ht="12.75" x14ac:dyDescent="0.2"/>
    <row r="50256" s="197" customFormat="1" ht="12.75" x14ac:dyDescent="0.2"/>
    <row r="50257" s="197" customFormat="1" ht="12.75" x14ac:dyDescent="0.2"/>
    <row r="50258" s="197" customFormat="1" ht="12.75" x14ac:dyDescent="0.2"/>
    <row r="50259" s="197" customFormat="1" ht="12.75" x14ac:dyDescent="0.2"/>
    <row r="50260" s="197" customFormat="1" ht="12.75" x14ac:dyDescent="0.2"/>
    <row r="50261" s="197" customFormat="1" ht="12.75" x14ac:dyDescent="0.2"/>
    <row r="50262" s="197" customFormat="1" ht="12.75" x14ac:dyDescent="0.2"/>
    <row r="50263" s="197" customFormat="1" ht="12.75" x14ac:dyDescent="0.2"/>
    <row r="50264" s="197" customFormat="1" ht="12.75" x14ac:dyDescent="0.2"/>
    <row r="50265" s="197" customFormat="1" ht="12.75" x14ac:dyDescent="0.2"/>
    <row r="50266" s="197" customFormat="1" ht="12.75" x14ac:dyDescent="0.2"/>
    <row r="50267" s="197" customFormat="1" ht="12.75" x14ac:dyDescent="0.2"/>
    <row r="50268" s="197" customFormat="1" ht="12.75" x14ac:dyDescent="0.2"/>
    <row r="50269" s="197" customFormat="1" ht="12.75" x14ac:dyDescent="0.2"/>
    <row r="50270" s="197" customFormat="1" ht="12.75" x14ac:dyDescent="0.2"/>
    <row r="50271" s="197" customFormat="1" ht="12.75" x14ac:dyDescent="0.2"/>
    <row r="50272" s="197" customFormat="1" ht="12.75" x14ac:dyDescent="0.2"/>
    <row r="50273" s="197" customFormat="1" ht="12.75" x14ac:dyDescent="0.2"/>
    <row r="50274" s="197" customFormat="1" ht="12.75" x14ac:dyDescent="0.2"/>
    <row r="50275" s="197" customFormat="1" ht="12.75" x14ac:dyDescent="0.2"/>
    <row r="50276" s="197" customFormat="1" ht="12.75" x14ac:dyDescent="0.2"/>
    <row r="50277" s="197" customFormat="1" ht="12.75" x14ac:dyDescent="0.2"/>
    <row r="50278" s="197" customFormat="1" ht="12.75" x14ac:dyDescent="0.2"/>
    <row r="50279" s="197" customFormat="1" ht="12.75" x14ac:dyDescent="0.2"/>
    <row r="50280" s="197" customFormat="1" ht="12.75" x14ac:dyDescent="0.2"/>
    <row r="50281" s="197" customFormat="1" ht="12.75" x14ac:dyDescent="0.2"/>
    <row r="50282" s="197" customFormat="1" ht="12.75" x14ac:dyDescent="0.2"/>
    <row r="50283" s="197" customFormat="1" ht="12.75" x14ac:dyDescent="0.2"/>
    <row r="50284" s="197" customFormat="1" ht="12.75" x14ac:dyDescent="0.2"/>
    <row r="50285" s="197" customFormat="1" ht="12.75" x14ac:dyDescent="0.2"/>
    <row r="50286" s="197" customFormat="1" ht="12.75" x14ac:dyDescent="0.2"/>
    <row r="50287" s="197" customFormat="1" ht="12.75" x14ac:dyDescent="0.2"/>
    <row r="50288" s="197" customFormat="1" ht="12.75" x14ac:dyDescent="0.2"/>
    <row r="50289" s="197" customFormat="1" ht="12.75" x14ac:dyDescent="0.2"/>
    <row r="50290" s="197" customFormat="1" ht="12.75" x14ac:dyDescent="0.2"/>
    <row r="50291" s="197" customFormat="1" ht="12.75" x14ac:dyDescent="0.2"/>
    <row r="50292" s="197" customFormat="1" ht="12.75" x14ac:dyDescent="0.2"/>
    <row r="50293" s="197" customFormat="1" ht="12.75" x14ac:dyDescent="0.2"/>
    <row r="50294" s="197" customFormat="1" ht="12.75" x14ac:dyDescent="0.2"/>
    <row r="50295" s="197" customFormat="1" ht="12.75" x14ac:dyDescent="0.2"/>
    <row r="50296" s="197" customFormat="1" ht="12.75" x14ac:dyDescent="0.2"/>
    <row r="50297" s="197" customFormat="1" ht="12.75" x14ac:dyDescent="0.2"/>
    <row r="50298" s="197" customFormat="1" ht="12.75" x14ac:dyDescent="0.2"/>
    <row r="50299" s="197" customFormat="1" ht="12.75" x14ac:dyDescent="0.2"/>
    <row r="50300" s="197" customFormat="1" ht="12.75" x14ac:dyDescent="0.2"/>
    <row r="50301" s="197" customFormat="1" ht="12.75" x14ac:dyDescent="0.2"/>
    <row r="50302" s="197" customFormat="1" ht="12.75" x14ac:dyDescent="0.2"/>
    <row r="50303" s="197" customFormat="1" ht="12.75" x14ac:dyDescent="0.2"/>
    <row r="50304" s="197" customFormat="1" ht="12.75" x14ac:dyDescent="0.2"/>
    <row r="50305" s="197" customFormat="1" ht="12.75" x14ac:dyDescent="0.2"/>
    <row r="50306" s="197" customFormat="1" ht="12.75" x14ac:dyDescent="0.2"/>
    <row r="50307" s="197" customFormat="1" ht="12.75" x14ac:dyDescent="0.2"/>
    <row r="50308" s="197" customFormat="1" ht="12.75" x14ac:dyDescent="0.2"/>
    <row r="50309" s="197" customFormat="1" ht="12.75" x14ac:dyDescent="0.2"/>
    <row r="50310" s="197" customFormat="1" ht="12.75" x14ac:dyDescent="0.2"/>
    <row r="50311" s="197" customFormat="1" ht="12.75" x14ac:dyDescent="0.2"/>
    <row r="50312" s="197" customFormat="1" ht="12.75" x14ac:dyDescent="0.2"/>
    <row r="50313" s="197" customFormat="1" ht="12.75" x14ac:dyDescent="0.2"/>
    <row r="50314" s="197" customFormat="1" ht="12.75" x14ac:dyDescent="0.2"/>
    <row r="50315" s="197" customFormat="1" ht="12.75" x14ac:dyDescent="0.2"/>
    <row r="50316" s="197" customFormat="1" ht="12.75" x14ac:dyDescent="0.2"/>
    <row r="50317" s="197" customFormat="1" ht="12.75" x14ac:dyDescent="0.2"/>
    <row r="50318" s="197" customFormat="1" ht="12.75" x14ac:dyDescent="0.2"/>
    <row r="50319" s="197" customFormat="1" ht="12.75" x14ac:dyDescent="0.2"/>
    <row r="50320" s="197" customFormat="1" ht="12.75" x14ac:dyDescent="0.2"/>
    <row r="50321" s="197" customFormat="1" ht="12.75" x14ac:dyDescent="0.2"/>
    <row r="50322" s="197" customFormat="1" ht="12.75" x14ac:dyDescent="0.2"/>
    <row r="50323" s="197" customFormat="1" ht="12.75" x14ac:dyDescent="0.2"/>
    <row r="50324" s="197" customFormat="1" ht="12.75" x14ac:dyDescent="0.2"/>
    <row r="50325" s="197" customFormat="1" ht="12.75" x14ac:dyDescent="0.2"/>
    <row r="50326" s="197" customFormat="1" ht="12.75" x14ac:dyDescent="0.2"/>
    <row r="50327" s="197" customFormat="1" ht="12.75" x14ac:dyDescent="0.2"/>
    <row r="50328" s="197" customFormat="1" ht="12.75" x14ac:dyDescent="0.2"/>
    <row r="50329" s="197" customFormat="1" ht="12.75" x14ac:dyDescent="0.2"/>
    <row r="50330" s="197" customFormat="1" ht="12.75" x14ac:dyDescent="0.2"/>
    <row r="50331" s="197" customFormat="1" ht="12.75" x14ac:dyDescent="0.2"/>
    <row r="50332" s="197" customFormat="1" ht="12.75" x14ac:dyDescent="0.2"/>
    <row r="50333" s="197" customFormat="1" ht="12.75" x14ac:dyDescent="0.2"/>
    <row r="50334" s="197" customFormat="1" ht="12.75" x14ac:dyDescent="0.2"/>
    <row r="50335" s="197" customFormat="1" ht="12.75" x14ac:dyDescent="0.2"/>
    <row r="50336" s="197" customFormat="1" ht="12.75" x14ac:dyDescent="0.2"/>
    <row r="50337" s="197" customFormat="1" ht="12.75" x14ac:dyDescent="0.2"/>
    <row r="50338" s="197" customFormat="1" ht="12.75" x14ac:dyDescent="0.2"/>
    <row r="50339" s="197" customFormat="1" ht="12.75" x14ac:dyDescent="0.2"/>
    <row r="50340" s="197" customFormat="1" ht="12.75" x14ac:dyDescent="0.2"/>
    <row r="50341" s="197" customFormat="1" ht="12.75" x14ac:dyDescent="0.2"/>
    <row r="50342" s="197" customFormat="1" ht="12.75" x14ac:dyDescent="0.2"/>
    <row r="50343" s="197" customFormat="1" ht="12.75" x14ac:dyDescent="0.2"/>
    <row r="50344" s="197" customFormat="1" ht="12.75" x14ac:dyDescent="0.2"/>
    <row r="50345" s="197" customFormat="1" ht="12.75" x14ac:dyDescent="0.2"/>
    <row r="50346" s="197" customFormat="1" ht="12.75" x14ac:dyDescent="0.2"/>
    <row r="50347" s="197" customFormat="1" ht="12.75" x14ac:dyDescent="0.2"/>
    <row r="50348" s="197" customFormat="1" ht="12.75" x14ac:dyDescent="0.2"/>
    <row r="50349" s="197" customFormat="1" ht="12.75" x14ac:dyDescent="0.2"/>
    <row r="50350" s="197" customFormat="1" ht="12.75" x14ac:dyDescent="0.2"/>
    <row r="50351" s="197" customFormat="1" ht="12.75" x14ac:dyDescent="0.2"/>
    <row r="50352" s="197" customFormat="1" ht="12.75" x14ac:dyDescent="0.2"/>
    <row r="50353" s="197" customFormat="1" ht="12.75" x14ac:dyDescent="0.2"/>
    <row r="50354" s="197" customFormat="1" ht="12.75" x14ac:dyDescent="0.2"/>
    <row r="50355" s="197" customFormat="1" ht="12.75" x14ac:dyDescent="0.2"/>
    <row r="50356" s="197" customFormat="1" ht="12.75" x14ac:dyDescent="0.2"/>
    <row r="50357" s="197" customFormat="1" ht="12.75" x14ac:dyDescent="0.2"/>
    <row r="50358" s="197" customFormat="1" ht="12.75" x14ac:dyDescent="0.2"/>
    <row r="50359" s="197" customFormat="1" ht="12.75" x14ac:dyDescent="0.2"/>
    <row r="50360" s="197" customFormat="1" ht="12.75" x14ac:dyDescent="0.2"/>
    <row r="50361" s="197" customFormat="1" ht="12.75" x14ac:dyDescent="0.2"/>
    <row r="50362" s="197" customFormat="1" ht="12.75" x14ac:dyDescent="0.2"/>
    <row r="50363" s="197" customFormat="1" ht="12.75" x14ac:dyDescent="0.2"/>
    <row r="50364" s="197" customFormat="1" ht="12.75" x14ac:dyDescent="0.2"/>
    <row r="50365" s="197" customFormat="1" ht="12.75" x14ac:dyDescent="0.2"/>
    <row r="50366" s="197" customFormat="1" ht="12.75" x14ac:dyDescent="0.2"/>
    <row r="50367" s="197" customFormat="1" ht="12.75" x14ac:dyDescent="0.2"/>
    <row r="50368" s="197" customFormat="1" ht="12.75" x14ac:dyDescent="0.2"/>
    <row r="50369" s="197" customFormat="1" ht="12.75" x14ac:dyDescent="0.2"/>
    <row r="50370" s="197" customFormat="1" ht="12.75" x14ac:dyDescent="0.2"/>
    <row r="50371" s="197" customFormat="1" ht="12.75" x14ac:dyDescent="0.2"/>
    <row r="50372" s="197" customFormat="1" ht="12.75" x14ac:dyDescent="0.2"/>
    <row r="50373" s="197" customFormat="1" ht="12.75" x14ac:dyDescent="0.2"/>
    <row r="50374" s="197" customFormat="1" ht="12.75" x14ac:dyDescent="0.2"/>
    <row r="50375" s="197" customFormat="1" ht="12.75" x14ac:dyDescent="0.2"/>
    <row r="50376" s="197" customFormat="1" ht="12.75" x14ac:dyDescent="0.2"/>
    <row r="50377" s="197" customFormat="1" ht="12.75" x14ac:dyDescent="0.2"/>
    <row r="50378" s="197" customFormat="1" ht="12.75" x14ac:dyDescent="0.2"/>
    <row r="50379" s="197" customFormat="1" ht="12.75" x14ac:dyDescent="0.2"/>
    <row r="50380" s="197" customFormat="1" ht="12.75" x14ac:dyDescent="0.2"/>
    <row r="50381" s="197" customFormat="1" ht="12.75" x14ac:dyDescent="0.2"/>
    <row r="50382" s="197" customFormat="1" ht="12.75" x14ac:dyDescent="0.2"/>
    <row r="50383" s="197" customFormat="1" ht="12.75" x14ac:dyDescent="0.2"/>
    <row r="50384" s="197" customFormat="1" ht="12.75" x14ac:dyDescent="0.2"/>
    <row r="50385" s="197" customFormat="1" ht="12.75" x14ac:dyDescent="0.2"/>
    <row r="50386" s="197" customFormat="1" ht="12.75" x14ac:dyDescent="0.2"/>
    <row r="50387" s="197" customFormat="1" ht="12.75" x14ac:dyDescent="0.2"/>
    <row r="50388" s="197" customFormat="1" ht="12.75" x14ac:dyDescent="0.2"/>
    <row r="50389" s="197" customFormat="1" ht="12.75" x14ac:dyDescent="0.2"/>
    <row r="50390" s="197" customFormat="1" ht="12.75" x14ac:dyDescent="0.2"/>
    <row r="50391" s="197" customFormat="1" ht="12.75" x14ac:dyDescent="0.2"/>
    <row r="50392" s="197" customFormat="1" ht="12.75" x14ac:dyDescent="0.2"/>
    <row r="50393" s="197" customFormat="1" ht="12.75" x14ac:dyDescent="0.2"/>
    <row r="50394" s="197" customFormat="1" ht="12.75" x14ac:dyDescent="0.2"/>
    <row r="50395" s="197" customFormat="1" ht="12.75" x14ac:dyDescent="0.2"/>
    <row r="50396" s="197" customFormat="1" ht="12.75" x14ac:dyDescent="0.2"/>
    <row r="50397" s="197" customFormat="1" ht="12.75" x14ac:dyDescent="0.2"/>
    <row r="50398" s="197" customFormat="1" ht="12.75" x14ac:dyDescent="0.2"/>
    <row r="50399" s="197" customFormat="1" ht="12.75" x14ac:dyDescent="0.2"/>
    <row r="50400" s="197" customFormat="1" ht="12.75" x14ac:dyDescent="0.2"/>
    <row r="50401" s="197" customFormat="1" ht="12.75" x14ac:dyDescent="0.2"/>
    <row r="50402" s="197" customFormat="1" ht="12.75" x14ac:dyDescent="0.2"/>
    <row r="50403" s="197" customFormat="1" ht="12.75" x14ac:dyDescent="0.2"/>
    <row r="50404" s="197" customFormat="1" ht="12.75" x14ac:dyDescent="0.2"/>
    <row r="50405" s="197" customFormat="1" ht="12.75" x14ac:dyDescent="0.2"/>
    <row r="50406" s="197" customFormat="1" ht="12.75" x14ac:dyDescent="0.2"/>
    <row r="50407" s="197" customFormat="1" ht="12.75" x14ac:dyDescent="0.2"/>
    <row r="50408" s="197" customFormat="1" ht="12.75" x14ac:dyDescent="0.2"/>
    <row r="50409" s="197" customFormat="1" ht="12.75" x14ac:dyDescent="0.2"/>
    <row r="50410" s="197" customFormat="1" ht="12.75" x14ac:dyDescent="0.2"/>
    <row r="50411" s="197" customFormat="1" ht="12.75" x14ac:dyDescent="0.2"/>
    <row r="50412" s="197" customFormat="1" ht="12.75" x14ac:dyDescent="0.2"/>
    <row r="50413" s="197" customFormat="1" ht="12.75" x14ac:dyDescent="0.2"/>
    <row r="50414" s="197" customFormat="1" ht="12.75" x14ac:dyDescent="0.2"/>
    <row r="50415" s="197" customFormat="1" ht="12.75" x14ac:dyDescent="0.2"/>
    <row r="50416" s="197" customFormat="1" ht="12.75" x14ac:dyDescent="0.2"/>
    <row r="50417" s="197" customFormat="1" ht="12.75" x14ac:dyDescent="0.2"/>
    <row r="50418" s="197" customFormat="1" ht="12.75" x14ac:dyDescent="0.2"/>
    <row r="50419" s="197" customFormat="1" ht="12.75" x14ac:dyDescent="0.2"/>
    <row r="50420" s="197" customFormat="1" ht="12.75" x14ac:dyDescent="0.2"/>
    <row r="50421" s="197" customFormat="1" ht="12.75" x14ac:dyDescent="0.2"/>
    <row r="50422" s="197" customFormat="1" ht="12.75" x14ac:dyDescent="0.2"/>
    <row r="50423" s="197" customFormat="1" ht="12.75" x14ac:dyDescent="0.2"/>
    <row r="50424" s="197" customFormat="1" ht="12.75" x14ac:dyDescent="0.2"/>
    <row r="50425" s="197" customFormat="1" ht="12.75" x14ac:dyDescent="0.2"/>
    <row r="50426" s="197" customFormat="1" ht="12.75" x14ac:dyDescent="0.2"/>
    <row r="50427" s="197" customFormat="1" ht="12.75" x14ac:dyDescent="0.2"/>
    <row r="50428" s="197" customFormat="1" ht="12.75" x14ac:dyDescent="0.2"/>
    <row r="50429" s="197" customFormat="1" ht="12.75" x14ac:dyDescent="0.2"/>
    <row r="50430" s="197" customFormat="1" ht="12.75" x14ac:dyDescent="0.2"/>
    <row r="50431" s="197" customFormat="1" ht="12.75" x14ac:dyDescent="0.2"/>
    <row r="50432" s="197" customFormat="1" ht="12.75" x14ac:dyDescent="0.2"/>
    <row r="50433" s="197" customFormat="1" ht="12.75" x14ac:dyDescent="0.2"/>
    <row r="50434" s="197" customFormat="1" ht="12.75" x14ac:dyDescent="0.2"/>
    <row r="50435" s="197" customFormat="1" ht="12.75" x14ac:dyDescent="0.2"/>
    <row r="50436" s="197" customFormat="1" ht="12.75" x14ac:dyDescent="0.2"/>
    <row r="50437" s="197" customFormat="1" ht="12.75" x14ac:dyDescent="0.2"/>
    <row r="50438" s="197" customFormat="1" ht="12.75" x14ac:dyDescent="0.2"/>
    <row r="50439" s="197" customFormat="1" ht="12.75" x14ac:dyDescent="0.2"/>
    <row r="50440" s="197" customFormat="1" ht="12.75" x14ac:dyDescent="0.2"/>
    <row r="50441" s="197" customFormat="1" ht="12.75" x14ac:dyDescent="0.2"/>
    <row r="50442" s="197" customFormat="1" ht="12.75" x14ac:dyDescent="0.2"/>
    <row r="50443" s="197" customFormat="1" ht="12.75" x14ac:dyDescent="0.2"/>
    <row r="50444" s="197" customFormat="1" ht="12.75" x14ac:dyDescent="0.2"/>
    <row r="50445" s="197" customFormat="1" ht="12.75" x14ac:dyDescent="0.2"/>
    <row r="50446" s="197" customFormat="1" ht="12.75" x14ac:dyDescent="0.2"/>
    <row r="50447" s="197" customFormat="1" ht="12.75" x14ac:dyDescent="0.2"/>
    <row r="50448" s="197" customFormat="1" ht="12.75" x14ac:dyDescent="0.2"/>
    <row r="50449" s="197" customFormat="1" ht="12.75" x14ac:dyDescent="0.2"/>
    <row r="50450" s="197" customFormat="1" ht="12.75" x14ac:dyDescent="0.2"/>
    <row r="50451" s="197" customFormat="1" ht="12.75" x14ac:dyDescent="0.2"/>
    <row r="50452" s="197" customFormat="1" ht="12.75" x14ac:dyDescent="0.2"/>
    <row r="50453" s="197" customFormat="1" ht="12.75" x14ac:dyDescent="0.2"/>
    <row r="50454" s="197" customFormat="1" ht="12.75" x14ac:dyDescent="0.2"/>
    <row r="50455" s="197" customFormat="1" ht="12.75" x14ac:dyDescent="0.2"/>
    <row r="50456" s="197" customFormat="1" ht="12.75" x14ac:dyDescent="0.2"/>
    <row r="50457" s="197" customFormat="1" ht="12.75" x14ac:dyDescent="0.2"/>
    <row r="50458" s="197" customFormat="1" ht="12.75" x14ac:dyDescent="0.2"/>
    <row r="50459" s="197" customFormat="1" ht="12.75" x14ac:dyDescent="0.2"/>
    <row r="50460" s="197" customFormat="1" ht="12.75" x14ac:dyDescent="0.2"/>
    <row r="50461" s="197" customFormat="1" ht="12.75" x14ac:dyDescent="0.2"/>
    <row r="50462" s="197" customFormat="1" ht="12.75" x14ac:dyDescent="0.2"/>
    <row r="50463" s="197" customFormat="1" ht="12.75" x14ac:dyDescent="0.2"/>
    <row r="50464" s="197" customFormat="1" ht="12.75" x14ac:dyDescent="0.2"/>
    <row r="50465" s="197" customFormat="1" ht="12.75" x14ac:dyDescent="0.2"/>
    <row r="50466" s="197" customFormat="1" ht="12.75" x14ac:dyDescent="0.2"/>
    <row r="50467" s="197" customFormat="1" ht="12.75" x14ac:dyDescent="0.2"/>
    <row r="50468" s="197" customFormat="1" ht="12.75" x14ac:dyDescent="0.2"/>
    <row r="50469" s="197" customFormat="1" ht="12.75" x14ac:dyDescent="0.2"/>
    <row r="50470" s="197" customFormat="1" ht="12.75" x14ac:dyDescent="0.2"/>
    <row r="50471" s="197" customFormat="1" ht="12.75" x14ac:dyDescent="0.2"/>
    <row r="50472" s="197" customFormat="1" ht="12.75" x14ac:dyDescent="0.2"/>
    <row r="50473" s="197" customFormat="1" ht="12.75" x14ac:dyDescent="0.2"/>
    <row r="50474" s="197" customFormat="1" ht="12.75" x14ac:dyDescent="0.2"/>
    <row r="50475" s="197" customFormat="1" ht="12.75" x14ac:dyDescent="0.2"/>
    <row r="50476" s="197" customFormat="1" ht="12.75" x14ac:dyDescent="0.2"/>
    <row r="50477" s="197" customFormat="1" ht="12.75" x14ac:dyDescent="0.2"/>
    <row r="50478" s="197" customFormat="1" ht="12.75" x14ac:dyDescent="0.2"/>
    <row r="50479" s="197" customFormat="1" ht="12.75" x14ac:dyDescent="0.2"/>
    <row r="50480" s="197" customFormat="1" ht="12.75" x14ac:dyDescent="0.2"/>
    <row r="50481" s="197" customFormat="1" ht="12.75" x14ac:dyDescent="0.2"/>
    <row r="50482" s="197" customFormat="1" ht="12.75" x14ac:dyDescent="0.2"/>
    <row r="50483" s="197" customFormat="1" ht="12.75" x14ac:dyDescent="0.2"/>
    <row r="50484" s="197" customFormat="1" ht="12.75" x14ac:dyDescent="0.2"/>
    <row r="50485" s="197" customFormat="1" ht="12.75" x14ac:dyDescent="0.2"/>
    <row r="50486" s="197" customFormat="1" ht="12.75" x14ac:dyDescent="0.2"/>
    <row r="50487" s="197" customFormat="1" ht="12.75" x14ac:dyDescent="0.2"/>
    <row r="50488" s="197" customFormat="1" ht="12.75" x14ac:dyDescent="0.2"/>
    <row r="50489" s="197" customFormat="1" ht="12.75" x14ac:dyDescent="0.2"/>
    <row r="50490" s="197" customFormat="1" ht="12.75" x14ac:dyDescent="0.2"/>
    <row r="50491" s="197" customFormat="1" ht="12.75" x14ac:dyDescent="0.2"/>
    <row r="50492" s="197" customFormat="1" ht="12.75" x14ac:dyDescent="0.2"/>
    <row r="50493" s="197" customFormat="1" ht="12.75" x14ac:dyDescent="0.2"/>
    <row r="50494" s="197" customFormat="1" ht="12.75" x14ac:dyDescent="0.2"/>
    <row r="50495" s="197" customFormat="1" ht="12.75" x14ac:dyDescent="0.2"/>
    <row r="50496" s="197" customFormat="1" ht="12.75" x14ac:dyDescent="0.2"/>
    <row r="50497" s="197" customFormat="1" ht="12.75" x14ac:dyDescent="0.2"/>
    <row r="50498" s="197" customFormat="1" ht="12.75" x14ac:dyDescent="0.2"/>
    <row r="50499" s="197" customFormat="1" ht="12.75" x14ac:dyDescent="0.2"/>
    <row r="50500" s="197" customFormat="1" ht="12.75" x14ac:dyDescent="0.2"/>
    <row r="50501" s="197" customFormat="1" ht="12.75" x14ac:dyDescent="0.2"/>
    <row r="50502" s="197" customFormat="1" ht="12.75" x14ac:dyDescent="0.2"/>
    <row r="50503" s="197" customFormat="1" ht="12.75" x14ac:dyDescent="0.2"/>
    <row r="50504" s="197" customFormat="1" ht="12.75" x14ac:dyDescent="0.2"/>
    <row r="50505" s="197" customFormat="1" ht="12.75" x14ac:dyDescent="0.2"/>
    <row r="50506" s="197" customFormat="1" ht="12.75" x14ac:dyDescent="0.2"/>
    <row r="50507" s="197" customFormat="1" ht="12.75" x14ac:dyDescent="0.2"/>
    <row r="50508" s="197" customFormat="1" ht="12.75" x14ac:dyDescent="0.2"/>
    <row r="50509" s="197" customFormat="1" ht="12.75" x14ac:dyDescent="0.2"/>
    <row r="50510" s="197" customFormat="1" ht="12.75" x14ac:dyDescent="0.2"/>
    <row r="50511" s="197" customFormat="1" ht="12.75" x14ac:dyDescent="0.2"/>
    <row r="50512" s="197" customFormat="1" ht="12.75" x14ac:dyDescent="0.2"/>
    <row r="50513" s="197" customFormat="1" ht="12.75" x14ac:dyDescent="0.2"/>
    <row r="50514" s="197" customFormat="1" ht="12.75" x14ac:dyDescent="0.2"/>
    <row r="50515" s="197" customFormat="1" ht="12.75" x14ac:dyDescent="0.2"/>
    <row r="50516" s="197" customFormat="1" ht="12.75" x14ac:dyDescent="0.2"/>
    <row r="50517" s="197" customFormat="1" ht="12.75" x14ac:dyDescent="0.2"/>
    <row r="50518" s="197" customFormat="1" ht="12.75" x14ac:dyDescent="0.2"/>
    <row r="50519" s="197" customFormat="1" ht="12.75" x14ac:dyDescent="0.2"/>
    <row r="50520" s="197" customFormat="1" ht="12.75" x14ac:dyDescent="0.2"/>
    <row r="50521" s="197" customFormat="1" ht="12.75" x14ac:dyDescent="0.2"/>
    <row r="50522" s="197" customFormat="1" ht="12.75" x14ac:dyDescent="0.2"/>
    <row r="50523" s="197" customFormat="1" ht="12.75" x14ac:dyDescent="0.2"/>
    <row r="50524" s="197" customFormat="1" ht="12.75" x14ac:dyDescent="0.2"/>
    <row r="50525" s="197" customFormat="1" ht="12.75" x14ac:dyDescent="0.2"/>
    <row r="50526" s="197" customFormat="1" ht="12.75" x14ac:dyDescent="0.2"/>
    <row r="50527" s="197" customFormat="1" ht="12.75" x14ac:dyDescent="0.2"/>
    <row r="50528" s="197" customFormat="1" ht="12.75" x14ac:dyDescent="0.2"/>
    <row r="50529" s="197" customFormat="1" ht="12.75" x14ac:dyDescent="0.2"/>
    <row r="50530" s="197" customFormat="1" ht="12.75" x14ac:dyDescent="0.2"/>
    <row r="50531" s="197" customFormat="1" ht="12.75" x14ac:dyDescent="0.2"/>
    <row r="50532" s="197" customFormat="1" ht="12.75" x14ac:dyDescent="0.2"/>
    <row r="50533" s="197" customFormat="1" ht="12.75" x14ac:dyDescent="0.2"/>
    <row r="50534" s="197" customFormat="1" ht="12.75" x14ac:dyDescent="0.2"/>
    <row r="50535" s="197" customFormat="1" ht="12.75" x14ac:dyDescent="0.2"/>
    <row r="50536" s="197" customFormat="1" ht="12.75" x14ac:dyDescent="0.2"/>
    <row r="50537" s="197" customFormat="1" ht="12.75" x14ac:dyDescent="0.2"/>
    <row r="50538" s="197" customFormat="1" ht="12.75" x14ac:dyDescent="0.2"/>
    <row r="50539" s="197" customFormat="1" ht="12.75" x14ac:dyDescent="0.2"/>
    <row r="50540" s="197" customFormat="1" ht="12.75" x14ac:dyDescent="0.2"/>
    <row r="50541" s="197" customFormat="1" ht="12.75" x14ac:dyDescent="0.2"/>
    <row r="50542" s="197" customFormat="1" ht="12.75" x14ac:dyDescent="0.2"/>
    <row r="50543" s="197" customFormat="1" ht="12.75" x14ac:dyDescent="0.2"/>
    <row r="50544" s="197" customFormat="1" ht="12.75" x14ac:dyDescent="0.2"/>
    <row r="50545" s="197" customFormat="1" ht="12.75" x14ac:dyDescent="0.2"/>
    <row r="50546" s="197" customFormat="1" ht="12.75" x14ac:dyDescent="0.2"/>
    <row r="50547" s="197" customFormat="1" ht="12.75" x14ac:dyDescent="0.2"/>
    <row r="50548" s="197" customFormat="1" ht="12.75" x14ac:dyDescent="0.2"/>
    <row r="50549" s="197" customFormat="1" ht="12.75" x14ac:dyDescent="0.2"/>
    <row r="50550" s="197" customFormat="1" ht="12.75" x14ac:dyDescent="0.2"/>
    <row r="50551" s="197" customFormat="1" ht="12.75" x14ac:dyDescent="0.2"/>
    <row r="50552" s="197" customFormat="1" ht="12.75" x14ac:dyDescent="0.2"/>
    <row r="50553" s="197" customFormat="1" ht="12.75" x14ac:dyDescent="0.2"/>
    <row r="50554" s="197" customFormat="1" ht="12.75" x14ac:dyDescent="0.2"/>
    <row r="50555" s="197" customFormat="1" ht="12.75" x14ac:dyDescent="0.2"/>
    <row r="50556" s="197" customFormat="1" ht="12.75" x14ac:dyDescent="0.2"/>
    <row r="50557" s="197" customFormat="1" ht="12.75" x14ac:dyDescent="0.2"/>
    <row r="50558" s="197" customFormat="1" ht="12.75" x14ac:dyDescent="0.2"/>
    <row r="50559" s="197" customFormat="1" ht="12.75" x14ac:dyDescent="0.2"/>
    <row r="50560" s="197" customFormat="1" ht="12.75" x14ac:dyDescent="0.2"/>
    <row r="50561" s="197" customFormat="1" ht="12.75" x14ac:dyDescent="0.2"/>
    <row r="50562" s="197" customFormat="1" ht="12.75" x14ac:dyDescent="0.2"/>
    <row r="50563" s="197" customFormat="1" ht="12.75" x14ac:dyDescent="0.2"/>
    <row r="50564" s="197" customFormat="1" ht="12.75" x14ac:dyDescent="0.2"/>
    <row r="50565" s="197" customFormat="1" ht="12.75" x14ac:dyDescent="0.2"/>
    <row r="50566" s="197" customFormat="1" ht="12.75" x14ac:dyDescent="0.2"/>
    <row r="50567" s="197" customFormat="1" ht="12.75" x14ac:dyDescent="0.2"/>
    <row r="50568" s="197" customFormat="1" ht="12.75" x14ac:dyDescent="0.2"/>
    <row r="50569" s="197" customFormat="1" ht="12.75" x14ac:dyDescent="0.2"/>
    <row r="50570" s="197" customFormat="1" ht="12.75" x14ac:dyDescent="0.2"/>
    <row r="50571" s="197" customFormat="1" ht="12.75" x14ac:dyDescent="0.2"/>
    <row r="50572" s="197" customFormat="1" ht="12.75" x14ac:dyDescent="0.2"/>
    <row r="50573" s="197" customFormat="1" ht="12.75" x14ac:dyDescent="0.2"/>
    <row r="50574" s="197" customFormat="1" ht="12.75" x14ac:dyDescent="0.2"/>
    <row r="50575" s="197" customFormat="1" ht="12.75" x14ac:dyDescent="0.2"/>
    <row r="50576" s="197" customFormat="1" ht="12.75" x14ac:dyDescent="0.2"/>
    <row r="50577" s="197" customFormat="1" ht="12.75" x14ac:dyDescent="0.2"/>
    <row r="50578" s="197" customFormat="1" ht="12.75" x14ac:dyDescent="0.2"/>
    <row r="50579" s="197" customFormat="1" ht="12.75" x14ac:dyDescent="0.2"/>
    <row r="50580" s="197" customFormat="1" ht="12.75" x14ac:dyDescent="0.2"/>
    <row r="50581" s="197" customFormat="1" ht="12.75" x14ac:dyDescent="0.2"/>
    <row r="50582" s="197" customFormat="1" ht="12.75" x14ac:dyDescent="0.2"/>
    <row r="50583" s="197" customFormat="1" ht="12.75" x14ac:dyDescent="0.2"/>
    <row r="50584" s="197" customFormat="1" ht="12.75" x14ac:dyDescent="0.2"/>
    <row r="50585" s="197" customFormat="1" ht="12.75" x14ac:dyDescent="0.2"/>
    <row r="50586" s="197" customFormat="1" ht="12.75" x14ac:dyDescent="0.2"/>
    <row r="50587" s="197" customFormat="1" ht="12.75" x14ac:dyDescent="0.2"/>
    <row r="50588" s="197" customFormat="1" ht="12.75" x14ac:dyDescent="0.2"/>
    <row r="50589" s="197" customFormat="1" ht="12.75" x14ac:dyDescent="0.2"/>
    <row r="50590" s="197" customFormat="1" ht="12.75" x14ac:dyDescent="0.2"/>
    <row r="50591" s="197" customFormat="1" ht="12.75" x14ac:dyDescent="0.2"/>
    <row r="50592" s="197" customFormat="1" ht="12.75" x14ac:dyDescent="0.2"/>
    <row r="50593" s="197" customFormat="1" ht="12.75" x14ac:dyDescent="0.2"/>
    <row r="50594" s="197" customFormat="1" ht="12.75" x14ac:dyDescent="0.2"/>
    <row r="50595" s="197" customFormat="1" ht="12.75" x14ac:dyDescent="0.2"/>
    <row r="50596" s="197" customFormat="1" ht="12.75" x14ac:dyDescent="0.2"/>
    <row r="50597" s="197" customFormat="1" ht="12.75" x14ac:dyDescent="0.2"/>
    <row r="50598" s="197" customFormat="1" ht="12.75" x14ac:dyDescent="0.2"/>
    <row r="50599" s="197" customFormat="1" ht="12.75" x14ac:dyDescent="0.2"/>
    <row r="50600" s="197" customFormat="1" ht="12.75" x14ac:dyDescent="0.2"/>
    <row r="50601" s="197" customFormat="1" ht="12.75" x14ac:dyDescent="0.2"/>
    <row r="50602" s="197" customFormat="1" ht="12.75" x14ac:dyDescent="0.2"/>
    <row r="50603" s="197" customFormat="1" ht="12.75" x14ac:dyDescent="0.2"/>
    <row r="50604" s="197" customFormat="1" ht="12.75" x14ac:dyDescent="0.2"/>
    <row r="50605" s="197" customFormat="1" ht="12.75" x14ac:dyDescent="0.2"/>
    <row r="50606" s="197" customFormat="1" ht="12.75" x14ac:dyDescent="0.2"/>
    <row r="50607" s="197" customFormat="1" ht="12.75" x14ac:dyDescent="0.2"/>
    <row r="50608" s="197" customFormat="1" ht="12.75" x14ac:dyDescent="0.2"/>
    <row r="50609" s="197" customFormat="1" ht="12.75" x14ac:dyDescent="0.2"/>
    <row r="50610" s="197" customFormat="1" ht="12.75" x14ac:dyDescent="0.2"/>
    <row r="50611" s="197" customFormat="1" ht="12.75" x14ac:dyDescent="0.2"/>
    <row r="50612" s="197" customFormat="1" ht="12.75" x14ac:dyDescent="0.2"/>
    <row r="50613" s="197" customFormat="1" ht="12.75" x14ac:dyDescent="0.2"/>
    <row r="50614" s="197" customFormat="1" ht="12.75" x14ac:dyDescent="0.2"/>
    <row r="50615" s="197" customFormat="1" ht="12.75" x14ac:dyDescent="0.2"/>
    <row r="50616" s="197" customFormat="1" ht="12.75" x14ac:dyDescent="0.2"/>
    <row r="50617" s="197" customFormat="1" ht="12.75" x14ac:dyDescent="0.2"/>
    <row r="50618" s="197" customFormat="1" ht="12.75" x14ac:dyDescent="0.2"/>
    <row r="50619" s="197" customFormat="1" ht="12.75" x14ac:dyDescent="0.2"/>
    <row r="50620" s="197" customFormat="1" ht="12.75" x14ac:dyDescent="0.2"/>
    <row r="50621" s="197" customFormat="1" ht="12.75" x14ac:dyDescent="0.2"/>
    <row r="50622" s="197" customFormat="1" ht="12.75" x14ac:dyDescent="0.2"/>
    <row r="50623" s="197" customFormat="1" ht="12.75" x14ac:dyDescent="0.2"/>
    <row r="50624" s="197" customFormat="1" ht="12.75" x14ac:dyDescent="0.2"/>
    <row r="50625" s="197" customFormat="1" ht="12.75" x14ac:dyDescent="0.2"/>
    <row r="50626" s="197" customFormat="1" ht="12.75" x14ac:dyDescent="0.2"/>
    <row r="50627" s="197" customFormat="1" ht="12.75" x14ac:dyDescent="0.2"/>
    <row r="50628" s="197" customFormat="1" ht="12.75" x14ac:dyDescent="0.2"/>
    <row r="50629" s="197" customFormat="1" ht="12.75" x14ac:dyDescent="0.2"/>
    <row r="50630" s="197" customFormat="1" ht="12.75" x14ac:dyDescent="0.2"/>
    <row r="50631" s="197" customFormat="1" ht="12.75" x14ac:dyDescent="0.2"/>
    <row r="50632" s="197" customFormat="1" ht="12.75" x14ac:dyDescent="0.2"/>
    <row r="50633" s="197" customFormat="1" ht="12.75" x14ac:dyDescent="0.2"/>
    <row r="50634" s="197" customFormat="1" ht="12.75" x14ac:dyDescent="0.2"/>
    <row r="50635" s="197" customFormat="1" ht="12.75" x14ac:dyDescent="0.2"/>
    <row r="50636" s="197" customFormat="1" ht="12.75" x14ac:dyDescent="0.2"/>
    <row r="50637" s="197" customFormat="1" ht="12.75" x14ac:dyDescent="0.2"/>
    <row r="50638" s="197" customFormat="1" ht="12.75" x14ac:dyDescent="0.2"/>
    <row r="50639" s="197" customFormat="1" ht="12.75" x14ac:dyDescent="0.2"/>
    <row r="50640" s="197" customFormat="1" ht="12.75" x14ac:dyDescent="0.2"/>
    <row r="50641" s="197" customFormat="1" ht="12.75" x14ac:dyDescent="0.2"/>
    <row r="50642" s="197" customFormat="1" ht="12.75" x14ac:dyDescent="0.2"/>
    <row r="50643" s="197" customFormat="1" ht="12.75" x14ac:dyDescent="0.2"/>
    <row r="50644" s="197" customFormat="1" ht="12.75" x14ac:dyDescent="0.2"/>
    <row r="50645" s="197" customFormat="1" ht="12.75" x14ac:dyDescent="0.2"/>
    <row r="50646" s="197" customFormat="1" ht="12.75" x14ac:dyDescent="0.2"/>
    <row r="50647" s="197" customFormat="1" ht="12.75" x14ac:dyDescent="0.2"/>
    <row r="50648" s="197" customFormat="1" ht="12.75" x14ac:dyDescent="0.2"/>
    <row r="50649" s="197" customFormat="1" ht="12.75" x14ac:dyDescent="0.2"/>
    <row r="50650" s="197" customFormat="1" ht="12.75" x14ac:dyDescent="0.2"/>
    <row r="50651" s="197" customFormat="1" ht="12.75" x14ac:dyDescent="0.2"/>
    <row r="50652" s="197" customFormat="1" ht="12.75" x14ac:dyDescent="0.2"/>
    <row r="50653" s="197" customFormat="1" ht="12.75" x14ac:dyDescent="0.2"/>
    <row r="50654" s="197" customFormat="1" ht="12.75" x14ac:dyDescent="0.2"/>
    <row r="50655" s="197" customFormat="1" ht="12.75" x14ac:dyDescent="0.2"/>
    <row r="50656" s="197" customFormat="1" ht="12.75" x14ac:dyDescent="0.2"/>
    <row r="50657" s="197" customFormat="1" ht="12.75" x14ac:dyDescent="0.2"/>
    <row r="50658" s="197" customFormat="1" ht="12.75" x14ac:dyDescent="0.2"/>
    <row r="50659" s="197" customFormat="1" ht="12.75" x14ac:dyDescent="0.2"/>
    <row r="50660" s="197" customFormat="1" ht="12.75" x14ac:dyDescent="0.2"/>
    <row r="50661" s="197" customFormat="1" ht="12.75" x14ac:dyDescent="0.2"/>
    <row r="50662" s="197" customFormat="1" ht="12.75" x14ac:dyDescent="0.2"/>
    <row r="50663" s="197" customFormat="1" ht="12.75" x14ac:dyDescent="0.2"/>
    <row r="50664" s="197" customFormat="1" ht="12.75" x14ac:dyDescent="0.2"/>
    <row r="50665" s="197" customFormat="1" ht="12.75" x14ac:dyDescent="0.2"/>
    <row r="50666" s="197" customFormat="1" ht="12.75" x14ac:dyDescent="0.2"/>
    <row r="50667" s="197" customFormat="1" ht="12.75" x14ac:dyDescent="0.2"/>
    <row r="50668" s="197" customFormat="1" ht="12.75" x14ac:dyDescent="0.2"/>
    <row r="50669" s="197" customFormat="1" ht="12.75" x14ac:dyDescent="0.2"/>
    <row r="50670" s="197" customFormat="1" ht="12.75" x14ac:dyDescent="0.2"/>
    <row r="50671" s="197" customFormat="1" ht="12.75" x14ac:dyDescent="0.2"/>
    <row r="50672" s="197" customFormat="1" ht="12.75" x14ac:dyDescent="0.2"/>
    <row r="50673" s="197" customFormat="1" ht="12.75" x14ac:dyDescent="0.2"/>
    <row r="50674" s="197" customFormat="1" ht="12.75" x14ac:dyDescent="0.2"/>
    <row r="50675" s="197" customFormat="1" ht="12.75" x14ac:dyDescent="0.2"/>
    <row r="50676" s="197" customFormat="1" ht="12.75" x14ac:dyDescent="0.2"/>
    <row r="50677" s="197" customFormat="1" ht="12.75" x14ac:dyDescent="0.2"/>
    <row r="50678" s="197" customFormat="1" ht="12.75" x14ac:dyDescent="0.2"/>
    <row r="50679" s="197" customFormat="1" ht="12.75" x14ac:dyDescent="0.2"/>
    <row r="50680" s="197" customFormat="1" ht="12.75" x14ac:dyDescent="0.2"/>
    <row r="50681" s="197" customFormat="1" ht="12.75" x14ac:dyDescent="0.2"/>
    <row r="50682" s="197" customFormat="1" ht="12.75" x14ac:dyDescent="0.2"/>
    <row r="50683" s="197" customFormat="1" ht="12.75" x14ac:dyDescent="0.2"/>
    <row r="50684" s="197" customFormat="1" ht="12.75" x14ac:dyDescent="0.2"/>
    <row r="50685" s="197" customFormat="1" ht="12.75" x14ac:dyDescent="0.2"/>
    <row r="50686" s="197" customFormat="1" ht="12.75" x14ac:dyDescent="0.2"/>
    <row r="50687" s="197" customFormat="1" ht="12.75" x14ac:dyDescent="0.2"/>
    <row r="50688" s="197" customFormat="1" ht="12.75" x14ac:dyDescent="0.2"/>
    <row r="50689" s="197" customFormat="1" ht="12.75" x14ac:dyDescent="0.2"/>
    <row r="50690" s="197" customFormat="1" ht="12.75" x14ac:dyDescent="0.2"/>
    <row r="50691" s="197" customFormat="1" ht="12.75" x14ac:dyDescent="0.2"/>
    <row r="50692" s="197" customFormat="1" ht="12.75" x14ac:dyDescent="0.2"/>
    <row r="50693" s="197" customFormat="1" ht="12.75" x14ac:dyDescent="0.2"/>
    <row r="50694" s="197" customFormat="1" ht="12.75" x14ac:dyDescent="0.2"/>
    <row r="50695" s="197" customFormat="1" ht="12.75" x14ac:dyDescent="0.2"/>
    <row r="50696" s="197" customFormat="1" ht="12.75" x14ac:dyDescent="0.2"/>
    <row r="50697" s="197" customFormat="1" ht="12.75" x14ac:dyDescent="0.2"/>
    <row r="50698" s="197" customFormat="1" ht="12.75" x14ac:dyDescent="0.2"/>
    <row r="50699" s="197" customFormat="1" ht="12.75" x14ac:dyDescent="0.2"/>
    <row r="50700" s="197" customFormat="1" ht="12.75" x14ac:dyDescent="0.2"/>
    <row r="50701" s="197" customFormat="1" ht="12.75" x14ac:dyDescent="0.2"/>
    <row r="50702" s="197" customFormat="1" ht="12.75" x14ac:dyDescent="0.2"/>
    <row r="50703" s="197" customFormat="1" ht="12.75" x14ac:dyDescent="0.2"/>
    <row r="50704" s="197" customFormat="1" ht="12.75" x14ac:dyDescent="0.2"/>
    <row r="50705" s="197" customFormat="1" ht="12.75" x14ac:dyDescent="0.2"/>
    <row r="50706" s="197" customFormat="1" ht="12.75" x14ac:dyDescent="0.2"/>
    <row r="50707" s="197" customFormat="1" ht="12.75" x14ac:dyDescent="0.2"/>
    <row r="50708" s="197" customFormat="1" ht="12.75" x14ac:dyDescent="0.2"/>
    <row r="50709" s="197" customFormat="1" ht="12.75" x14ac:dyDescent="0.2"/>
    <row r="50710" s="197" customFormat="1" ht="12.75" x14ac:dyDescent="0.2"/>
    <row r="50711" s="197" customFormat="1" ht="12.75" x14ac:dyDescent="0.2"/>
    <row r="50712" s="197" customFormat="1" ht="12.75" x14ac:dyDescent="0.2"/>
    <row r="50713" s="197" customFormat="1" ht="12.75" x14ac:dyDescent="0.2"/>
    <row r="50714" s="197" customFormat="1" ht="12.75" x14ac:dyDescent="0.2"/>
    <row r="50715" s="197" customFormat="1" ht="12.75" x14ac:dyDescent="0.2"/>
    <row r="50716" s="197" customFormat="1" ht="12.75" x14ac:dyDescent="0.2"/>
    <row r="50717" s="197" customFormat="1" ht="12.75" x14ac:dyDescent="0.2"/>
    <row r="50718" s="197" customFormat="1" ht="12.75" x14ac:dyDescent="0.2"/>
    <row r="50719" s="197" customFormat="1" ht="12.75" x14ac:dyDescent="0.2"/>
    <row r="50720" s="197" customFormat="1" ht="12.75" x14ac:dyDescent="0.2"/>
    <row r="50721" s="197" customFormat="1" ht="12.75" x14ac:dyDescent="0.2"/>
    <row r="50722" s="197" customFormat="1" ht="12.75" x14ac:dyDescent="0.2"/>
    <row r="50723" s="197" customFormat="1" ht="12.75" x14ac:dyDescent="0.2"/>
    <row r="50724" s="197" customFormat="1" ht="12.75" x14ac:dyDescent="0.2"/>
    <row r="50725" s="197" customFormat="1" ht="12.75" x14ac:dyDescent="0.2"/>
    <row r="50726" s="197" customFormat="1" ht="12.75" x14ac:dyDescent="0.2"/>
    <row r="50727" s="197" customFormat="1" ht="12.75" x14ac:dyDescent="0.2"/>
    <row r="50728" s="197" customFormat="1" ht="12.75" x14ac:dyDescent="0.2"/>
    <row r="50729" s="197" customFormat="1" ht="12.75" x14ac:dyDescent="0.2"/>
    <row r="50730" s="197" customFormat="1" ht="12.75" x14ac:dyDescent="0.2"/>
    <row r="50731" s="197" customFormat="1" ht="12.75" x14ac:dyDescent="0.2"/>
    <row r="50732" s="197" customFormat="1" ht="12.75" x14ac:dyDescent="0.2"/>
    <row r="50733" s="197" customFormat="1" ht="12.75" x14ac:dyDescent="0.2"/>
    <row r="50734" s="197" customFormat="1" ht="12.75" x14ac:dyDescent="0.2"/>
    <row r="50735" s="197" customFormat="1" ht="12.75" x14ac:dyDescent="0.2"/>
    <row r="50736" s="197" customFormat="1" ht="12.75" x14ac:dyDescent="0.2"/>
    <row r="50737" s="197" customFormat="1" ht="12.75" x14ac:dyDescent="0.2"/>
    <row r="50738" s="197" customFormat="1" ht="12.75" x14ac:dyDescent="0.2"/>
    <row r="50739" s="197" customFormat="1" ht="12.75" x14ac:dyDescent="0.2"/>
    <row r="50740" s="197" customFormat="1" ht="12.75" x14ac:dyDescent="0.2"/>
    <row r="50741" s="197" customFormat="1" ht="12.75" x14ac:dyDescent="0.2"/>
    <row r="50742" s="197" customFormat="1" ht="12.75" x14ac:dyDescent="0.2"/>
    <row r="50743" s="197" customFormat="1" ht="12.75" x14ac:dyDescent="0.2"/>
    <row r="50744" s="197" customFormat="1" ht="12.75" x14ac:dyDescent="0.2"/>
    <row r="50745" s="197" customFormat="1" ht="12.75" x14ac:dyDescent="0.2"/>
    <row r="50746" s="197" customFormat="1" ht="12.75" x14ac:dyDescent="0.2"/>
    <row r="50747" s="197" customFormat="1" ht="12.75" x14ac:dyDescent="0.2"/>
    <row r="50748" s="197" customFormat="1" ht="12.75" x14ac:dyDescent="0.2"/>
    <row r="50749" s="197" customFormat="1" ht="12.75" x14ac:dyDescent="0.2"/>
    <row r="50750" s="197" customFormat="1" ht="12.75" x14ac:dyDescent="0.2"/>
    <row r="50751" s="197" customFormat="1" ht="12.75" x14ac:dyDescent="0.2"/>
    <row r="50752" s="197" customFormat="1" ht="12.75" x14ac:dyDescent="0.2"/>
    <row r="50753" s="197" customFormat="1" ht="12.75" x14ac:dyDescent="0.2"/>
    <row r="50754" s="197" customFormat="1" ht="12.75" x14ac:dyDescent="0.2"/>
    <row r="50755" s="197" customFormat="1" ht="12.75" x14ac:dyDescent="0.2"/>
    <row r="50756" s="197" customFormat="1" ht="12.75" x14ac:dyDescent="0.2"/>
    <row r="50757" s="197" customFormat="1" ht="12.75" x14ac:dyDescent="0.2"/>
    <row r="50758" s="197" customFormat="1" ht="12.75" x14ac:dyDescent="0.2"/>
    <row r="50759" s="197" customFormat="1" ht="12.75" x14ac:dyDescent="0.2"/>
    <row r="50760" s="197" customFormat="1" ht="12.75" x14ac:dyDescent="0.2"/>
    <row r="50761" s="197" customFormat="1" ht="12.75" x14ac:dyDescent="0.2"/>
    <row r="50762" s="197" customFormat="1" ht="12.75" x14ac:dyDescent="0.2"/>
    <row r="50763" s="197" customFormat="1" ht="12.75" x14ac:dyDescent="0.2"/>
    <row r="50764" s="197" customFormat="1" ht="12.75" x14ac:dyDescent="0.2"/>
    <row r="50765" s="197" customFormat="1" ht="12.75" x14ac:dyDescent="0.2"/>
    <row r="50766" s="197" customFormat="1" ht="12.75" x14ac:dyDescent="0.2"/>
    <row r="50767" s="197" customFormat="1" ht="12.75" x14ac:dyDescent="0.2"/>
    <row r="50768" s="197" customFormat="1" ht="12.75" x14ac:dyDescent="0.2"/>
    <row r="50769" s="197" customFormat="1" ht="12.75" x14ac:dyDescent="0.2"/>
    <row r="50770" s="197" customFormat="1" ht="12.75" x14ac:dyDescent="0.2"/>
    <row r="50771" s="197" customFormat="1" ht="12.75" x14ac:dyDescent="0.2"/>
    <row r="50772" s="197" customFormat="1" ht="12.75" x14ac:dyDescent="0.2"/>
    <row r="50773" s="197" customFormat="1" ht="12.75" x14ac:dyDescent="0.2"/>
    <row r="50774" s="197" customFormat="1" ht="12.75" x14ac:dyDescent="0.2"/>
    <row r="50775" s="197" customFormat="1" ht="12.75" x14ac:dyDescent="0.2"/>
    <row r="50776" s="197" customFormat="1" ht="12.75" x14ac:dyDescent="0.2"/>
    <row r="50777" s="197" customFormat="1" ht="12.75" x14ac:dyDescent="0.2"/>
    <row r="50778" s="197" customFormat="1" ht="12.75" x14ac:dyDescent="0.2"/>
    <row r="50779" s="197" customFormat="1" ht="12.75" x14ac:dyDescent="0.2"/>
    <row r="50780" s="197" customFormat="1" ht="12.75" x14ac:dyDescent="0.2"/>
    <row r="50781" s="197" customFormat="1" ht="12.75" x14ac:dyDescent="0.2"/>
    <row r="50782" s="197" customFormat="1" ht="12.75" x14ac:dyDescent="0.2"/>
    <row r="50783" s="197" customFormat="1" ht="12.75" x14ac:dyDescent="0.2"/>
    <row r="50784" s="197" customFormat="1" ht="12.75" x14ac:dyDescent="0.2"/>
    <row r="50785" s="197" customFormat="1" ht="12.75" x14ac:dyDescent="0.2"/>
    <row r="50786" s="197" customFormat="1" ht="12.75" x14ac:dyDescent="0.2"/>
    <row r="50787" s="197" customFormat="1" ht="12.75" x14ac:dyDescent="0.2"/>
    <row r="50788" s="197" customFormat="1" ht="12.75" x14ac:dyDescent="0.2"/>
    <row r="50789" s="197" customFormat="1" ht="12.75" x14ac:dyDescent="0.2"/>
    <row r="50790" s="197" customFormat="1" ht="12.75" x14ac:dyDescent="0.2"/>
    <row r="50791" s="197" customFormat="1" ht="12.75" x14ac:dyDescent="0.2"/>
    <row r="50792" s="197" customFormat="1" ht="12.75" x14ac:dyDescent="0.2"/>
    <row r="50793" s="197" customFormat="1" ht="12.75" x14ac:dyDescent="0.2"/>
    <row r="50794" s="197" customFormat="1" ht="12.75" x14ac:dyDescent="0.2"/>
    <row r="50795" s="197" customFormat="1" ht="12.75" x14ac:dyDescent="0.2"/>
    <row r="50796" s="197" customFormat="1" ht="12.75" x14ac:dyDescent="0.2"/>
    <row r="50797" s="197" customFormat="1" ht="12.75" x14ac:dyDescent="0.2"/>
    <row r="50798" s="197" customFormat="1" ht="12.75" x14ac:dyDescent="0.2"/>
    <row r="50799" s="197" customFormat="1" ht="12.75" x14ac:dyDescent="0.2"/>
    <row r="50800" s="197" customFormat="1" ht="12.75" x14ac:dyDescent="0.2"/>
    <row r="50801" s="197" customFormat="1" ht="12.75" x14ac:dyDescent="0.2"/>
    <row r="50802" s="197" customFormat="1" ht="12.75" x14ac:dyDescent="0.2"/>
    <row r="50803" s="197" customFormat="1" ht="12.75" x14ac:dyDescent="0.2"/>
    <row r="50804" s="197" customFormat="1" ht="12.75" x14ac:dyDescent="0.2"/>
    <row r="50805" s="197" customFormat="1" ht="12.75" x14ac:dyDescent="0.2"/>
    <row r="50806" s="197" customFormat="1" ht="12.75" x14ac:dyDescent="0.2"/>
    <row r="50807" s="197" customFormat="1" ht="12.75" x14ac:dyDescent="0.2"/>
    <row r="50808" s="197" customFormat="1" ht="12.75" x14ac:dyDescent="0.2"/>
    <row r="50809" s="197" customFormat="1" ht="12.75" x14ac:dyDescent="0.2"/>
    <row r="50810" s="197" customFormat="1" ht="12.75" x14ac:dyDescent="0.2"/>
    <row r="50811" s="197" customFormat="1" ht="12.75" x14ac:dyDescent="0.2"/>
    <row r="50812" s="197" customFormat="1" ht="12.75" x14ac:dyDescent="0.2"/>
    <row r="50813" s="197" customFormat="1" ht="12.75" x14ac:dyDescent="0.2"/>
    <row r="50814" s="197" customFormat="1" ht="12.75" x14ac:dyDescent="0.2"/>
    <row r="50815" s="197" customFormat="1" ht="12.75" x14ac:dyDescent="0.2"/>
    <row r="50816" s="197" customFormat="1" ht="12.75" x14ac:dyDescent="0.2"/>
    <row r="50817" s="197" customFormat="1" ht="12.75" x14ac:dyDescent="0.2"/>
    <row r="50818" s="197" customFormat="1" ht="12.75" x14ac:dyDescent="0.2"/>
    <row r="50819" s="197" customFormat="1" ht="12.75" x14ac:dyDescent="0.2"/>
    <row r="50820" s="197" customFormat="1" ht="12.75" x14ac:dyDescent="0.2"/>
    <row r="50821" s="197" customFormat="1" ht="12.75" x14ac:dyDescent="0.2"/>
    <row r="50822" s="197" customFormat="1" ht="12.75" x14ac:dyDescent="0.2"/>
    <row r="50823" s="197" customFormat="1" ht="12.75" x14ac:dyDescent="0.2"/>
    <row r="50824" s="197" customFormat="1" ht="12.75" x14ac:dyDescent="0.2"/>
    <row r="50825" s="197" customFormat="1" ht="12.75" x14ac:dyDescent="0.2"/>
    <row r="50826" s="197" customFormat="1" ht="12.75" x14ac:dyDescent="0.2"/>
    <row r="50827" s="197" customFormat="1" ht="12.75" x14ac:dyDescent="0.2"/>
    <row r="50828" s="197" customFormat="1" ht="12.75" x14ac:dyDescent="0.2"/>
    <row r="50829" s="197" customFormat="1" ht="12.75" x14ac:dyDescent="0.2"/>
    <row r="50830" s="197" customFormat="1" ht="12.75" x14ac:dyDescent="0.2"/>
    <row r="50831" s="197" customFormat="1" ht="12.75" x14ac:dyDescent="0.2"/>
    <row r="50832" s="197" customFormat="1" ht="12.75" x14ac:dyDescent="0.2"/>
    <row r="50833" s="197" customFormat="1" ht="12.75" x14ac:dyDescent="0.2"/>
    <row r="50834" s="197" customFormat="1" ht="12.75" x14ac:dyDescent="0.2"/>
    <row r="50835" s="197" customFormat="1" ht="12.75" x14ac:dyDescent="0.2"/>
    <row r="50836" s="197" customFormat="1" ht="12.75" x14ac:dyDescent="0.2"/>
    <row r="50837" s="197" customFormat="1" ht="12.75" x14ac:dyDescent="0.2"/>
    <row r="50838" s="197" customFormat="1" ht="12.75" x14ac:dyDescent="0.2"/>
    <row r="50839" s="197" customFormat="1" ht="12.75" x14ac:dyDescent="0.2"/>
    <row r="50840" s="197" customFormat="1" ht="12.75" x14ac:dyDescent="0.2"/>
    <row r="50841" s="197" customFormat="1" ht="12.75" x14ac:dyDescent="0.2"/>
    <row r="50842" s="197" customFormat="1" ht="12.75" x14ac:dyDescent="0.2"/>
    <row r="50843" s="197" customFormat="1" ht="12.75" x14ac:dyDescent="0.2"/>
    <row r="50844" s="197" customFormat="1" ht="12.75" x14ac:dyDescent="0.2"/>
    <row r="50845" s="197" customFormat="1" ht="12.75" x14ac:dyDescent="0.2"/>
    <row r="50846" s="197" customFormat="1" ht="12.75" x14ac:dyDescent="0.2"/>
    <row r="50847" s="197" customFormat="1" ht="12.75" x14ac:dyDescent="0.2"/>
    <row r="50848" s="197" customFormat="1" ht="12.75" x14ac:dyDescent="0.2"/>
    <row r="50849" s="197" customFormat="1" ht="12.75" x14ac:dyDescent="0.2"/>
    <row r="50850" s="197" customFormat="1" ht="12.75" x14ac:dyDescent="0.2"/>
    <row r="50851" s="197" customFormat="1" ht="12.75" x14ac:dyDescent="0.2"/>
    <row r="50852" s="197" customFormat="1" ht="12.75" x14ac:dyDescent="0.2"/>
    <row r="50853" s="197" customFormat="1" ht="12.75" x14ac:dyDescent="0.2"/>
    <row r="50854" s="197" customFormat="1" ht="12.75" x14ac:dyDescent="0.2"/>
    <row r="50855" s="197" customFormat="1" ht="12.75" x14ac:dyDescent="0.2"/>
    <row r="50856" s="197" customFormat="1" ht="12.75" x14ac:dyDescent="0.2"/>
    <row r="50857" s="197" customFormat="1" ht="12.75" x14ac:dyDescent="0.2"/>
    <row r="50858" s="197" customFormat="1" ht="12.75" x14ac:dyDescent="0.2"/>
    <row r="50859" s="197" customFormat="1" ht="12.75" x14ac:dyDescent="0.2"/>
    <row r="50860" s="197" customFormat="1" ht="12.75" x14ac:dyDescent="0.2"/>
    <row r="50861" s="197" customFormat="1" ht="12.75" x14ac:dyDescent="0.2"/>
    <row r="50862" s="197" customFormat="1" ht="12.75" x14ac:dyDescent="0.2"/>
    <row r="50863" s="197" customFormat="1" ht="12.75" x14ac:dyDescent="0.2"/>
    <row r="50864" s="197" customFormat="1" ht="12.75" x14ac:dyDescent="0.2"/>
    <row r="50865" s="197" customFormat="1" ht="12.75" x14ac:dyDescent="0.2"/>
    <row r="50866" s="197" customFormat="1" ht="12.75" x14ac:dyDescent="0.2"/>
    <row r="50867" s="197" customFormat="1" ht="12.75" x14ac:dyDescent="0.2"/>
    <row r="50868" s="197" customFormat="1" ht="12.75" x14ac:dyDescent="0.2"/>
    <row r="50869" s="197" customFormat="1" ht="12.75" x14ac:dyDescent="0.2"/>
    <row r="50870" s="197" customFormat="1" ht="12.75" x14ac:dyDescent="0.2"/>
    <row r="50871" s="197" customFormat="1" ht="12.75" x14ac:dyDescent="0.2"/>
    <row r="50872" s="197" customFormat="1" ht="12.75" x14ac:dyDescent="0.2"/>
    <row r="50873" s="197" customFormat="1" ht="12.75" x14ac:dyDescent="0.2"/>
    <row r="50874" s="197" customFormat="1" ht="12.75" x14ac:dyDescent="0.2"/>
    <row r="50875" s="197" customFormat="1" ht="12.75" x14ac:dyDescent="0.2"/>
    <row r="50876" s="197" customFormat="1" ht="12.75" x14ac:dyDescent="0.2"/>
    <row r="50877" s="197" customFormat="1" ht="12.75" x14ac:dyDescent="0.2"/>
    <row r="50878" s="197" customFormat="1" ht="12.75" x14ac:dyDescent="0.2"/>
    <row r="50879" s="197" customFormat="1" ht="12.75" x14ac:dyDescent="0.2"/>
    <row r="50880" s="197" customFormat="1" ht="12.75" x14ac:dyDescent="0.2"/>
    <row r="50881" s="197" customFormat="1" ht="12.75" x14ac:dyDescent="0.2"/>
    <row r="50882" s="197" customFormat="1" ht="12.75" x14ac:dyDescent="0.2"/>
    <row r="50883" s="197" customFormat="1" ht="12.75" x14ac:dyDescent="0.2"/>
    <row r="50884" s="197" customFormat="1" ht="12.75" x14ac:dyDescent="0.2"/>
    <row r="50885" s="197" customFormat="1" ht="12.75" x14ac:dyDescent="0.2"/>
    <row r="50886" s="197" customFormat="1" ht="12.75" x14ac:dyDescent="0.2"/>
    <row r="50887" s="197" customFormat="1" ht="12.75" x14ac:dyDescent="0.2"/>
    <row r="50888" s="197" customFormat="1" ht="12.75" x14ac:dyDescent="0.2"/>
    <row r="50889" s="197" customFormat="1" ht="12.75" x14ac:dyDescent="0.2"/>
    <row r="50890" s="197" customFormat="1" ht="12.75" x14ac:dyDescent="0.2"/>
    <row r="50891" s="197" customFormat="1" ht="12.75" x14ac:dyDescent="0.2"/>
    <row r="50892" s="197" customFormat="1" ht="12.75" x14ac:dyDescent="0.2"/>
    <row r="50893" s="197" customFormat="1" ht="12.75" x14ac:dyDescent="0.2"/>
    <row r="50894" s="197" customFormat="1" ht="12.75" x14ac:dyDescent="0.2"/>
    <row r="50895" s="197" customFormat="1" ht="12.75" x14ac:dyDescent="0.2"/>
    <row r="50896" s="197" customFormat="1" ht="12.75" x14ac:dyDescent="0.2"/>
    <row r="50897" s="197" customFormat="1" ht="12.75" x14ac:dyDescent="0.2"/>
    <row r="50898" s="197" customFormat="1" ht="12.75" x14ac:dyDescent="0.2"/>
    <row r="50899" s="197" customFormat="1" ht="12.75" x14ac:dyDescent="0.2"/>
    <row r="50900" s="197" customFormat="1" ht="12.75" x14ac:dyDescent="0.2"/>
    <row r="50901" s="197" customFormat="1" ht="12.75" x14ac:dyDescent="0.2"/>
    <row r="50902" s="197" customFormat="1" ht="12.75" x14ac:dyDescent="0.2"/>
    <row r="50903" s="197" customFormat="1" ht="12.75" x14ac:dyDescent="0.2"/>
    <row r="50904" s="197" customFormat="1" ht="12.75" x14ac:dyDescent="0.2"/>
    <row r="50905" s="197" customFormat="1" ht="12.75" x14ac:dyDescent="0.2"/>
    <row r="50906" s="197" customFormat="1" ht="12.75" x14ac:dyDescent="0.2"/>
    <row r="50907" s="197" customFormat="1" ht="12.75" x14ac:dyDescent="0.2"/>
    <row r="50908" s="197" customFormat="1" ht="12.75" x14ac:dyDescent="0.2"/>
    <row r="50909" s="197" customFormat="1" ht="12.75" x14ac:dyDescent="0.2"/>
    <row r="50910" s="197" customFormat="1" ht="12.75" x14ac:dyDescent="0.2"/>
    <row r="50911" s="197" customFormat="1" ht="12.75" x14ac:dyDescent="0.2"/>
    <row r="50912" s="197" customFormat="1" ht="12.75" x14ac:dyDescent="0.2"/>
    <row r="50913" s="197" customFormat="1" ht="12.75" x14ac:dyDescent="0.2"/>
    <row r="50914" s="197" customFormat="1" ht="12.75" x14ac:dyDescent="0.2"/>
    <row r="50915" s="197" customFormat="1" ht="12.75" x14ac:dyDescent="0.2"/>
    <row r="50916" s="197" customFormat="1" ht="12.75" x14ac:dyDescent="0.2"/>
    <row r="50917" s="197" customFormat="1" ht="12.75" x14ac:dyDescent="0.2"/>
    <row r="50918" s="197" customFormat="1" ht="12.75" x14ac:dyDescent="0.2"/>
    <row r="50919" s="197" customFormat="1" ht="12.75" x14ac:dyDescent="0.2"/>
    <row r="50920" s="197" customFormat="1" ht="12.75" x14ac:dyDescent="0.2"/>
    <row r="50921" s="197" customFormat="1" ht="12.75" x14ac:dyDescent="0.2"/>
    <row r="50922" s="197" customFormat="1" ht="12.75" x14ac:dyDescent="0.2"/>
    <row r="50923" s="197" customFormat="1" ht="12.75" x14ac:dyDescent="0.2"/>
    <row r="50924" s="197" customFormat="1" ht="12.75" x14ac:dyDescent="0.2"/>
    <row r="50925" s="197" customFormat="1" ht="12.75" x14ac:dyDescent="0.2"/>
    <row r="50926" s="197" customFormat="1" ht="12.75" x14ac:dyDescent="0.2"/>
    <row r="50927" s="197" customFormat="1" ht="12.75" x14ac:dyDescent="0.2"/>
    <row r="50928" s="197" customFormat="1" ht="12.75" x14ac:dyDescent="0.2"/>
    <row r="50929" s="197" customFormat="1" ht="12.75" x14ac:dyDescent="0.2"/>
    <row r="50930" s="197" customFormat="1" ht="12.75" x14ac:dyDescent="0.2"/>
    <row r="50931" s="197" customFormat="1" ht="12.75" x14ac:dyDescent="0.2"/>
    <row r="50932" s="197" customFormat="1" ht="12.75" x14ac:dyDescent="0.2"/>
    <row r="50933" s="197" customFormat="1" ht="12.75" x14ac:dyDescent="0.2"/>
    <row r="50934" s="197" customFormat="1" ht="12.75" x14ac:dyDescent="0.2"/>
    <row r="50935" s="197" customFormat="1" ht="12.75" x14ac:dyDescent="0.2"/>
    <row r="50936" s="197" customFormat="1" ht="12.75" x14ac:dyDescent="0.2"/>
    <row r="50937" s="197" customFormat="1" ht="12.75" x14ac:dyDescent="0.2"/>
    <row r="50938" s="197" customFormat="1" ht="12.75" x14ac:dyDescent="0.2"/>
    <row r="50939" s="197" customFormat="1" ht="12.75" x14ac:dyDescent="0.2"/>
    <row r="50940" s="197" customFormat="1" ht="12.75" x14ac:dyDescent="0.2"/>
    <row r="50941" s="197" customFormat="1" ht="12.75" x14ac:dyDescent="0.2"/>
    <row r="50942" s="197" customFormat="1" ht="12.75" x14ac:dyDescent="0.2"/>
    <row r="50943" s="197" customFormat="1" ht="12.75" x14ac:dyDescent="0.2"/>
    <row r="50944" s="197" customFormat="1" ht="12.75" x14ac:dyDescent="0.2"/>
    <row r="50945" s="197" customFormat="1" ht="12.75" x14ac:dyDescent="0.2"/>
    <row r="50946" s="197" customFormat="1" ht="12.75" x14ac:dyDescent="0.2"/>
    <row r="50947" s="197" customFormat="1" ht="12.75" x14ac:dyDescent="0.2"/>
    <row r="50948" s="197" customFormat="1" ht="12.75" x14ac:dyDescent="0.2"/>
    <row r="50949" s="197" customFormat="1" ht="12.75" x14ac:dyDescent="0.2"/>
    <row r="50950" s="197" customFormat="1" ht="12.75" x14ac:dyDescent="0.2"/>
    <row r="50951" s="197" customFormat="1" ht="12.75" x14ac:dyDescent="0.2"/>
    <row r="50952" s="197" customFormat="1" ht="12.75" x14ac:dyDescent="0.2"/>
    <row r="50953" s="197" customFormat="1" ht="12.75" x14ac:dyDescent="0.2"/>
    <row r="50954" s="197" customFormat="1" ht="12.75" x14ac:dyDescent="0.2"/>
    <row r="50955" s="197" customFormat="1" ht="12.75" x14ac:dyDescent="0.2"/>
    <row r="50956" s="197" customFormat="1" ht="12.75" x14ac:dyDescent="0.2"/>
    <row r="50957" s="197" customFormat="1" ht="12.75" x14ac:dyDescent="0.2"/>
    <row r="50958" s="197" customFormat="1" ht="12.75" x14ac:dyDescent="0.2"/>
    <row r="50959" s="197" customFormat="1" ht="12.75" x14ac:dyDescent="0.2"/>
    <row r="50960" s="197" customFormat="1" ht="12.75" x14ac:dyDescent="0.2"/>
    <row r="50961" s="197" customFormat="1" ht="12.75" x14ac:dyDescent="0.2"/>
    <row r="50962" s="197" customFormat="1" ht="12.75" x14ac:dyDescent="0.2"/>
    <row r="50963" s="197" customFormat="1" ht="12.75" x14ac:dyDescent="0.2"/>
    <row r="50964" s="197" customFormat="1" ht="12.75" x14ac:dyDescent="0.2"/>
    <row r="50965" s="197" customFormat="1" ht="12.75" x14ac:dyDescent="0.2"/>
    <row r="50966" s="197" customFormat="1" ht="12.75" x14ac:dyDescent="0.2"/>
    <row r="50967" s="197" customFormat="1" ht="12.75" x14ac:dyDescent="0.2"/>
    <row r="50968" s="197" customFormat="1" ht="12.75" x14ac:dyDescent="0.2"/>
    <row r="50969" s="197" customFormat="1" ht="12.75" x14ac:dyDescent="0.2"/>
    <row r="50970" s="197" customFormat="1" ht="12.75" x14ac:dyDescent="0.2"/>
    <row r="50971" s="197" customFormat="1" ht="12.75" x14ac:dyDescent="0.2"/>
    <row r="50972" s="197" customFormat="1" ht="12.75" x14ac:dyDescent="0.2"/>
    <row r="50973" s="197" customFormat="1" ht="12.75" x14ac:dyDescent="0.2"/>
    <row r="50974" s="197" customFormat="1" ht="12.75" x14ac:dyDescent="0.2"/>
    <row r="50975" s="197" customFormat="1" ht="12.75" x14ac:dyDescent="0.2"/>
    <row r="50976" s="197" customFormat="1" ht="12.75" x14ac:dyDescent="0.2"/>
    <row r="50977" s="197" customFormat="1" ht="12.75" x14ac:dyDescent="0.2"/>
    <row r="50978" s="197" customFormat="1" ht="12.75" x14ac:dyDescent="0.2"/>
    <row r="50979" s="197" customFormat="1" ht="12.75" x14ac:dyDescent="0.2"/>
    <row r="50980" s="197" customFormat="1" ht="12.75" x14ac:dyDescent="0.2"/>
    <row r="50981" s="197" customFormat="1" ht="12.75" x14ac:dyDescent="0.2"/>
    <row r="50982" s="197" customFormat="1" ht="12.75" x14ac:dyDescent="0.2"/>
    <row r="50983" s="197" customFormat="1" ht="12.75" x14ac:dyDescent="0.2"/>
    <row r="50984" s="197" customFormat="1" ht="12.75" x14ac:dyDescent="0.2"/>
    <row r="50985" s="197" customFormat="1" ht="12.75" x14ac:dyDescent="0.2"/>
    <row r="50986" s="197" customFormat="1" ht="12.75" x14ac:dyDescent="0.2"/>
    <row r="50987" s="197" customFormat="1" ht="12.75" x14ac:dyDescent="0.2"/>
    <row r="50988" s="197" customFormat="1" ht="12.75" x14ac:dyDescent="0.2"/>
    <row r="50989" s="197" customFormat="1" ht="12.75" x14ac:dyDescent="0.2"/>
    <row r="50990" s="197" customFormat="1" ht="12.75" x14ac:dyDescent="0.2"/>
    <row r="50991" s="197" customFormat="1" ht="12.75" x14ac:dyDescent="0.2"/>
    <row r="50992" s="197" customFormat="1" ht="12.75" x14ac:dyDescent="0.2"/>
    <row r="50993" s="197" customFormat="1" ht="12.75" x14ac:dyDescent="0.2"/>
    <row r="50994" s="197" customFormat="1" ht="12.75" x14ac:dyDescent="0.2"/>
    <row r="50995" s="197" customFormat="1" ht="12.75" x14ac:dyDescent="0.2"/>
    <row r="50996" s="197" customFormat="1" ht="12.75" x14ac:dyDescent="0.2"/>
    <row r="50997" s="197" customFormat="1" ht="12.75" x14ac:dyDescent="0.2"/>
    <row r="50998" s="197" customFormat="1" ht="12.75" x14ac:dyDescent="0.2"/>
    <row r="50999" s="197" customFormat="1" ht="12.75" x14ac:dyDescent="0.2"/>
    <row r="51000" s="197" customFormat="1" ht="12.75" x14ac:dyDescent="0.2"/>
    <row r="51001" s="197" customFormat="1" ht="12.75" x14ac:dyDescent="0.2"/>
    <row r="51002" s="197" customFormat="1" ht="12.75" x14ac:dyDescent="0.2"/>
    <row r="51003" s="197" customFormat="1" ht="12.75" x14ac:dyDescent="0.2"/>
    <row r="51004" s="197" customFormat="1" ht="12.75" x14ac:dyDescent="0.2"/>
    <row r="51005" s="197" customFormat="1" ht="12.75" x14ac:dyDescent="0.2"/>
    <row r="51006" s="197" customFormat="1" ht="12.75" x14ac:dyDescent="0.2"/>
    <row r="51007" s="197" customFormat="1" ht="12.75" x14ac:dyDescent="0.2"/>
    <row r="51008" s="197" customFormat="1" ht="12.75" x14ac:dyDescent="0.2"/>
    <row r="51009" s="197" customFormat="1" ht="12.75" x14ac:dyDescent="0.2"/>
    <row r="51010" s="197" customFormat="1" ht="12.75" x14ac:dyDescent="0.2"/>
    <row r="51011" s="197" customFormat="1" ht="12.75" x14ac:dyDescent="0.2"/>
    <row r="51012" s="197" customFormat="1" ht="12.75" x14ac:dyDescent="0.2"/>
    <row r="51013" s="197" customFormat="1" ht="12.75" x14ac:dyDescent="0.2"/>
    <row r="51014" s="197" customFormat="1" ht="12.75" x14ac:dyDescent="0.2"/>
    <row r="51015" s="197" customFormat="1" ht="12.75" x14ac:dyDescent="0.2"/>
    <row r="51016" s="197" customFormat="1" ht="12.75" x14ac:dyDescent="0.2"/>
    <row r="51017" s="197" customFormat="1" ht="12.75" x14ac:dyDescent="0.2"/>
    <row r="51018" s="197" customFormat="1" ht="12.75" x14ac:dyDescent="0.2"/>
    <row r="51019" s="197" customFormat="1" ht="12.75" x14ac:dyDescent="0.2"/>
    <row r="51020" s="197" customFormat="1" ht="12.75" x14ac:dyDescent="0.2"/>
    <row r="51021" s="197" customFormat="1" ht="12.75" x14ac:dyDescent="0.2"/>
    <row r="51022" s="197" customFormat="1" ht="12.75" x14ac:dyDescent="0.2"/>
    <row r="51023" s="197" customFormat="1" ht="12.75" x14ac:dyDescent="0.2"/>
    <row r="51024" s="197" customFormat="1" ht="12.75" x14ac:dyDescent="0.2"/>
    <row r="51025" s="197" customFormat="1" ht="12.75" x14ac:dyDescent="0.2"/>
    <row r="51026" s="197" customFormat="1" ht="12.75" x14ac:dyDescent="0.2"/>
    <row r="51027" s="197" customFormat="1" ht="12.75" x14ac:dyDescent="0.2"/>
    <row r="51028" s="197" customFormat="1" ht="12.75" x14ac:dyDescent="0.2"/>
    <row r="51029" s="197" customFormat="1" ht="12.75" x14ac:dyDescent="0.2"/>
    <row r="51030" s="197" customFormat="1" ht="12.75" x14ac:dyDescent="0.2"/>
    <row r="51031" s="197" customFormat="1" ht="12.75" x14ac:dyDescent="0.2"/>
    <row r="51032" s="197" customFormat="1" ht="12.75" x14ac:dyDescent="0.2"/>
    <row r="51033" s="197" customFormat="1" ht="12.75" x14ac:dyDescent="0.2"/>
    <row r="51034" s="197" customFormat="1" ht="12.75" x14ac:dyDescent="0.2"/>
    <row r="51035" s="197" customFormat="1" ht="12.75" x14ac:dyDescent="0.2"/>
    <row r="51036" s="197" customFormat="1" ht="12.75" x14ac:dyDescent="0.2"/>
    <row r="51037" s="197" customFormat="1" ht="12.75" x14ac:dyDescent="0.2"/>
    <row r="51038" s="197" customFormat="1" ht="12.75" x14ac:dyDescent="0.2"/>
    <row r="51039" s="197" customFormat="1" ht="12.75" x14ac:dyDescent="0.2"/>
    <row r="51040" s="197" customFormat="1" ht="12.75" x14ac:dyDescent="0.2"/>
    <row r="51041" s="197" customFormat="1" ht="12.75" x14ac:dyDescent="0.2"/>
    <row r="51042" s="197" customFormat="1" ht="12.75" x14ac:dyDescent="0.2"/>
    <row r="51043" s="197" customFormat="1" ht="12.75" x14ac:dyDescent="0.2"/>
    <row r="51044" s="197" customFormat="1" ht="12.75" x14ac:dyDescent="0.2"/>
    <row r="51045" s="197" customFormat="1" ht="12.75" x14ac:dyDescent="0.2"/>
    <row r="51046" s="197" customFormat="1" ht="12.75" x14ac:dyDescent="0.2"/>
    <row r="51047" s="197" customFormat="1" ht="12.75" x14ac:dyDescent="0.2"/>
    <row r="51048" s="197" customFormat="1" ht="12.75" x14ac:dyDescent="0.2"/>
    <row r="51049" s="197" customFormat="1" ht="12.75" x14ac:dyDescent="0.2"/>
    <row r="51050" s="197" customFormat="1" ht="12.75" x14ac:dyDescent="0.2"/>
    <row r="51051" s="197" customFormat="1" ht="12.75" x14ac:dyDescent="0.2"/>
    <row r="51052" s="197" customFormat="1" ht="12.75" x14ac:dyDescent="0.2"/>
    <row r="51053" s="197" customFormat="1" ht="12.75" x14ac:dyDescent="0.2"/>
    <row r="51054" s="197" customFormat="1" ht="12.75" x14ac:dyDescent="0.2"/>
    <row r="51055" s="197" customFormat="1" ht="12.75" x14ac:dyDescent="0.2"/>
    <row r="51056" s="197" customFormat="1" ht="12.75" x14ac:dyDescent="0.2"/>
    <row r="51057" s="197" customFormat="1" ht="12.75" x14ac:dyDescent="0.2"/>
    <row r="51058" s="197" customFormat="1" ht="12.75" x14ac:dyDescent="0.2"/>
    <row r="51059" s="197" customFormat="1" ht="12.75" x14ac:dyDescent="0.2"/>
    <row r="51060" s="197" customFormat="1" ht="12.75" x14ac:dyDescent="0.2"/>
    <row r="51061" s="197" customFormat="1" ht="12.75" x14ac:dyDescent="0.2"/>
    <row r="51062" s="197" customFormat="1" ht="12.75" x14ac:dyDescent="0.2"/>
    <row r="51063" s="197" customFormat="1" ht="12.75" x14ac:dyDescent="0.2"/>
    <row r="51064" s="197" customFormat="1" ht="12.75" x14ac:dyDescent="0.2"/>
    <row r="51065" s="197" customFormat="1" ht="12.75" x14ac:dyDescent="0.2"/>
    <row r="51066" s="197" customFormat="1" ht="12.75" x14ac:dyDescent="0.2"/>
    <row r="51067" s="197" customFormat="1" ht="12.75" x14ac:dyDescent="0.2"/>
    <row r="51068" s="197" customFormat="1" ht="12.75" x14ac:dyDescent="0.2"/>
    <row r="51069" s="197" customFormat="1" ht="12.75" x14ac:dyDescent="0.2"/>
    <row r="51070" s="197" customFormat="1" ht="12.75" x14ac:dyDescent="0.2"/>
    <row r="51071" s="197" customFormat="1" ht="12.75" x14ac:dyDescent="0.2"/>
    <row r="51072" s="197" customFormat="1" ht="12.75" x14ac:dyDescent="0.2"/>
    <row r="51073" s="197" customFormat="1" ht="12.75" x14ac:dyDescent="0.2"/>
    <row r="51074" s="197" customFormat="1" ht="12.75" x14ac:dyDescent="0.2"/>
    <row r="51075" s="197" customFormat="1" ht="12.75" x14ac:dyDescent="0.2"/>
    <row r="51076" s="197" customFormat="1" ht="12.75" x14ac:dyDescent="0.2"/>
    <row r="51077" s="197" customFormat="1" ht="12.75" x14ac:dyDescent="0.2"/>
    <row r="51078" s="197" customFormat="1" ht="12.75" x14ac:dyDescent="0.2"/>
    <row r="51079" s="197" customFormat="1" ht="12.75" x14ac:dyDescent="0.2"/>
    <row r="51080" s="197" customFormat="1" ht="12.75" x14ac:dyDescent="0.2"/>
    <row r="51081" s="197" customFormat="1" ht="12.75" x14ac:dyDescent="0.2"/>
    <row r="51082" s="197" customFormat="1" ht="12.75" x14ac:dyDescent="0.2"/>
    <row r="51083" s="197" customFormat="1" ht="12.75" x14ac:dyDescent="0.2"/>
    <row r="51084" s="197" customFormat="1" ht="12.75" x14ac:dyDescent="0.2"/>
    <row r="51085" s="197" customFormat="1" ht="12.75" x14ac:dyDescent="0.2"/>
    <row r="51086" s="197" customFormat="1" ht="12.75" x14ac:dyDescent="0.2"/>
    <row r="51087" s="197" customFormat="1" ht="12.75" x14ac:dyDescent="0.2"/>
    <row r="51088" s="197" customFormat="1" ht="12.75" x14ac:dyDescent="0.2"/>
    <row r="51089" s="197" customFormat="1" ht="12.75" x14ac:dyDescent="0.2"/>
    <row r="51090" s="197" customFormat="1" ht="12.75" x14ac:dyDescent="0.2"/>
    <row r="51091" s="197" customFormat="1" ht="12.75" x14ac:dyDescent="0.2"/>
    <row r="51092" s="197" customFormat="1" ht="12.75" x14ac:dyDescent="0.2"/>
    <row r="51093" s="197" customFormat="1" ht="12.75" x14ac:dyDescent="0.2"/>
    <row r="51094" s="197" customFormat="1" ht="12.75" x14ac:dyDescent="0.2"/>
    <row r="51095" s="197" customFormat="1" ht="12.75" x14ac:dyDescent="0.2"/>
    <row r="51096" s="197" customFormat="1" ht="12.75" x14ac:dyDescent="0.2"/>
    <row r="51097" s="197" customFormat="1" ht="12.75" x14ac:dyDescent="0.2"/>
    <row r="51098" s="197" customFormat="1" ht="12.75" x14ac:dyDescent="0.2"/>
    <row r="51099" s="197" customFormat="1" ht="12.75" x14ac:dyDescent="0.2"/>
    <row r="51100" s="197" customFormat="1" ht="12.75" x14ac:dyDescent="0.2"/>
    <row r="51101" s="197" customFormat="1" ht="12.75" x14ac:dyDescent="0.2"/>
    <row r="51102" s="197" customFormat="1" ht="12.75" x14ac:dyDescent="0.2"/>
    <row r="51103" s="197" customFormat="1" ht="12.75" x14ac:dyDescent="0.2"/>
    <row r="51104" s="197" customFormat="1" ht="12.75" x14ac:dyDescent="0.2"/>
    <row r="51105" s="197" customFormat="1" ht="12.75" x14ac:dyDescent="0.2"/>
    <row r="51106" s="197" customFormat="1" ht="12.75" x14ac:dyDescent="0.2"/>
    <row r="51107" s="197" customFormat="1" ht="12.75" x14ac:dyDescent="0.2"/>
    <row r="51108" s="197" customFormat="1" ht="12.75" x14ac:dyDescent="0.2"/>
    <row r="51109" s="197" customFormat="1" ht="12.75" x14ac:dyDescent="0.2"/>
    <row r="51110" s="197" customFormat="1" ht="12.75" x14ac:dyDescent="0.2"/>
    <row r="51111" s="197" customFormat="1" ht="12.75" x14ac:dyDescent="0.2"/>
    <row r="51112" s="197" customFormat="1" ht="12.75" x14ac:dyDescent="0.2"/>
    <row r="51113" s="197" customFormat="1" ht="12.75" x14ac:dyDescent="0.2"/>
    <row r="51114" s="197" customFormat="1" ht="12.75" x14ac:dyDescent="0.2"/>
    <row r="51115" s="197" customFormat="1" ht="12.75" x14ac:dyDescent="0.2"/>
    <row r="51116" s="197" customFormat="1" ht="12.75" x14ac:dyDescent="0.2"/>
    <row r="51117" s="197" customFormat="1" ht="12.75" x14ac:dyDescent="0.2"/>
    <row r="51118" s="197" customFormat="1" ht="12.75" x14ac:dyDescent="0.2"/>
    <row r="51119" s="197" customFormat="1" ht="12.75" x14ac:dyDescent="0.2"/>
    <row r="51120" s="197" customFormat="1" ht="12.75" x14ac:dyDescent="0.2"/>
    <row r="51121" s="197" customFormat="1" ht="12.75" x14ac:dyDescent="0.2"/>
    <row r="51122" s="197" customFormat="1" ht="12.75" x14ac:dyDescent="0.2"/>
    <row r="51123" s="197" customFormat="1" ht="12.75" x14ac:dyDescent="0.2"/>
    <row r="51124" s="197" customFormat="1" ht="12.75" x14ac:dyDescent="0.2"/>
    <row r="51125" s="197" customFormat="1" ht="12.75" x14ac:dyDescent="0.2"/>
    <row r="51126" s="197" customFormat="1" ht="12.75" x14ac:dyDescent="0.2"/>
    <row r="51127" s="197" customFormat="1" ht="12.75" x14ac:dyDescent="0.2"/>
    <row r="51128" s="197" customFormat="1" ht="12.75" x14ac:dyDescent="0.2"/>
    <row r="51129" s="197" customFormat="1" ht="12.75" x14ac:dyDescent="0.2"/>
    <row r="51130" s="197" customFormat="1" ht="12.75" x14ac:dyDescent="0.2"/>
    <row r="51131" s="197" customFormat="1" ht="12.75" x14ac:dyDescent="0.2"/>
    <row r="51132" s="197" customFormat="1" ht="12.75" x14ac:dyDescent="0.2"/>
    <row r="51133" s="197" customFormat="1" ht="12.75" x14ac:dyDescent="0.2"/>
    <row r="51134" s="197" customFormat="1" ht="12.75" x14ac:dyDescent="0.2"/>
    <row r="51135" s="197" customFormat="1" ht="12.75" x14ac:dyDescent="0.2"/>
    <row r="51136" s="197" customFormat="1" ht="12.75" x14ac:dyDescent="0.2"/>
    <row r="51137" s="197" customFormat="1" ht="12.75" x14ac:dyDescent="0.2"/>
    <row r="51138" s="197" customFormat="1" ht="12.75" x14ac:dyDescent="0.2"/>
    <row r="51139" s="197" customFormat="1" ht="12.75" x14ac:dyDescent="0.2"/>
    <row r="51140" s="197" customFormat="1" ht="12.75" x14ac:dyDescent="0.2"/>
    <row r="51141" s="197" customFormat="1" ht="12.75" x14ac:dyDescent="0.2"/>
    <row r="51142" s="197" customFormat="1" ht="12.75" x14ac:dyDescent="0.2"/>
    <row r="51143" s="197" customFormat="1" ht="12.75" x14ac:dyDescent="0.2"/>
    <row r="51144" s="197" customFormat="1" ht="12.75" x14ac:dyDescent="0.2"/>
    <row r="51145" s="197" customFormat="1" ht="12.75" x14ac:dyDescent="0.2"/>
    <row r="51146" s="197" customFormat="1" ht="12.75" x14ac:dyDescent="0.2"/>
    <row r="51147" s="197" customFormat="1" ht="12.75" x14ac:dyDescent="0.2"/>
    <row r="51148" s="197" customFormat="1" ht="12.75" x14ac:dyDescent="0.2"/>
    <row r="51149" s="197" customFormat="1" ht="12.75" x14ac:dyDescent="0.2"/>
    <row r="51150" s="197" customFormat="1" ht="12.75" x14ac:dyDescent="0.2"/>
    <row r="51151" s="197" customFormat="1" ht="12.75" x14ac:dyDescent="0.2"/>
    <row r="51152" s="197" customFormat="1" ht="12.75" x14ac:dyDescent="0.2"/>
    <row r="51153" s="197" customFormat="1" ht="12.75" x14ac:dyDescent="0.2"/>
    <row r="51154" s="197" customFormat="1" ht="12.75" x14ac:dyDescent="0.2"/>
    <row r="51155" s="197" customFormat="1" ht="12.75" x14ac:dyDescent="0.2"/>
    <row r="51156" s="197" customFormat="1" ht="12.75" x14ac:dyDescent="0.2"/>
    <row r="51157" s="197" customFormat="1" ht="12.75" x14ac:dyDescent="0.2"/>
    <row r="51158" s="197" customFormat="1" ht="12.75" x14ac:dyDescent="0.2"/>
    <row r="51159" s="197" customFormat="1" ht="12.75" x14ac:dyDescent="0.2"/>
    <row r="51160" s="197" customFormat="1" ht="12.75" x14ac:dyDescent="0.2"/>
    <row r="51161" s="197" customFormat="1" ht="12.75" x14ac:dyDescent="0.2"/>
    <row r="51162" s="197" customFormat="1" ht="12.75" x14ac:dyDescent="0.2"/>
    <row r="51163" s="197" customFormat="1" ht="12.75" x14ac:dyDescent="0.2"/>
    <row r="51164" s="197" customFormat="1" ht="12.75" x14ac:dyDescent="0.2"/>
    <row r="51165" s="197" customFormat="1" ht="12.75" x14ac:dyDescent="0.2"/>
    <row r="51166" s="197" customFormat="1" ht="12.75" x14ac:dyDescent="0.2"/>
    <row r="51167" s="197" customFormat="1" ht="12.75" x14ac:dyDescent="0.2"/>
    <row r="51168" s="197" customFormat="1" ht="12.75" x14ac:dyDescent="0.2"/>
    <row r="51169" s="197" customFormat="1" ht="12.75" x14ac:dyDescent="0.2"/>
    <row r="51170" s="197" customFormat="1" ht="12.75" x14ac:dyDescent="0.2"/>
    <row r="51171" s="197" customFormat="1" ht="12.75" x14ac:dyDescent="0.2"/>
    <row r="51172" s="197" customFormat="1" ht="12.75" x14ac:dyDescent="0.2"/>
    <row r="51173" s="197" customFormat="1" ht="12.75" x14ac:dyDescent="0.2"/>
    <row r="51174" s="197" customFormat="1" ht="12.75" x14ac:dyDescent="0.2"/>
    <row r="51175" s="197" customFormat="1" ht="12.75" x14ac:dyDescent="0.2"/>
    <row r="51176" s="197" customFormat="1" ht="12.75" x14ac:dyDescent="0.2"/>
    <row r="51177" s="197" customFormat="1" ht="12.75" x14ac:dyDescent="0.2"/>
    <row r="51178" s="197" customFormat="1" ht="12.75" x14ac:dyDescent="0.2"/>
    <row r="51179" s="197" customFormat="1" ht="12.75" x14ac:dyDescent="0.2"/>
    <row r="51180" s="197" customFormat="1" ht="12.75" x14ac:dyDescent="0.2"/>
    <row r="51181" s="197" customFormat="1" ht="12.75" x14ac:dyDescent="0.2"/>
    <row r="51182" s="197" customFormat="1" ht="12.75" x14ac:dyDescent="0.2"/>
    <row r="51183" s="197" customFormat="1" ht="12.75" x14ac:dyDescent="0.2"/>
    <row r="51184" s="197" customFormat="1" ht="12.75" x14ac:dyDescent="0.2"/>
    <row r="51185" s="197" customFormat="1" ht="12.75" x14ac:dyDescent="0.2"/>
    <row r="51186" s="197" customFormat="1" ht="12.75" x14ac:dyDescent="0.2"/>
    <row r="51187" s="197" customFormat="1" ht="12.75" x14ac:dyDescent="0.2"/>
    <row r="51188" s="197" customFormat="1" ht="12.75" x14ac:dyDescent="0.2"/>
    <row r="51189" s="197" customFormat="1" ht="12.75" x14ac:dyDescent="0.2"/>
    <row r="51190" s="197" customFormat="1" ht="12.75" x14ac:dyDescent="0.2"/>
    <row r="51191" s="197" customFormat="1" ht="12.75" x14ac:dyDescent="0.2"/>
    <row r="51192" s="197" customFormat="1" ht="12.75" x14ac:dyDescent="0.2"/>
    <row r="51193" s="197" customFormat="1" ht="12.75" x14ac:dyDescent="0.2"/>
    <row r="51194" s="197" customFormat="1" ht="12.75" x14ac:dyDescent="0.2"/>
    <row r="51195" s="197" customFormat="1" ht="12.75" x14ac:dyDescent="0.2"/>
    <row r="51196" s="197" customFormat="1" ht="12.75" x14ac:dyDescent="0.2"/>
    <row r="51197" s="197" customFormat="1" ht="12.75" x14ac:dyDescent="0.2"/>
    <row r="51198" s="197" customFormat="1" ht="12.75" x14ac:dyDescent="0.2"/>
    <row r="51199" s="197" customFormat="1" ht="12.75" x14ac:dyDescent="0.2"/>
    <row r="51200" s="197" customFormat="1" ht="12.75" x14ac:dyDescent="0.2"/>
    <row r="51201" s="197" customFormat="1" ht="12.75" x14ac:dyDescent="0.2"/>
    <row r="51202" s="197" customFormat="1" ht="12.75" x14ac:dyDescent="0.2"/>
    <row r="51203" s="197" customFormat="1" ht="12.75" x14ac:dyDescent="0.2"/>
    <row r="51204" s="197" customFormat="1" ht="12.75" x14ac:dyDescent="0.2"/>
    <row r="51205" s="197" customFormat="1" ht="12.75" x14ac:dyDescent="0.2"/>
    <row r="51206" s="197" customFormat="1" ht="12.75" x14ac:dyDescent="0.2"/>
    <row r="51207" s="197" customFormat="1" ht="12.75" x14ac:dyDescent="0.2"/>
    <row r="51208" s="197" customFormat="1" ht="12.75" x14ac:dyDescent="0.2"/>
    <row r="51209" s="197" customFormat="1" ht="12.75" x14ac:dyDescent="0.2"/>
    <row r="51210" s="197" customFormat="1" ht="12.75" x14ac:dyDescent="0.2"/>
    <row r="51211" s="197" customFormat="1" ht="12.75" x14ac:dyDescent="0.2"/>
    <row r="51212" s="197" customFormat="1" ht="12.75" x14ac:dyDescent="0.2"/>
    <row r="51213" s="197" customFormat="1" ht="12.75" x14ac:dyDescent="0.2"/>
    <row r="51214" s="197" customFormat="1" ht="12.75" x14ac:dyDescent="0.2"/>
    <row r="51215" s="197" customFormat="1" ht="12.75" x14ac:dyDescent="0.2"/>
    <row r="51216" s="197" customFormat="1" ht="12.75" x14ac:dyDescent="0.2"/>
    <row r="51217" s="197" customFormat="1" ht="12.75" x14ac:dyDescent="0.2"/>
    <row r="51218" s="197" customFormat="1" ht="12.75" x14ac:dyDescent="0.2"/>
    <row r="51219" s="197" customFormat="1" ht="12.75" x14ac:dyDescent="0.2"/>
    <row r="51220" s="197" customFormat="1" ht="12.75" x14ac:dyDescent="0.2"/>
    <row r="51221" s="197" customFormat="1" ht="12.75" x14ac:dyDescent="0.2"/>
    <row r="51222" s="197" customFormat="1" ht="12.75" x14ac:dyDescent="0.2"/>
    <row r="51223" s="197" customFormat="1" ht="12.75" x14ac:dyDescent="0.2"/>
    <row r="51224" s="197" customFormat="1" ht="12.75" x14ac:dyDescent="0.2"/>
    <row r="51225" s="197" customFormat="1" ht="12.75" x14ac:dyDescent="0.2"/>
    <row r="51226" s="197" customFormat="1" ht="12.75" x14ac:dyDescent="0.2"/>
    <row r="51227" s="197" customFormat="1" ht="12.75" x14ac:dyDescent="0.2"/>
    <row r="51228" s="197" customFormat="1" ht="12.75" x14ac:dyDescent="0.2"/>
    <row r="51229" s="197" customFormat="1" ht="12.75" x14ac:dyDescent="0.2"/>
    <row r="51230" s="197" customFormat="1" ht="12.75" x14ac:dyDescent="0.2"/>
    <row r="51231" s="197" customFormat="1" ht="12.75" x14ac:dyDescent="0.2"/>
    <row r="51232" s="197" customFormat="1" ht="12.75" x14ac:dyDescent="0.2"/>
    <row r="51233" s="197" customFormat="1" ht="12.75" x14ac:dyDescent="0.2"/>
    <row r="51234" s="197" customFormat="1" ht="12.75" x14ac:dyDescent="0.2"/>
    <row r="51235" s="197" customFormat="1" ht="12.75" x14ac:dyDescent="0.2"/>
    <row r="51236" s="197" customFormat="1" ht="12.75" x14ac:dyDescent="0.2"/>
    <row r="51237" s="197" customFormat="1" ht="12.75" x14ac:dyDescent="0.2"/>
    <row r="51238" s="197" customFormat="1" ht="12.75" x14ac:dyDescent="0.2"/>
    <row r="51239" s="197" customFormat="1" ht="12.75" x14ac:dyDescent="0.2"/>
    <row r="51240" s="197" customFormat="1" ht="12.75" x14ac:dyDescent="0.2"/>
    <row r="51241" s="197" customFormat="1" ht="12.75" x14ac:dyDescent="0.2"/>
    <row r="51242" s="197" customFormat="1" ht="12.75" x14ac:dyDescent="0.2"/>
    <row r="51243" s="197" customFormat="1" ht="12.75" x14ac:dyDescent="0.2"/>
    <row r="51244" s="197" customFormat="1" ht="12.75" x14ac:dyDescent="0.2"/>
    <row r="51245" s="197" customFormat="1" ht="12.75" x14ac:dyDescent="0.2"/>
    <row r="51246" s="197" customFormat="1" ht="12.75" x14ac:dyDescent="0.2"/>
    <row r="51247" s="197" customFormat="1" ht="12.75" x14ac:dyDescent="0.2"/>
    <row r="51248" s="197" customFormat="1" ht="12.75" x14ac:dyDescent="0.2"/>
    <row r="51249" s="197" customFormat="1" ht="12.75" x14ac:dyDescent="0.2"/>
    <row r="51250" s="197" customFormat="1" ht="12.75" x14ac:dyDescent="0.2"/>
    <row r="51251" s="197" customFormat="1" ht="12.75" x14ac:dyDescent="0.2"/>
    <row r="51252" s="197" customFormat="1" ht="12.75" x14ac:dyDescent="0.2"/>
    <row r="51253" s="197" customFormat="1" ht="12.75" x14ac:dyDescent="0.2"/>
    <row r="51254" s="197" customFormat="1" ht="12.75" x14ac:dyDescent="0.2"/>
    <row r="51255" s="197" customFormat="1" ht="12.75" x14ac:dyDescent="0.2"/>
    <row r="51256" s="197" customFormat="1" ht="12.75" x14ac:dyDescent="0.2"/>
    <row r="51257" s="197" customFormat="1" ht="12.75" x14ac:dyDescent="0.2"/>
    <row r="51258" s="197" customFormat="1" ht="12.75" x14ac:dyDescent="0.2"/>
    <row r="51259" s="197" customFormat="1" ht="12.75" x14ac:dyDescent="0.2"/>
    <row r="51260" s="197" customFormat="1" ht="12.75" x14ac:dyDescent="0.2"/>
    <row r="51261" s="197" customFormat="1" ht="12.75" x14ac:dyDescent="0.2"/>
    <row r="51262" s="197" customFormat="1" ht="12.75" x14ac:dyDescent="0.2"/>
    <row r="51263" s="197" customFormat="1" ht="12.75" x14ac:dyDescent="0.2"/>
    <row r="51264" s="197" customFormat="1" ht="12.75" x14ac:dyDescent="0.2"/>
    <row r="51265" s="197" customFormat="1" ht="12.75" x14ac:dyDescent="0.2"/>
    <row r="51266" s="197" customFormat="1" ht="12.75" x14ac:dyDescent="0.2"/>
    <row r="51267" s="197" customFormat="1" ht="12.75" x14ac:dyDescent="0.2"/>
    <row r="51268" s="197" customFormat="1" ht="12.75" x14ac:dyDescent="0.2"/>
    <row r="51269" s="197" customFormat="1" ht="12.75" x14ac:dyDescent="0.2"/>
    <row r="51270" s="197" customFormat="1" ht="12.75" x14ac:dyDescent="0.2"/>
    <row r="51271" s="197" customFormat="1" ht="12.75" x14ac:dyDescent="0.2"/>
    <row r="51272" s="197" customFormat="1" ht="12.75" x14ac:dyDescent="0.2"/>
    <row r="51273" s="197" customFormat="1" ht="12.75" x14ac:dyDescent="0.2"/>
    <row r="51274" s="197" customFormat="1" ht="12.75" x14ac:dyDescent="0.2"/>
    <row r="51275" s="197" customFormat="1" ht="12.75" x14ac:dyDescent="0.2"/>
    <row r="51276" s="197" customFormat="1" ht="12.75" x14ac:dyDescent="0.2"/>
    <row r="51277" s="197" customFormat="1" ht="12.75" x14ac:dyDescent="0.2"/>
    <row r="51278" s="197" customFormat="1" ht="12.75" x14ac:dyDescent="0.2"/>
    <row r="51279" s="197" customFormat="1" ht="12.75" x14ac:dyDescent="0.2"/>
    <row r="51280" s="197" customFormat="1" ht="12.75" x14ac:dyDescent="0.2"/>
    <row r="51281" s="197" customFormat="1" ht="12.75" x14ac:dyDescent="0.2"/>
    <row r="51282" s="197" customFormat="1" ht="12.75" x14ac:dyDescent="0.2"/>
    <row r="51283" s="197" customFormat="1" ht="12.75" x14ac:dyDescent="0.2"/>
    <row r="51284" s="197" customFormat="1" ht="12.75" x14ac:dyDescent="0.2"/>
    <row r="51285" s="197" customFormat="1" ht="12.75" x14ac:dyDescent="0.2"/>
    <row r="51286" s="197" customFormat="1" ht="12.75" x14ac:dyDescent="0.2"/>
    <row r="51287" s="197" customFormat="1" ht="12.75" x14ac:dyDescent="0.2"/>
    <row r="51288" s="197" customFormat="1" ht="12.75" x14ac:dyDescent="0.2"/>
    <row r="51289" s="197" customFormat="1" ht="12.75" x14ac:dyDescent="0.2"/>
    <row r="51290" s="197" customFormat="1" ht="12.75" x14ac:dyDescent="0.2"/>
    <row r="51291" s="197" customFormat="1" ht="12.75" x14ac:dyDescent="0.2"/>
    <row r="51292" s="197" customFormat="1" ht="12.75" x14ac:dyDescent="0.2"/>
    <row r="51293" s="197" customFormat="1" ht="12.75" x14ac:dyDescent="0.2"/>
    <row r="51294" s="197" customFormat="1" ht="12.75" x14ac:dyDescent="0.2"/>
    <row r="51295" s="197" customFormat="1" ht="12.75" x14ac:dyDescent="0.2"/>
    <row r="51296" s="197" customFormat="1" ht="12.75" x14ac:dyDescent="0.2"/>
    <row r="51297" s="197" customFormat="1" ht="12.75" x14ac:dyDescent="0.2"/>
    <row r="51298" s="197" customFormat="1" ht="12.75" x14ac:dyDescent="0.2"/>
    <row r="51299" s="197" customFormat="1" ht="12.75" x14ac:dyDescent="0.2"/>
    <row r="51300" s="197" customFormat="1" ht="12.75" x14ac:dyDescent="0.2"/>
    <row r="51301" s="197" customFormat="1" ht="12.75" x14ac:dyDescent="0.2"/>
    <row r="51302" s="197" customFormat="1" ht="12.75" x14ac:dyDescent="0.2"/>
    <row r="51303" s="197" customFormat="1" ht="12.75" x14ac:dyDescent="0.2"/>
    <row r="51304" s="197" customFormat="1" ht="12.75" x14ac:dyDescent="0.2"/>
    <row r="51305" s="197" customFormat="1" ht="12.75" x14ac:dyDescent="0.2"/>
    <row r="51306" s="197" customFormat="1" ht="12.75" x14ac:dyDescent="0.2"/>
    <row r="51307" s="197" customFormat="1" ht="12.75" x14ac:dyDescent="0.2"/>
    <row r="51308" s="197" customFormat="1" ht="12.75" x14ac:dyDescent="0.2"/>
    <row r="51309" s="197" customFormat="1" ht="12.75" x14ac:dyDescent="0.2"/>
    <row r="51310" s="197" customFormat="1" ht="12.75" x14ac:dyDescent="0.2"/>
    <row r="51311" s="197" customFormat="1" ht="12.75" x14ac:dyDescent="0.2"/>
    <row r="51312" s="197" customFormat="1" ht="12.75" x14ac:dyDescent="0.2"/>
    <row r="51313" s="197" customFormat="1" ht="12.75" x14ac:dyDescent="0.2"/>
    <row r="51314" s="197" customFormat="1" ht="12.75" x14ac:dyDescent="0.2"/>
    <row r="51315" s="197" customFormat="1" ht="12.75" x14ac:dyDescent="0.2"/>
    <row r="51316" s="197" customFormat="1" ht="12.75" x14ac:dyDescent="0.2"/>
    <row r="51317" s="197" customFormat="1" ht="12.75" x14ac:dyDescent="0.2"/>
    <row r="51318" s="197" customFormat="1" ht="12.75" x14ac:dyDescent="0.2"/>
    <row r="51319" s="197" customFormat="1" ht="12.75" x14ac:dyDescent="0.2"/>
    <row r="51320" s="197" customFormat="1" ht="12.75" x14ac:dyDescent="0.2"/>
    <row r="51321" s="197" customFormat="1" ht="12.75" x14ac:dyDescent="0.2"/>
    <row r="51322" s="197" customFormat="1" ht="12.75" x14ac:dyDescent="0.2"/>
    <row r="51323" s="197" customFormat="1" ht="12.75" x14ac:dyDescent="0.2"/>
    <row r="51324" s="197" customFormat="1" ht="12.75" x14ac:dyDescent="0.2"/>
    <row r="51325" s="197" customFormat="1" ht="12.75" x14ac:dyDescent="0.2"/>
    <row r="51326" s="197" customFormat="1" ht="12.75" x14ac:dyDescent="0.2"/>
    <row r="51327" s="197" customFormat="1" ht="12.75" x14ac:dyDescent="0.2"/>
    <row r="51328" s="197" customFormat="1" ht="12.75" x14ac:dyDescent="0.2"/>
    <row r="51329" s="197" customFormat="1" ht="12.75" x14ac:dyDescent="0.2"/>
    <row r="51330" s="197" customFormat="1" ht="12.75" x14ac:dyDescent="0.2"/>
    <row r="51331" s="197" customFormat="1" ht="12.75" x14ac:dyDescent="0.2"/>
    <row r="51332" s="197" customFormat="1" ht="12.75" x14ac:dyDescent="0.2"/>
    <row r="51333" s="197" customFormat="1" ht="12.75" x14ac:dyDescent="0.2"/>
    <row r="51334" s="197" customFormat="1" ht="12.75" x14ac:dyDescent="0.2"/>
    <row r="51335" s="197" customFormat="1" ht="12.75" x14ac:dyDescent="0.2"/>
    <row r="51336" s="197" customFormat="1" ht="12.75" x14ac:dyDescent="0.2"/>
    <row r="51337" s="197" customFormat="1" ht="12.75" x14ac:dyDescent="0.2"/>
    <row r="51338" s="197" customFormat="1" ht="12.75" x14ac:dyDescent="0.2"/>
    <row r="51339" s="197" customFormat="1" ht="12.75" x14ac:dyDescent="0.2"/>
    <row r="51340" s="197" customFormat="1" ht="12.75" x14ac:dyDescent="0.2"/>
    <row r="51341" s="197" customFormat="1" ht="12.75" x14ac:dyDescent="0.2"/>
    <row r="51342" s="197" customFormat="1" ht="12.75" x14ac:dyDescent="0.2"/>
    <row r="51343" s="197" customFormat="1" ht="12.75" x14ac:dyDescent="0.2"/>
    <row r="51344" s="197" customFormat="1" ht="12.75" x14ac:dyDescent="0.2"/>
    <row r="51345" s="197" customFormat="1" ht="12.75" x14ac:dyDescent="0.2"/>
    <row r="51346" s="197" customFormat="1" ht="12.75" x14ac:dyDescent="0.2"/>
    <row r="51347" s="197" customFormat="1" ht="12.75" x14ac:dyDescent="0.2"/>
    <row r="51348" s="197" customFormat="1" ht="12.75" x14ac:dyDescent="0.2"/>
    <row r="51349" s="197" customFormat="1" ht="12.75" x14ac:dyDescent="0.2"/>
    <row r="51350" s="197" customFormat="1" ht="12.75" x14ac:dyDescent="0.2"/>
    <row r="51351" s="197" customFormat="1" ht="12.75" x14ac:dyDescent="0.2"/>
    <row r="51352" s="197" customFormat="1" ht="12.75" x14ac:dyDescent="0.2"/>
    <row r="51353" s="197" customFormat="1" ht="12.75" x14ac:dyDescent="0.2"/>
    <row r="51354" s="197" customFormat="1" ht="12.75" x14ac:dyDescent="0.2"/>
    <row r="51355" s="197" customFormat="1" ht="12.75" x14ac:dyDescent="0.2"/>
    <row r="51356" s="197" customFormat="1" ht="12.75" x14ac:dyDescent="0.2"/>
    <row r="51357" s="197" customFormat="1" ht="12.75" x14ac:dyDescent="0.2"/>
    <row r="51358" s="197" customFormat="1" ht="12.75" x14ac:dyDescent="0.2"/>
    <row r="51359" s="197" customFormat="1" ht="12.75" x14ac:dyDescent="0.2"/>
    <row r="51360" s="197" customFormat="1" ht="12.75" x14ac:dyDescent="0.2"/>
    <row r="51361" s="197" customFormat="1" ht="12.75" x14ac:dyDescent="0.2"/>
    <row r="51362" s="197" customFormat="1" ht="12.75" x14ac:dyDescent="0.2"/>
    <row r="51363" s="197" customFormat="1" ht="12.75" x14ac:dyDescent="0.2"/>
    <row r="51364" s="197" customFormat="1" ht="12.75" x14ac:dyDescent="0.2"/>
    <row r="51365" s="197" customFormat="1" ht="12.75" x14ac:dyDescent="0.2"/>
    <row r="51366" s="197" customFormat="1" ht="12.75" x14ac:dyDescent="0.2"/>
    <row r="51367" s="197" customFormat="1" ht="12.75" x14ac:dyDescent="0.2"/>
    <row r="51368" s="197" customFormat="1" ht="12.75" x14ac:dyDescent="0.2"/>
    <row r="51369" s="197" customFormat="1" ht="12.75" x14ac:dyDescent="0.2"/>
    <row r="51370" s="197" customFormat="1" ht="12.75" x14ac:dyDescent="0.2"/>
    <row r="51371" s="197" customFormat="1" ht="12.75" x14ac:dyDescent="0.2"/>
    <row r="51372" s="197" customFormat="1" ht="12.75" x14ac:dyDescent="0.2"/>
    <row r="51373" s="197" customFormat="1" ht="12.75" x14ac:dyDescent="0.2"/>
    <row r="51374" s="197" customFormat="1" ht="12.75" x14ac:dyDescent="0.2"/>
    <row r="51375" s="197" customFormat="1" ht="12.75" x14ac:dyDescent="0.2"/>
    <row r="51376" s="197" customFormat="1" ht="12.75" x14ac:dyDescent="0.2"/>
    <row r="51377" s="197" customFormat="1" ht="12.75" x14ac:dyDescent="0.2"/>
    <row r="51378" s="197" customFormat="1" ht="12.75" x14ac:dyDescent="0.2"/>
    <row r="51379" s="197" customFormat="1" ht="12.75" x14ac:dyDescent="0.2"/>
    <row r="51380" s="197" customFormat="1" ht="12.75" x14ac:dyDescent="0.2"/>
    <row r="51381" s="197" customFormat="1" ht="12.75" x14ac:dyDescent="0.2"/>
    <row r="51382" s="197" customFormat="1" ht="12.75" x14ac:dyDescent="0.2"/>
    <row r="51383" s="197" customFormat="1" ht="12.75" x14ac:dyDescent="0.2"/>
    <row r="51384" s="197" customFormat="1" ht="12.75" x14ac:dyDescent="0.2"/>
    <row r="51385" s="197" customFormat="1" ht="12.75" x14ac:dyDescent="0.2"/>
    <row r="51386" s="197" customFormat="1" ht="12.75" x14ac:dyDescent="0.2"/>
    <row r="51387" s="197" customFormat="1" ht="12.75" x14ac:dyDescent="0.2"/>
    <row r="51388" s="197" customFormat="1" ht="12.75" x14ac:dyDescent="0.2"/>
    <row r="51389" s="197" customFormat="1" ht="12.75" x14ac:dyDescent="0.2"/>
    <row r="51390" s="197" customFormat="1" ht="12.75" x14ac:dyDescent="0.2"/>
    <row r="51391" s="197" customFormat="1" ht="12.75" x14ac:dyDescent="0.2"/>
    <row r="51392" s="197" customFormat="1" ht="12.75" x14ac:dyDescent="0.2"/>
    <row r="51393" s="197" customFormat="1" ht="12.75" x14ac:dyDescent="0.2"/>
    <row r="51394" s="197" customFormat="1" ht="12.75" x14ac:dyDescent="0.2"/>
    <row r="51395" s="197" customFormat="1" ht="12.75" x14ac:dyDescent="0.2"/>
    <row r="51396" s="197" customFormat="1" ht="12.75" x14ac:dyDescent="0.2"/>
    <row r="51397" s="197" customFormat="1" ht="12.75" x14ac:dyDescent="0.2"/>
    <row r="51398" s="197" customFormat="1" ht="12.75" x14ac:dyDescent="0.2"/>
    <row r="51399" s="197" customFormat="1" ht="12.75" x14ac:dyDescent="0.2"/>
    <row r="51400" s="197" customFormat="1" ht="12.75" x14ac:dyDescent="0.2"/>
    <row r="51401" s="197" customFormat="1" ht="12.75" x14ac:dyDescent="0.2"/>
    <row r="51402" s="197" customFormat="1" ht="12.75" x14ac:dyDescent="0.2"/>
    <row r="51403" s="197" customFormat="1" ht="12.75" x14ac:dyDescent="0.2"/>
    <row r="51404" s="197" customFormat="1" ht="12.75" x14ac:dyDescent="0.2"/>
    <row r="51405" s="197" customFormat="1" ht="12.75" x14ac:dyDescent="0.2"/>
    <row r="51406" s="197" customFormat="1" ht="12.75" x14ac:dyDescent="0.2"/>
    <row r="51407" s="197" customFormat="1" ht="12.75" x14ac:dyDescent="0.2"/>
    <row r="51408" s="197" customFormat="1" ht="12.75" x14ac:dyDescent="0.2"/>
    <row r="51409" s="197" customFormat="1" ht="12.75" x14ac:dyDescent="0.2"/>
    <row r="51410" s="197" customFormat="1" ht="12.75" x14ac:dyDescent="0.2"/>
    <row r="51411" s="197" customFormat="1" ht="12.75" x14ac:dyDescent="0.2"/>
    <row r="51412" s="197" customFormat="1" ht="12.75" x14ac:dyDescent="0.2"/>
    <row r="51413" s="197" customFormat="1" ht="12.75" x14ac:dyDescent="0.2"/>
    <row r="51414" s="197" customFormat="1" ht="12.75" x14ac:dyDescent="0.2"/>
    <row r="51415" s="197" customFormat="1" ht="12.75" x14ac:dyDescent="0.2"/>
    <row r="51416" s="197" customFormat="1" ht="12.75" x14ac:dyDescent="0.2"/>
    <row r="51417" s="197" customFormat="1" ht="12.75" x14ac:dyDescent="0.2"/>
    <row r="51418" s="197" customFormat="1" ht="12.75" x14ac:dyDescent="0.2"/>
    <row r="51419" s="197" customFormat="1" ht="12.75" x14ac:dyDescent="0.2"/>
    <row r="51420" s="197" customFormat="1" ht="12.75" x14ac:dyDescent="0.2"/>
    <row r="51421" s="197" customFormat="1" ht="12.75" x14ac:dyDescent="0.2"/>
    <row r="51422" s="197" customFormat="1" ht="12.75" x14ac:dyDescent="0.2"/>
    <row r="51423" s="197" customFormat="1" ht="12.75" x14ac:dyDescent="0.2"/>
    <row r="51424" s="197" customFormat="1" ht="12.75" x14ac:dyDescent="0.2"/>
    <row r="51425" s="197" customFormat="1" ht="12.75" x14ac:dyDescent="0.2"/>
    <row r="51426" s="197" customFormat="1" ht="12.75" x14ac:dyDescent="0.2"/>
    <row r="51427" s="197" customFormat="1" ht="12.75" x14ac:dyDescent="0.2"/>
    <row r="51428" s="197" customFormat="1" ht="12.75" x14ac:dyDescent="0.2"/>
    <row r="51429" s="197" customFormat="1" ht="12.75" x14ac:dyDescent="0.2"/>
    <row r="51430" s="197" customFormat="1" ht="12.75" x14ac:dyDescent="0.2"/>
    <row r="51431" s="197" customFormat="1" ht="12.75" x14ac:dyDescent="0.2"/>
    <row r="51432" s="197" customFormat="1" ht="12.75" x14ac:dyDescent="0.2"/>
    <row r="51433" s="197" customFormat="1" ht="12.75" x14ac:dyDescent="0.2"/>
    <row r="51434" s="197" customFormat="1" ht="12.75" x14ac:dyDescent="0.2"/>
    <row r="51435" s="197" customFormat="1" ht="12.75" x14ac:dyDescent="0.2"/>
    <row r="51436" s="197" customFormat="1" ht="12.75" x14ac:dyDescent="0.2"/>
    <row r="51437" s="197" customFormat="1" ht="12.75" x14ac:dyDescent="0.2"/>
    <row r="51438" s="197" customFormat="1" ht="12.75" x14ac:dyDescent="0.2"/>
    <row r="51439" s="197" customFormat="1" ht="12.75" x14ac:dyDescent="0.2"/>
    <row r="51440" s="197" customFormat="1" ht="12.75" x14ac:dyDescent="0.2"/>
    <row r="51441" s="197" customFormat="1" ht="12.75" x14ac:dyDescent="0.2"/>
    <row r="51442" s="197" customFormat="1" ht="12.75" x14ac:dyDescent="0.2"/>
    <row r="51443" s="197" customFormat="1" ht="12.75" x14ac:dyDescent="0.2"/>
    <row r="51444" s="197" customFormat="1" ht="12.75" x14ac:dyDescent="0.2"/>
    <row r="51445" s="197" customFormat="1" ht="12.75" x14ac:dyDescent="0.2"/>
    <row r="51446" s="197" customFormat="1" ht="12.75" x14ac:dyDescent="0.2"/>
    <row r="51447" s="197" customFormat="1" ht="12.75" x14ac:dyDescent="0.2"/>
    <row r="51448" s="197" customFormat="1" ht="12.75" x14ac:dyDescent="0.2"/>
    <row r="51449" s="197" customFormat="1" ht="12.75" x14ac:dyDescent="0.2"/>
    <row r="51450" s="197" customFormat="1" ht="12.75" x14ac:dyDescent="0.2"/>
    <row r="51451" s="197" customFormat="1" ht="12.75" x14ac:dyDescent="0.2"/>
    <row r="51452" s="197" customFormat="1" ht="12.75" x14ac:dyDescent="0.2"/>
    <row r="51453" s="197" customFormat="1" ht="12.75" x14ac:dyDescent="0.2"/>
    <row r="51454" s="197" customFormat="1" ht="12.75" x14ac:dyDescent="0.2"/>
    <row r="51455" s="197" customFormat="1" ht="12.75" x14ac:dyDescent="0.2"/>
    <row r="51456" s="197" customFormat="1" ht="12.75" x14ac:dyDescent="0.2"/>
    <row r="51457" s="197" customFormat="1" ht="12.75" x14ac:dyDescent="0.2"/>
    <row r="51458" s="197" customFormat="1" ht="12.75" x14ac:dyDescent="0.2"/>
    <row r="51459" s="197" customFormat="1" ht="12.75" x14ac:dyDescent="0.2"/>
    <row r="51460" s="197" customFormat="1" ht="12.75" x14ac:dyDescent="0.2"/>
    <row r="51461" s="197" customFormat="1" ht="12.75" x14ac:dyDescent="0.2"/>
    <row r="51462" s="197" customFormat="1" ht="12.75" x14ac:dyDescent="0.2"/>
    <row r="51463" s="197" customFormat="1" ht="12.75" x14ac:dyDescent="0.2"/>
    <row r="51464" s="197" customFormat="1" ht="12.75" x14ac:dyDescent="0.2"/>
    <row r="51465" s="197" customFormat="1" ht="12.75" x14ac:dyDescent="0.2"/>
    <row r="51466" s="197" customFormat="1" ht="12.75" x14ac:dyDescent="0.2"/>
    <row r="51467" s="197" customFormat="1" ht="12.75" x14ac:dyDescent="0.2"/>
    <row r="51468" s="197" customFormat="1" ht="12.75" x14ac:dyDescent="0.2"/>
    <row r="51469" s="197" customFormat="1" ht="12.75" x14ac:dyDescent="0.2"/>
    <row r="51470" s="197" customFormat="1" ht="12.75" x14ac:dyDescent="0.2"/>
    <row r="51471" s="197" customFormat="1" ht="12.75" x14ac:dyDescent="0.2"/>
    <row r="51472" s="197" customFormat="1" ht="12.75" x14ac:dyDescent="0.2"/>
    <row r="51473" s="197" customFormat="1" ht="12.75" x14ac:dyDescent="0.2"/>
    <row r="51474" s="197" customFormat="1" ht="12.75" x14ac:dyDescent="0.2"/>
    <row r="51475" s="197" customFormat="1" ht="12.75" x14ac:dyDescent="0.2"/>
    <row r="51476" s="197" customFormat="1" ht="12.75" x14ac:dyDescent="0.2"/>
    <row r="51477" s="197" customFormat="1" ht="12.75" x14ac:dyDescent="0.2"/>
    <row r="51478" s="197" customFormat="1" ht="12.75" x14ac:dyDescent="0.2"/>
    <row r="51479" s="197" customFormat="1" ht="12.75" x14ac:dyDescent="0.2"/>
    <row r="51480" s="197" customFormat="1" ht="12.75" x14ac:dyDescent="0.2"/>
    <row r="51481" s="197" customFormat="1" ht="12.75" x14ac:dyDescent="0.2"/>
    <row r="51482" s="197" customFormat="1" ht="12.75" x14ac:dyDescent="0.2"/>
    <row r="51483" s="197" customFormat="1" ht="12.75" x14ac:dyDescent="0.2"/>
    <row r="51484" s="197" customFormat="1" ht="12.75" x14ac:dyDescent="0.2"/>
    <row r="51485" s="197" customFormat="1" ht="12.75" x14ac:dyDescent="0.2"/>
    <row r="51486" s="197" customFormat="1" ht="12.75" x14ac:dyDescent="0.2"/>
    <row r="51487" s="197" customFormat="1" ht="12.75" x14ac:dyDescent="0.2"/>
    <row r="51488" s="197" customFormat="1" ht="12.75" x14ac:dyDescent="0.2"/>
    <row r="51489" s="197" customFormat="1" ht="12.75" x14ac:dyDescent="0.2"/>
    <row r="51490" s="197" customFormat="1" ht="12.75" x14ac:dyDescent="0.2"/>
    <row r="51491" s="197" customFormat="1" ht="12.75" x14ac:dyDescent="0.2"/>
    <row r="51492" s="197" customFormat="1" ht="12.75" x14ac:dyDescent="0.2"/>
    <row r="51493" s="197" customFormat="1" ht="12.75" x14ac:dyDescent="0.2"/>
    <row r="51494" s="197" customFormat="1" ht="12.75" x14ac:dyDescent="0.2"/>
    <row r="51495" s="197" customFormat="1" ht="12.75" x14ac:dyDescent="0.2"/>
    <row r="51496" s="197" customFormat="1" ht="12.75" x14ac:dyDescent="0.2"/>
    <row r="51497" s="197" customFormat="1" ht="12.75" x14ac:dyDescent="0.2"/>
    <row r="51498" s="197" customFormat="1" ht="12.75" x14ac:dyDescent="0.2"/>
    <row r="51499" s="197" customFormat="1" ht="12.75" x14ac:dyDescent="0.2"/>
    <row r="51500" s="197" customFormat="1" ht="12.75" x14ac:dyDescent="0.2"/>
    <row r="51501" s="197" customFormat="1" ht="12.75" x14ac:dyDescent="0.2"/>
    <row r="51502" s="197" customFormat="1" ht="12.75" x14ac:dyDescent="0.2"/>
    <row r="51503" s="197" customFormat="1" ht="12.75" x14ac:dyDescent="0.2"/>
    <row r="51504" s="197" customFormat="1" ht="12.75" x14ac:dyDescent="0.2"/>
    <row r="51505" s="197" customFormat="1" ht="12.75" x14ac:dyDescent="0.2"/>
    <row r="51506" s="197" customFormat="1" ht="12.75" x14ac:dyDescent="0.2"/>
    <row r="51507" s="197" customFormat="1" ht="12.75" x14ac:dyDescent="0.2"/>
    <row r="51508" s="197" customFormat="1" ht="12.75" x14ac:dyDescent="0.2"/>
    <row r="51509" s="197" customFormat="1" ht="12.75" x14ac:dyDescent="0.2"/>
    <row r="51510" s="197" customFormat="1" ht="12.75" x14ac:dyDescent="0.2"/>
    <row r="51511" s="197" customFormat="1" ht="12.75" x14ac:dyDescent="0.2"/>
    <row r="51512" s="197" customFormat="1" ht="12.75" x14ac:dyDescent="0.2"/>
    <row r="51513" s="197" customFormat="1" ht="12.75" x14ac:dyDescent="0.2"/>
    <row r="51514" s="197" customFormat="1" ht="12.75" x14ac:dyDescent="0.2"/>
    <row r="51515" s="197" customFormat="1" ht="12.75" x14ac:dyDescent="0.2"/>
    <row r="51516" s="197" customFormat="1" ht="12.75" x14ac:dyDescent="0.2"/>
    <row r="51517" s="197" customFormat="1" ht="12.75" x14ac:dyDescent="0.2"/>
    <row r="51518" s="197" customFormat="1" ht="12.75" x14ac:dyDescent="0.2"/>
    <row r="51519" s="197" customFormat="1" ht="12.75" x14ac:dyDescent="0.2"/>
    <row r="51520" s="197" customFormat="1" ht="12.75" x14ac:dyDescent="0.2"/>
    <row r="51521" s="197" customFormat="1" ht="12.75" x14ac:dyDescent="0.2"/>
    <row r="51522" s="197" customFormat="1" ht="12.75" x14ac:dyDescent="0.2"/>
    <row r="51523" s="197" customFormat="1" ht="12.75" x14ac:dyDescent="0.2"/>
    <row r="51524" s="197" customFormat="1" ht="12.75" x14ac:dyDescent="0.2"/>
    <row r="51525" s="197" customFormat="1" ht="12.75" x14ac:dyDescent="0.2"/>
    <row r="51526" s="197" customFormat="1" ht="12.75" x14ac:dyDescent="0.2"/>
    <row r="51527" s="197" customFormat="1" ht="12.75" x14ac:dyDescent="0.2"/>
    <row r="51528" s="197" customFormat="1" ht="12.75" x14ac:dyDescent="0.2"/>
    <row r="51529" s="197" customFormat="1" ht="12.75" x14ac:dyDescent="0.2"/>
    <row r="51530" s="197" customFormat="1" ht="12.75" x14ac:dyDescent="0.2"/>
    <row r="51531" s="197" customFormat="1" ht="12.75" x14ac:dyDescent="0.2"/>
    <row r="51532" s="197" customFormat="1" ht="12.75" x14ac:dyDescent="0.2"/>
    <row r="51533" s="197" customFormat="1" ht="12.75" x14ac:dyDescent="0.2"/>
    <row r="51534" s="197" customFormat="1" ht="12.75" x14ac:dyDescent="0.2"/>
    <row r="51535" s="197" customFormat="1" ht="12.75" x14ac:dyDescent="0.2"/>
    <row r="51536" s="197" customFormat="1" ht="12.75" x14ac:dyDescent="0.2"/>
    <row r="51537" s="197" customFormat="1" ht="12.75" x14ac:dyDescent="0.2"/>
    <row r="51538" s="197" customFormat="1" ht="12.75" x14ac:dyDescent="0.2"/>
    <row r="51539" s="197" customFormat="1" ht="12.75" x14ac:dyDescent="0.2"/>
    <row r="51540" s="197" customFormat="1" ht="12.75" x14ac:dyDescent="0.2"/>
    <row r="51541" s="197" customFormat="1" ht="12.75" x14ac:dyDescent="0.2"/>
    <row r="51542" s="197" customFormat="1" ht="12.75" x14ac:dyDescent="0.2"/>
    <row r="51543" s="197" customFormat="1" ht="12.75" x14ac:dyDescent="0.2"/>
    <row r="51544" s="197" customFormat="1" ht="12.75" x14ac:dyDescent="0.2"/>
    <row r="51545" s="197" customFormat="1" ht="12.75" x14ac:dyDescent="0.2"/>
    <row r="51546" s="197" customFormat="1" ht="12.75" x14ac:dyDescent="0.2"/>
    <row r="51547" s="197" customFormat="1" ht="12.75" x14ac:dyDescent="0.2"/>
    <row r="51548" s="197" customFormat="1" ht="12.75" x14ac:dyDescent="0.2"/>
    <row r="51549" s="197" customFormat="1" ht="12.75" x14ac:dyDescent="0.2"/>
    <row r="51550" s="197" customFormat="1" ht="12.75" x14ac:dyDescent="0.2"/>
    <row r="51551" s="197" customFormat="1" ht="12.75" x14ac:dyDescent="0.2"/>
    <row r="51552" s="197" customFormat="1" ht="12.75" x14ac:dyDescent="0.2"/>
    <row r="51553" s="197" customFormat="1" ht="12.75" x14ac:dyDescent="0.2"/>
    <row r="51554" s="197" customFormat="1" ht="12.75" x14ac:dyDescent="0.2"/>
    <row r="51555" s="197" customFormat="1" ht="12.75" x14ac:dyDescent="0.2"/>
    <row r="51556" s="197" customFormat="1" ht="12.75" x14ac:dyDescent="0.2"/>
    <row r="51557" s="197" customFormat="1" ht="12.75" x14ac:dyDescent="0.2"/>
    <row r="51558" s="197" customFormat="1" ht="12.75" x14ac:dyDescent="0.2"/>
    <row r="51559" s="197" customFormat="1" ht="12.75" x14ac:dyDescent="0.2"/>
    <row r="51560" s="197" customFormat="1" ht="12.75" x14ac:dyDescent="0.2"/>
    <row r="51561" s="197" customFormat="1" ht="12.75" x14ac:dyDescent="0.2"/>
    <row r="51562" s="197" customFormat="1" ht="12.75" x14ac:dyDescent="0.2"/>
    <row r="51563" s="197" customFormat="1" ht="12.75" x14ac:dyDescent="0.2"/>
    <row r="51564" s="197" customFormat="1" ht="12.75" x14ac:dyDescent="0.2"/>
    <row r="51565" s="197" customFormat="1" ht="12.75" x14ac:dyDescent="0.2"/>
    <row r="51566" s="197" customFormat="1" ht="12.75" x14ac:dyDescent="0.2"/>
    <row r="51567" s="197" customFormat="1" ht="12.75" x14ac:dyDescent="0.2"/>
    <row r="51568" s="197" customFormat="1" ht="12.75" x14ac:dyDescent="0.2"/>
    <row r="51569" s="197" customFormat="1" ht="12.75" x14ac:dyDescent="0.2"/>
    <row r="51570" s="197" customFormat="1" ht="12.75" x14ac:dyDescent="0.2"/>
    <row r="51571" s="197" customFormat="1" ht="12.75" x14ac:dyDescent="0.2"/>
    <row r="51572" s="197" customFormat="1" ht="12.75" x14ac:dyDescent="0.2"/>
    <row r="51573" s="197" customFormat="1" ht="12.75" x14ac:dyDescent="0.2"/>
    <row r="51574" s="197" customFormat="1" ht="12.75" x14ac:dyDescent="0.2"/>
    <row r="51575" s="197" customFormat="1" ht="12.75" x14ac:dyDescent="0.2"/>
    <row r="51576" s="197" customFormat="1" ht="12.75" x14ac:dyDescent="0.2"/>
    <row r="51577" s="197" customFormat="1" ht="12.75" x14ac:dyDescent="0.2"/>
    <row r="51578" s="197" customFormat="1" ht="12.75" x14ac:dyDescent="0.2"/>
    <row r="51579" s="197" customFormat="1" ht="12.75" x14ac:dyDescent="0.2"/>
    <row r="51580" s="197" customFormat="1" ht="12.75" x14ac:dyDescent="0.2"/>
    <row r="51581" s="197" customFormat="1" ht="12.75" x14ac:dyDescent="0.2"/>
    <row r="51582" s="197" customFormat="1" ht="12.75" x14ac:dyDescent="0.2"/>
    <row r="51583" s="197" customFormat="1" ht="12.75" x14ac:dyDescent="0.2"/>
    <row r="51584" s="197" customFormat="1" ht="12.75" x14ac:dyDescent="0.2"/>
    <row r="51585" s="197" customFormat="1" ht="12.75" x14ac:dyDescent="0.2"/>
    <row r="51586" s="197" customFormat="1" ht="12.75" x14ac:dyDescent="0.2"/>
    <row r="51587" s="197" customFormat="1" ht="12.75" x14ac:dyDescent="0.2"/>
    <row r="51588" s="197" customFormat="1" ht="12.75" x14ac:dyDescent="0.2"/>
    <row r="51589" s="197" customFormat="1" ht="12.75" x14ac:dyDescent="0.2"/>
    <row r="51590" s="197" customFormat="1" ht="12.75" x14ac:dyDescent="0.2"/>
    <row r="51591" s="197" customFormat="1" ht="12.75" x14ac:dyDescent="0.2"/>
    <row r="51592" s="197" customFormat="1" ht="12.75" x14ac:dyDescent="0.2"/>
    <row r="51593" s="197" customFormat="1" ht="12.75" x14ac:dyDescent="0.2"/>
    <row r="51594" s="197" customFormat="1" ht="12.75" x14ac:dyDescent="0.2"/>
    <row r="51595" s="197" customFormat="1" ht="12.75" x14ac:dyDescent="0.2"/>
    <row r="51596" s="197" customFormat="1" ht="12.75" x14ac:dyDescent="0.2"/>
    <row r="51597" s="197" customFormat="1" ht="12.75" x14ac:dyDescent="0.2"/>
    <row r="51598" s="197" customFormat="1" ht="12.75" x14ac:dyDescent="0.2"/>
    <row r="51599" s="197" customFormat="1" ht="12.75" x14ac:dyDescent="0.2"/>
    <row r="51600" s="197" customFormat="1" ht="12.75" x14ac:dyDescent="0.2"/>
    <row r="51601" s="197" customFormat="1" ht="12.75" x14ac:dyDescent="0.2"/>
    <row r="51602" s="197" customFormat="1" ht="12.75" x14ac:dyDescent="0.2"/>
    <row r="51603" s="197" customFormat="1" ht="12.75" x14ac:dyDescent="0.2"/>
    <row r="51604" s="197" customFormat="1" ht="12.75" x14ac:dyDescent="0.2"/>
    <row r="51605" s="197" customFormat="1" ht="12.75" x14ac:dyDescent="0.2"/>
    <row r="51606" s="197" customFormat="1" ht="12.75" x14ac:dyDescent="0.2"/>
    <row r="51607" s="197" customFormat="1" ht="12.75" x14ac:dyDescent="0.2"/>
    <row r="51608" s="197" customFormat="1" ht="12.75" x14ac:dyDescent="0.2"/>
    <row r="51609" s="197" customFormat="1" ht="12.75" x14ac:dyDescent="0.2"/>
    <row r="51610" s="197" customFormat="1" ht="12.75" x14ac:dyDescent="0.2"/>
    <row r="51611" s="197" customFormat="1" ht="12.75" x14ac:dyDescent="0.2"/>
    <row r="51612" s="197" customFormat="1" ht="12.75" x14ac:dyDescent="0.2"/>
    <row r="51613" s="197" customFormat="1" ht="12.75" x14ac:dyDescent="0.2"/>
    <row r="51614" s="197" customFormat="1" ht="12.75" x14ac:dyDescent="0.2"/>
    <row r="51615" s="197" customFormat="1" ht="12.75" x14ac:dyDescent="0.2"/>
    <row r="51616" s="197" customFormat="1" ht="12.75" x14ac:dyDescent="0.2"/>
    <row r="51617" s="197" customFormat="1" ht="12.75" x14ac:dyDescent="0.2"/>
    <row r="51618" s="197" customFormat="1" ht="12.75" x14ac:dyDescent="0.2"/>
    <row r="51619" s="197" customFormat="1" ht="12.75" x14ac:dyDescent="0.2"/>
    <row r="51620" s="197" customFormat="1" ht="12.75" x14ac:dyDescent="0.2"/>
    <row r="51621" s="197" customFormat="1" ht="12.75" x14ac:dyDescent="0.2"/>
    <row r="51622" s="197" customFormat="1" ht="12.75" x14ac:dyDescent="0.2"/>
    <row r="51623" s="197" customFormat="1" ht="12.75" x14ac:dyDescent="0.2"/>
    <row r="51624" s="197" customFormat="1" ht="12.75" x14ac:dyDescent="0.2"/>
    <row r="51625" s="197" customFormat="1" ht="12.75" x14ac:dyDescent="0.2"/>
    <row r="51626" s="197" customFormat="1" ht="12.75" x14ac:dyDescent="0.2"/>
    <row r="51627" s="197" customFormat="1" ht="12.75" x14ac:dyDescent="0.2"/>
    <row r="51628" s="197" customFormat="1" ht="12.75" x14ac:dyDescent="0.2"/>
    <row r="51629" s="197" customFormat="1" ht="12.75" x14ac:dyDescent="0.2"/>
    <row r="51630" s="197" customFormat="1" ht="12.75" x14ac:dyDescent="0.2"/>
    <row r="51631" s="197" customFormat="1" ht="12.75" x14ac:dyDescent="0.2"/>
    <row r="51632" s="197" customFormat="1" ht="12.75" x14ac:dyDescent="0.2"/>
    <row r="51633" s="197" customFormat="1" ht="12.75" x14ac:dyDescent="0.2"/>
    <row r="51634" s="197" customFormat="1" ht="12.75" x14ac:dyDescent="0.2"/>
    <row r="51635" s="197" customFormat="1" ht="12.75" x14ac:dyDescent="0.2"/>
    <row r="51636" s="197" customFormat="1" ht="12.75" x14ac:dyDescent="0.2"/>
    <row r="51637" s="197" customFormat="1" ht="12.75" x14ac:dyDescent="0.2"/>
    <row r="51638" s="197" customFormat="1" ht="12.75" x14ac:dyDescent="0.2"/>
    <row r="51639" s="197" customFormat="1" ht="12.75" x14ac:dyDescent="0.2"/>
    <row r="51640" s="197" customFormat="1" ht="12.75" x14ac:dyDescent="0.2"/>
    <row r="51641" s="197" customFormat="1" ht="12.75" x14ac:dyDescent="0.2"/>
    <row r="51642" s="197" customFormat="1" ht="12.75" x14ac:dyDescent="0.2"/>
    <row r="51643" s="197" customFormat="1" ht="12.75" x14ac:dyDescent="0.2"/>
    <row r="51644" s="197" customFormat="1" ht="12.75" x14ac:dyDescent="0.2"/>
    <row r="51645" s="197" customFormat="1" ht="12.75" x14ac:dyDescent="0.2"/>
    <row r="51646" s="197" customFormat="1" ht="12.75" x14ac:dyDescent="0.2"/>
    <row r="51647" s="197" customFormat="1" ht="12.75" x14ac:dyDescent="0.2"/>
    <row r="51648" s="197" customFormat="1" ht="12.75" x14ac:dyDescent="0.2"/>
    <row r="51649" s="197" customFormat="1" ht="12.75" x14ac:dyDescent="0.2"/>
    <row r="51650" s="197" customFormat="1" ht="12.75" x14ac:dyDescent="0.2"/>
    <row r="51651" s="197" customFormat="1" ht="12.75" x14ac:dyDescent="0.2"/>
    <row r="51652" s="197" customFormat="1" ht="12.75" x14ac:dyDescent="0.2"/>
    <row r="51653" s="197" customFormat="1" ht="12.75" x14ac:dyDescent="0.2"/>
    <row r="51654" s="197" customFormat="1" ht="12.75" x14ac:dyDescent="0.2"/>
    <row r="51655" s="197" customFormat="1" ht="12.75" x14ac:dyDescent="0.2"/>
    <row r="51656" s="197" customFormat="1" ht="12.75" x14ac:dyDescent="0.2"/>
    <row r="51657" s="197" customFormat="1" ht="12.75" x14ac:dyDescent="0.2"/>
    <row r="51658" s="197" customFormat="1" ht="12.75" x14ac:dyDescent="0.2"/>
    <row r="51659" s="197" customFormat="1" ht="12.75" x14ac:dyDescent="0.2"/>
    <row r="51660" s="197" customFormat="1" ht="12.75" x14ac:dyDescent="0.2"/>
    <row r="51661" s="197" customFormat="1" ht="12.75" x14ac:dyDescent="0.2"/>
    <row r="51662" s="197" customFormat="1" ht="12.75" x14ac:dyDescent="0.2"/>
    <row r="51663" s="197" customFormat="1" ht="12.75" x14ac:dyDescent="0.2"/>
    <row r="51664" s="197" customFormat="1" ht="12.75" x14ac:dyDescent="0.2"/>
    <row r="51665" s="197" customFormat="1" ht="12.75" x14ac:dyDescent="0.2"/>
    <row r="51666" s="197" customFormat="1" ht="12.75" x14ac:dyDescent="0.2"/>
    <row r="51667" s="197" customFormat="1" ht="12.75" x14ac:dyDescent="0.2"/>
    <row r="51668" s="197" customFormat="1" ht="12.75" x14ac:dyDescent="0.2"/>
    <row r="51669" s="197" customFormat="1" ht="12.75" x14ac:dyDescent="0.2"/>
    <row r="51670" s="197" customFormat="1" ht="12.75" x14ac:dyDescent="0.2"/>
    <row r="51671" s="197" customFormat="1" ht="12.75" x14ac:dyDescent="0.2"/>
    <row r="51672" s="197" customFormat="1" ht="12.75" x14ac:dyDescent="0.2"/>
    <row r="51673" s="197" customFormat="1" ht="12.75" x14ac:dyDescent="0.2"/>
    <row r="51674" s="197" customFormat="1" ht="12.75" x14ac:dyDescent="0.2"/>
    <row r="51675" s="197" customFormat="1" ht="12.75" x14ac:dyDescent="0.2"/>
    <row r="51676" s="197" customFormat="1" ht="12.75" x14ac:dyDescent="0.2"/>
    <row r="51677" s="197" customFormat="1" ht="12.75" x14ac:dyDescent="0.2"/>
    <row r="51678" s="197" customFormat="1" ht="12.75" x14ac:dyDescent="0.2"/>
    <row r="51679" s="197" customFormat="1" ht="12.75" x14ac:dyDescent="0.2"/>
    <row r="51680" s="197" customFormat="1" ht="12.75" x14ac:dyDescent="0.2"/>
    <row r="51681" s="197" customFormat="1" ht="12.75" x14ac:dyDescent="0.2"/>
    <row r="51682" s="197" customFormat="1" ht="12.75" x14ac:dyDescent="0.2"/>
    <row r="51683" s="197" customFormat="1" ht="12.75" x14ac:dyDescent="0.2"/>
    <row r="51684" s="197" customFormat="1" ht="12.75" x14ac:dyDescent="0.2"/>
    <row r="51685" s="197" customFormat="1" ht="12.75" x14ac:dyDescent="0.2"/>
    <row r="51686" s="197" customFormat="1" ht="12.75" x14ac:dyDescent="0.2"/>
    <row r="51687" s="197" customFormat="1" ht="12.75" x14ac:dyDescent="0.2"/>
    <row r="51688" s="197" customFormat="1" ht="12.75" x14ac:dyDescent="0.2"/>
    <row r="51689" s="197" customFormat="1" ht="12.75" x14ac:dyDescent="0.2"/>
    <row r="51690" s="197" customFormat="1" ht="12.75" x14ac:dyDescent="0.2"/>
    <row r="51691" s="197" customFormat="1" ht="12.75" x14ac:dyDescent="0.2"/>
    <row r="51692" s="197" customFormat="1" ht="12.75" x14ac:dyDescent="0.2"/>
    <row r="51693" s="197" customFormat="1" ht="12.75" x14ac:dyDescent="0.2"/>
    <row r="51694" s="197" customFormat="1" ht="12.75" x14ac:dyDescent="0.2"/>
    <row r="51695" s="197" customFormat="1" ht="12.75" x14ac:dyDescent="0.2"/>
    <row r="51696" s="197" customFormat="1" ht="12.75" x14ac:dyDescent="0.2"/>
    <row r="51697" s="197" customFormat="1" ht="12.75" x14ac:dyDescent="0.2"/>
    <row r="51698" s="197" customFormat="1" ht="12.75" x14ac:dyDescent="0.2"/>
    <row r="51699" s="197" customFormat="1" ht="12.75" x14ac:dyDescent="0.2"/>
    <row r="51700" s="197" customFormat="1" ht="12.75" x14ac:dyDescent="0.2"/>
    <row r="51701" s="197" customFormat="1" ht="12.75" x14ac:dyDescent="0.2"/>
    <row r="51702" s="197" customFormat="1" ht="12.75" x14ac:dyDescent="0.2"/>
    <row r="51703" s="197" customFormat="1" ht="12.75" x14ac:dyDescent="0.2"/>
    <row r="51704" s="197" customFormat="1" ht="12.75" x14ac:dyDescent="0.2"/>
    <row r="51705" s="197" customFormat="1" ht="12.75" x14ac:dyDescent="0.2"/>
    <row r="51706" s="197" customFormat="1" ht="12.75" x14ac:dyDescent="0.2"/>
    <row r="51707" s="197" customFormat="1" ht="12.75" x14ac:dyDescent="0.2"/>
    <row r="51708" s="197" customFormat="1" ht="12.75" x14ac:dyDescent="0.2"/>
    <row r="51709" s="197" customFormat="1" ht="12.75" x14ac:dyDescent="0.2"/>
    <row r="51710" s="197" customFormat="1" ht="12.75" x14ac:dyDescent="0.2"/>
    <row r="51711" s="197" customFormat="1" ht="12.75" x14ac:dyDescent="0.2"/>
    <row r="51712" s="197" customFormat="1" ht="12.75" x14ac:dyDescent="0.2"/>
    <row r="51713" s="197" customFormat="1" ht="12.75" x14ac:dyDescent="0.2"/>
    <row r="51714" s="197" customFormat="1" ht="12.75" x14ac:dyDescent="0.2"/>
    <row r="51715" s="197" customFormat="1" ht="12.75" x14ac:dyDescent="0.2"/>
    <row r="51716" s="197" customFormat="1" ht="12.75" x14ac:dyDescent="0.2"/>
    <row r="51717" s="197" customFormat="1" ht="12.75" x14ac:dyDescent="0.2"/>
    <row r="51718" s="197" customFormat="1" ht="12.75" x14ac:dyDescent="0.2"/>
    <row r="51719" s="197" customFormat="1" ht="12.75" x14ac:dyDescent="0.2"/>
    <row r="51720" s="197" customFormat="1" ht="12.75" x14ac:dyDescent="0.2"/>
    <row r="51721" s="197" customFormat="1" ht="12.75" x14ac:dyDescent="0.2"/>
    <row r="51722" s="197" customFormat="1" ht="12.75" x14ac:dyDescent="0.2"/>
    <row r="51723" s="197" customFormat="1" ht="12.75" x14ac:dyDescent="0.2"/>
    <row r="51724" s="197" customFormat="1" ht="12.75" x14ac:dyDescent="0.2"/>
    <row r="51725" s="197" customFormat="1" ht="12.75" x14ac:dyDescent="0.2"/>
    <row r="51726" s="197" customFormat="1" ht="12.75" x14ac:dyDescent="0.2"/>
    <row r="51727" s="197" customFormat="1" ht="12.75" x14ac:dyDescent="0.2"/>
    <row r="51728" s="197" customFormat="1" ht="12.75" x14ac:dyDescent="0.2"/>
    <row r="51729" s="197" customFormat="1" ht="12.75" x14ac:dyDescent="0.2"/>
    <row r="51730" s="197" customFormat="1" ht="12.75" x14ac:dyDescent="0.2"/>
    <row r="51731" s="197" customFormat="1" ht="12.75" x14ac:dyDescent="0.2"/>
    <row r="51732" s="197" customFormat="1" ht="12.75" x14ac:dyDescent="0.2"/>
    <row r="51733" s="197" customFormat="1" ht="12.75" x14ac:dyDescent="0.2"/>
    <row r="51734" s="197" customFormat="1" ht="12.75" x14ac:dyDescent="0.2"/>
    <row r="51735" s="197" customFormat="1" ht="12.75" x14ac:dyDescent="0.2"/>
    <row r="51736" s="197" customFormat="1" ht="12.75" x14ac:dyDescent="0.2"/>
    <row r="51737" s="197" customFormat="1" ht="12.75" x14ac:dyDescent="0.2"/>
    <row r="51738" s="197" customFormat="1" ht="12.75" x14ac:dyDescent="0.2"/>
    <row r="51739" s="197" customFormat="1" ht="12.75" x14ac:dyDescent="0.2"/>
    <row r="51740" s="197" customFormat="1" ht="12.75" x14ac:dyDescent="0.2"/>
    <row r="51741" s="197" customFormat="1" ht="12.75" x14ac:dyDescent="0.2"/>
    <row r="51742" s="197" customFormat="1" ht="12.75" x14ac:dyDescent="0.2"/>
    <row r="51743" s="197" customFormat="1" ht="12.75" x14ac:dyDescent="0.2"/>
    <row r="51744" s="197" customFormat="1" ht="12.75" x14ac:dyDescent="0.2"/>
    <row r="51745" s="197" customFormat="1" ht="12.75" x14ac:dyDescent="0.2"/>
    <row r="51746" s="197" customFormat="1" ht="12.75" x14ac:dyDescent="0.2"/>
    <row r="51747" s="197" customFormat="1" ht="12.75" x14ac:dyDescent="0.2"/>
    <row r="51748" s="197" customFormat="1" ht="12.75" x14ac:dyDescent="0.2"/>
    <row r="51749" s="197" customFormat="1" ht="12.75" x14ac:dyDescent="0.2"/>
    <row r="51750" s="197" customFormat="1" ht="12.75" x14ac:dyDescent="0.2"/>
    <row r="51751" s="197" customFormat="1" ht="12.75" x14ac:dyDescent="0.2"/>
    <row r="51752" s="197" customFormat="1" ht="12.75" x14ac:dyDescent="0.2"/>
    <row r="51753" s="197" customFormat="1" ht="12.75" x14ac:dyDescent="0.2"/>
    <row r="51754" s="197" customFormat="1" ht="12.75" x14ac:dyDescent="0.2"/>
    <row r="51755" s="197" customFormat="1" ht="12.75" x14ac:dyDescent="0.2"/>
    <row r="51756" s="197" customFormat="1" ht="12.75" x14ac:dyDescent="0.2"/>
    <row r="51757" s="197" customFormat="1" ht="12.75" x14ac:dyDescent="0.2"/>
    <row r="51758" s="197" customFormat="1" ht="12.75" x14ac:dyDescent="0.2"/>
    <row r="51759" s="197" customFormat="1" ht="12.75" x14ac:dyDescent="0.2"/>
    <row r="51760" s="197" customFormat="1" ht="12.75" x14ac:dyDescent="0.2"/>
    <row r="51761" s="197" customFormat="1" ht="12.75" x14ac:dyDescent="0.2"/>
    <row r="51762" s="197" customFormat="1" ht="12.75" x14ac:dyDescent="0.2"/>
    <row r="51763" s="197" customFormat="1" ht="12.75" x14ac:dyDescent="0.2"/>
    <row r="51764" s="197" customFormat="1" ht="12.75" x14ac:dyDescent="0.2"/>
    <row r="51765" s="197" customFormat="1" ht="12.75" x14ac:dyDescent="0.2"/>
    <row r="51766" s="197" customFormat="1" ht="12.75" x14ac:dyDescent="0.2"/>
    <row r="51767" s="197" customFormat="1" ht="12.75" x14ac:dyDescent="0.2"/>
    <row r="51768" s="197" customFormat="1" ht="12.75" x14ac:dyDescent="0.2"/>
    <row r="51769" s="197" customFormat="1" ht="12.75" x14ac:dyDescent="0.2"/>
    <row r="51770" s="197" customFormat="1" ht="12.75" x14ac:dyDescent="0.2"/>
    <row r="51771" s="197" customFormat="1" ht="12.75" x14ac:dyDescent="0.2"/>
    <row r="51772" s="197" customFormat="1" ht="12.75" x14ac:dyDescent="0.2"/>
    <row r="51773" s="197" customFormat="1" ht="12.75" x14ac:dyDescent="0.2"/>
    <row r="51774" s="197" customFormat="1" ht="12.75" x14ac:dyDescent="0.2"/>
    <row r="51775" s="197" customFormat="1" ht="12.75" x14ac:dyDescent="0.2"/>
    <row r="51776" s="197" customFormat="1" ht="12.75" x14ac:dyDescent="0.2"/>
    <row r="51777" s="197" customFormat="1" ht="12.75" x14ac:dyDescent="0.2"/>
    <row r="51778" s="197" customFormat="1" ht="12.75" x14ac:dyDescent="0.2"/>
    <row r="51779" s="197" customFormat="1" ht="12.75" x14ac:dyDescent="0.2"/>
    <row r="51780" s="197" customFormat="1" ht="12.75" x14ac:dyDescent="0.2"/>
    <row r="51781" s="197" customFormat="1" ht="12.75" x14ac:dyDescent="0.2"/>
    <row r="51782" s="197" customFormat="1" ht="12.75" x14ac:dyDescent="0.2"/>
    <row r="51783" s="197" customFormat="1" ht="12.75" x14ac:dyDescent="0.2"/>
    <row r="51784" s="197" customFormat="1" ht="12.75" x14ac:dyDescent="0.2"/>
    <row r="51785" s="197" customFormat="1" ht="12.75" x14ac:dyDescent="0.2"/>
    <row r="51786" s="197" customFormat="1" ht="12.75" x14ac:dyDescent="0.2"/>
    <row r="51787" s="197" customFormat="1" ht="12.75" x14ac:dyDescent="0.2"/>
    <row r="51788" s="197" customFormat="1" ht="12.75" x14ac:dyDescent="0.2"/>
    <row r="51789" s="197" customFormat="1" ht="12.75" x14ac:dyDescent="0.2"/>
    <row r="51790" s="197" customFormat="1" ht="12.75" x14ac:dyDescent="0.2"/>
    <row r="51791" s="197" customFormat="1" ht="12.75" x14ac:dyDescent="0.2"/>
    <row r="51792" s="197" customFormat="1" ht="12.75" x14ac:dyDescent="0.2"/>
    <row r="51793" s="197" customFormat="1" ht="12.75" x14ac:dyDescent="0.2"/>
    <row r="51794" s="197" customFormat="1" ht="12.75" x14ac:dyDescent="0.2"/>
    <row r="51795" s="197" customFormat="1" ht="12.75" x14ac:dyDescent="0.2"/>
    <row r="51796" s="197" customFormat="1" ht="12.75" x14ac:dyDescent="0.2"/>
    <row r="51797" s="197" customFormat="1" ht="12.75" x14ac:dyDescent="0.2"/>
    <row r="51798" s="197" customFormat="1" ht="12.75" x14ac:dyDescent="0.2"/>
    <row r="51799" s="197" customFormat="1" ht="12.75" x14ac:dyDescent="0.2"/>
    <row r="51800" s="197" customFormat="1" ht="12.75" x14ac:dyDescent="0.2"/>
    <row r="51801" s="197" customFormat="1" ht="12.75" x14ac:dyDescent="0.2"/>
    <row r="51802" s="197" customFormat="1" ht="12.75" x14ac:dyDescent="0.2"/>
    <row r="51803" s="197" customFormat="1" ht="12.75" x14ac:dyDescent="0.2"/>
    <row r="51804" s="197" customFormat="1" ht="12.75" x14ac:dyDescent="0.2"/>
    <row r="51805" s="197" customFormat="1" ht="12.75" x14ac:dyDescent="0.2"/>
    <row r="51806" s="197" customFormat="1" ht="12.75" x14ac:dyDescent="0.2"/>
    <row r="51807" s="197" customFormat="1" ht="12.75" x14ac:dyDescent="0.2"/>
    <row r="51808" s="197" customFormat="1" ht="12.75" x14ac:dyDescent="0.2"/>
    <row r="51809" s="197" customFormat="1" ht="12.75" x14ac:dyDescent="0.2"/>
    <row r="51810" s="197" customFormat="1" ht="12.75" x14ac:dyDescent="0.2"/>
    <row r="51811" s="197" customFormat="1" ht="12.75" x14ac:dyDescent="0.2"/>
    <row r="51812" s="197" customFormat="1" ht="12.75" x14ac:dyDescent="0.2"/>
    <row r="51813" s="197" customFormat="1" ht="12.75" x14ac:dyDescent="0.2"/>
    <row r="51814" s="197" customFormat="1" ht="12.75" x14ac:dyDescent="0.2"/>
    <row r="51815" s="197" customFormat="1" ht="12.75" x14ac:dyDescent="0.2"/>
    <row r="51816" s="197" customFormat="1" ht="12.75" x14ac:dyDescent="0.2"/>
    <row r="51817" s="197" customFormat="1" ht="12.75" x14ac:dyDescent="0.2"/>
    <row r="51818" s="197" customFormat="1" ht="12.75" x14ac:dyDescent="0.2"/>
    <row r="51819" s="197" customFormat="1" ht="12.75" x14ac:dyDescent="0.2"/>
    <row r="51820" s="197" customFormat="1" ht="12.75" x14ac:dyDescent="0.2"/>
    <row r="51821" s="197" customFormat="1" ht="12.75" x14ac:dyDescent="0.2"/>
    <row r="51822" s="197" customFormat="1" ht="12.75" x14ac:dyDescent="0.2"/>
    <row r="51823" s="197" customFormat="1" ht="12.75" x14ac:dyDescent="0.2"/>
    <row r="51824" s="197" customFormat="1" ht="12.75" x14ac:dyDescent="0.2"/>
    <row r="51825" s="197" customFormat="1" ht="12.75" x14ac:dyDescent="0.2"/>
    <row r="51826" s="197" customFormat="1" ht="12.75" x14ac:dyDescent="0.2"/>
    <row r="51827" s="197" customFormat="1" ht="12.75" x14ac:dyDescent="0.2"/>
    <row r="51828" s="197" customFormat="1" ht="12.75" x14ac:dyDescent="0.2"/>
    <row r="51829" s="197" customFormat="1" ht="12.75" x14ac:dyDescent="0.2"/>
    <row r="51830" s="197" customFormat="1" ht="12.75" x14ac:dyDescent="0.2"/>
    <row r="51831" s="197" customFormat="1" ht="12.75" x14ac:dyDescent="0.2"/>
    <row r="51832" s="197" customFormat="1" ht="12.75" x14ac:dyDescent="0.2"/>
    <row r="51833" s="197" customFormat="1" ht="12.75" x14ac:dyDescent="0.2"/>
    <row r="51834" s="197" customFormat="1" ht="12.75" x14ac:dyDescent="0.2"/>
    <row r="51835" s="197" customFormat="1" ht="12.75" x14ac:dyDescent="0.2"/>
    <row r="51836" s="197" customFormat="1" ht="12.75" x14ac:dyDescent="0.2"/>
    <row r="51837" s="197" customFormat="1" ht="12.75" x14ac:dyDescent="0.2"/>
    <row r="51838" s="197" customFormat="1" ht="12.75" x14ac:dyDescent="0.2"/>
    <row r="51839" s="197" customFormat="1" ht="12.75" x14ac:dyDescent="0.2"/>
    <row r="51840" s="197" customFormat="1" ht="12.75" x14ac:dyDescent="0.2"/>
    <row r="51841" s="197" customFormat="1" ht="12.75" x14ac:dyDescent="0.2"/>
    <row r="51842" s="197" customFormat="1" ht="12.75" x14ac:dyDescent="0.2"/>
    <row r="51843" s="197" customFormat="1" ht="12.75" x14ac:dyDescent="0.2"/>
    <row r="51844" s="197" customFormat="1" ht="12.75" x14ac:dyDescent="0.2"/>
    <row r="51845" s="197" customFormat="1" ht="12.75" x14ac:dyDescent="0.2"/>
    <row r="51846" s="197" customFormat="1" ht="12.75" x14ac:dyDescent="0.2"/>
    <row r="51847" s="197" customFormat="1" ht="12.75" x14ac:dyDescent="0.2"/>
    <row r="51848" s="197" customFormat="1" ht="12.75" x14ac:dyDescent="0.2"/>
    <row r="51849" s="197" customFormat="1" ht="12.75" x14ac:dyDescent="0.2"/>
    <row r="51850" s="197" customFormat="1" ht="12.75" x14ac:dyDescent="0.2"/>
    <row r="51851" s="197" customFormat="1" ht="12.75" x14ac:dyDescent="0.2"/>
    <row r="51852" s="197" customFormat="1" ht="12.75" x14ac:dyDescent="0.2"/>
    <row r="51853" s="197" customFormat="1" ht="12.75" x14ac:dyDescent="0.2"/>
    <row r="51854" s="197" customFormat="1" ht="12.75" x14ac:dyDescent="0.2"/>
    <row r="51855" s="197" customFormat="1" ht="12.75" x14ac:dyDescent="0.2"/>
    <row r="51856" s="197" customFormat="1" ht="12.75" x14ac:dyDescent="0.2"/>
    <row r="51857" s="197" customFormat="1" ht="12.75" x14ac:dyDescent="0.2"/>
    <row r="51858" s="197" customFormat="1" ht="12.75" x14ac:dyDescent="0.2"/>
    <row r="51859" s="197" customFormat="1" ht="12.75" x14ac:dyDescent="0.2"/>
    <row r="51860" s="197" customFormat="1" ht="12.75" x14ac:dyDescent="0.2"/>
    <row r="51861" s="197" customFormat="1" ht="12.75" x14ac:dyDescent="0.2"/>
    <row r="51862" s="197" customFormat="1" ht="12.75" x14ac:dyDescent="0.2"/>
    <row r="51863" s="197" customFormat="1" ht="12.75" x14ac:dyDescent="0.2"/>
    <row r="51864" s="197" customFormat="1" ht="12.75" x14ac:dyDescent="0.2"/>
    <row r="51865" s="197" customFormat="1" ht="12.75" x14ac:dyDescent="0.2"/>
    <row r="51866" s="197" customFormat="1" ht="12.75" x14ac:dyDescent="0.2"/>
    <row r="51867" s="197" customFormat="1" ht="12.75" x14ac:dyDescent="0.2"/>
    <row r="51868" s="197" customFormat="1" ht="12.75" x14ac:dyDescent="0.2"/>
    <row r="51869" s="197" customFormat="1" ht="12.75" x14ac:dyDescent="0.2"/>
    <row r="51870" s="197" customFormat="1" ht="12.75" x14ac:dyDescent="0.2"/>
    <row r="51871" s="197" customFormat="1" ht="12.75" x14ac:dyDescent="0.2"/>
    <row r="51872" s="197" customFormat="1" ht="12.75" x14ac:dyDescent="0.2"/>
    <row r="51873" s="197" customFormat="1" ht="12.75" x14ac:dyDescent="0.2"/>
    <row r="51874" s="197" customFormat="1" ht="12.75" x14ac:dyDescent="0.2"/>
    <row r="51875" s="197" customFormat="1" ht="12.75" x14ac:dyDescent="0.2"/>
    <row r="51876" s="197" customFormat="1" ht="12.75" x14ac:dyDescent="0.2"/>
    <row r="51877" s="197" customFormat="1" ht="12.75" x14ac:dyDescent="0.2"/>
    <row r="51878" s="197" customFormat="1" ht="12.75" x14ac:dyDescent="0.2"/>
    <row r="51879" s="197" customFormat="1" ht="12.75" x14ac:dyDescent="0.2"/>
    <row r="51880" s="197" customFormat="1" ht="12.75" x14ac:dyDescent="0.2"/>
    <row r="51881" s="197" customFormat="1" ht="12.75" x14ac:dyDescent="0.2"/>
    <row r="51882" s="197" customFormat="1" ht="12.75" x14ac:dyDescent="0.2"/>
    <row r="51883" s="197" customFormat="1" ht="12.75" x14ac:dyDescent="0.2"/>
    <row r="51884" s="197" customFormat="1" ht="12.75" x14ac:dyDescent="0.2"/>
    <row r="51885" s="197" customFormat="1" ht="12.75" x14ac:dyDescent="0.2"/>
    <row r="51886" s="197" customFormat="1" ht="12.75" x14ac:dyDescent="0.2"/>
    <row r="51887" s="197" customFormat="1" ht="12.75" x14ac:dyDescent="0.2"/>
    <row r="51888" s="197" customFormat="1" ht="12.75" x14ac:dyDescent="0.2"/>
    <row r="51889" s="197" customFormat="1" ht="12.75" x14ac:dyDescent="0.2"/>
    <row r="51890" s="197" customFormat="1" ht="12.75" x14ac:dyDescent="0.2"/>
    <row r="51891" s="197" customFormat="1" ht="12.75" x14ac:dyDescent="0.2"/>
    <row r="51892" s="197" customFormat="1" ht="12.75" x14ac:dyDescent="0.2"/>
    <row r="51893" s="197" customFormat="1" ht="12.75" x14ac:dyDescent="0.2"/>
    <row r="51894" s="197" customFormat="1" ht="12.75" x14ac:dyDescent="0.2"/>
    <row r="51895" s="197" customFormat="1" ht="12.75" x14ac:dyDescent="0.2"/>
    <row r="51896" s="197" customFormat="1" ht="12.75" x14ac:dyDescent="0.2"/>
    <row r="51897" s="197" customFormat="1" ht="12.75" x14ac:dyDescent="0.2"/>
    <row r="51898" s="197" customFormat="1" ht="12.75" x14ac:dyDescent="0.2"/>
    <row r="51899" s="197" customFormat="1" ht="12.75" x14ac:dyDescent="0.2"/>
    <row r="51900" s="197" customFormat="1" ht="12.75" x14ac:dyDescent="0.2"/>
    <row r="51901" s="197" customFormat="1" ht="12.75" x14ac:dyDescent="0.2"/>
    <row r="51902" s="197" customFormat="1" ht="12.75" x14ac:dyDescent="0.2"/>
    <row r="51903" s="197" customFormat="1" ht="12.75" x14ac:dyDescent="0.2"/>
    <row r="51904" s="197" customFormat="1" ht="12.75" x14ac:dyDescent="0.2"/>
    <row r="51905" s="197" customFormat="1" ht="12.75" x14ac:dyDescent="0.2"/>
    <row r="51906" s="197" customFormat="1" ht="12.75" x14ac:dyDescent="0.2"/>
    <row r="51907" s="197" customFormat="1" ht="12.75" x14ac:dyDescent="0.2"/>
    <row r="51908" s="197" customFormat="1" ht="12.75" x14ac:dyDescent="0.2"/>
    <row r="51909" s="197" customFormat="1" ht="12.75" x14ac:dyDescent="0.2"/>
    <row r="51910" s="197" customFormat="1" ht="12.75" x14ac:dyDescent="0.2"/>
    <row r="51911" s="197" customFormat="1" ht="12.75" x14ac:dyDescent="0.2"/>
    <row r="51912" s="197" customFormat="1" ht="12.75" x14ac:dyDescent="0.2"/>
    <row r="51913" s="197" customFormat="1" ht="12.75" x14ac:dyDescent="0.2"/>
    <row r="51914" s="197" customFormat="1" ht="12.75" x14ac:dyDescent="0.2"/>
    <row r="51915" s="197" customFormat="1" ht="12.75" x14ac:dyDescent="0.2"/>
    <row r="51916" s="197" customFormat="1" ht="12.75" x14ac:dyDescent="0.2"/>
    <row r="51917" s="197" customFormat="1" ht="12.75" x14ac:dyDescent="0.2"/>
    <row r="51918" s="197" customFormat="1" ht="12.75" x14ac:dyDescent="0.2"/>
    <row r="51919" s="197" customFormat="1" ht="12.75" x14ac:dyDescent="0.2"/>
    <row r="51920" s="197" customFormat="1" ht="12.75" x14ac:dyDescent="0.2"/>
    <row r="51921" s="197" customFormat="1" ht="12.75" x14ac:dyDescent="0.2"/>
    <row r="51922" s="197" customFormat="1" ht="12.75" x14ac:dyDescent="0.2"/>
    <row r="51923" s="197" customFormat="1" ht="12.75" x14ac:dyDescent="0.2"/>
    <row r="51924" s="197" customFormat="1" ht="12.75" x14ac:dyDescent="0.2"/>
    <row r="51925" s="197" customFormat="1" ht="12.75" x14ac:dyDescent="0.2"/>
    <row r="51926" s="197" customFormat="1" ht="12.75" x14ac:dyDescent="0.2"/>
    <row r="51927" s="197" customFormat="1" ht="12.75" x14ac:dyDescent="0.2"/>
    <row r="51928" s="197" customFormat="1" ht="12.75" x14ac:dyDescent="0.2"/>
    <row r="51929" s="197" customFormat="1" ht="12.75" x14ac:dyDescent="0.2"/>
    <row r="51930" s="197" customFormat="1" ht="12.75" x14ac:dyDescent="0.2"/>
    <row r="51931" s="197" customFormat="1" ht="12.75" x14ac:dyDescent="0.2"/>
    <row r="51932" s="197" customFormat="1" ht="12.75" x14ac:dyDescent="0.2"/>
    <row r="51933" s="197" customFormat="1" ht="12.75" x14ac:dyDescent="0.2"/>
    <row r="51934" s="197" customFormat="1" ht="12.75" x14ac:dyDescent="0.2"/>
    <row r="51935" s="197" customFormat="1" ht="12.75" x14ac:dyDescent="0.2"/>
    <row r="51936" s="197" customFormat="1" ht="12.75" x14ac:dyDescent="0.2"/>
    <row r="51937" s="197" customFormat="1" ht="12.75" x14ac:dyDescent="0.2"/>
    <row r="51938" s="197" customFormat="1" ht="12.75" x14ac:dyDescent="0.2"/>
    <row r="51939" s="197" customFormat="1" ht="12.75" x14ac:dyDescent="0.2"/>
    <row r="51940" s="197" customFormat="1" ht="12.75" x14ac:dyDescent="0.2"/>
    <row r="51941" s="197" customFormat="1" ht="12.75" x14ac:dyDescent="0.2"/>
    <row r="51942" s="197" customFormat="1" ht="12.75" x14ac:dyDescent="0.2"/>
    <row r="51943" s="197" customFormat="1" ht="12.75" x14ac:dyDescent="0.2"/>
    <row r="51944" s="197" customFormat="1" ht="12.75" x14ac:dyDescent="0.2"/>
    <row r="51945" s="197" customFormat="1" ht="12.75" x14ac:dyDescent="0.2"/>
    <row r="51946" s="197" customFormat="1" ht="12.75" x14ac:dyDescent="0.2"/>
    <row r="51947" s="197" customFormat="1" ht="12.75" x14ac:dyDescent="0.2"/>
    <row r="51948" s="197" customFormat="1" ht="12.75" x14ac:dyDescent="0.2"/>
    <row r="51949" s="197" customFormat="1" ht="12.75" x14ac:dyDescent="0.2"/>
    <row r="51950" s="197" customFormat="1" ht="12.75" x14ac:dyDescent="0.2"/>
    <row r="51951" s="197" customFormat="1" ht="12.75" x14ac:dyDescent="0.2"/>
    <row r="51952" s="197" customFormat="1" ht="12.75" x14ac:dyDescent="0.2"/>
    <row r="51953" s="197" customFormat="1" ht="12.75" x14ac:dyDescent="0.2"/>
    <row r="51954" s="197" customFormat="1" ht="12.75" x14ac:dyDescent="0.2"/>
    <row r="51955" s="197" customFormat="1" ht="12.75" x14ac:dyDescent="0.2"/>
    <row r="51956" s="197" customFormat="1" ht="12.75" x14ac:dyDescent="0.2"/>
    <row r="51957" s="197" customFormat="1" ht="12.75" x14ac:dyDescent="0.2"/>
    <row r="51958" s="197" customFormat="1" ht="12.75" x14ac:dyDescent="0.2"/>
    <row r="51959" s="197" customFormat="1" ht="12.75" x14ac:dyDescent="0.2"/>
    <row r="51960" s="197" customFormat="1" ht="12.75" x14ac:dyDescent="0.2"/>
    <row r="51961" s="197" customFormat="1" ht="12.75" x14ac:dyDescent="0.2"/>
    <row r="51962" s="197" customFormat="1" ht="12.75" x14ac:dyDescent="0.2"/>
    <row r="51963" s="197" customFormat="1" ht="12.75" x14ac:dyDescent="0.2"/>
    <row r="51964" s="197" customFormat="1" ht="12.75" x14ac:dyDescent="0.2"/>
    <row r="51965" s="197" customFormat="1" ht="12.75" x14ac:dyDescent="0.2"/>
    <row r="51966" s="197" customFormat="1" ht="12.75" x14ac:dyDescent="0.2"/>
    <row r="51967" s="197" customFormat="1" ht="12.75" x14ac:dyDescent="0.2"/>
    <row r="51968" s="197" customFormat="1" ht="12.75" x14ac:dyDescent="0.2"/>
    <row r="51969" s="197" customFormat="1" ht="12.75" x14ac:dyDescent="0.2"/>
    <row r="51970" s="197" customFormat="1" ht="12.75" x14ac:dyDescent="0.2"/>
    <row r="51971" s="197" customFormat="1" ht="12.75" x14ac:dyDescent="0.2"/>
    <row r="51972" s="197" customFormat="1" ht="12.75" x14ac:dyDescent="0.2"/>
    <row r="51973" s="197" customFormat="1" ht="12.75" x14ac:dyDescent="0.2"/>
    <row r="51974" s="197" customFormat="1" ht="12.75" x14ac:dyDescent="0.2"/>
    <row r="51975" s="197" customFormat="1" ht="12.75" x14ac:dyDescent="0.2"/>
    <row r="51976" s="197" customFormat="1" ht="12.75" x14ac:dyDescent="0.2"/>
    <row r="51977" s="197" customFormat="1" ht="12.75" x14ac:dyDescent="0.2"/>
    <row r="51978" s="197" customFormat="1" ht="12.75" x14ac:dyDescent="0.2"/>
    <row r="51979" s="197" customFormat="1" ht="12.75" x14ac:dyDescent="0.2"/>
    <row r="51980" s="197" customFormat="1" ht="12.75" x14ac:dyDescent="0.2"/>
    <row r="51981" s="197" customFormat="1" ht="12.75" x14ac:dyDescent="0.2"/>
    <row r="51982" s="197" customFormat="1" ht="12.75" x14ac:dyDescent="0.2"/>
    <row r="51983" s="197" customFormat="1" ht="12.75" x14ac:dyDescent="0.2"/>
    <row r="51984" s="197" customFormat="1" ht="12.75" x14ac:dyDescent="0.2"/>
    <row r="51985" s="197" customFormat="1" ht="12.75" x14ac:dyDescent="0.2"/>
    <row r="51986" s="197" customFormat="1" ht="12.75" x14ac:dyDescent="0.2"/>
    <row r="51987" s="197" customFormat="1" ht="12.75" x14ac:dyDescent="0.2"/>
    <row r="51988" s="197" customFormat="1" ht="12.75" x14ac:dyDescent="0.2"/>
    <row r="51989" s="197" customFormat="1" ht="12.75" x14ac:dyDescent="0.2"/>
    <row r="51990" s="197" customFormat="1" ht="12.75" x14ac:dyDescent="0.2"/>
    <row r="51991" s="197" customFormat="1" ht="12.75" x14ac:dyDescent="0.2"/>
    <row r="51992" s="197" customFormat="1" ht="12.75" x14ac:dyDescent="0.2"/>
    <row r="51993" s="197" customFormat="1" ht="12.75" x14ac:dyDescent="0.2"/>
    <row r="51994" s="197" customFormat="1" ht="12.75" x14ac:dyDescent="0.2"/>
    <row r="51995" s="197" customFormat="1" ht="12.75" x14ac:dyDescent="0.2"/>
    <row r="51996" s="197" customFormat="1" ht="12.75" x14ac:dyDescent="0.2"/>
    <row r="51997" s="197" customFormat="1" ht="12.75" x14ac:dyDescent="0.2"/>
    <row r="51998" s="197" customFormat="1" ht="12.75" x14ac:dyDescent="0.2"/>
    <row r="51999" s="197" customFormat="1" ht="12.75" x14ac:dyDescent="0.2"/>
    <row r="52000" s="197" customFormat="1" ht="12.75" x14ac:dyDescent="0.2"/>
    <row r="52001" s="197" customFormat="1" ht="12.75" x14ac:dyDescent="0.2"/>
    <row r="52002" s="197" customFormat="1" ht="12.75" x14ac:dyDescent="0.2"/>
    <row r="52003" s="197" customFormat="1" ht="12.75" x14ac:dyDescent="0.2"/>
    <row r="52004" s="197" customFormat="1" ht="12.75" x14ac:dyDescent="0.2"/>
    <row r="52005" s="197" customFormat="1" ht="12.75" x14ac:dyDescent="0.2"/>
    <row r="52006" s="197" customFormat="1" ht="12.75" x14ac:dyDescent="0.2"/>
    <row r="52007" s="197" customFormat="1" ht="12.75" x14ac:dyDescent="0.2"/>
    <row r="52008" s="197" customFormat="1" ht="12.75" x14ac:dyDescent="0.2"/>
    <row r="52009" s="197" customFormat="1" ht="12.75" x14ac:dyDescent="0.2"/>
    <row r="52010" s="197" customFormat="1" ht="12.75" x14ac:dyDescent="0.2"/>
    <row r="52011" s="197" customFormat="1" ht="12.75" x14ac:dyDescent="0.2"/>
    <row r="52012" s="197" customFormat="1" ht="12.75" x14ac:dyDescent="0.2"/>
    <row r="52013" s="197" customFormat="1" ht="12.75" x14ac:dyDescent="0.2"/>
    <row r="52014" s="197" customFormat="1" ht="12.75" x14ac:dyDescent="0.2"/>
    <row r="52015" s="197" customFormat="1" ht="12.75" x14ac:dyDescent="0.2"/>
    <row r="52016" s="197" customFormat="1" ht="12.75" x14ac:dyDescent="0.2"/>
    <row r="52017" s="197" customFormat="1" ht="12.75" x14ac:dyDescent="0.2"/>
    <row r="52018" s="197" customFormat="1" ht="12.75" x14ac:dyDescent="0.2"/>
    <row r="52019" s="197" customFormat="1" ht="12.75" x14ac:dyDescent="0.2"/>
    <row r="52020" s="197" customFormat="1" ht="12.75" x14ac:dyDescent="0.2"/>
    <row r="52021" s="197" customFormat="1" ht="12.75" x14ac:dyDescent="0.2"/>
    <row r="52022" s="197" customFormat="1" ht="12.75" x14ac:dyDescent="0.2"/>
    <row r="52023" s="197" customFormat="1" ht="12.75" x14ac:dyDescent="0.2"/>
    <row r="52024" s="197" customFormat="1" ht="12.75" x14ac:dyDescent="0.2"/>
    <row r="52025" s="197" customFormat="1" ht="12.75" x14ac:dyDescent="0.2"/>
    <row r="52026" s="197" customFormat="1" ht="12.75" x14ac:dyDescent="0.2"/>
    <row r="52027" s="197" customFormat="1" ht="12.75" x14ac:dyDescent="0.2"/>
    <row r="52028" s="197" customFormat="1" ht="12.75" x14ac:dyDescent="0.2"/>
    <row r="52029" s="197" customFormat="1" ht="12.75" x14ac:dyDescent="0.2"/>
    <row r="52030" s="197" customFormat="1" ht="12.75" x14ac:dyDescent="0.2"/>
    <row r="52031" s="197" customFormat="1" ht="12.75" x14ac:dyDescent="0.2"/>
    <row r="52032" s="197" customFormat="1" ht="12.75" x14ac:dyDescent="0.2"/>
    <row r="52033" s="197" customFormat="1" ht="12.75" x14ac:dyDescent="0.2"/>
    <row r="52034" s="197" customFormat="1" ht="12.75" x14ac:dyDescent="0.2"/>
    <row r="52035" s="197" customFormat="1" ht="12.75" x14ac:dyDescent="0.2"/>
    <row r="52036" s="197" customFormat="1" ht="12.75" x14ac:dyDescent="0.2"/>
    <row r="52037" s="197" customFormat="1" ht="12.75" x14ac:dyDescent="0.2"/>
    <row r="52038" s="197" customFormat="1" ht="12.75" x14ac:dyDescent="0.2"/>
    <row r="52039" s="197" customFormat="1" ht="12.75" x14ac:dyDescent="0.2"/>
    <row r="52040" s="197" customFormat="1" ht="12.75" x14ac:dyDescent="0.2"/>
    <row r="52041" s="197" customFormat="1" ht="12.75" x14ac:dyDescent="0.2"/>
    <row r="52042" s="197" customFormat="1" ht="12.75" x14ac:dyDescent="0.2"/>
    <row r="52043" s="197" customFormat="1" ht="12.75" x14ac:dyDescent="0.2"/>
    <row r="52044" s="197" customFormat="1" ht="12.75" x14ac:dyDescent="0.2"/>
    <row r="52045" s="197" customFormat="1" ht="12.75" x14ac:dyDescent="0.2"/>
    <row r="52046" s="197" customFormat="1" ht="12.75" x14ac:dyDescent="0.2"/>
    <row r="52047" s="197" customFormat="1" ht="12.75" x14ac:dyDescent="0.2"/>
    <row r="52048" s="197" customFormat="1" ht="12.75" x14ac:dyDescent="0.2"/>
    <row r="52049" s="197" customFormat="1" ht="12.75" x14ac:dyDescent="0.2"/>
    <row r="52050" s="197" customFormat="1" ht="12.75" x14ac:dyDescent="0.2"/>
    <row r="52051" s="197" customFormat="1" ht="12.75" x14ac:dyDescent="0.2"/>
    <row r="52052" s="197" customFormat="1" ht="12.75" x14ac:dyDescent="0.2"/>
    <row r="52053" s="197" customFormat="1" ht="12.75" x14ac:dyDescent="0.2"/>
    <row r="52054" s="197" customFormat="1" ht="12.75" x14ac:dyDescent="0.2"/>
    <row r="52055" s="197" customFormat="1" ht="12.75" x14ac:dyDescent="0.2"/>
    <row r="52056" s="197" customFormat="1" ht="12.75" x14ac:dyDescent="0.2"/>
    <row r="52057" s="197" customFormat="1" ht="12.75" x14ac:dyDescent="0.2"/>
    <row r="52058" s="197" customFormat="1" ht="12.75" x14ac:dyDescent="0.2"/>
    <row r="52059" s="197" customFormat="1" ht="12.75" x14ac:dyDescent="0.2"/>
    <row r="52060" s="197" customFormat="1" ht="12.75" x14ac:dyDescent="0.2"/>
    <row r="52061" s="197" customFormat="1" ht="12.75" x14ac:dyDescent="0.2"/>
    <row r="52062" s="197" customFormat="1" ht="12.75" x14ac:dyDescent="0.2"/>
    <row r="52063" s="197" customFormat="1" ht="12.75" x14ac:dyDescent="0.2"/>
    <row r="52064" s="197" customFormat="1" ht="12.75" x14ac:dyDescent="0.2"/>
    <row r="52065" s="197" customFormat="1" ht="12.75" x14ac:dyDescent="0.2"/>
    <row r="52066" s="197" customFormat="1" ht="12.75" x14ac:dyDescent="0.2"/>
    <row r="52067" s="197" customFormat="1" ht="12.75" x14ac:dyDescent="0.2"/>
    <row r="52068" s="197" customFormat="1" ht="12.75" x14ac:dyDescent="0.2"/>
    <row r="52069" s="197" customFormat="1" ht="12.75" x14ac:dyDescent="0.2"/>
    <row r="52070" s="197" customFormat="1" ht="12.75" x14ac:dyDescent="0.2"/>
    <row r="52071" s="197" customFormat="1" ht="12.75" x14ac:dyDescent="0.2"/>
    <row r="52072" s="197" customFormat="1" ht="12.75" x14ac:dyDescent="0.2"/>
    <row r="52073" s="197" customFormat="1" ht="12.75" x14ac:dyDescent="0.2"/>
    <row r="52074" s="197" customFormat="1" ht="12.75" x14ac:dyDescent="0.2"/>
    <row r="52075" s="197" customFormat="1" ht="12.75" x14ac:dyDescent="0.2"/>
    <row r="52076" s="197" customFormat="1" ht="12.75" x14ac:dyDescent="0.2"/>
    <row r="52077" s="197" customFormat="1" ht="12.75" x14ac:dyDescent="0.2"/>
    <row r="52078" s="197" customFormat="1" ht="12.75" x14ac:dyDescent="0.2"/>
    <row r="52079" s="197" customFormat="1" ht="12.75" x14ac:dyDescent="0.2"/>
    <row r="52080" s="197" customFormat="1" ht="12.75" x14ac:dyDescent="0.2"/>
    <row r="52081" s="197" customFormat="1" ht="12.75" x14ac:dyDescent="0.2"/>
    <row r="52082" s="197" customFormat="1" ht="12.75" x14ac:dyDescent="0.2"/>
    <row r="52083" s="197" customFormat="1" ht="12.75" x14ac:dyDescent="0.2"/>
    <row r="52084" s="197" customFormat="1" ht="12.75" x14ac:dyDescent="0.2"/>
    <row r="52085" s="197" customFormat="1" ht="12.75" x14ac:dyDescent="0.2"/>
    <row r="52086" s="197" customFormat="1" ht="12.75" x14ac:dyDescent="0.2"/>
    <row r="52087" s="197" customFormat="1" ht="12.75" x14ac:dyDescent="0.2"/>
    <row r="52088" s="197" customFormat="1" ht="12.75" x14ac:dyDescent="0.2"/>
    <row r="52089" s="197" customFormat="1" ht="12.75" x14ac:dyDescent="0.2"/>
    <row r="52090" s="197" customFormat="1" ht="12.75" x14ac:dyDescent="0.2"/>
    <row r="52091" s="197" customFormat="1" ht="12.75" x14ac:dyDescent="0.2"/>
    <row r="52092" s="197" customFormat="1" ht="12.75" x14ac:dyDescent="0.2"/>
    <row r="52093" s="197" customFormat="1" ht="12.75" x14ac:dyDescent="0.2"/>
    <row r="52094" s="197" customFormat="1" ht="12.75" x14ac:dyDescent="0.2"/>
    <row r="52095" s="197" customFormat="1" ht="12.75" x14ac:dyDescent="0.2"/>
    <row r="52096" s="197" customFormat="1" ht="12.75" x14ac:dyDescent="0.2"/>
    <row r="52097" s="197" customFormat="1" ht="12.75" x14ac:dyDescent="0.2"/>
    <row r="52098" s="197" customFormat="1" ht="12.75" x14ac:dyDescent="0.2"/>
    <row r="52099" s="197" customFormat="1" ht="12.75" x14ac:dyDescent="0.2"/>
    <row r="52100" s="197" customFormat="1" ht="12.75" x14ac:dyDescent="0.2"/>
    <row r="52101" s="197" customFormat="1" ht="12.75" x14ac:dyDescent="0.2"/>
    <row r="52102" s="197" customFormat="1" ht="12.75" x14ac:dyDescent="0.2"/>
    <row r="52103" s="197" customFormat="1" ht="12.75" x14ac:dyDescent="0.2"/>
    <row r="52104" s="197" customFormat="1" ht="12.75" x14ac:dyDescent="0.2"/>
    <row r="52105" s="197" customFormat="1" ht="12.75" x14ac:dyDescent="0.2"/>
    <row r="52106" s="197" customFormat="1" ht="12.75" x14ac:dyDescent="0.2"/>
    <row r="52107" s="197" customFormat="1" ht="12.75" x14ac:dyDescent="0.2"/>
    <row r="52108" s="197" customFormat="1" ht="12.75" x14ac:dyDescent="0.2"/>
    <row r="52109" s="197" customFormat="1" ht="12.75" x14ac:dyDescent="0.2"/>
    <row r="52110" s="197" customFormat="1" ht="12.75" x14ac:dyDescent="0.2"/>
    <row r="52111" s="197" customFormat="1" ht="12.75" x14ac:dyDescent="0.2"/>
    <row r="52112" s="197" customFormat="1" ht="12.75" x14ac:dyDescent="0.2"/>
    <row r="52113" s="197" customFormat="1" ht="12.75" x14ac:dyDescent="0.2"/>
    <row r="52114" s="197" customFormat="1" ht="12.75" x14ac:dyDescent="0.2"/>
    <row r="52115" s="197" customFormat="1" ht="12.75" x14ac:dyDescent="0.2"/>
    <row r="52116" s="197" customFormat="1" ht="12.75" x14ac:dyDescent="0.2"/>
    <row r="52117" s="197" customFormat="1" ht="12.75" x14ac:dyDescent="0.2"/>
    <row r="52118" s="197" customFormat="1" ht="12.75" x14ac:dyDescent="0.2"/>
    <row r="52119" s="197" customFormat="1" ht="12.75" x14ac:dyDescent="0.2"/>
    <row r="52120" s="197" customFormat="1" ht="12.75" x14ac:dyDescent="0.2"/>
    <row r="52121" s="197" customFormat="1" ht="12.75" x14ac:dyDescent="0.2"/>
    <row r="52122" s="197" customFormat="1" ht="12.75" x14ac:dyDescent="0.2"/>
    <row r="52123" s="197" customFormat="1" ht="12.75" x14ac:dyDescent="0.2"/>
    <row r="52124" s="197" customFormat="1" ht="12.75" x14ac:dyDescent="0.2"/>
    <row r="52125" s="197" customFormat="1" ht="12.75" x14ac:dyDescent="0.2"/>
    <row r="52126" s="197" customFormat="1" ht="12.75" x14ac:dyDescent="0.2"/>
    <row r="52127" s="197" customFormat="1" ht="12.75" x14ac:dyDescent="0.2"/>
    <row r="52128" s="197" customFormat="1" ht="12.75" x14ac:dyDescent="0.2"/>
    <row r="52129" s="197" customFormat="1" ht="12.75" x14ac:dyDescent="0.2"/>
    <row r="52130" s="197" customFormat="1" ht="12.75" x14ac:dyDescent="0.2"/>
    <row r="52131" s="197" customFormat="1" ht="12.75" x14ac:dyDescent="0.2"/>
    <row r="52132" s="197" customFormat="1" ht="12.75" x14ac:dyDescent="0.2"/>
    <row r="52133" s="197" customFormat="1" ht="12.75" x14ac:dyDescent="0.2"/>
    <row r="52134" s="197" customFormat="1" ht="12.75" x14ac:dyDescent="0.2"/>
    <row r="52135" s="197" customFormat="1" ht="12.75" x14ac:dyDescent="0.2"/>
    <row r="52136" s="197" customFormat="1" ht="12.75" x14ac:dyDescent="0.2"/>
    <row r="52137" s="197" customFormat="1" ht="12.75" x14ac:dyDescent="0.2"/>
    <row r="52138" s="197" customFormat="1" ht="12.75" x14ac:dyDescent="0.2"/>
    <row r="52139" s="197" customFormat="1" ht="12.75" x14ac:dyDescent="0.2"/>
    <row r="52140" s="197" customFormat="1" ht="12.75" x14ac:dyDescent="0.2"/>
    <row r="52141" s="197" customFormat="1" ht="12.75" x14ac:dyDescent="0.2"/>
    <row r="52142" s="197" customFormat="1" ht="12.75" x14ac:dyDescent="0.2"/>
    <row r="52143" s="197" customFormat="1" ht="12.75" x14ac:dyDescent="0.2"/>
    <row r="52144" s="197" customFormat="1" ht="12.75" x14ac:dyDescent="0.2"/>
    <row r="52145" s="197" customFormat="1" ht="12.75" x14ac:dyDescent="0.2"/>
    <row r="52146" s="197" customFormat="1" ht="12.75" x14ac:dyDescent="0.2"/>
    <row r="52147" s="197" customFormat="1" ht="12.75" x14ac:dyDescent="0.2"/>
    <row r="52148" s="197" customFormat="1" ht="12.75" x14ac:dyDescent="0.2"/>
    <row r="52149" s="197" customFormat="1" ht="12.75" x14ac:dyDescent="0.2"/>
    <row r="52150" s="197" customFormat="1" ht="12.75" x14ac:dyDescent="0.2"/>
    <row r="52151" s="197" customFormat="1" ht="12.75" x14ac:dyDescent="0.2"/>
    <row r="52152" s="197" customFormat="1" ht="12.75" x14ac:dyDescent="0.2"/>
    <row r="52153" s="197" customFormat="1" ht="12.75" x14ac:dyDescent="0.2"/>
    <row r="52154" s="197" customFormat="1" ht="12.75" x14ac:dyDescent="0.2"/>
    <row r="52155" s="197" customFormat="1" ht="12.75" x14ac:dyDescent="0.2"/>
    <row r="52156" s="197" customFormat="1" ht="12.75" x14ac:dyDescent="0.2"/>
    <row r="52157" s="197" customFormat="1" ht="12.75" x14ac:dyDescent="0.2"/>
    <row r="52158" s="197" customFormat="1" ht="12.75" x14ac:dyDescent="0.2"/>
    <row r="52159" s="197" customFormat="1" ht="12.75" x14ac:dyDescent="0.2"/>
    <row r="52160" s="197" customFormat="1" ht="12.75" x14ac:dyDescent="0.2"/>
    <row r="52161" s="197" customFormat="1" ht="12.75" x14ac:dyDescent="0.2"/>
    <row r="52162" s="197" customFormat="1" ht="12.75" x14ac:dyDescent="0.2"/>
    <row r="52163" s="197" customFormat="1" ht="12.75" x14ac:dyDescent="0.2"/>
    <row r="52164" s="197" customFormat="1" ht="12.75" x14ac:dyDescent="0.2"/>
    <row r="52165" s="197" customFormat="1" ht="12.75" x14ac:dyDescent="0.2"/>
    <row r="52166" s="197" customFormat="1" ht="12.75" x14ac:dyDescent="0.2"/>
    <row r="52167" s="197" customFormat="1" ht="12.75" x14ac:dyDescent="0.2"/>
    <row r="52168" s="197" customFormat="1" ht="12.75" x14ac:dyDescent="0.2"/>
    <row r="52169" s="197" customFormat="1" ht="12.75" x14ac:dyDescent="0.2"/>
    <row r="52170" s="197" customFormat="1" ht="12.75" x14ac:dyDescent="0.2"/>
    <row r="52171" s="197" customFormat="1" ht="12.75" x14ac:dyDescent="0.2"/>
    <row r="52172" s="197" customFormat="1" ht="12.75" x14ac:dyDescent="0.2"/>
    <row r="52173" s="197" customFormat="1" ht="12.75" x14ac:dyDescent="0.2"/>
    <row r="52174" s="197" customFormat="1" ht="12.75" x14ac:dyDescent="0.2"/>
    <row r="52175" s="197" customFormat="1" ht="12.75" x14ac:dyDescent="0.2"/>
    <row r="52176" s="197" customFormat="1" ht="12.75" x14ac:dyDescent="0.2"/>
    <row r="52177" s="197" customFormat="1" ht="12.75" x14ac:dyDescent="0.2"/>
    <row r="52178" s="197" customFormat="1" ht="12.75" x14ac:dyDescent="0.2"/>
    <row r="52179" s="197" customFormat="1" ht="12.75" x14ac:dyDescent="0.2"/>
    <row r="52180" s="197" customFormat="1" ht="12.75" x14ac:dyDescent="0.2"/>
    <row r="52181" s="197" customFormat="1" ht="12.75" x14ac:dyDescent="0.2"/>
    <row r="52182" s="197" customFormat="1" ht="12.75" x14ac:dyDescent="0.2"/>
    <row r="52183" s="197" customFormat="1" ht="12.75" x14ac:dyDescent="0.2"/>
    <row r="52184" s="197" customFormat="1" ht="12.75" x14ac:dyDescent="0.2"/>
    <row r="52185" s="197" customFormat="1" ht="12.75" x14ac:dyDescent="0.2"/>
    <row r="52186" s="197" customFormat="1" ht="12.75" x14ac:dyDescent="0.2"/>
    <row r="52187" s="197" customFormat="1" ht="12.75" x14ac:dyDescent="0.2"/>
    <row r="52188" s="197" customFormat="1" ht="12.75" x14ac:dyDescent="0.2"/>
    <row r="52189" s="197" customFormat="1" ht="12.75" x14ac:dyDescent="0.2"/>
    <row r="52190" s="197" customFormat="1" ht="12.75" x14ac:dyDescent="0.2"/>
    <row r="52191" s="197" customFormat="1" ht="12.75" x14ac:dyDescent="0.2"/>
    <row r="52192" s="197" customFormat="1" ht="12.75" x14ac:dyDescent="0.2"/>
    <row r="52193" s="197" customFormat="1" ht="12.75" x14ac:dyDescent="0.2"/>
    <row r="52194" s="197" customFormat="1" ht="12.75" x14ac:dyDescent="0.2"/>
    <row r="52195" s="197" customFormat="1" ht="12.75" x14ac:dyDescent="0.2"/>
    <row r="52196" s="197" customFormat="1" ht="12.75" x14ac:dyDescent="0.2"/>
    <row r="52197" s="197" customFormat="1" ht="12.75" x14ac:dyDescent="0.2"/>
    <row r="52198" s="197" customFormat="1" ht="12.75" x14ac:dyDescent="0.2"/>
    <row r="52199" s="197" customFormat="1" ht="12.75" x14ac:dyDescent="0.2"/>
    <row r="52200" s="197" customFormat="1" ht="12.75" x14ac:dyDescent="0.2"/>
    <row r="52201" s="197" customFormat="1" ht="12.75" x14ac:dyDescent="0.2"/>
    <row r="52202" s="197" customFormat="1" ht="12.75" x14ac:dyDescent="0.2"/>
    <row r="52203" s="197" customFormat="1" ht="12.75" x14ac:dyDescent="0.2"/>
    <row r="52204" s="197" customFormat="1" ht="12.75" x14ac:dyDescent="0.2"/>
    <row r="52205" s="197" customFormat="1" ht="12.75" x14ac:dyDescent="0.2"/>
    <row r="52206" s="197" customFormat="1" ht="12.75" x14ac:dyDescent="0.2"/>
    <row r="52207" s="197" customFormat="1" ht="12.75" x14ac:dyDescent="0.2"/>
    <row r="52208" s="197" customFormat="1" ht="12.75" x14ac:dyDescent="0.2"/>
    <row r="52209" s="197" customFormat="1" ht="12.75" x14ac:dyDescent="0.2"/>
    <row r="52210" s="197" customFormat="1" ht="12.75" x14ac:dyDescent="0.2"/>
    <row r="52211" s="197" customFormat="1" ht="12.75" x14ac:dyDescent="0.2"/>
    <row r="52212" s="197" customFormat="1" ht="12.75" x14ac:dyDescent="0.2"/>
    <row r="52213" s="197" customFormat="1" ht="12.75" x14ac:dyDescent="0.2"/>
    <row r="52214" s="197" customFormat="1" ht="12.75" x14ac:dyDescent="0.2"/>
    <row r="52215" s="197" customFormat="1" ht="12.75" x14ac:dyDescent="0.2"/>
    <row r="52216" s="197" customFormat="1" ht="12.75" x14ac:dyDescent="0.2"/>
    <row r="52217" s="197" customFormat="1" ht="12.75" x14ac:dyDescent="0.2"/>
    <row r="52218" s="197" customFormat="1" ht="12.75" x14ac:dyDescent="0.2"/>
    <row r="52219" s="197" customFormat="1" ht="12.75" x14ac:dyDescent="0.2"/>
    <row r="52220" s="197" customFormat="1" ht="12.75" x14ac:dyDescent="0.2"/>
    <row r="52221" s="197" customFormat="1" ht="12.75" x14ac:dyDescent="0.2"/>
    <row r="52222" s="197" customFormat="1" ht="12.75" x14ac:dyDescent="0.2"/>
    <row r="52223" s="197" customFormat="1" ht="12.75" x14ac:dyDescent="0.2"/>
    <row r="52224" s="197" customFormat="1" ht="12.75" x14ac:dyDescent="0.2"/>
    <row r="52225" s="197" customFormat="1" ht="12.75" x14ac:dyDescent="0.2"/>
    <row r="52226" s="197" customFormat="1" ht="12.75" x14ac:dyDescent="0.2"/>
    <row r="52227" s="197" customFormat="1" ht="12.75" x14ac:dyDescent="0.2"/>
    <row r="52228" s="197" customFormat="1" ht="12.75" x14ac:dyDescent="0.2"/>
    <row r="52229" s="197" customFormat="1" ht="12.75" x14ac:dyDescent="0.2"/>
    <row r="52230" s="197" customFormat="1" ht="12.75" x14ac:dyDescent="0.2"/>
    <row r="52231" s="197" customFormat="1" ht="12.75" x14ac:dyDescent="0.2"/>
    <row r="52232" s="197" customFormat="1" ht="12.75" x14ac:dyDescent="0.2"/>
    <row r="52233" s="197" customFormat="1" ht="12.75" x14ac:dyDescent="0.2"/>
    <row r="52234" s="197" customFormat="1" ht="12.75" x14ac:dyDescent="0.2"/>
    <row r="52235" s="197" customFormat="1" ht="12.75" x14ac:dyDescent="0.2"/>
    <row r="52236" s="197" customFormat="1" ht="12.75" x14ac:dyDescent="0.2"/>
    <row r="52237" s="197" customFormat="1" ht="12.75" x14ac:dyDescent="0.2"/>
    <row r="52238" s="197" customFormat="1" ht="12.75" x14ac:dyDescent="0.2"/>
    <row r="52239" s="197" customFormat="1" ht="12.75" x14ac:dyDescent="0.2"/>
    <row r="52240" s="197" customFormat="1" ht="12.75" x14ac:dyDescent="0.2"/>
    <row r="52241" s="197" customFormat="1" ht="12.75" x14ac:dyDescent="0.2"/>
    <row r="52242" s="197" customFormat="1" ht="12.75" x14ac:dyDescent="0.2"/>
    <row r="52243" s="197" customFormat="1" ht="12.75" x14ac:dyDescent="0.2"/>
    <row r="52244" s="197" customFormat="1" ht="12.75" x14ac:dyDescent="0.2"/>
    <row r="52245" s="197" customFormat="1" ht="12.75" x14ac:dyDescent="0.2"/>
    <row r="52246" s="197" customFormat="1" ht="12.75" x14ac:dyDescent="0.2"/>
    <row r="52247" s="197" customFormat="1" ht="12.75" x14ac:dyDescent="0.2"/>
    <row r="52248" s="197" customFormat="1" ht="12.75" x14ac:dyDescent="0.2"/>
    <row r="52249" s="197" customFormat="1" ht="12.75" x14ac:dyDescent="0.2"/>
    <row r="52250" s="197" customFormat="1" ht="12.75" x14ac:dyDescent="0.2"/>
    <row r="52251" s="197" customFormat="1" ht="12.75" x14ac:dyDescent="0.2"/>
    <row r="52252" s="197" customFormat="1" ht="12.75" x14ac:dyDescent="0.2"/>
    <row r="52253" s="197" customFormat="1" ht="12.75" x14ac:dyDescent="0.2"/>
    <row r="52254" s="197" customFormat="1" ht="12.75" x14ac:dyDescent="0.2"/>
    <row r="52255" s="197" customFormat="1" ht="12.75" x14ac:dyDescent="0.2"/>
    <row r="52256" s="197" customFormat="1" ht="12.75" x14ac:dyDescent="0.2"/>
    <row r="52257" s="197" customFormat="1" ht="12.75" x14ac:dyDescent="0.2"/>
    <row r="52258" s="197" customFormat="1" ht="12.75" x14ac:dyDescent="0.2"/>
    <row r="52259" s="197" customFormat="1" ht="12.75" x14ac:dyDescent="0.2"/>
    <row r="52260" s="197" customFormat="1" ht="12.75" x14ac:dyDescent="0.2"/>
    <row r="52261" s="197" customFormat="1" ht="12.75" x14ac:dyDescent="0.2"/>
    <row r="52262" s="197" customFormat="1" ht="12.75" x14ac:dyDescent="0.2"/>
    <row r="52263" s="197" customFormat="1" ht="12.75" x14ac:dyDescent="0.2"/>
    <row r="52264" s="197" customFormat="1" ht="12.75" x14ac:dyDescent="0.2"/>
    <row r="52265" s="197" customFormat="1" ht="12.75" x14ac:dyDescent="0.2"/>
    <row r="52266" s="197" customFormat="1" ht="12.75" x14ac:dyDescent="0.2"/>
    <row r="52267" s="197" customFormat="1" ht="12.75" x14ac:dyDescent="0.2"/>
    <row r="52268" s="197" customFormat="1" ht="12.75" x14ac:dyDescent="0.2"/>
    <row r="52269" s="197" customFormat="1" ht="12.75" x14ac:dyDescent="0.2"/>
    <row r="52270" s="197" customFormat="1" ht="12.75" x14ac:dyDescent="0.2"/>
    <row r="52271" s="197" customFormat="1" ht="12.75" x14ac:dyDescent="0.2"/>
    <row r="52272" s="197" customFormat="1" ht="12.75" x14ac:dyDescent="0.2"/>
    <row r="52273" s="197" customFormat="1" ht="12.75" x14ac:dyDescent="0.2"/>
    <row r="52274" s="197" customFormat="1" ht="12.75" x14ac:dyDescent="0.2"/>
    <row r="52275" s="197" customFormat="1" ht="12.75" x14ac:dyDescent="0.2"/>
    <row r="52276" s="197" customFormat="1" ht="12.75" x14ac:dyDescent="0.2"/>
    <row r="52277" s="197" customFormat="1" ht="12.75" x14ac:dyDescent="0.2"/>
    <row r="52278" s="197" customFormat="1" ht="12.75" x14ac:dyDescent="0.2"/>
    <row r="52279" s="197" customFormat="1" ht="12.75" x14ac:dyDescent="0.2"/>
    <row r="52280" s="197" customFormat="1" ht="12.75" x14ac:dyDescent="0.2"/>
    <row r="52281" s="197" customFormat="1" ht="12.75" x14ac:dyDescent="0.2"/>
    <row r="52282" s="197" customFormat="1" ht="12.75" x14ac:dyDescent="0.2"/>
    <row r="52283" s="197" customFormat="1" ht="12.75" x14ac:dyDescent="0.2"/>
    <row r="52284" s="197" customFormat="1" ht="12.75" x14ac:dyDescent="0.2"/>
    <row r="52285" s="197" customFormat="1" ht="12.75" x14ac:dyDescent="0.2"/>
    <row r="52286" s="197" customFormat="1" ht="12.75" x14ac:dyDescent="0.2"/>
    <row r="52287" s="197" customFormat="1" ht="12.75" x14ac:dyDescent="0.2"/>
    <row r="52288" s="197" customFormat="1" ht="12.75" x14ac:dyDescent="0.2"/>
    <row r="52289" s="197" customFormat="1" ht="12.75" x14ac:dyDescent="0.2"/>
    <row r="52290" s="197" customFormat="1" ht="12.75" x14ac:dyDescent="0.2"/>
    <row r="52291" s="197" customFormat="1" ht="12.75" x14ac:dyDescent="0.2"/>
    <row r="52292" s="197" customFormat="1" ht="12.75" x14ac:dyDescent="0.2"/>
    <row r="52293" s="197" customFormat="1" ht="12.75" x14ac:dyDescent="0.2"/>
    <row r="52294" s="197" customFormat="1" ht="12.75" x14ac:dyDescent="0.2"/>
    <row r="52295" s="197" customFormat="1" ht="12.75" x14ac:dyDescent="0.2"/>
    <row r="52296" s="197" customFormat="1" ht="12.75" x14ac:dyDescent="0.2"/>
    <row r="52297" s="197" customFormat="1" ht="12.75" x14ac:dyDescent="0.2"/>
    <row r="52298" s="197" customFormat="1" ht="12.75" x14ac:dyDescent="0.2"/>
    <row r="52299" s="197" customFormat="1" ht="12.75" x14ac:dyDescent="0.2"/>
    <row r="52300" s="197" customFormat="1" ht="12.75" x14ac:dyDescent="0.2"/>
    <row r="52301" s="197" customFormat="1" ht="12.75" x14ac:dyDescent="0.2"/>
    <row r="52302" s="197" customFormat="1" ht="12.75" x14ac:dyDescent="0.2"/>
    <row r="52303" s="197" customFormat="1" ht="12.75" x14ac:dyDescent="0.2"/>
    <row r="52304" s="197" customFormat="1" ht="12.75" x14ac:dyDescent="0.2"/>
    <row r="52305" s="197" customFormat="1" ht="12.75" x14ac:dyDescent="0.2"/>
    <row r="52306" s="197" customFormat="1" ht="12.75" x14ac:dyDescent="0.2"/>
    <row r="52307" s="197" customFormat="1" ht="12.75" x14ac:dyDescent="0.2"/>
    <row r="52308" s="197" customFormat="1" ht="12.75" x14ac:dyDescent="0.2"/>
    <row r="52309" s="197" customFormat="1" ht="12.75" x14ac:dyDescent="0.2"/>
    <row r="52310" s="197" customFormat="1" ht="12.75" x14ac:dyDescent="0.2"/>
    <row r="52311" s="197" customFormat="1" ht="12.75" x14ac:dyDescent="0.2"/>
    <row r="52312" s="197" customFormat="1" ht="12.75" x14ac:dyDescent="0.2"/>
    <row r="52313" s="197" customFormat="1" ht="12.75" x14ac:dyDescent="0.2"/>
    <row r="52314" s="197" customFormat="1" ht="12.75" x14ac:dyDescent="0.2"/>
    <row r="52315" s="197" customFormat="1" ht="12.75" x14ac:dyDescent="0.2"/>
    <row r="52316" s="197" customFormat="1" ht="12.75" x14ac:dyDescent="0.2"/>
    <row r="52317" s="197" customFormat="1" ht="12.75" x14ac:dyDescent="0.2"/>
    <row r="52318" s="197" customFormat="1" ht="12.75" x14ac:dyDescent="0.2"/>
    <row r="52319" s="197" customFormat="1" ht="12.75" x14ac:dyDescent="0.2"/>
    <row r="52320" s="197" customFormat="1" ht="12.75" x14ac:dyDescent="0.2"/>
    <row r="52321" s="197" customFormat="1" ht="12.75" x14ac:dyDescent="0.2"/>
    <row r="52322" s="197" customFormat="1" ht="12.75" x14ac:dyDescent="0.2"/>
    <row r="52323" s="197" customFormat="1" ht="12.75" x14ac:dyDescent="0.2"/>
    <row r="52324" s="197" customFormat="1" ht="12.75" x14ac:dyDescent="0.2"/>
    <row r="52325" s="197" customFormat="1" ht="12.75" x14ac:dyDescent="0.2"/>
    <row r="52326" s="197" customFormat="1" ht="12.75" x14ac:dyDescent="0.2"/>
    <row r="52327" s="197" customFormat="1" ht="12.75" x14ac:dyDescent="0.2"/>
    <row r="52328" s="197" customFormat="1" ht="12.75" x14ac:dyDescent="0.2"/>
    <row r="52329" s="197" customFormat="1" ht="12.75" x14ac:dyDescent="0.2"/>
    <row r="52330" s="197" customFormat="1" ht="12.75" x14ac:dyDescent="0.2"/>
    <row r="52331" s="197" customFormat="1" ht="12.75" x14ac:dyDescent="0.2"/>
    <row r="52332" s="197" customFormat="1" ht="12.75" x14ac:dyDescent="0.2"/>
    <row r="52333" s="197" customFormat="1" ht="12.75" x14ac:dyDescent="0.2"/>
    <row r="52334" s="197" customFormat="1" ht="12.75" x14ac:dyDescent="0.2"/>
    <row r="52335" s="197" customFormat="1" ht="12.75" x14ac:dyDescent="0.2"/>
    <row r="52336" s="197" customFormat="1" ht="12.75" x14ac:dyDescent="0.2"/>
    <row r="52337" s="197" customFormat="1" ht="12.75" x14ac:dyDescent="0.2"/>
    <row r="52338" s="197" customFormat="1" ht="12.75" x14ac:dyDescent="0.2"/>
    <row r="52339" s="197" customFormat="1" ht="12.75" x14ac:dyDescent="0.2"/>
    <row r="52340" s="197" customFormat="1" ht="12.75" x14ac:dyDescent="0.2"/>
    <row r="52341" s="197" customFormat="1" ht="12.75" x14ac:dyDescent="0.2"/>
    <row r="52342" s="197" customFormat="1" ht="12.75" x14ac:dyDescent="0.2"/>
    <row r="52343" s="197" customFormat="1" ht="12.75" x14ac:dyDescent="0.2"/>
    <row r="52344" s="197" customFormat="1" ht="12.75" x14ac:dyDescent="0.2"/>
    <row r="52345" s="197" customFormat="1" ht="12.75" x14ac:dyDescent="0.2"/>
    <row r="52346" s="197" customFormat="1" ht="12.75" x14ac:dyDescent="0.2"/>
    <row r="52347" s="197" customFormat="1" ht="12.75" x14ac:dyDescent="0.2"/>
    <row r="52348" s="197" customFormat="1" ht="12.75" x14ac:dyDescent="0.2"/>
    <row r="52349" s="197" customFormat="1" ht="12.75" x14ac:dyDescent="0.2"/>
    <row r="52350" s="197" customFormat="1" ht="12.75" x14ac:dyDescent="0.2"/>
    <row r="52351" s="197" customFormat="1" ht="12.75" x14ac:dyDescent="0.2"/>
    <row r="52352" s="197" customFormat="1" ht="12.75" x14ac:dyDescent="0.2"/>
    <row r="52353" s="197" customFormat="1" ht="12.75" x14ac:dyDescent="0.2"/>
    <row r="52354" s="197" customFormat="1" ht="12.75" x14ac:dyDescent="0.2"/>
    <row r="52355" s="197" customFormat="1" ht="12.75" x14ac:dyDescent="0.2"/>
    <row r="52356" s="197" customFormat="1" ht="12.75" x14ac:dyDescent="0.2"/>
    <row r="52357" s="197" customFormat="1" ht="12.75" x14ac:dyDescent="0.2"/>
    <row r="52358" s="197" customFormat="1" ht="12.75" x14ac:dyDescent="0.2"/>
    <row r="52359" s="197" customFormat="1" ht="12.75" x14ac:dyDescent="0.2"/>
    <row r="52360" s="197" customFormat="1" ht="12.75" x14ac:dyDescent="0.2"/>
    <row r="52361" s="197" customFormat="1" ht="12.75" x14ac:dyDescent="0.2"/>
    <row r="52362" s="197" customFormat="1" ht="12.75" x14ac:dyDescent="0.2"/>
    <row r="52363" s="197" customFormat="1" ht="12.75" x14ac:dyDescent="0.2"/>
    <row r="52364" s="197" customFormat="1" ht="12.75" x14ac:dyDescent="0.2"/>
    <row r="52365" s="197" customFormat="1" ht="12.75" x14ac:dyDescent="0.2"/>
    <row r="52366" s="197" customFormat="1" ht="12.75" x14ac:dyDescent="0.2"/>
    <row r="52367" s="197" customFormat="1" ht="12.75" x14ac:dyDescent="0.2"/>
    <row r="52368" s="197" customFormat="1" ht="12.75" x14ac:dyDescent="0.2"/>
    <row r="52369" s="197" customFormat="1" ht="12.75" x14ac:dyDescent="0.2"/>
    <row r="52370" s="197" customFormat="1" ht="12.75" x14ac:dyDescent="0.2"/>
    <row r="52371" s="197" customFormat="1" ht="12.75" x14ac:dyDescent="0.2"/>
    <row r="52372" s="197" customFormat="1" ht="12.75" x14ac:dyDescent="0.2"/>
    <row r="52373" s="197" customFormat="1" ht="12.75" x14ac:dyDescent="0.2"/>
    <row r="52374" s="197" customFormat="1" ht="12.75" x14ac:dyDescent="0.2"/>
    <row r="52375" s="197" customFormat="1" ht="12.75" x14ac:dyDescent="0.2"/>
    <row r="52376" s="197" customFormat="1" ht="12.75" x14ac:dyDescent="0.2"/>
    <row r="52377" s="197" customFormat="1" ht="12.75" x14ac:dyDescent="0.2"/>
    <row r="52378" s="197" customFormat="1" ht="12.75" x14ac:dyDescent="0.2"/>
    <row r="52379" s="197" customFormat="1" ht="12.75" x14ac:dyDescent="0.2"/>
    <row r="52380" s="197" customFormat="1" ht="12.75" x14ac:dyDescent="0.2"/>
    <row r="52381" s="197" customFormat="1" ht="12.75" x14ac:dyDescent="0.2"/>
    <row r="52382" s="197" customFormat="1" ht="12.75" x14ac:dyDescent="0.2"/>
    <row r="52383" s="197" customFormat="1" ht="12.75" x14ac:dyDescent="0.2"/>
    <row r="52384" s="197" customFormat="1" ht="12.75" x14ac:dyDescent="0.2"/>
    <row r="52385" s="197" customFormat="1" ht="12.75" x14ac:dyDescent="0.2"/>
    <row r="52386" s="197" customFormat="1" ht="12.75" x14ac:dyDescent="0.2"/>
    <row r="52387" s="197" customFormat="1" ht="12.75" x14ac:dyDescent="0.2"/>
    <row r="52388" s="197" customFormat="1" ht="12.75" x14ac:dyDescent="0.2"/>
    <row r="52389" s="197" customFormat="1" ht="12.75" x14ac:dyDescent="0.2"/>
    <row r="52390" s="197" customFormat="1" ht="12.75" x14ac:dyDescent="0.2"/>
    <row r="52391" s="197" customFormat="1" ht="12.75" x14ac:dyDescent="0.2"/>
    <row r="52392" s="197" customFormat="1" ht="12.75" x14ac:dyDescent="0.2"/>
    <row r="52393" s="197" customFormat="1" ht="12.75" x14ac:dyDescent="0.2"/>
    <row r="52394" s="197" customFormat="1" ht="12.75" x14ac:dyDescent="0.2"/>
    <row r="52395" s="197" customFormat="1" ht="12.75" x14ac:dyDescent="0.2"/>
    <row r="52396" s="197" customFormat="1" ht="12.75" x14ac:dyDescent="0.2"/>
    <row r="52397" s="197" customFormat="1" ht="12.75" x14ac:dyDescent="0.2"/>
    <row r="52398" s="197" customFormat="1" ht="12.75" x14ac:dyDescent="0.2"/>
    <row r="52399" s="197" customFormat="1" ht="12.75" x14ac:dyDescent="0.2"/>
    <row r="52400" s="197" customFormat="1" ht="12.75" x14ac:dyDescent="0.2"/>
    <row r="52401" s="197" customFormat="1" ht="12.75" x14ac:dyDescent="0.2"/>
    <row r="52402" s="197" customFormat="1" ht="12.75" x14ac:dyDescent="0.2"/>
    <row r="52403" s="197" customFormat="1" ht="12.75" x14ac:dyDescent="0.2"/>
    <row r="52404" s="197" customFormat="1" ht="12.75" x14ac:dyDescent="0.2"/>
    <row r="52405" s="197" customFormat="1" ht="12.75" x14ac:dyDescent="0.2"/>
    <row r="52406" s="197" customFormat="1" ht="12.75" x14ac:dyDescent="0.2"/>
    <row r="52407" s="197" customFormat="1" ht="12.75" x14ac:dyDescent="0.2"/>
    <row r="52408" s="197" customFormat="1" ht="12.75" x14ac:dyDescent="0.2"/>
    <row r="52409" s="197" customFormat="1" ht="12.75" x14ac:dyDescent="0.2"/>
    <row r="52410" s="197" customFormat="1" ht="12.75" x14ac:dyDescent="0.2"/>
    <row r="52411" s="197" customFormat="1" ht="12.75" x14ac:dyDescent="0.2"/>
    <row r="52412" s="197" customFormat="1" ht="12.75" x14ac:dyDescent="0.2"/>
    <row r="52413" s="197" customFormat="1" ht="12.75" x14ac:dyDescent="0.2"/>
    <row r="52414" s="197" customFormat="1" ht="12.75" x14ac:dyDescent="0.2"/>
    <row r="52415" s="197" customFormat="1" ht="12.75" x14ac:dyDescent="0.2"/>
    <row r="52416" s="197" customFormat="1" ht="12.75" x14ac:dyDescent="0.2"/>
    <row r="52417" s="197" customFormat="1" ht="12.75" x14ac:dyDescent="0.2"/>
    <row r="52418" s="197" customFormat="1" ht="12.75" x14ac:dyDescent="0.2"/>
    <row r="52419" s="197" customFormat="1" ht="12.75" x14ac:dyDescent="0.2"/>
    <row r="52420" s="197" customFormat="1" ht="12.75" x14ac:dyDescent="0.2"/>
    <row r="52421" s="197" customFormat="1" ht="12.75" x14ac:dyDescent="0.2"/>
    <row r="52422" s="197" customFormat="1" ht="12.75" x14ac:dyDescent="0.2"/>
    <row r="52423" s="197" customFormat="1" ht="12.75" x14ac:dyDescent="0.2"/>
    <row r="52424" s="197" customFormat="1" ht="12.75" x14ac:dyDescent="0.2"/>
    <row r="52425" s="197" customFormat="1" ht="12.75" x14ac:dyDescent="0.2"/>
    <row r="52426" s="197" customFormat="1" ht="12.75" x14ac:dyDescent="0.2"/>
    <row r="52427" s="197" customFormat="1" ht="12.75" x14ac:dyDescent="0.2"/>
    <row r="52428" s="197" customFormat="1" ht="12.75" x14ac:dyDescent="0.2"/>
    <row r="52429" s="197" customFormat="1" ht="12.75" x14ac:dyDescent="0.2"/>
    <row r="52430" s="197" customFormat="1" ht="12.75" x14ac:dyDescent="0.2"/>
    <row r="52431" s="197" customFormat="1" ht="12.75" x14ac:dyDescent="0.2"/>
    <row r="52432" s="197" customFormat="1" ht="12.75" x14ac:dyDescent="0.2"/>
    <row r="52433" s="197" customFormat="1" ht="12.75" x14ac:dyDescent="0.2"/>
    <row r="52434" s="197" customFormat="1" ht="12.75" x14ac:dyDescent="0.2"/>
    <row r="52435" s="197" customFormat="1" ht="12.75" x14ac:dyDescent="0.2"/>
    <row r="52436" s="197" customFormat="1" ht="12.75" x14ac:dyDescent="0.2"/>
    <row r="52437" s="197" customFormat="1" ht="12.75" x14ac:dyDescent="0.2"/>
    <row r="52438" s="197" customFormat="1" ht="12.75" x14ac:dyDescent="0.2"/>
    <row r="52439" s="197" customFormat="1" ht="12.75" x14ac:dyDescent="0.2"/>
    <row r="52440" s="197" customFormat="1" ht="12.75" x14ac:dyDescent="0.2"/>
    <row r="52441" s="197" customFormat="1" ht="12.75" x14ac:dyDescent="0.2"/>
    <row r="52442" s="197" customFormat="1" ht="12.75" x14ac:dyDescent="0.2"/>
    <row r="52443" s="197" customFormat="1" ht="12.75" x14ac:dyDescent="0.2"/>
    <row r="52444" s="197" customFormat="1" ht="12.75" x14ac:dyDescent="0.2"/>
    <row r="52445" s="197" customFormat="1" ht="12.75" x14ac:dyDescent="0.2"/>
    <row r="52446" s="197" customFormat="1" ht="12.75" x14ac:dyDescent="0.2"/>
    <row r="52447" s="197" customFormat="1" ht="12.75" x14ac:dyDescent="0.2"/>
    <row r="52448" s="197" customFormat="1" ht="12.75" x14ac:dyDescent="0.2"/>
    <row r="52449" s="197" customFormat="1" ht="12.75" x14ac:dyDescent="0.2"/>
    <row r="52450" s="197" customFormat="1" ht="12.75" x14ac:dyDescent="0.2"/>
    <row r="52451" s="197" customFormat="1" ht="12.75" x14ac:dyDescent="0.2"/>
    <row r="52452" s="197" customFormat="1" ht="12.75" x14ac:dyDescent="0.2"/>
    <row r="52453" s="197" customFormat="1" ht="12.75" x14ac:dyDescent="0.2"/>
    <row r="52454" s="197" customFormat="1" ht="12.75" x14ac:dyDescent="0.2"/>
    <row r="52455" s="197" customFormat="1" ht="12.75" x14ac:dyDescent="0.2"/>
    <row r="52456" s="197" customFormat="1" ht="12.75" x14ac:dyDescent="0.2"/>
    <row r="52457" s="197" customFormat="1" ht="12.75" x14ac:dyDescent="0.2"/>
    <row r="52458" s="197" customFormat="1" ht="12.75" x14ac:dyDescent="0.2"/>
    <row r="52459" s="197" customFormat="1" ht="12.75" x14ac:dyDescent="0.2"/>
    <row r="52460" s="197" customFormat="1" ht="12.75" x14ac:dyDescent="0.2"/>
    <row r="52461" s="197" customFormat="1" ht="12.75" x14ac:dyDescent="0.2"/>
    <row r="52462" s="197" customFormat="1" ht="12.75" x14ac:dyDescent="0.2"/>
    <row r="52463" s="197" customFormat="1" ht="12.75" x14ac:dyDescent="0.2"/>
    <row r="52464" s="197" customFormat="1" ht="12.75" x14ac:dyDescent="0.2"/>
    <row r="52465" s="197" customFormat="1" ht="12.75" x14ac:dyDescent="0.2"/>
    <row r="52466" s="197" customFormat="1" ht="12.75" x14ac:dyDescent="0.2"/>
    <row r="52467" s="197" customFormat="1" ht="12.75" x14ac:dyDescent="0.2"/>
    <row r="52468" s="197" customFormat="1" ht="12.75" x14ac:dyDescent="0.2"/>
    <row r="52469" s="197" customFormat="1" ht="12.75" x14ac:dyDescent="0.2"/>
    <row r="52470" s="197" customFormat="1" ht="12.75" x14ac:dyDescent="0.2"/>
    <row r="52471" s="197" customFormat="1" ht="12.75" x14ac:dyDescent="0.2"/>
    <row r="52472" s="197" customFormat="1" ht="12.75" x14ac:dyDescent="0.2"/>
    <row r="52473" s="197" customFormat="1" ht="12.75" x14ac:dyDescent="0.2"/>
    <row r="52474" s="197" customFormat="1" ht="12.75" x14ac:dyDescent="0.2"/>
    <row r="52475" s="197" customFormat="1" ht="12.75" x14ac:dyDescent="0.2"/>
    <row r="52476" s="197" customFormat="1" ht="12.75" x14ac:dyDescent="0.2"/>
    <row r="52477" s="197" customFormat="1" ht="12.75" x14ac:dyDescent="0.2"/>
    <row r="52478" s="197" customFormat="1" ht="12.75" x14ac:dyDescent="0.2"/>
    <row r="52479" s="197" customFormat="1" ht="12.75" x14ac:dyDescent="0.2"/>
    <row r="52480" s="197" customFormat="1" ht="12.75" x14ac:dyDescent="0.2"/>
    <row r="52481" s="197" customFormat="1" ht="12.75" x14ac:dyDescent="0.2"/>
    <row r="52482" s="197" customFormat="1" ht="12.75" x14ac:dyDescent="0.2"/>
    <row r="52483" s="197" customFormat="1" ht="12.75" x14ac:dyDescent="0.2"/>
    <row r="52484" s="197" customFormat="1" ht="12.75" x14ac:dyDescent="0.2"/>
    <row r="52485" s="197" customFormat="1" ht="12.75" x14ac:dyDescent="0.2"/>
    <row r="52486" s="197" customFormat="1" ht="12.75" x14ac:dyDescent="0.2"/>
    <row r="52487" s="197" customFormat="1" ht="12.75" x14ac:dyDescent="0.2"/>
    <row r="52488" s="197" customFormat="1" ht="12.75" x14ac:dyDescent="0.2"/>
    <row r="52489" s="197" customFormat="1" ht="12.75" x14ac:dyDescent="0.2"/>
    <row r="52490" s="197" customFormat="1" ht="12.75" x14ac:dyDescent="0.2"/>
    <row r="52491" s="197" customFormat="1" ht="12.75" x14ac:dyDescent="0.2"/>
    <row r="52492" s="197" customFormat="1" ht="12.75" x14ac:dyDescent="0.2"/>
    <row r="52493" s="197" customFormat="1" ht="12.75" x14ac:dyDescent="0.2"/>
    <row r="52494" s="197" customFormat="1" ht="12.75" x14ac:dyDescent="0.2"/>
    <row r="52495" s="197" customFormat="1" ht="12.75" x14ac:dyDescent="0.2"/>
    <row r="52496" s="197" customFormat="1" ht="12.75" x14ac:dyDescent="0.2"/>
    <row r="52497" s="197" customFormat="1" ht="12.75" x14ac:dyDescent="0.2"/>
    <row r="52498" s="197" customFormat="1" ht="12.75" x14ac:dyDescent="0.2"/>
    <row r="52499" s="197" customFormat="1" ht="12.75" x14ac:dyDescent="0.2"/>
    <row r="52500" s="197" customFormat="1" ht="12.75" x14ac:dyDescent="0.2"/>
    <row r="52501" s="197" customFormat="1" ht="12.75" x14ac:dyDescent="0.2"/>
    <row r="52502" s="197" customFormat="1" ht="12.75" x14ac:dyDescent="0.2"/>
    <row r="52503" s="197" customFormat="1" ht="12.75" x14ac:dyDescent="0.2"/>
    <row r="52504" s="197" customFormat="1" ht="12.75" x14ac:dyDescent="0.2"/>
    <row r="52505" s="197" customFormat="1" ht="12.75" x14ac:dyDescent="0.2"/>
    <row r="52506" s="197" customFormat="1" ht="12.75" x14ac:dyDescent="0.2"/>
    <row r="52507" s="197" customFormat="1" ht="12.75" x14ac:dyDescent="0.2"/>
    <row r="52508" s="197" customFormat="1" ht="12.75" x14ac:dyDescent="0.2"/>
    <row r="52509" s="197" customFormat="1" ht="12.75" x14ac:dyDescent="0.2"/>
    <row r="52510" s="197" customFormat="1" ht="12.75" x14ac:dyDescent="0.2"/>
    <row r="52511" s="197" customFormat="1" ht="12.75" x14ac:dyDescent="0.2"/>
    <row r="52512" s="197" customFormat="1" ht="12.75" x14ac:dyDescent="0.2"/>
    <row r="52513" s="197" customFormat="1" ht="12.75" x14ac:dyDescent="0.2"/>
    <row r="52514" s="197" customFormat="1" ht="12.75" x14ac:dyDescent="0.2"/>
    <row r="52515" s="197" customFormat="1" ht="12.75" x14ac:dyDescent="0.2"/>
    <row r="52516" s="197" customFormat="1" ht="12.75" x14ac:dyDescent="0.2"/>
    <row r="52517" s="197" customFormat="1" ht="12.75" x14ac:dyDescent="0.2"/>
    <row r="52518" s="197" customFormat="1" ht="12.75" x14ac:dyDescent="0.2"/>
    <row r="52519" s="197" customFormat="1" ht="12.75" x14ac:dyDescent="0.2"/>
    <row r="52520" s="197" customFormat="1" ht="12.75" x14ac:dyDescent="0.2"/>
    <row r="52521" s="197" customFormat="1" ht="12.75" x14ac:dyDescent="0.2"/>
    <row r="52522" s="197" customFormat="1" ht="12.75" x14ac:dyDescent="0.2"/>
    <row r="52523" s="197" customFormat="1" ht="12.75" x14ac:dyDescent="0.2"/>
    <row r="52524" s="197" customFormat="1" ht="12.75" x14ac:dyDescent="0.2"/>
    <row r="52525" s="197" customFormat="1" ht="12.75" x14ac:dyDescent="0.2"/>
    <row r="52526" s="197" customFormat="1" ht="12.75" x14ac:dyDescent="0.2"/>
    <row r="52527" s="197" customFormat="1" ht="12.75" x14ac:dyDescent="0.2"/>
    <row r="52528" s="197" customFormat="1" ht="12.75" x14ac:dyDescent="0.2"/>
    <row r="52529" s="197" customFormat="1" ht="12.75" x14ac:dyDescent="0.2"/>
    <row r="52530" s="197" customFormat="1" ht="12.75" x14ac:dyDescent="0.2"/>
    <row r="52531" s="197" customFormat="1" ht="12.75" x14ac:dyDescent="0.2"/>
    <row r="52532" s="197" customFormat="1" ht="12.75" x14ac:dyDescent="0.2"/>
    <row r="52533" s="197" customFormat="1" ht="12.75" x14ac:dyDescent="0.2"/>
    <row r="52534" s="197" customFormat="1" ht="12.75" x14ac:dyDescent="0.2"/>
    <row r="52535" s="197" customFormat="1" ht="12.75" x14ac:dyDescent="0.2"/>
    <row r="52536" s="197" customFormat="1" ht="12.75" x14ac:dyDescent="0.2"/>
    <row r="52537" s="197" customFormat="1" ht="12.75" x14ac:dyDescent="0.2"/>
    <row r="52538" s="197" customFormat="1" ht="12.75" x14ac:dyDescent="0.2"/>
    <row r="52539" s="197" customFormat="1" ht="12.75" x14ac:dyDescent="0.2"/>
    <row r="52540" s="197" customFormat="1" ht="12.75" x14ac:dyDescent="0.2"/>
    <row r="52541" s="197" customFormat="1" ht="12.75" x14ac:dyDescent="0.2"/>
    <row r="52542" s="197" customFormat="1" ht="12.75" x14ac:dyDescent="0.2"/>
    <row r="52543" s="197" customFormat="1" ht="12.75" x14ac:dyDescent="0.2"/>
    <row r="52544" s="197" customFormat="1" ht="12.75" x14ac:dyDescent="0.2"/>
    <row r="52545" s="197" customFormat="1" ht="12.75" x14ac:dyDescent="0.2"/>
    <row r="52546" s="197" customFormat="1" ht="12.75" x14ac:dyDescent="0.2"/>
    <row r="52547" s="197" customFormat="1" ht="12.75" x14ac:dyDescent="0.2"/>
    <row r="52548" s="197" customFormat="1" ht="12.75" x14ac:dyDescent="0.2"/>
    <row r="52549" s="197" customFormat="1" ht="12.75" x14ac:dyDescent="0.2"/>
    <row r="52550" s="197" customFormat="1" ht="12.75" x14ac:dyDescent="0.2"/>
    <row r="52551" s="197" customFormat="1" ht="12.75" x14ac:dyDescent="0.2"/>
    <row r="52552" s="197" customFormat="1" ht="12.75" x14ac:dyDescent="0.2"/>
    <row r="52553" s="197" customFormat="1" ht="12.75" x14ac:dyDescent="0.2"/>
    <row r="52554" s="197" customFormat="1" ht="12.75" x14ac:dyDescent="0.2"/>
    <row r="52555" s="197" customFormat="1" ht="12.75" x14ac:dyDescent="0.2"/>
    <row r="52556" s="197" customFormat="1" ht="12.75" x14ac:dyDescent="0.2"/>
    <row r="52557" s="197" customFormat="1" ht="12.75" x14ac:dyDescent="0.2"/>
    <row r="52558" s="197" customFormat="1" ht="12.75" x14ac:dyDescent="0.2"/>
    <row r="52559" s="197" customFormat="1" ht="12.75" x14ac:dyDescent="0.2"/>
    <row r="52560" s="197" customFormat="1" ht="12.75" x14ac:dyDescent="0.2"/>
    <row r="52561" s="197" customFormat="1" ht="12.75" x14ac:dyDescent="0.2"/>
    <row r="52562" s="197" customFormat="1" ht="12.75" x14ac:dyDescent="0.2"/>
    <row r="52563" s="197" customFormat="1" ht="12.75" x14ac:dyDescent="0.2"/>
    <row r="52564" s="197" customFormat="1" ht="12.75" x14ac:dyDescent="0.2"/>
    <row r="52565" s="197" customFormat="1" ht="12.75" x14ac:dyDescent="0.2"/>
    <row r="52566" s="197" customFormat="1" ht="12.75" x14ac:dyDescent="0.2"/>
    <row r="52567" s="197" customFormat="1" ht="12.75" x14ac:dyDescent="0.2"/>
    <row r="52568" s="197" customFormat="1" ht="12.75" x14ac:dyDescent="0.2"/>
    <row r="52569" s="197" customFormat="1" ht="12.75" x14ac:dyDescent="0.2"/>
    <row r="52570" s="197" customFormat="1" ht="12.75" x14ac:dyDescent="0.2"/>
    <row r="52571" s="197" customFormat="1" ht="12.75" x14ac:dyDescent="0.2"/>
    <row r="52572" s="197" customFormat="1" ht="12.75" x14ac:dyDescent="0.2"/>
    <row r="52573" s="197" customFormat="1" ht="12.75" x14ac:dyDescent="0.2"/>
    <row r="52574" s="197" customFormat="1" ht="12.75" x14ac:dyDescent="0.2"/>
    <row r="52575" s="197" customFormat="1" ht="12.75" x14ac:dyDescent="0.2"/>
    <row r="52576" s="197" customFormat="1" ht="12.75" x14ac:dyDescent="0.2"/>
    <row r="52577" s="197" customFormat="1" ht="12.75" x14ac:dyDescent="0.2"/>
    <row r="52578" s="197" customFormat="1" ht="12.75" x14ac:dyDescent="0.2"/>
    <row r="52579" s="197" customFormat="1" ht="12.75" x14ac:dyDescent="0.2"/>
    <row r="52580" s="197" customFormat="1" ht="12.75" x14ac:dyDescent="0.2"/>
    <row r="52581" s="197" customFormat="1" ht="12.75" x14ac:dyDescent="0.2"/>
    <row r="52582" s="197" customFormat="1" ht="12.75" x14ac:dyDescent="0.2"/>
    <row r="52583" s="197" customFormat="1" ht="12.75" x14ac:dyDescent="0.2"/>
    <row r="52584" s="197" customFormat="1" ht="12.75" x14ac:dyDescent="0.2"/>
    <row r="52585" s="197" customFormat="1" ht="12.75" x14ac:dyDescent="0.2"/>
    <row r="52586" s="197" customFormat="1" ht="12.75" x14ac:dyDescent="0.2"/>
    <row r="52587" s="197" customFormat="1" ht="12.75" x14ac:dyDescent="0.2"/>
    <row r="52588" s="197" customFormat="1" ht="12.75" x14ac:dyDescent="0.2"/>
    <row r="52589" s="197" customFormat="1" ht="12.75" x14ac:dyDescent="0.2"/>
    <row r="52590" s="197" customFormat="1" ht="12.75" x14ac:dyDescent="0.2"/>
    <row r="52591" s="197" customFormat="1" ht="12.75" x14ac:dyDescent="0.2"/>
    <row r="52592" s="197" customFormat="1" ht="12.75" x14ac:dyDescent="0.2"/>
    <row r="52593" s="197" customFormat="1" ht="12.75" x14ac:dyDescent="0.2"/>
    <row r="52594" s="197" customFormat="1" ht="12.75" x14ac:dyDescent="0.2"/>
    <row r="52595" s="197" customFormat="1" ht="12.75" x14ac:dyDescent="0.2"/>
    <row r="52596" s="197" customFormat="1" ht="12.75" x14ac:dyDescent="0.2"/>
    <row r="52597" s="197" customFormat="1" ht="12.75" x14ac:dyDescent="0.2"/>
    <row r="52598" s="197" customFormat="1" ht="12.75" x14ac:dyDescent="0.2"/>
    <row r="52599" s="197" customFormat="1" ht="12.75" x14ac:dyDescent="0.2"/>
    <row r="52600" s="197" customFormat="1" ht="12.75" x14ac:dyDescent="0.2"/>
    <row r="52601" s="197" customFormat="1" ht="12.75" x14ac:dyDescent="0.2"/>
    <row r="52602" s="197" customFormat="1" ht="12.75" x14ac:dyDescent="0.2"/>
    <row r="52603" s="197" customFormat="1" ht="12.75" x14ac:dyDescent="0.2"/>
    <row r="52604" s="197" customFormat="1" ht="12.75" x14ac:dyDescent="0.2"/>
    <row r="52605" s="197" customFormat="1" ht="12.75" x14ac:dyDescent="0.2"/>
    <row r="52606" s="197" customFormat="1" ht="12.75" x14ac:dyDescent="0.2"/>
    <row r="52607" s="197" customFormat="1" ht="12.75" x14ac:dyDescent="0.2"/>
    <row r="52608" s="197" customFormat="1" ht="12.75" x14ac:dyDescent="0.2"/>
    <row r="52609" s="197" customFormat="1" ht="12.75" x14ac:dyDescent="0.2"/>
    <row r="52610" s="197" customFormat="1" ht="12.75" x14ac:dyDescent="0.2"/>
    <row r="52611" s="197" customFormat="1" ht="12.75" x14ac:dyDescent="0.2"/>
    <row r="52612" s="197" customFormat="1" ht="12.75" x14ac:dyDescent="0.2"/>
    <row r="52613" s="197" customFormat="1" ht="12.75" x14ac:dyDescent="0.2"/>
    <row r="52614" s="197" customFormat="1" ht="12.75" x14ac:dyDescent="0.2"/>
    <row r="52615" s="197" customFormat="1" ht="12.75" x14ac:dyDescent="0.2"/>
    <row r="52616" s="197" customFormat="1" ht="12.75" x14ac:dyDescent="0.2"/>
    <row r="52617" s="197" customFormat="1" ht="12.75" x14ac:dyDescent="0.2"/>
    <row r="52618" s="197" customFormat="1" ht="12.75" x14ac:dyDescent="0.2"/>
    <row r="52619" s="197" customFormat="1" ht="12.75" x14ac:dyDescent="0.2"/>
    <row r="52620" s="197" customFormat="1" ht="12.75" x14ac:dyDescent="0.2"/>
    <row r="52621" s="197" customFormat="1" ht="12.75" x14ac:dyDescent="0.2"/>
    <row r="52622" s="197" customFormat="1" ht="12.75" x14ac:dyDescent="0.2"/>
    <row r="52623" s="197" customFormat="1" ht="12.75" x14ac:dyDescent="0.2"/>
    <row r="52624" s="197" customFormat="1" ht="12.75" x14ac:dyDescent="0.2"/>
    <row r="52625" s="197" customFormat="1" ht="12.75" x14ac:dyDescent="0.2"/>
    <row r="52626" s="197" customFormat="1" ht="12.75" x14ac:dyDescent="0.2"/>
    <row r="52627" s="197" customFormat="1" ht="12.75" x14ac:dyDescent="0.2"/>
    <row r="52628" s="197" customFormat="1" ht="12.75" x14ac:dyDescent="0.2"/>
    <row r="52629" s="197" customFormat="1" ht="12.75" x14ac:dyDescent="0.2"/>
    <row r="52630" s="197" customFormat="1" ht="12.75" x14ac:dyDescent="0.2"/>
    <row r="52631" s="197" customFormat="1" ht="12.75" x14ac:dyDescent="0.2"/>
    <row r="52632" s="197" customFormat="1" ht="12.75" x14ac:dyDescent="0.2"/>
    <row r="52633" s="197" customFormat="1" ht="12.75" x14ac:dyDescent="0.2"/>
    <row r="52634" s="197" customFormat="1" ht="12.75" x14ac:dyDescent="0.2"/>
    <row r="52635" s="197" customFormat="1" ht="12.75" x14ac:dyDescent="0.2"/>
    <row r="52636" s="197" customFormat="1" ht="12.75" x14ac:dyDescent="0.2"/>
    <row r="52637" s="197" customFormat="1" ht="12.75" x14ac:dyDescent="0.2"/>
    <row r="52638" s="197" customFormat="1" ht="12.75" x14ac:dyDescent="0.2"/>
    <row r="52639" s="197" customFormat="1" ht="12.75" x14ac:dyDescent="0.2"/>
    <row r="52640" s="197" customFormat="1" ht="12.75" x14ac:dyDescent="0.2"/>
    <row r="52641" s="197" customFormat="1" ht="12.75" x14ac:dyDescent="0.2"/>
    <row r="52642" s="197" customFormat="1" ht="12.75" x14ac:dyDescent="0.2"/>
    <row r="52643" s="197" customFormat="1" ht="12.75" x14ac:dyDescent="0.2"/>
    <row r="52644" s="197" customFormat="1" ht="12.75" x14ac:dyDescent="0.2"/>
    <row r="52645" s="197" customFormat="1" ht="12.75" x14ac:dyDescent="0.2"/>
    <row r="52646" s="197" customFormat="1" ht="12.75" x14ac:dyDescent="0.2"/>
    <row r="52647" s="197" customFormat="1" ht="12.75" x14ac:dyDescent="0.2"/>
    <row r="52648" s="197" customFormat="1" ht="12.75" x14ac:dyDescent="0.2"/>
    <row r="52649" s="197" customFormat="1" ht="12.75" x14ac:dyDescent="0.2"/>
    <row r="52650" s="197" customFormat="1" ht="12.75" x14ac:dyDescent="0.2"/>
    <row r="52651" s="197" customFormat="1" ht="12.75" x14ac:dyDescent="0.2"/>
    <row r="52652" s="197" customFormat="1" ht="12.75" x14ac:dyDescent="0.2"/>
    <row r="52653" s="197" customFormat="1" ht="12.75" x14ac:dyDescent="0.2"/>
    <row r="52654" s="197" customFormat="1" ht="12.75" x14ac:dyDescent="0.2"/>
    <row r="52655" s="197" customFormat="1" ht="12.75" x14ac:dyDescent="0.2"/>
    <row r="52656" s="197" customFormat="1" ht="12.75" x14ac:dyDescent="0.2"/>
    <row r="52657" s="197" customFormat="1" ht="12.75" x14ac:dyDescent="0.2"/>
    <row r="52658" s="197" customFormat="1" ht="12.75" x14ac:dyDescent="0.2"/>
    <row r="52659" s="197" customFormat="1" ht="12.75" x14ac:dyDescent="0.2"/>
    <row r="52660" s="197" customFormat="1" ht="12.75" x14ac:dyDescent="0.2"/>
    <row r="52661" s="197" customFormat="1" ht="12.75" x14ac:dyDescent="0.2"/>
    <row r="52662" s="197" customFormat="1" ht="12.75" x14ac:dyDescent="0.2"/>
    <row r="52663" s="197" customFormat="1" ht="12.75" x14ac:dyDescent="0.2"/>
    <row r="52664" s="197" customFormat="1" ht="12.75" x14ac:dyDescent="0.2"/>
    <row r="52665" s="197" customFormat="1" ht="12.75" x14ac:dyDescent="0.2"/>
    <row r="52666" s="197" customFormat="1" ht="12.75" x14ac:dyDescent="0.2"/>
    <row r="52667" s="197" customFormat="1" ht="12.75" x14ac:dyDescent="0.2"/>
    <row r="52668" s="197" customFormat="1" ht="12.75" x14ac:dyDescent="0.2"/>
    <row r="52669" s="197" customFormat="1" ht="12.75" x14ac:dyDescent="0.2"/>
    <row r="52670" s="197" customFormat="1" ht="12.75" x14ac:dyDescent="0.2"/>
    <row r="52671" s="197" customFormat="1" ht="12.75" x14ac:dyDescent="0.2"/>
    <row r="52672" s="197" customFormat="1" ht="12.75" x14ac:dyDescent="0.2"/>
    <row r="52673" s="197" customFormat="1" ht="12.75" x14ac:dyDescent="0.2"/>
    <row r="52674" s="197" customFormat="1" ht="12.75" x14ac:dyDescent="0.2"/>
    <row r="52675" s="197" customFormat="1" ht="12.75" x14ac:dyDescent="0.2"/>
    <row r="52676" s="197" customFormat="1" ht="12.75" x14ac:dyDescent="0.2"/>
    <row r="52677" s="197" customFormat="1" ht="12.75" x14ac:dyDescent="0.2"/>
    <row r="52678" s="197" customFormat="1" ht="12.75" x14ac:dyDescent="0.2"/>
    <row r="52679" s="197" customFormat="1" ht="12.75" x14ac:dyDescent="0.2"/>
    <row r="52680" s="197" customFormat="1" ht="12.75" x14ac:dyDescent="0.2"/>
    <row r="52681" s="197" customFormat="1" ht="12.75" x14ac:dyDescent="0.2"/>
    <row r="52682" s="197" customFormat="1" ht="12.75" x14ac:dyDescent="0.2"/>
    <row r="52683" s="197" customFormat="1" ht="12.75" x14ac:dyDescent="0.2"/>
    <row r="52684" s="197" customFormat="1" ht="12.75" x14ac:dyDescent="0.2"/>
    <row r="52685" s="197" customFormat="1" ht="12.75" x14ac:dyDescent="0.2"/>
    <row r="52686" s="197" customFormat="1" ht="12.75" x14ac:dyDescent="0.2"/>
    <row r="52687" s="197" customFormat="1" ht="12.75" x14ac:dyDescent="0.2"/>
    <row r="52688" s="197" customFormat="1" ht="12.75" x14ac:dyDescent="0.2"/>
    <row r="52689" s="197" customFormat="1" ht="12.75" x14ac:dyDescent="0.2"/>
    <row r="52690" s="197" customFormat="1" ht="12.75" x14ac:dyDescent="0.2"/>
    <row r="52691" s="197" customFormat="1" ht="12.75" x14ac:dyDescent="0.2"/>
    <row r="52692" s="197" customFormat="1" ht="12.75" x14ac:dyDescent="0.2"/>
    <row r="52693" s="197" customFormat="1" ht="12.75" x14ac:dyDescent="0.2"/>
    <row r="52694" s="197" customFormat="1" ht="12.75" x14ac:dyDescent="0.2"/>
    <row r="52695" s="197" customFormat="1" ht="12.75" x14ac:dyDescent="0.2"/>
    <row r="52696" s="197" customFormat="1" ht="12.75" x14ac:dyDescent="0.2"/>
    <row r="52697" s="197" customFormat="1" ht="12.75" x14ac:dyDescent="0.2"/>
    <row r="52698" s="197" customFormat="1" ht="12.75" x14ac:dyDescent="0.2"/>
    <row r="52699" s="197" customFormat="1" ht="12.75" x14ac:dyDescent="0.2"/>
    <row r="52700" s="197" customFormat="1" ht="12.75" x14ac:dyDescent="0.2"/>
    <row r="52701" s="197" customFormat="1" ht="12.75" x14ac:dyDescent="0.2"/>
    <row r="52702" s="197" customFormat="1" ht="12.75" x14ac:dyDescent="0.2"/>
    <row r="52703" s="197" customFormat="1" ht="12.75" x14ac:dyDescent="0.2"/>
    <row r="52704" s="197" customFormat="1" ht="12.75" x14ac:dyDescent="0.2"/>
    <row r="52705" s="197" customFormat="1" ht="12.75" x14ac:dyDescent="0.2"/>
    <row r="52706" s="197" customFormat="1" ht="12.75" x14ac:dyDescent="0.2"/>
    <row r="52707" s="197" customFormat="1" ht="12.75" x14ac:dyDescent="0.2"/>
    <row r="52708" s="197" customFormat="1" ht="12.75" x14ac:dyDescent="0.2"/>
    <row r="52709" s="197" customFormat="1" ht="12.75" x14ac:dyDescent="0.2"/>
    <row r="52710" s="197" customFormat="1" ht="12.75" x14ac:dyDescent="0.2"/>
    <row r="52711" s="197" customFormat="1" ht="12.75" x14ac:dyDescent="0.2"/>
    <row r="52712" s="197" customFormat="1" ht="12.75" x14ac:dyDescent="0.2"/>
    <row r="52713" s="197" customFormat="1" ht="12.75" x14ac:dyDescent="0.2"/>
    <row r="52714" s="197" customFormat="1" ht="12.75" x14ac:dyDescent="0.2"/>
    <row r="52715" s="197" customFormat="1" ht="12.75" x14ac:dyDescent="0.2"/>
    <row r="52716" s="197" customFormat="1" ht="12.75" x14ac:dyDescent="0.2"/>
    <row r="52717" s="197" customFormat="1" ht="12.75" x14ac:dyDescent="0.2"/>
    <row r="52718" s="197" customFormat="1" ht="12.75" x14ac:dyDescent="0.2"/>
    <row r="52719" s="197" customFormat="1" ht="12.75" x14ac:dyDescent="0.2"/>
    <row r="52720" s="197" customFormat="1" ht="12.75" x14ac:dyDescent="0.2"/>
    <row r="52721" s="197" customFormat="1" ht="12.75" x14ac:dyDescent="0.2"/>
    <row r="52722" s="197" customFormat="1" ht="12.75" x14ac:dyDescent="0.2"/>
    <row r="52723" s="197" customFormat="1" ht="12.75" x14ac:dyDescent="0.2"/>
    <row r="52724" s="197" customFormat="1" ht="12.75" x14ac:dyDescent="0.2"/>
    <row r="52725" s="197" customFormat="1" ht="12.75" x14ac:dyDescent="0.2"/>
    <row r="52726" s="197" customFormat="1" ht="12.75" x14ac:dyDescent="0.2"/>
    <row r="52727" s="197" customFormat="1" ht="12.75" x14ac:dyDescent="0.2"/>
    <row r="52728" s="197" customFormat="1" ht="12.75" x14ac:dyDescent="0.2"/>
    <row r="52729" s="197" customFormat="1" ht="12.75" x14ac:dyDescent="0.2"/>
    <row r="52730" s="197" customFormat="1" ht="12.75" x14ac:dyDescent="0.2"/>
    <row r="52731" s="197" customFormat="1" ht="12.75" x14ac:dyDescent="0.2"/>
    <row r="52732" s="197" customFormat="1" ht="12.75" x14ac:dyDescent="0.2"/>
    <row r="52733" s="197" customFormat="1" ht="12.75" x14ac:dyDescent="0.2"/>
    <row r="52734" s="197" customFormat="1" ht="12.75" x14ac:dyDescent="0.2"/>
    <row r="52735" s="197" customFormat="1" ht="12.75" x14ac:dyDescent="0.2"/>
    <row r="52736" s="197" customFormat="1" ht="12.75" x14ac:dyDescent="0.2"/>
    <row r="52737" s="197" customFormat="1" ht="12.75" x14ac:dyDescent="0.2"/>
    <row r="52738" s="197" customFormat="1" ht="12.75" x14ac:dyDescent="0.2"/>
    <row r="52739" s="197" customFormat="1" ht="12.75" x14ac:dyDescent="0.2"/>
    <row r="52740" s="197" customFormat="1" ht="12.75" x14ac:dyDescent="0.2"/>
    <row r="52741" s="197" customFormat="1" ht="12.75" x14ac:dyDescent="0.2"/>
    <row r="52742" s="197" customFormat="1" ht="12.75" x14ac:dyDescent="0.2"/>
    <row r="52743" s="197" customFormat="1" ht="12.75" x14ac:dyDescent="0.2"/>
    <row r="52744" s="197" customFormat="1" ht="12.75" x14ac:dyDescent="0.2"/>
    <row r="52745" s="197" customFormat="1" ht="12.75" x14ac:dyDescent="0.2"/>
    <row r="52746" s="197" customFormat="1" ht="12.75" x14ac:dyDescent="0.2"/>
    <row r="52747" s="197" customFormat="1" ht="12.75" x14ac:dyDescent="0.2"/>
    <row r="52748" s="197" customFormat="1" ht="12.75" x14ac:dyDescent="0.2"/>
    <row r="52749" s="197" customFormat="1" ht="12.75" x14ac:dyDescent="0.2"/>
    <row r="52750" s="197" customFormat="1" ht="12.75" x14ac:dyDescent="0.2"/>
    <row r="52751" s="197" customFormat="1" ht="12.75" x14ac:dyDescent="0.2"/>
    <row r="52752" s="197" customFormat="1" ht="12.75" x14ac:dyDescent="0.2"/>
    <row r="52753" s="197" customFormat="1" ht="12.75" x14ac:dyDescent="0.2"/>
    <row r="52754" s="197" customFormat="1" ht="12.75" x14ac:dyDescent="0.2"/>
    <row r="52755" s="197" customFormat="1" ht="12.75" x14ac:dyDescent="0.2"/>
    <row r="52756" s="197" customFormat="1" ht="12.75" x14ac:dyDescent="0.2"/>
    <row r="52757" s="197" customFormat="1" ht="12.75" x14ac:dyDescent="0.2"/>
    <row r="52758" s="197" customFormat="1" ht="12.75" x14ac:dyDescent="0.2"/>
    <row r="52759" s="197" customFormat="1" ht="12.75" x14ac:dyDescent="0.2"/>
    <row r="52760" s="197" customFormat="1" ht="12.75" x14ac:dyDescent="0.2"/>
    <row r="52761" s="197" customFormat="1" ht="12.75" x14ac:dyDescent="0.2"/>
    <row r="52762" s="197" customFormat="1" ht="12.75" x14ac:dyDescent="0.2"/>
    <row r="52763" s="197" customFormat="1" ht="12.75" x14ac:dyDescent="0.2"/>
    <row r="52764" s="197" customFormat="1" ht="12.75" x14ac:dyDescent="0.2"/>
    <row r="52765" s="197" customFormat="1" ht="12.75" x14ac:dyDescent="0.2"/>
    <row r="52766" s="197" customFormat="1" ht="12.75" x14ac:dyDescent="0.2"/>
    <row r="52767" s="197" customFormat="1" ht="12.75" x14ac:dyDescent="0.2"/>
    <row r="52768" s="197" customFormat="1" ht="12.75" x14ac:dyDescent="0.2"/>
    <row r="52769" s="197" customFormat="1" ht="12.75" x14ac:dyDescent="0.2"/>
    <row r="52770" s="197" customFormat="1" ht="12.75" x14ac:dyDescent="0.2"/>
    <row r="52771" s="197" customFormat="1" ht="12.75" x14ac:dyDescent="0.2"/>
    <row r="52772" s="197" customFormat="1" ht="12.75" x14ac:dyDescent="0.2"/>
    <row r="52773" s="197" customFormat="1" ht="12.75" x14ac:dyDescent="0.2"/>
    <row r="52774" s="197" customFormat="1" ht="12.75" x14ac:dyDescent="0.2"/>
    <row r="52775" s="197" customFormat="1" ht="12.75" x14ac:dyDescent="0.2"/>
    <row r="52776" s="197" customFormat="1" ht="12.75" x14ac:dyDescent="0.2"/>
    <row r="52777" s="197" customFormat="1" ht="12.75" x14ac:dyDescent="0.2"/>
    <row r="52778" s="197" customFormat="1" ht="12.75" x14ac:dyDescent="0.2"/>
    <row r="52779" s="197" customFormat="1" ht="12.75" x14ac:dyDescent="0.2"/>
    <row r="52780" s="197" customFormat="1" ht="12.75" x14ac:dyDescent="0.2"/>
    <row r="52781" s="197" customFormat="1" ht="12.75" x14ac:dyDescent="0.2"/>
    <row r="52782" s="197" customFormat="1" ht="12.75" x14ac:dyDescent="0.2"/>
    <row r="52783" s="197" customFormat="1" ht="12.75" x14ac:dyDescent="0.2"/>
    <row r="52784" s="197" customFormat="1" ht="12.75" x14ac:dyDescent="0.2"/>
    <row r="52785" s="197" customFormat="1" ht="12.75" x14ac:dyDescent="0.2"/>
    <row r="52786" s="197" customFormat="1" ht="12.75" x14ac:dyDescent="0.2"/>
    <row r="52787" s="197" customFormat="1" ht="12.75" x14ac:dyDescent="0.2"/>
    <row r="52788" s="197" customFormat="1" ht="12.75" x14ac:dyDescent="0.2"/>
    <row r="52789" s="197" customFormat="1" ht="12.75" x14ac:dyDescent="0.2"/>
    <row r="52790" s="197" customFormat="1" ht="12.75" x14ac:dyDescent="0.2"/>
    <row r="52791" s="197" customFormat="1" ht="12.75" x14ac:dyDescent="0.2"/>
    <row r="52792" s="197" customFormat="1" ht="12.75" x14ac:dyDescent="0.2"/>
    <row r="52793" s="197" customFormat="1" ht="12.75" x14ac:dyDescent="0.2"/>
    <row r="52794" s="197" customFormat="1" ht="12.75" x14ac:dyDescent="0.2"/>
    <row r="52795" s="197" customFormat="1" ht="12.75" x14ac:dyDescent="0.2"/>
    <row r="52796" s="197" customFormat="1" ht="12.75" x14ac:dyDescent="0.2"/>
    <row r="52797" s="197" customFormat="1" ht="12.75" x14ac:dyDescent="0.2"/>
    <row r="52798" s="197" customFormat="1" ht="12.75" x14ac:dyDescent="0.2"/>
    <row r="52799" s="197" customFormat="1" ht="12.75" x14ac:dyDescent="0.2"/>
    <row r="52800" s="197" customFormat="1" ht="12.75" x14ac:dyDescent="0.2"/>
    <row r="52801" s="197" customFormat="1" ht="12.75" x14ac:dyDescent="0.2"/>
    <row r="52802" s="197" customFormat="1" ht="12.75" x14ac:dyDescent="0.2"/>
    <row r="52803" s="197" customFormat="1" ht="12.75" x14ac:dyDescent="0.2"/>
    <row r="52804" s="197" customFormat="1" ht="12.75" x14ac:dyDescent="0.2"/>
    <row r="52805" s="197" customFormat="1" ht="12.75" x14ac:dyDescent="0.2"/>
    <row r="52806" s="197" customFormat="1" ht="12.75" x14ac:dyDescent="0.2"/>
    <row r="52807" s="197" customFormat="1" ht="12.75" x14ac:dyDescent="0.2"/>
    <row r="52808" s="197" customFormat="1" ht="12.75" x14ac:dyDescent="0.2"/>
    <row r="52809" s="197" customFormat="1" ht="12.75" x14ac:dyDescent="0.2"/>
    <row r="52810" s="197" customFormat="1" ht="12.75" x14ac:dyDescent="0.2"/>
    <row r="52811" s="197" customFormat="1" ht="12.75" x14ac:dyDescent="0.2"/>
    <row r="52812" s="197" customFormat="1" ht="12.75" x14ac:dyDescent="0.2"/>
    <row r="52813" s="197" customFormat="1" ht="12.75" x14ac:dyDescent="0.2"/>
    <row r="52814" s="197" customFormat="1" ht="12.75" x14ac:dyDescent="0.2"/>
    <row r="52815" s="197" customFormat="1" ht="12.75" x14ac:dyDescent="0.2"/>
    <row r="52816" s="197" customFormat="1" ht="12.75" x14ac:dyDescent="0.2"/>
    <row r="52817" s="197" customFormat="1" ht="12.75" x14ac:dyDescent="0.2"/>
    <row r="52818" s="197" customFormat="1" ht="12.75" x14ac:dyDescent="0.2"/>
    <row r="52819" s="197" customFormat="1" ht="12.75" x14ac:dyDescent="0.2"/>
    <row r="52820" s="197" customFormat="1" ht="12.75" x14ac:dyDescent="0.2"/>
    <row r="52821" s="197" customFormat="1" ht="12.75" x14ac:dyDescent="0.2"/>
    <row r="52822" s="197" customFormat="1" ht="12.75" x14ac:dyDescent="0.2"/>
    <row r="52823" s="197" customFormat="1" ht="12.75" x14ac:dyDescent="0.2"/>
    <row r="52824" s="197" customFormat="1" ht="12.75" x14ac:dyDescent="0.2"/>
    <row r="52825" s="197" customFormat="1" ht="12.75" x14ac:dyDescent="0.2"/>
    <row r="52826" s="197" customFormat="1" ht="12.75" x14ac:dyDescent="0.2"/>
    <row r="52827" s="197" customFormat="1" ht="12.75" x14ac:dyDescent="0.2"/>
    <row r="52828" s="197" customFormat="1" ht="12.75" x14ac:dyDescent="0.2"/>
    <row r="52829" s="197" customFormat="1" ht="12.75" x14ac:dyDescent="0.2"/>
    <row r="52830" s="197" customFormat="1" ht="12.75" x14ac:dyDescent="0.2"/>
    <row r="52831" s="197" customFormat="1" ht="12.75" x14ac:dyDescent="0.2"/>
    <row r="52832" s="197" customFormat="1" ht="12.75" x14ac:dyDescent="0.2"/>
    <row r="52833" s="197" customFormat="1" ht="12.75" x14ac:dyDescent="0.2"/>
    <row r="52834" s="197" customFormat="1" ht="12.75" x14ac:dyDescent="0.2"/>
    <row r="52835" s="197" customFormat="1" ht="12.75" x14ac:dyDescent="0.2"/>
    <row r="52836" s="197" customFormat="1" ht="12.75" x14ac:dyDescent="0.2"/>
    <row r="52837" s="197" customFormat="1" ht="12.75" x14ac:dyDescent="0.2"/>
    <row r="52838" s="197" customFormat="1" ht="12.75" x14ac:dyDescent="0.2"/>
    <row r="52839" s="197" customFormat="1" ht="12.75" x14ac:dyDescent="0.2"/>
    <row r="52840" s="197" customFormat="1" ht="12.75" x14ac:dyDescent="0.2"/>
    <row r="52841" s="197" customFormat="1" ht="12.75" x14ac:dyDescent="0.2"/>
    <row r="52842" s="197" customFormat="1" ht="12.75" x14ac:dyDescent="0.2"/>
    <row r="52843" s="197" customFormat="1" ht="12.75" x14ac:dyDescent="0.2"/>
    <row r="52844" s="197" customFormat="1" ht="12.75" x14ac:dyDescent="0.2"/>
    <row r="52845" s="197" customFormat="1" ht="12.75" x14ac:dyDescent="0.2"/>
    <row r="52846" s="197" customFormat="1" ht="12.75" x14ac:dyDescent="0.2"/>
    <row r="52847" s="197" customFormat="1" ht="12.75" x14ac:dyDescent="0.2"/>
    <row r="52848" s="197" customFormat="1" ht="12.75" x14ac:dyDescent="0.2"/>
    <row r="52849" s="197" customFormat="1" ht="12.75" x14ac:dyDescent="0.2"/>
    <row r="52850" s="197" customFormat="1" ht="12.75" x14ac:dyDescent="0.2"/>
    <row r="52851" s="197" customFormat="1" ht="12.75" x14ac:dyDescent="0.2"/>
    <row r="52852" s="197" customFormat="1" ht="12.75" x14ac:dyDescent="0.2"/>
    <row r="52853" s="197" customFormat="1" ht="12.75" x14ac:dyDescent="0.2"/>
    <row r="52854" s="197" customFormat="1" ht="12.75" x14ac:dyDescent="0.2"/>
    <row r="52855" s="197" customFormat="1" ht="12.75" x14ac:dyDescent="0.2"/>
    <row r="52856" s="197" customFormat="1" ht="12.75" x14ac:dyDescent="0.2"/>
    <row r="52857" s="197" customFormat="1" ht="12.75" x14ac:dyDescent="0.2"/>
    <row r="52858" s="197" customFormat="1" ht="12.75" x14ac:dyDescent="0.2"/>
    <row r="52859" s="197" customFormat="1" ht="12.75" x14ac:dyDescent="0.2"/>
    <row r="52860" s="197" customFormat="1" ht="12.75" x14ac:dyDescent="0.2"/>
    <row r="52861" s="197" customFormat="1" ht="12.75" x14ac:dyDescent="0.2"/>
    <row r="52862" s="197" customFormat="1" ht="12.75" x14ac:dyDescent="0.2"/>
    <row r="52863" s="197" customFormat="1" ht="12.75" x14ac:dyDescent="0.2"/>
    <row r="52864" s="197" customFormat="1" ht="12.75" x14ac:dyDescent="0.2"/>
    <row r="52865" s="197" customFormat="1" ht="12.75" x14ac:dyDescent="0.2"/>
    <row r="52866" s="197" customFormat="1" ht="12.75" x14ac:dyDescent="0.2"/>
    <row r="52867" s="197" customFormat="1" ht="12.75" x14ac:dyDescent="0.2"/>
    <row r="52868" s="197" customFormat="1" ht="12.75" x14ac:dyDescent="0.2"/>
    <row r="52869" s="197" customFormat="1" ht="12.75" x14ac:dyDescent="0.2"/>
    <row r="52870" s="197" customFormat="1" ht="12.75" x14ac:dyDescent="0.2"/>
    <row r="52871" s="197" customFormat="1" ht="12.75" x14ac:dyDescent="0.2"/>
    <row r="52872" s="197" customFormat="1" ht="12.75" x14ac:dyDescent="0.2"/>
    <row r="52873" s="197" customFormat="1" ht="12.75" x14ac:dyDescent="0.2"/>
    <row r="52874" s="197" customFormat="1" ht="12.75" x14ac:dyDescent="0.2"/>
    <row r="52875" s="197" customFormat="1" ht="12.75" x14ac:dyDescent="0.2"/>
    <row r="52876" s="197" customFormat="1" ht="12.75" x14ac:dyDescent="0.2"/>
    <row r="52877" s="197" customFormat="1" ht="12.75" x14ac:dyDescent="0.2"/>
    <row r="52878" s="197" customFormat="1" ht="12.75" x14ac:dyDescent="0.2"/>
    <row r="52879" s="197" customFormat="1" ht="12.75" x14ac:dyDescent="0.2"/>
    <row r="52880" s="197" customFormat="1" ht="12.75" x14ac:dyDescent="0.2"/>
    <row r="52881" s="197" customFormat="1" ht="12.75" x14ac:dyDescent="0.2"/>
    <row r="52882" s="197" customFormat="1" ht="12.75" x14ac:dyDescent="0.2"/>
    <row r="52883" s="197" customFormat="1" ht="12.75" x14ac:dyDescent="0.2"/>
    <row r="52884" s="197" customFormat="1" ht="12.75" x14ac:dyDescent="0.2"/>
    <row r="52885" s="197" customFormat="1" ht="12.75" x14ac:dyDescent="0.2"/>
    <row r="52886" s="197" customFormat="1" ht="12.75" x14ac:dyDescent="0.2"/>
    <row r="52887" s="197" customFormat="1" ht="12.75" x14ac:dyDescent="0.2"/>
    <row r="52888" s="197" customFormat="1" ht="12.75" x14ac:dyDescent="0.2"/>
    <row r="52889" s="197" customFormat="1" ht="12.75" x14ac:dyDescent="0.2"/>
    <row r="52890" s="197" customFormat="1" ht="12.75" x14ac:dyDescent="0.2"/>
    <row r="52891" s="197" customFormat="1" ht="12.75" x14ac:dyDescent="0.2"/>
    <row r="52892" s="197" customFormat="1" ht="12.75" x14ac:dyDescent="0.2"/>
    <row r="52893" s="197" customFormat="1" ht="12.75" x14ac:dyDescent="0.2"/>
    <row r="52894" s="197" customFormat="1" ht="12.75" x14ac:dyDescent="0.2"/>
    <row r="52895" s="197" customFormat="1" ht="12.75" x14ac:dyDescent="0.2"/>
    <row r="52896" s="197" customFormat="1" ht="12.75" x14ac:dyDescent="0.2"/>
    <row r="52897" s="197" customFormat="1" ht="12.75" x14ac:dyDescent="0.2"/>
    <row r="52898" s="197" customFormat="1" ht="12.75" x14ac:dyDescent="0.2"/>
    <row r="52899" s="197" customFormat="1" ht="12.75" x14ac:dyDescent="0.2"/>
    <row r="52900" s="197" customFormat="1" ht="12.75" x14ac:dyDescent="0.2"/>
    <row r="52901" s="197" customFormat="1" ht="12.75" x14ac:dyDescent="0.2"/>
    <row r="52902" s="197" customFormat="1" ht="12.75" x14ac:dyDescent="0.2"/>
    <row r="52903" s="197" customFormat="1" ht="12.75" x14ac:dyDescent="0.2"/>
    <row r="52904" s="197" customFormat="1" ht="12.75" x14ac:dyDescent="0.2"/>
    <row r="52905" s="197" customFormat="1" ht="12.75" x14ac:dyDescent="0.2"/>
    <row r="52906" s="197" customFormat="1" ht="12.75" x14ac:dyDescent="0.2"/>
    <row r="52907" s="197" customFormat="1" ht="12.75" x14ac:dyDescent="0.2"/>
    <row r="52908" s="197" customFormat="1" ht="12.75" x14ac:dyDescent="0.2"/>
    <row r="52909" s="197" customFormat="1" ht="12.75" x14ac:dyDescent="0.2"/>
    <row r="52910" s="197" customFormat="1" ht="12.75" x14ac:dyDescent="0.2"/>
    <row r="52911" s="197" customFormat="1" ht="12.75" x14ac:dyDescent="0.2"/>
    <row r="52912" s="197" customFormat="1" ht="12.75" x14ac:dyDescent="0.2"/>
    <row r="52913" s="197" customFormat="1" ht="12.75" x14ac:dyDescent="0.2"/>
    <row r="52914" s="197" customFormat="1" ht="12.75" x14ac:dyDescent="0.2"/>
    <row r="52915" s="197" customFormat="1" ht="12.75" x14ac:dyDescent="0.2"/>
    <row r="52916" s="197" customFormat="1" ht="12.75" x14ac:dyDescent="0.2"/>
    <row r="52917" s="197" customFormat="1" ht="12.75" x14ac:dyDescent="0.2"/>
    <row r="52918" s="197" customFormat="1" ht="12.75" x14ac:dyDescent="0.2"/>
    <row r="52919" s="197" customFormat="1" ht="12.75" x14ac:dyDescent="0.2"/>
    <row r="52920" s="197" customFormat="1" ht="12.75" x14ac:dyDescent="0.2"/>
    <row r="52921" s="197" customFormat="1" ht="12.75" x14ac:dyDescent="0.2"/>
    <row r="52922" s="197" customFormat="1" ht="12.75" x14ac:dyDescent="0.2"/>
    <row r="52923" s="197" customFormat="1" ht="12.75" x14ac:dyDescent="0.2"/>
    <row r="52924" s="197" customFormat="1" ht="12.75" x14ac:dyDescent="0.2"/>
    <row r="52925" s="197" customFormat="1" ht="12.75" x14ac:dyDescent="0.2"/>
    <row r="52926" s="197" customFormat="1" ht="12.75" x14ac:dyDescent="0.2"/>
    <row r="52927" s="197" customFormat="1" ht="12.75" x14ac:dyDescent="0.2"/>
    <row r="52928" s="197" customFormat="1" ht="12.75" x14ac:dyDescent="0.2"/>
    <row r="52929" s="197" customFormat="1" ht="12.75" x14ac:dyDescent="0.2"/>
    <row r="52930" s="197" customFormat="1" ht="12.75" x14ac:dyDescent="0.2"/>
    <row r="52931" s="197" customFormat="1" ht="12.75" x14ac:dyDescent="0.2"/>
    <row r="52932" s="197" customFormat="1" ht="12.75" x14ac:dyDescent="0.2"/>
    <row r="52933" s="197" customFormat="1" ht="12.75" x14ac:dyDescent="0.2"/>
    <row r="52934" s="197" customFormat="1" ht="12.75" x14ac:dyDescent="0.2"/>
    <row r="52935" s="197" customFormat="1" ht="12.75" x14ac:dyDescent="0.2"/>
    <row r="52936" s="197" customFormat="1" ht="12.75" x14ac:dyDescent="0.2"/>
    <row r="52937" s="197" customFormat="1" ht="12.75" x14ac:dyDescent="0.2"/>
    <row r="52938" s="197" customFormat="1" ht="12.75" x14ac:dyDescent="0.2"/>
    <row r="52939" s="197" customFormat="1" ht="12.75" x14ac:dyDescent="0.2"/>
    <row r="52940" s="197" customFormat="1" ht="12.75" x14ac:dyDescent="0.2"/>
    <row r="52941" s="197" customFormat="1" ht="12.75" x14ac:dyDescent="0.2"/>
    <row r="52942" s="197" customFormat="1" ht="12.75" x14ac:dyDescent="0.2"/>
    <row r="52943" s="197" customFormat="1" ht="12.75" x14ac:dyDescent="0.2"/>
    <row r="52944" s="197" customFormat="1" ht="12.75" x14ac:dyDescent="0.2"/>
    <row r="52945" s="197" customFormat="1" ht="12.75" x14ac:dyDescent="0.2"/>
    <row r="52946" s="197" customFormat="1" ht="12.75" x14ac:dyDescent="0.2"/>
    <row r="52947" s="197" customFormat="1" ht="12.75" x14ac:dyDescent="0.2"/>
    <row r="52948" s="197" customFormat="1" ht="12.75" x14ac:dyDescent="0.2"/>
    <row r="52949" s="197" customFormat="1" ht="12.75" x14ac:dyDescent="0.2"/>
    <row r="52950" s="197" customFormat="1" ht="12.75" x14ac:dyDescent="0.2"/>
    <row r="52951" s="197" customFormat="1" ht="12.75" x14ac:dyDescent="0.2"/>
    <row r="52952" s="197" customFormat="1" ht="12.75" x14ac:dyDescent="0.2"/>
    <row r="52953" s="197" customFormat="1" ht="12.75" x14ac:dyDescent="0.2"/>
    <row r="52954" s="197" customFormat="1" ht="12.75" x14ac:dyDescent="0.2"/>
    <row r="52955" s="197" customFormat="1" ht="12.75" x14ac:dyDescent="0.2"/>
    <row r="52956" s="197" customFormat="1" ht="12.75" x14ac:dyDescent="0.2"/>
    <row r="52957" s="197" customFormat="1" ht="12.75" x14ac:dyDescent="0.2"/>
    <row r="52958" s="197" customFormat="1" ht="12.75" x14ac:dyDescent="0.2"/>
    <row r="52959" s="197" customFormat="1" ht="12.75" x14ac:dyDescent="0.2"/>
    <row r="52960" s="197" customFormat="1" ht="12.75" x14ac:dyDescent="0.2"/>
    <row r="52961" s="197" customFormat="1" ht="12.75" x14ac:dyDescent="0.2"/>
    <row r="52962" s="197" customFormat="1" ht="12.75" x14ac:dyDescent="0.2"/>
    <row r="52963" s="197" customFormat="1" ht="12.75" x14ac:dyDescent="0.2"/>
    <row r="52964" s="197" customFormat="1" ht="12.75" x14ac:dyDescent="0.2"/>
    <row r="52965" s="197" customFormat="1" ht="12.75" x14ac:dyDescent="0.2"/>
    <row r="52966" s="197" customFormat="1" ht="12.75" x14ac:dyDescent="0.2"/>
    <row r="52967" s="197" customFormat="1" ht="12.75" x14ac:dyDescent="0.2"/>
    <row r="52968" s="197" customFormat="1" ht="12.75" x14ac:dyDescent="0.2"/>
    <row r="52969" s="197" customFormat="1" ht="12.75" x14ac:dyDescent="0.2"/>
    <row r="52970" s="197" customFormat="1" ht="12.75" x14ac:dyDescent="0.2"/>
    <row r="52971" s="197" customFormat="1" ht="12.75" x14ac:dyDescent="0.2"/>
    <row r="52972" s="197" customFormat="1" ht="12.75" x14ac:dyDescent="0.2"/>
    <row r="52973" s="197" customFormat="1" ht="12.75" x14ac:dyDescent="0.2"/>
    <row r="52974" s="197" customFormat="1" ht="12.75" x14ac:dyDescent="0.2"/>
    <row r="52975" s="197" customFormat="1" ht="12.75" x14ac:dyDescent="0.2"/>
    <row r="52976" s="197" customFormat="1" ht="12.75" x14ac:dyDescent="0.2"/>
    <row r="52977" s="197" customFormat="1" ht="12.75" x14ac:dyDescent="0.2"/>
    <row r="52978" s="197" customFormat="1" ht="12.75" x14ac:dyDescent="0.2"/>
    <row r="52979" s="197" customFormat="1" ht="12.75" x14ac:dyDescent="0.2"/>
    <row r="52980" s="197" customFormat="1" ht="12.75" x14ac:dyDescent="0.2"/>
    <row r="52981" s="197" customFormat="1" ht="12.75" x14ac:dyDescent="0.2"/>
    <row r="52982" s="197" customFormat="1" ht="12.75" x14ac:dyDescent="0.2"/>
    <row r="52983" s="197" customFormat="1" ht="12.75" x14ac:dyDescent="0.2"/>
    <row r="52984" s="197" customFormat="1" ht="12.75" x14ac:dyDescent="0.2"/>
    <row r="52985" s="197" customFormat="1" ht="12.75" x14ac:dyDescent="0.2"/>
    <row r="52986" s="197" customFormat="1" ht="12.75" x14ac:dyDescent="0.2"/>
    <row r="52987" s="197" customFormat="1" ht="12.75" x14ac:dyDescent="0.2"/>
    <row r="52988" s="197" customFormat="1" ht="12.75" x14ac:dyDescent="0.2"/>
    <row r="52989" s="197" customFormat="1" ht="12.75" x14ac:dyDescent="0.2"/>
    <row r="52990" s="197" customFormat="1" ht="12.75" x14ac:dyDescent="0.2"/>
    <row r="52991" s="197" customFormat="1" ht="12.75" x14ac:dyDescent="0.2"/>
    <row r="52992" s="197" customFormat="1" ht="12.75" x14ac:dyDescent="0.2"/>
    <row r="52993" s="197" customFormat="1" ht="12.75" x14ac:dyDescent="0.2"/>
    <row r="52994" s="197" customFormat="1" ht="12.75" x14ac:dyDescent="0.2"/>
    <row r="52995" s="197" customFormat="1" ht="12.75" x14ac:dyDescent="0.2"/>
    <row r="52996" s="197" customFormat="1" ht="12.75" x14ac:dyDescent="0.2"/>
    <row r="52997" s="197" customFormat="1" ht="12.75" x14ac:dyDescent="0.2"/>
    <row r="52998" s="197" customFormat="1" ht="12.75" x14ac:dyDescent="0.2"/>
    <row r="52999" s="197" customFormat="1" ht="12.75" x14ac:dyDescent="0.2"/>
    <row r="53000" s="197" customFormat="1" ht="12.75" x14ac:dyDescent="0.2"/>
    <row r="53001" s="197" customFormat="1" ht="12.75" x14ac:dyDescent="0.2"/>
    <row r="53002" s="197" customFormat="1" ht="12.75" x14ac:dyDescent="0.2"/>
    <row r="53003" s="197" customFormat="1" ht="12.75" x14ac:dyDescent="0.2"/>
    <row r="53004" s="197" customFormat="1" ht="12.75" x14ac:dyDescent="0.2"/>
    <row r="53005" s="197" customFormat="1" ht="12.75" x14ac:dyDescent="0.2"/>
    <row r="53006" s="197" customFormat="1" ht="12.75" x14ac:dyDescent="0.2"/>
    <row r="53007" s="197" customFormat="1" ht="12.75" x14ac:dyDescent="0.2"/>
    <row r="53008" s="197" customFormat="1" ht="12.75" x14ac:dyDescent="0.2"/>
    <row r="53009" s="197" customFormat="1" ht="12.75" x14ac:dyDescent="0.2"/>
    <row r="53010" s="197" customFormat="1" ht="12.75" x14ac:dyDescent="0.2"/>
    <row r="53011" s="197" customFormat="1" ht="12.75" x14ac:dyDescent="0.2"/>
    <row r="53012" s="197" customFormat="1" ht="12.75" x14ac:dyDescent="0.2"/>
    <row r="53013" s="197" customFormat="1" ht="12.75" x14ac:dyDescent="0.2"/>
    <row r="53014" s="197" customFormat="1" ht="12.75" x14ac:dyDescent="0.2"/>
    <row r="53015" s="197" customFormat="1" ht="12.75" x14ac:dyDescent="0.2"/>
    <row r="53016" s="197" customFormat="1" ht="12.75" x14ac:dyDescent="0.2"/>
    <row r="53017" s="197" customFormat="1" ht="12.75" x14ac:dyDescent="0.2"/>
    <row r="53018" s="197" customFormat="1" ht="12.75" x14ac:dyDescent="0.2"/>
    <row r="53019" s="197" customFormat="1" ht="12.75" x14ac:dyDescent="0.2"/>
    <row r="53020" s="197" customFormat="1" ht="12.75" x14ac:dyDescent="0.2"/>
    <row r="53021" s="197" customFormat="1" ht="12.75" x14ac:dyDescent="0.2"/>
    <row r="53022" s="197" customFormat="1" ht="12.75" x14ac:dyDescent="0.2"/>
    <row r="53023" s="197" customFormat="1" ht="12.75" x14ac:dyDescent="0.2"/>
    <row r="53024" s="197" customFormat="1" ht="12.75" x14ac:dyDescent="0.2"/>
    <row r="53025" s="197" customFormat="1" ht="12.75" x14ac:dyDescent="0.2"/>
    <row r="53026" s="197" customFormat="1" ht="12.75" x14ac:dyDescent="0.2"/>
    <row r="53027" s="197" customFormat="1" ht="12.75" x14ac:dyDescent="0.2"/>
    <row r="53028" s="197" customFormat="1" ht="12.75" x14ac:dyDescent="0.2"/>
    <row r="53029" s="197" customFormat="1" ht="12.75" x14ac:dyDescent="0.2"/>
    <row r="53030" s="197" customFormat="1" ht="12.75" x14ac:dyDescent="0.2"/>
    <row r="53031" s="197" customFormat="1" ht="12.75" x14ac:dyDescent="0.2"/>
    <row r="53032" s="197" customFormat="1" ht="12.75" x14ac:dyDescent="0.2"/>
    <row r="53033" s="197" customFormat="1" ht="12.75" x14ac:dyDescent="0.2"/>
    <row r="53034" s="197" customFormat="1" ht="12.75" x14ac:dyDescent="0.2"/>
    <row r="53035" s="197" customFormat="1" ht="12.75" x14ac:dyDescent="0.2"/>
    <row r="53036" s="197" customFormat="1" ht="12.75" x14ac:dyDescent="0.2"/>
    <row r="53037" s="197" customFormat="1" ht="12.75" x14ac:dyDescent="0.2"/>
    <row r="53038" s="197" customFormat="1" ht="12.75" x14ac:dyDescent="0.2"/>
    <row r="53039" s="197" customFormat="1" ht="12.75" x14ac:dyDescent="0.2"/>
    <row r="53040" s="197" customFormat="1" ht="12.75" x14ac:dyDescent="0.2"/>
    <row r="53041" s="197" customFormat="1" ht="12.75" x14ac:dyDescent="0.2"/>
    <row r="53042" s="197" customFormat="1" ht="12.75" x14ac:dyDescent="0.2"/>
    <row r="53043" s="197" customFormat="1" ht="12.75" x14ac:dyDescent="0.2"/>
    <row r="53044" s="197" customFormat="1" ht="12.75" x14ac:dyDescent="0.2"/>
    <row r="53045" s="197" customFormat="1" ht="12.75" x14ac:dyDescent="0.2"/>
    <row r="53046" s="197" customFormat="1" ht="12.75" x14ac:dyDescent="0.2"/>
    <row r="53047" s="197" customFormat="1" ht="12.75" x14ac:dyDescent="0.2"/>
    <row r="53048" s="197" customFormat="1" ht="12.75" x14ac:dyDescent="0.2"/>
    <row r="53049" s="197" customFormat="1" ht="12.75" x14ac:dyDescent="0.2"/>
    <row r="53050" s="197" customFormat="1" ht="12.75" x14ac:dyDescent="0.2"/>
    <row r="53051" s="197" customFormat="1" ht="12.75" x14ac:dyDescent="0.2"/>
    <row r="53052" s="197" customFormat="1" ht="12.75" x14ac:dyDescent="0.2"/>
    <row r="53053" s="197" customFormat="1" ht="12.75" x14ac:dyDescent="0.2"/>
    <row r="53054" s="197" customFormat="1" ht="12.75" x14ac:dyDescent="0.2"/>
    <row r="53055" s="197" customFormat="1" ht="12.75" x14ac:dyDescent="0.2"/>
    <row r="53056" s="197" customFormat="1" ht="12.75" x14ac:dyDescent="0.2"/>
    <row r="53057" s="197" customFormat="1" ht="12.75" x14ac:dyDescent="0.2"/>
    <row r="53058" s="197" customFormat="1" ht="12.75" x14ac:dyDescent="0.2"/>
    <row r="53059" s="197" customFormat="1" ht="12.75" x14ac:dyDescent="0.2"/>
    <row r="53060" s="197" customFormat="1" ht="12.75" x14ac:dyDescent="0.2"/>
    <row r="53061" s="197" customFormat="1" ht="12.75" x14ac:dyDescent="0.2"/>
    <row r="53062" s="197" customFormat="1" ht="12.75" x14ac:dyDescent="0.2"/>
    <row r="53063" s="197" customFormat="1" ht="12.75" x14ac:dyDescent="0.2"/>
    <row r="53064" s="197" customFormat="1" ht="12.75" x14ac:dyDescent="0.2"/>
    <row r="53065" s="197" customFormat="1" ht="12.75" x14ac:dyDescent="0.2"/>
    <row r="53066" s="197" customFormat="1" ht="12.75" x14ac:dyDescent="0.2"/>
    <row r="53067" s="197" customFormat="1" ht="12.75" x14ac:dyDescent="0.2"/>
    <row r="53068" s="197" customFormat="1" ht="12.75" x14ac:dyDescent="0.2"/>
    <row r="53069" s="197" customFormat="1" ht="12.75" x14ac:dyDescent="0.2"/>
    <row r="53070" s="197" customFormat="1" ht="12.75" x14ac:dyDescent="0.2"/>
    <row r="53071" s="197" customFormat="1" ht="12.75" x14ac:dyDescent="0.2"/>
    <row r="53072" s="197" customFormat="1" ht="12.75" x14ac:dyDescent="0.2"/>
    <row r="53073" s="197" customFormat="1" ht="12.75" x14ac:dyDescent="0.2"/>
    <row r="53074" s="197" customFormat="1" ht="12.75" x14ac:dyDescent="0.2"/>
    <row r="53075" s="197" customFormat="1" ht="12.75" x14ac:dyDescent="0.2"/>
    <row r="53076" s="197" customFormat="1" ht="12.75" x14ac:dyDescent="0.2"/>
    <row r="53077" s="197" customFormat="1" ht="12.75" x14ac:dyDescent="0.2"/>
    <row r="53078" s="197" customFormat="1" ht="12.75" x14ac:dyDescent="0.2"/>
    <row r="53079" s="197" customFormat="1" ht="12.75" x14ac:dyDescent="0.2"/>
    <row r="53080" s="197" customFormat="1" ht="12.75" x14ac:dyDescent="0.2"/>
    <row r="53081" s="197" customFormat="1" ht="12.75" x14ac:dyDescent="0.2"/>
    <row r="53082" s="197" customFormat="1" ht="12.75" x14ac:dyDescent="0.2"/>
    <row r="53083" s="197" customFormat="1" ht="12.75" x14ac:dyDescent="0.2"/>
    <row r="53084" s="197" customFormat="1" ht="12.75" x14ac:dyDescent="0.2"/>
    <row r="53085" s="197" customFormat="1" ht="12.75" x14ac:dyDescent="0.2"/>
    <row r="53086" s="197" customFormat="1" ht="12.75" x14ac:dyDescent="0.2"/>
    <row r="53087" s="197" customFormat="1" ht="12.75" x14ac:dyDescent="0.2"/>
    <row r="53088" s="197" customFormat="1" ht="12.75" x14ac:dyDescent="0.2"/>
    <row r="53089" s="197" customFormat="1" ht="12.75" x14ac:dyDescent="0.2"/>
    <row r="53090" s="197" customFormat="1" ht="12.75" x14ac:dyDescent="0.2"/>
    <row r="53091" s="197" customFormat="1" ht="12.75" x14ac:dyDescent="0.2"/>
    <row r="53092" s="197" customFormat="1" ht="12.75" x14ac:dyDescent="0.2"/>
    <row r="53093" s="197" customFormat="1" ht="12.75" x14ac:dyDescent="0.2"/>
    <row r="53094" s="197" customFormat="1" ht="12.75" x14ac:dyDescent="0.2"/>
    <row r="53095" s="197" customFormat="1" ht="12.75" x14ac:dyDescent="0.2"/>
    <row r="53096" s="197" customFormat="1" ht="12.75" x14ac:dyDescent="0.2"/>
    <row r="53097" s="197" customFormat="1" ht="12.75" x14ac:dyDescent="0.2"/>
    <row r="53098" s="197" customFormat="1" ht="12.75" x14ac:dyDescent="0.2"/>
    <row r="53099" s="197" customFormat="1" ht="12.75" x14ac:dyDescent="0.2"/>
    <row r="53100" s="197" customFormat="1" ht="12.75" x14ac:dyDescent="0.2"/>
    <row r="53101" s="197" customFormat="1" ht="12.75" x14ac:dyDescent="0.2"/>
    <row r="53102" s="197" customFormat="1" ht="12.75" x14ac:dyDescent="0.2"/>
    <row r="53103" s="197" customFormat="1" ht="12.75" x14ac:dyDescent="0.2"/>
    <row r="53104" s="197" customFormat="1" ht="12.75" x14ac:dyDescent="0.2"/>
    <row r="53105" s="197" customFormat="1" ht="12.75" x14ac:dyDescent="0.2"/>
    <row r="53106" s="197" customFormat="1" ht="12.75" x14ac:dyDescent="0.2"/>
    <row r="53107" s="197" customFormat="1" ht="12.75" x14ac:dyDescent="0.2"/>
    <row r="53108" s="197" customFormat="1" ht="12.75" x14ac:dyDescent="0.2"/>
    <row r="53109" s="197" customFormat="1" ht="12.75" x14ac:dyDescent="0.2"/>
    <row r="53110" s="197" customFormat="1" ht="12.75" x14ac:dyDescent="0.2"/>
    <row r="53111" s="197" customFormat="1" ht="12.75" x14ac:dyDescent="0.2"/>
    <row r="53112" s="197" customFormat="1" ht="12.75" x14ac:dyDescent="0.2"/>
    <row r="53113" s="197" customFormat="1" ht="12.75" x14ac:dyDescent="0.2"/>
    <row r="53114" s="197" customFormat="1" ht="12.75" x14ac:dyDescent="0.2"/>
    <row r="53115" s="197" customFormat="1" ht="12.75" x14ac:dyDescent="0.2"/>
    <row r="53116" s="197" customFormat="1" ht="12.75" x14ac:dyDescent="0.2"/>
    <row r="53117" s="197" customFormat="1" ht="12.75" x14ac:dyDescent="0.2"/>
    <row r="53118" s="197" customFormat="1" ht="12.75" x14ac:dyDescent="0.2"/>
    <row r="53119" s="197" customFormat="1" ht="12.75" x14ac:dyDescent="0.2"/>
    <row r="53120" s="197" customFormat="1" ht="12.75" x14ac:dyDescent="0.2"/>
    <row r="53121" s="197" customFormat="1" ht="12.75" x14ac:dyDescent="0.2"/>
    <row r="53122" s="197" customFormat="1" ht="12.75" x14ac:dyDescent="0.2"/>
    <row r="53123" s="197" customFormat="1" ht="12.75" x14ac:dyDescent="0.2"/>
    <row r="53124" s="197" customFormat="1" ht="12.75" x14ac:dyDescent="0.2"/>
    <row r="53125" s="197" customFormat="1" ht="12.75" x14ac:dyDescent="0.2"/>
    <row r="53126" s="197" customFormat="1" ht="12.75" x14ac:dyDescent="0.2"/>
    <row r="53127" s="197" customFormat="1" ht="12.75" x14ac:dyDescent="0.2"/>
    <row r="53128" s="197" customFormat="1" ht="12.75" x14ac:dyDescent="0.2"/>
    <row r="53129" s="197" customFormat="1" ht="12.75" x14ac:dyDescent="0.2"/>
    <row r="53130" s="197" customFormat="1" ht="12.75" x14ac:dyDescent="0.2"/>
    <row r="53131" s="197" customFormat="1" ht="12.75" x14ac:dyDescent="0.2"/>
    <row r="53132" s="197" customFormat="1" ht="12.75" x14ac:dyDescent="0.2"/>
    <row r="53133" s="197" customFormat="1" ht="12.75" x14ac:dyDescent="0.2"/>
    <row r="53134" s="197" customFormat="1" ht="12.75" x14ac:dyDescent="0.2"/>
    <row r="53135" s="197" customFormat="1" ht="12.75" x14ac:dyDescent="0.2"/>
    <row r="53136" s="197" customFormat="1" ht="12.75" x14ac:dyDescent="0.2"/>
    <row r="53137" s="197" customFormat="1" ht="12.75" x14ac:dyDescent="0.2"/>
    <row r="53138" s="197" customFormat="1" ht="12.75" x14ac:dyDescent="0.2"/>
    <row r="53139" s="197" customFormat="1" ht="12.75" x14ac:dyDescent="0.2"/>
    <row r="53140" s="197" customFormat="1" ht="12.75" x14ac:dyDescent="0.2"/>
    <row r="53141" s="197" customFormat="1" ht="12.75" x14ac:dyDescent="0.2"/>
    <row r="53142" s="197" customFormat="1" ht="12.75" x14ac:dyDescent="0.2"/>
    <row r="53143" s="197" customFormat="1" ht="12.75" x14ac:dyDescent="0.2"/>
    <row r="53144" s="197" customFormat="1" ht="12.75" x14ac:dyDescent="0.2"/>
    <row r="53145" s="197" customFormat="1" ht="12.75" x14ac:dyDescent="0.2"/>
    <row r="53146" s="197" customFormat="1" ht="12.75" x14ac:dyDescent="0.2"/>
    <row r="53147" s="197" customFormat="1" ht="12.75" x14ac:dyDescent="0.2"/>
    <row r="53148" s="197" customFormat="1" ht="12.75" x14ac:dyDescent="0.2"/>
    <row r="53149" s="197" customFormat="1" ht="12.75" x14ac:dyDescent="0.2"/>
    <row r="53150" s="197" customFormat="1" ht="12.75" x14ac:dyDescent="0.2"/>
    <row r="53151" s="197" customFormat="1" ht="12.75" x14ac:dyDescent="0.2"/>
    <row r="53152" s="197" customFormat="1" ht="12.75" x14ac:dyDescent="0.2"/>
    <row r="53153" s="197" customFormat="1" ht="12.75" x14ac:dyDescent="0.2"/>
    <row r="53154" s="197" customFormat="1" ht="12.75" x14ac:dyDescent="0.2"/>
    <row r="53155" s="197" customFormat="1" ht="12.75" x14ac:dyDescent="0.2"/>
    <row r="53156" s="197" customFormat="1" ht="12.75" x14ac:dyDescent="0.2"/>
    <row r="53157" s="197" customFormat="1" ht="12.75" x14ac:dyDescent="0.2"/>
    <row r="53158" s="197" customFormat="1" ht="12.75" x14ac:dyDescent="0.2"/>
    <row r="53159" s="197" customFormat="1" ht="12.75" x14ac:dyDescent="0.2"/>
    <row r="53160" s="197" customFormat="1" ht="12.75" x14ac:dyDescent="0.2"/>
    <row r="53161" s="197" customFormat="1" ht="12.75" x14ac:dyDescent="0.2"/>
    <row r="53162" s="197" customFormat="1" ht="12.75" x14ac:dyDescent="0.2"/>
    <row r="53163" s="197" customFormat="1" ht="12.75" x14ac:dyDescent="0.2"/>
    <row r="53164" s="197" customFormat="1" ht="12.75" x14ac:dyDescent="0.2"/>
    <row r="53165" s="197" customFormat="1" ht="12.75" x14ac:dyDescent="0.2"/>
    <row r="53166" s="197" customFormat="1" ht="12.75" x14ac:dyDescent="0.2"/>
    <row r="53167" s="197" customFormat="1" ht="12.75" x14ac:dyDescent="0.2"/>
    <row r="53168" s="197" customFormat="1" ht="12.75" x14ac:dyDescent="0.2"/>
    <row r="53169" s="197" customFormat="1" ht="12.75" x14ac:dyDescent="0.2"/>
    <row r="53170" s="197" customFormat="1" ht="12.75" x14ac:dyDescent="0.2"/>
    <row r="53171" s="197" customFormat="1" ht="12.75" x14ac:dyDescent="0.2"/>
    <row r="53172" s="197" customFormat="1" ht="12.75" x14ac:dyDescent="0.2"/>
    <row r="53173" s="197" customFormat="1" ht="12.75" x14ac:dyDescent="0.2"/>
    <row r="53174" s="197" customFormat="1" ht="12.75" x14ac:dyDescent="0.2"/>
    <row r="53175" s="197" customFormat="1" ht="12.75" x14ac:dyDescent="0.2"/>
    <row r="53176" s="197" customFormat="1" ht="12.75" x14ac:dyDescent="0.2"/>
    <row r="53177" s="197" customFormat="1" ht="12.75" x14ac:dyDescent="0.2"/>
    <row r="53178" s="197" customFormat="1" ht="12.75" x14ac:dyDescent="0.2"/>
    <row r="53179" s="197" customFormat="1" ht="12.75" x14ac:dyDescent="0.2"/>
    <row r="53180" s="197" customFormat="1" ht="12.75" x14ac:dyDescent="0.2"/>
    <row r="53181" s="197" customFormat="1" ht="12.75" x14ac:dyDescent="0.2"/>
    <row r="53182" s="197" customFormat="1" ht="12.75" x14ac:dyDescent="0.2"/>
    <row r="53183" s="197" customFormat="1" ht="12.75" x14ac:dyDescent="0.2"/>
    <row r="53184" s="197" customFormat="1" ht="12.75" x14ac:dyDescent="0.2"/>
    <row r="53185" s="197" customFormat="1" ht="12.75" x14ac:dyDescent="0.2"/>
    <row r="53186" s="197" customFormat="1" ht="12.75" x14ac:dyDescent="0.2"/>
    <row r="53187" s="197" customFormat="1" ht="12.75" x14ac:dyDescent="0.2"/>
    <row r="53188" s="197" customFormat="1" ht="12.75" x14ac:dyDescent="0.2"/>
    <row r="53189" s="197" customFormat="1" ht="12.75" x14ac:dyDescent="0.2"/>
    <row r="53190" s="197" customFormat="1" ht="12.75" x14ac:dyDescent="0.2"/>
    <row r="53191" s="197" customFormat="1" ht="12.75" x14ac:dyDescent="0.2"/>
    <row r="53192" s="197" customFormat="1" ht="12.75" x14ac:dyDescent="0.2"/>
    <row r="53193" s="197" customFormat="1" ht="12.75" x14ac:dyDescent="0.2"/>
    <row r="53194" s="197" customFormat="1" ht="12.75" x14ac:dyDescent="0.2"/>
    <row r="53195" s="197" customFormat="1" ht="12.75" x14ac:dyDescent="0.2"/>
    <row r="53196" s="197" customFormat="1" ht="12.75" x14ac:dyDescent="0.2"/>
    <row r="53197" s="197" customFormat="1" ht="12.75" x14ac:dyDescent="0.2"/>
    <row r="53198" s="197" customFormat="1" ht="12.75" x14ac:dyDescent="0.2"/>
    <row r="53199" s="197" customFormat="1" ht="12.75" x14ac:dyDescent="0.2"/>
    <row r="53200" s="197" customFormat="1" ht="12.75" x14ac:dyDescent="0.2"/>
    <row r="53201" s="197" customFormat="1" ht="12.75" x14ac:dyDescent="0.2"/>
    <row r="53202" s="197" customFormat="1" ht="12.75" x14ac:dyDescent="0.2"/>
    <row r="53203" s="197" customFormat="1" ht="12.75" x14ac:dyDescent="0.2"/>
    <row r="53204" s="197" customFormat="1" ht="12.75" x14ac:dyDescent="0.2"/>
    <row r="53205" s="197" customFormat="1" ht="12.75" x14ac:dyDescent="0.2"/>
    <row r="53206" s="197" customFormat="1" ht="12.75" x14ac:dyDescent="0.2"/>
    <row r="53207" s="197" customFormat="1" ht="12.75" x14ac:dyDescent="0.2"/>
    <row r="53208" s="197" customFormat="1" ht="12.75" x14ac:dyDescent="0.2"/>
    <row r="53209" s="197" customFormat="1" ht="12.75" x14ac:dyDescent="0.2"/>
    <row r="53210" s="197" customFormat="1" ht="12.75" x14ac:dyDescent="0.2"/>
    <row r="53211" s="197" customFormat="1" ht="12.75" x14ac:dyDescent="0.2"/>
    <row r="53212" s="197" customFormat="1" ht="12.75" x14ac:dyDescent="0.2"/>
    <row r="53213" s="197" customFormat="1" ht="12.75" x14ac:dyDescent="0.2"/>
    <row r="53214" s="197" customFormat="1" ht="12.75" x14ac:dyDescent="0.2"/>
    <row r="53215" s="197" customFormat="1" ht="12.75" x14ac:dyDescent="0.2"/>
    <row r="53216" s="197" customFormat="1" ht="12.75" x14ac:dyDescent="0.2"/>
    <row r="53217" s="197" customFormat="1" ht="12.75" x14ac:dyDescent="0.2"/>
    <row r="53218" s="197" customFormat="1" ht="12.75" x14ac:dyDescent="0.2"/>
    <row r="53219" s="197" customFormat="1" ht="12.75" x14ac:dyDescent="0.2"/>
    <row r="53220" s="197" customFormat="1" ht="12.75" x14ac:dyDescent="0.2"/>
    <row r="53221" s="197" customFormat="1" ht="12.75" x14ac:dyDescent="0.2"/>
    <row r="53222" s="197" customFormat="1" ht="12.75" x14ac:dyDescent="0.2"/>
    <row r="53223" s="197" customFormat="1" ht="12.75" x14ac:dyDescent="0.2"/>
    <row r="53224" s="197" customFormat="1" ht="12.75" x14ac:dyDescent="0.2"/>
    <row r="53225" s="197" customFormat="1" ht="12.75" x14ac:dyDescent="0.2"/>
    <row r="53226" s="197" customFormat="1" ht="12.75" x14ac:dyDescent="0.2"/>
    <row r="53227" s="197" customFormat="1" ht="12.75" x14ac:dyDescent="0.2"/>
    <row r="53228" s="197" customFormat="1" ht="12.75" x14ac:dyDescent="0.2"/>
    <row r="53229" s="197" customFormat="1" ht="12.75" x14ac:dyDescent="0.2"/>
    <row r="53230" s="197" customFormat="1" ht="12.75" x14ac:dyDescent="0.2"/>
    <row r="53231" s="197" customFormat="1" ht="12.75" x14ac:dyDescent="0.2"/>
    <row r="53232" s="197" customFormat="1" ht="12.75" x14ac:dyDescent="0.2"/>
    <row r="53233" s="197" customFormat="1" ht="12.75" x14ac:dyDescent="0.2"/>
    <row r="53234" s="197" customFormat="1" ht="12.75" x14ac:dyDescent="0.2"/>
    <row r="53235" s="197" customFormat="1" ht="12.75" x14ac:dyDescent="0.2"/>
    <row r="53236" s="197" customFormat="1" ht="12.75" x14ac:dyDescent="0.2"/>
    <row r="53237" s="197" customFormat="1" ht="12.75" x14ac:dyDescent="0.2"/>
    <row r="53238" s="197" customFormat="1" ht="12.75" x14ac:dyDescent="0.2"/>
    <row r="53239" s="197" customFormat="1" ht="12.75" x14ac:dyDescent="0.2"/>
    <row r="53240" s="197" customFormat="1" ht="12.75" x14ac:dyDescent="0.2"/>
    <row r="53241" s="197" customFormat="1" ht="12.75" x14ac:dyDescent="0.2"/>
    <row r="53242" s="197" customFormat="1" ht="12.75" x14ac:dyDescent="0.2"/>
    <row r="53243" s="197" customFormat="1" ht="12.75" x14ac:dyDescent="0.2"/>
    <row r="53244" s="197" customFormat="1" ht="12.75" x14ac:dyDescent="0.2"/>
    <row r="53245" s="197" customFormat="1" ht="12.75" x14ac:dyDescent="0.2"/>
    <row r="53246" s="197" customFormat="1" ht="12.75" x14ac:dyDescent="0.2"/>
    <row r="53247" s="197" customFormat="1" ht="12.75" x14ac:dyDescent="0.2"/>
    <row r="53248" s="197" customFormat="1" ht="12.75" x14ac:dyDescent="0.2"/>
    <row r="53249" s="197" customFormat="1" ht="12.75" x14ac:dyDescent="0.2"/>
    <row r="53250" s="197" customFormat="1" ht="12.75" x14ac:dyDescent="0.2"/>
    <row r="53251" s="197" customFormat="1" ht="12.75" x14ac:dyDescent="0.2"/>
    <row r="53252" s="197" customFormat="1" ht="12.75" x14ac:dyDescent="0.2"/>
    <row r="53253" s="197" customFormat="1" ht="12.75" x14ac:dyDescent="0.2"/>
    <row r="53254" s="197" customFormat="1" ht="12.75" x14ac:dyDescent="0.2"/>
    <row r="53255" s="197" customFormat="1" ht="12.75" x14ac:dyDescent="0.2"/>
    <row r="53256" s="197" customFormat="1" ht="12.75" x14ac:dyDescent="0.2"/>
    <row r="53257" s="197" customFormat="1" ht="12.75" x14ac:dyDescent="0.2"/>
    <row r="53258" s="197" customFormat="1" ht="12.75" x14ac:dyDescent="0.2"/>
    <row r="53259" s="197" customFormat="1" ht="12.75" x14ac:dyDescent="0.2"/>
    <row r="53260" s="197" customFormat="1" ht="12.75" x14ac:dyDescent="0.2"/>
    <row r="53261" s="197" customFormat="1" ht="12.75" x14ac:dyDescent="0.2"/>
    <row r="53262" s="197" customFormat="1" ht="12.75" x14ac:dyDescent="0.2"/>
    <row r="53263" s="197" customFormat="1" ht="12.75" x14ac:dyDescent="0.2"/>
    <row r="53264" s="197" customFormat="1" ht="12.75" x14ac:dyDescent="0.2"/>
    <row r="53265" s="197" customFormat="1" ht="12.75" x14ac:dyDescent="0.2"/>
    <row r="53266" s="197" customFormat="1" ht="12.75" x14ac:dyDescent="0.2"/>
    <row r="53267" s="197" customFormat="1" ht="12.75" x14ac:dyDescent="0.2"/>
    <row r="53268" s="197" customFormat="1" ht="12.75" x14ac:dyDescent="0.2"/>
    <row r="53269" s="197" customFormat="1" ht="12.75" x14ac:dyDescent="0.2"/>
    <row r="53270" s="197" customFormat="1" ht="12.75" x14ac:dyDescent="0.2"/>
    <row r="53271" s="197" customFormat="1" ht="12.75" x14ac:dyDescent="0.2"/>
    <row r="53272" s="197" customFormat="1" ht="12.75" x14ac:dyDescent="0.2"/>
    <row r="53273" s="197" customFormat="1" ht="12.75" x14ac:dyDescent="0.2"/>
    <row r="53274" s="197" customFormat="1" ht="12.75" x14ac:dyDescent="0.2"/>
    <row r="53275" s="197" customFormat="1" ht="12.75" x14ac:dyDescent="0.2"/>
    <row r="53276" s="197" customFormat="1" ht="12.75" x14ac:dyDescent="0.2"/>
    <row r="53277" s="197" customFormat="1" ht="12.75" x14ac:dyDescent="0.2"/>
    <row r="53278" s="197" customFormat="1" ht="12.75" x14ac:dyDescent="0.2"/>
    <row r="53279" s="197" customFormat="1" ht="12.75" x14ac:dyDescent="0.2"/>
    <row r="53280" s="197" customFormat="1" ht="12.75" x14ac:dyDescent="0.2"/>
    <row r="53281" s="197" customFormat="1" ht="12.75" x14ac:dyDescent="0.2"/>
    <row r="53282" s="197" customFormat="1" ht="12.75" x14ac:dyDescent="0.2"/>
    <row r="53283" s="197" customFormat="1" ht="12.75" x14ac:dyDescent="0.2"/>
    <row r="53284" s="197" customFormat="1" ht="12.75" x14ac:dyDescent="0.2"/>
    <row r="53285" s="197" customFormat="1" ht="12.75" x14ac:dyDescent="0.2"/>
    <row r="53286" s="197" customFormat="1" ht="12.75" x14ac:dyDescent="0.2"/>
    <row r="53287" s="197" customFormat="1" ht="12.75" x14ac:dyDescent="0.2"/>
    <row r="53288" s="197" customFormat="1" ht="12.75" x14ac:dyDescent="0.2"/>
    <row r="53289" s="197" customFormat="1" ht="12.75" x14ac:dyDescent="0.2"/>
    <row r="53290" s="197" customFormat="1" ht="12.75" x14ac:dyDescent="0.2"/>
    <row r="53291" s="197" customFormat="1" ht="12.75" x14ac:dyDescent="0.2"/>
    <row r="53292" s="197" customFormat="1" ht="12.75" x14ac:dyDescent="0.2"/>
    <row r="53293" s="197" customFormat="1" ht="12.75" x14ac:dyDescent="0.2"/>
    <row r="53294" s="197" customFormat="1" ht="12.75" x14ac:dyDescent="0.2"/>
    <row r="53295" s="197" customFormat="1" ht="12.75" x14ac:dyDescent="0.2"/>
    <row r="53296" s="197" customFormat="1" ht="12.75" x14ac:dyDescent="0.2"/>
    <row r="53297" s="197" customFormat="1" ht="12.75" x14ac:dyDescent="0.2"/>
    <row r="53298" s="197" customFormat="1" ht="12.75" x14ac:dyDescent="0.2"/>
    <row r="53299" s="197" customFormat="1" ht="12.75" x14ac:dyDescent="0.2"/>
    <row r="53300" s="197" customFormat="1" ht="12.75" x14ac:dyDescent="0.2"/>
    <row r="53301" s="197" customFormat="1" ht="12.75" x14ac:dyDescent="0.2"/>
    <row r="53302" s="197" customFormat="1" ht="12.75" x14ac:dyDescent="0.2"/>
    <row r="53303" s="197" customFormat="1" ht="12.75" x14ac:dyDescent="0.2"/>
    <row r="53304" s="197" customFormat="1" ht="12.75" x14ac:dyDescent="0.2"/>
    <row r="53305" s="197" customFormat="1" ht="12.75" x14ac:dyDescent="0.2"/>
    <row r="53306" s="197" customFormat="1" ht="12.75" x14ac:dyDescent="0.2"/>
    <row r="53307" s="197" customFormat="1" ht="12.75" x14ac:dyDescent="0.2"/>
    <row r="53308" s="197" customFormat="1" ht="12.75" x14ac:dyDescent="0.2"/>
    <row r="53309" s="197" customFormat="1" ht="12.75" x14ac:dyDescent="0.2"/>
    <row r="53310" s="197" customFormat="1" ht="12.75" x14ac:dyDescent="0.2"/>
    <row r="53311" s="197" customFormat="1" ht="12.75" x14ac:dyDescent="0.2"/>
    <row r="53312" s="197" customFormat="1" ht="12.75" x14ac:dyDescent="0.2"/>
    <row r="53313" s="197" customFormat="1" ht="12.75" x14ac:dyDescent="0.2"/>
    <row r="53314" s="197" customFormat="1" ht="12.75" x14ac:dyDescent="0.2"/>
    <row r="53315" s="197" customFormat="1" ht="12.75" x14ac:dyDescent="0.2"/>
    <row r="53316" s="197" customFormat="1" ht="12.75" x14ac:dyDescent="0.2"/>
    <row r="53317" s="197" customFormat="1" ht="12.75" x14ac:dyDescent="0.2"/>
    <row r="53318" s="197" customFormat="1" ht="12.75" x14ac:dyDescent="0.2"/>
    <row r="53319" s="197" customFormat="1" ht="12.75" x14ac:dyDescent="0.2"/>
    <row r="53320" s="197" customFormat="1" ht="12.75" x14ac:dyDescent="0.2"/>
    <row r="53321" s="197" customFormat="1" ht="12.75" x14ac:dyDescent="0.2"/>
    <row r="53322" s="197" customFormat="1" ht="12.75" x14ac:dyDescent="0.2"/>
    <row r="53323" s="197" customFormat="1" ht="12.75" x14ac:dyDescent="0.2"/>
    <row r="53324" s="197" customFormat="1" ht="12.75" x14ac:dyDescent="0.2"/>
    <row r="53325" s="197" customFormat="1" ht="12.75" x14ac:dyDescent="0.2"/>
    <row r="53326" s="197" customFormat="1" ht="12.75" x14ac:dyDescent="0.2"/>
    <row r="53327" s="197" customFormat="1" ht="12.75" x14ac:dyDescent="0.2"/>
    <row r="53328" s="197" customFormat="1" ht="12.75" x14ac:dyDescent="0.2"/>
    <row r="53329" s="197" customFormat="1" ht="12.75" x14ac:dyDescent="0.2"/>
    <row r="53330" s="197" customFormat="1" ht="12.75" x14ac:dyDescent="0.2"/>
    <row r="53331" s="197" customFormat="1" ht="12.75" x14ac:dyDescent="0.2"/>
    <row r="53332" s="197" customFormat="1" ht="12.75" x14ac:dyDescent="0.2"/>
    <row r="53333" s="197" customFormat="1" ht="12.75" x14ac:dyDescent="0.2"/>
    <row r="53334" s="197" customFormat="1" ht="12.75" x14ac:dyDescent="0.2"/>
    <row r="53335" s="197" customFormat="1" ht="12.75" x14ac:dyDescent="0.2"/>
    <row r="53336" s="197" customFormat="1" ht="12.75" x14ac:dyDescent="0.2"/>
    <row r="53337" s="197" customFormat="1" ht="12.75" x14ac:dyDescent="0.2"/>
    <row r="53338" s="197" customFormat="1" ht="12.75" x14ac:dyDescent="0.2"/>
    <row r="53339" s="197" customFormat="1" ht="12.75" x14ac:dyDescent="0.2"/>
    <row r="53340" s="197" customFormat="1" ht="12.75" x14ac:dyDescent="0.2"/>
    <row r="53341" s="197" customFormat="1" ht="12.75" x14ac:dyDescent="0.2"/>
    <row r="53342" s="197" customFormat="1" ht="12.75" x14ac:dyDescent="0.2"/>
    <row r="53343" s="197" customFormat="1" ht="12.75" x14ac:dyDescent="0.2"/>
    <row r="53344" s="197" customFormat="1" ht="12.75" x14ac:dyDescent="0.2"/>
    <row r="53345" s="197" customFormat="1" ht="12.75" x14ac:dyDescent="0.2"/>
    <row r="53346" s="197" customFormat="1" ht="12.75" x14ac:dyDescent="0.2"/>
    <row r="53347" s="197" customFormat="1" ht="12.75" x14ac:dyDescent="0.2"/>
    <row r="53348" s="197" customFormat="1" ht="12.75" x14ac:dyDescent="0.2"/>
    <row r="53349" s="197" customFormat="1" ht="12.75" x14ac:dyDescent="0.2"/>
    <row r="53350" s="197" customFormat="1" ht="12.75" x14ac:dyDescent="0.2"/>
    <row r="53351" s="197" customFormat="1" ht="12.75" x14ac:dyDescent="0.2"/>
    <row r="53352" s="197" customFormat="1" ht="12.75" x14ac:dyDescent="0.2"/>
    <row r="53353" s="197" customFormat="1" ht="12.75" x14ac:dyDescent="0.2"/>
    <row r="53354" s="197" customFormat="1" ht="12.75" x14ac:dyDescent="0.2"/>
    <row r="53355" s="197" customFormat="1" ht="12.75" x14ac:dyDescent="0.2"/>
    <row r="53356" s="197" customFormat="1" ht="12.75" x14ac:dyDescent="0.2"/>
    <row r="53357" s="197" customFormat="1" ht="12.75" x14ac:dyDescent="0.2"/>
    <row r="53358" s="197" customFormat="1" ht="12.75" x14ac:dyDescent="0.2"/>
    <row r="53359" s="197" customFormat="1" ht="12.75" x14ac:dyDescent="0.2"/>
    <row r="53360" s="197" customFormat="1" ht="12.75" x14ac:dyDescent="0.2"/>
    <row r="53361" s="197" customFormat="1" ht="12.75" x14ac:dyDescent="0.2"/>
    <row r="53362" s="197" customFormat="1" ht="12.75" x14ac:dyDescent="0.2"/>
    <row r="53363" s="197" customFormat="1" ht="12.75" x14ac:dyDescent="0.2"/>
    <row r="53364" s="197" customFormat="1" ht="12.75" x14ac:dyDescent="0.2"/>
    <row r="53365" s="197" customFormat="1" ht="12.75" x14ac:dyDescent="0.2"/>
    <row r="53366" s="197" customFormat="1" ht="12.75" x14ac:dyDescent="0.2"/>
    <row r="53367" s="197" customFormat="1" ht="12.75" x14ac:dyDescent="0.2"/>
    <row r="53368" s="197" customFormat="1" ht="12.75" x14ac:dyDescent="0.2"/>
    <row r="53369" s="197" customFormat="1" ht="12.75" x14ac:dyDescent="0.2"/>
    <row r="53370" s="197" customFormat="1" ht="12.75" x14ac:dyDescent="0.2"/>
    <row r="53371" s="197" customFormat="1" ht="12.75" x14ac:dyDescent="0.2"/>
    <row r="53372" s="197" customFormat="1" ht="12.75" x14ac:dyDescent="0.2"/>
    <row r="53373" s="197" customFormat="1" ht="12.75" x14ac:dyDescent="0.2"/>
    <row r="53374" s="197" customFormat="1" ht="12.75" x14ac:dyDescent="0.2"/>
    <row r="53375" s="197" customFormat="1" ht="12.75" x14ac:dyDescent="0.2"/>
    <row r="53376" s="197" customFormat="1" ht="12.75" x14ac:dyDescent="0.2"/>
    <row r="53377" s="197" customFormat="1" ht="12.75" x14ac:dyDescent="0.2"/>
    <row r="53378" s="197" customFormat="1" ht="12.75" x14ac:dyDescent="0.2"/>
    <row r="53379" s="197" customFormat="1" ht="12.75" x14ac:dyDescent="0.2"/>
    <row r="53380" s="197" customFormat="1" ht="12.75" x14ac:dyDescent="0.2"/>
    <row r="53381" s="197" customFormat="1" ht="12.75" x14ac:dyDescent="0.2"/>
    <row r="53382" s="197" customFormat="1" ht="12.75" x14ac:dyDescent="0.2"/>
    <row r="53383" s="197" customFormat="1" ht="12.75" x14ac:dyDescent="0.2"/>
    <row r="53384" s="197" customFormat="1" ht="12.75" x14ac:dyDescent="0.2"/>
    <row r="53385" s="197" customFormat="1" ht="12.75" x14ac:dyDescent="0.2"/>
    <row r="53386" s="197" customFormat="1" ht="12.75" x14ac:dyDescent="0.2"/>
    <row r="53387" s="197" customFormat="1" ht="12.75" x14ac:dyDescent="0.2"/>
    <row r="53388" s="197" customFormat="1" ht="12.75" x14ac:dyDescent="0.2"/>
    <row r="53389" s="197" customFormat="1" ht="12.75" x14ac:dyDescent="0.2"/>
    <row r="53390" s="197" customFormat="1" ht="12.75" x14ac:dyDescent="0.2"/>
    <row r="53391" s="197" customFormat="1" ht="12.75" x14ac:dyDescent="0.2"/>
    <row r="53392" s="197" customFormat="1" ht="12.75" x14ac:dyDescent="0.2"/>
    <row r="53393" s="197" customFormat="1" ht="12.75" x14ac:dyDescent="0.2"/>
    <row r="53394" s="197" customFormat="1" ht="12.75" x14ac:dyDescent="0.2"/>
    <row r="53395" s="197" customFormat="1" ht="12.75" x14ac:dyDescent="0.2"/>
    <row r="53396" s="197" customFormat="1" ht="12.75" x14ac:dyDescent="0.2"/>
    <row r="53397" s="197" customFormat="1" ht="12.75" x14ac:dyDescent="0.2"/>
    <row r="53398" s="197" customFormat="1" ht="12.75" x14ac:dyDescent="0.2"/>
    <row r="53399" s="197" customFormat="1" ht="12.75" x14ac:dyDescent="0.2"/>
    <row r="53400" s="197" customFormat="1" ht="12.75" x14ac:dyDescent="0.2"/>
    <row r="53401" s="197" customFormat="1" ht="12.75" x14ac:dyDescent="0.2"/>
    <row r="53402" s="197" customFormat="1" ht="12.75" x14ac:dyDescent="0.2"/>
    <row r="53403" s="197" customFormat="1" ht="12.75" x14ac:dyDescent="0.2"/>
    <row r="53404" s="197" customFormat="1" ht="12.75" x14ac:dyDescent="0.2"/>
    <row r="53405" s="197" customFormat="1" ht="12.75" x14ac:dyDescent="0.2"/>
    <row r="53406" s="197" customFormat="1" ht="12.75" x14ac:dyDescent="0.2"/>
    <row r="53407" s="197" customFormat="1" ht="12.75" x14ac:dyDescent="0.2"/>
    <row r="53408" s="197" customFormat="1" ht="12.75" x14ac:dyDescent="0.2"/>
    <row r="53409" s="197" customFormat="1" ht="12.75" x14ac:dyDescent="0.2"/>
    <row r="53410" s="197" customFormat="1" ht="12.75" x14ac:dyDescent="0.2"/>
    <row r="53411" s="197" customFormat="1" ht="12.75" x14ac:dyDescent="0.2"/>
    <row r="53412" s="197" customFormat="1" ht="12.75" x14ac:dyDescent="0.2"/>
    <row r="53413" s="197" customFormat="1" ht="12.75" x14ac:dyDescent="0.2"/>
    <row r="53414" s="197" customFormat="1" ht="12.75" x14ac:dyDescent="0.2"/>
    <row r="53415" s="197" customFormat="1" ht="12.75" x14ac:dyDescent="0.2"/>
    <row r="53416" s="197" customFormat="1" ht="12.75" x14ac:dyDescent="0.2"/>
    <row r="53417" s="197" customFormat="1" ht="12.75" x14ac:dyDescent="0.2"/>
    <row r="53418" s="197" customFormat="1" ht="12.75" x14ac:dyDescent="0.2"/>
    <row r="53419" s="197" customFormat="1" ht="12.75" x14ac:dyDescent="0.2"/>
    <row r="53420" s="197" customFormat="1" ht="12.75" x14ac:dyDescent="0.2"/>
    <row r="53421" s="197" customFormat="1" ht="12.75" x14ac:dyDescent="0.2"/>
    <row r="53422" s="197" customFormat="1" ht="12.75" x14ac:dyDescent="0.2"/>
    <row r="53423" s="197" customFormat="1" ht="12.75" x14ac:dyDescent="0.2"/>
    <row r="53424" s="197" customFormat="1" ht="12.75" x14ac:dyDescent="0.2"/>
    <row r="53425" s="197" customFormat="1" ht="12.75" x14ac:dyDescent="0.2"/>
    <row r="53426" s="197" customFormat="1" ht="12.75" x14ac:dyDescent="0.2"/>
    <row r="53427" s="197" customFormat="1" ht="12.75" x14ac:dyDescent="0.2"/>
    <row r="53428" s="197" customFormat="1" ht="12.75" x14ac:dyDescent="0.2"/>
    <row r="53429" s="197" customFormat="1" ht="12.75" x14ac:dyDescent="0.2"/>
    <row r="53430" s="197" customFormat="1" ht="12.75" x14ac:dyDescent="0.2"/>
    <row r="53431" s="197" customFormat="1" ht="12.75" x14ac:dyDescent="0.2"/>
    <row r="53432" s="197" customFormat="1" ht="12.75" x14ac:dyDescent="0.2"/>
    <row r="53433" s="197" customFormat="1" ht="12.75" x14ac:dyDescent="0.2"/>
    <row r="53434" s="197" customFormat="1" ht="12.75" x14ac:dyDescent="0.2"/>
    <row r="53435" s="197" customFormat="1" ht="12.75" x14ac:dyDescent="0.2"/>
    <row r="53436" s="197" customFormat="1" ht="12.75" x14ac:dyDescent="0.2"/>
    <row r="53437" s="197" customFormat="1" ht="12.75" x14ac:dyDescent="0.2"/>
    <row r="53438" s="197" customFormat="1" ht="12.75" x14ac:dyDescent="0.2"/>
    <row r="53439" s="197" customFormat="1" ht="12.75" x14ac:dyDescent="0.2"/>
    <row r="53440" s="197" customFormat="1" ht="12.75" x14ac:dyDescent="0.2"/>
    <row r="53441" s="197" customFormat="1" ht="12.75" x14ac:dyDescent="0.2"/>
    <row r="53442" s="197" customFormat="1" ht="12.75" x14ac:dyDescent="0.2"/>
    <row r="53443" s="197" customFormat="1" ht="12.75" x14ac:dyDescent="0.2"/>
    <row r="53444" s="197" customFormat="1" ht="12.75" x14ac:dyDescent="0.2"/>
    <row r="53445" s="197" customFormat="1" ht="12.75" x14ac:dyDescent="0.2"/>
    <row r="53446" s="197" customFormat="1" ht="12.75" x14ac:dyDescent="0.2"/>
    <row r="53447" s="197" customFormat="1" ht="12.75" x14ac:dyDescent="0.2"/>
    <row r="53448" s="197" customFormat="1" ht="12.75" x14ac:dyDescent="0.2"/>
    <row r="53449" s="197" customFormat="1" ht="12.75" x14ac:dyDescent="0.2"/>
    <row r="53450" s="197" customFormat="1" ht="12.75" x14ac:dyDescent="0.2"/>
    <row r="53451" s="197" customFormat="1" ht="12.75" x14ac:dyDescent="0.2"/>
    <row r="53452" s="197" customFormat="1" ht="12.75" x14ac:dyDescent="0.2"/>
    <row r="53453" s="197" customFormat="1" ht="12.75" x14ac:dyDescent="0.2"/>
    <row r="53454" s="197" customFormat="1" ht="12.75" x14ac:dyDescent="0.2"/>
    <row r="53455" s="197" customFormat="1" ht="12.75" x14ac:dyDescent="0.2"/>
    <row r="53456" s="197" customFormat="1" ht="12.75" x14ac:dyDescent="0.2"/>
    <row r="53457" s="197" customFormat="1" ht="12.75" x14ac:dyDescent="0.2"/>
    <row r="53458" s="197" customFormat="1" ht="12.75" x14ac:dyDescent="0.2"/>
    <row r="53459" s="197" customFormat="1" ht="12.75" x14ac:dyDescent="0.2"/>
    <row r="53460" s="197" customFormat="1" ht="12.75" x14ac:dyDescent="0.2"/>
    <row r="53461" s="197" customFormat="1" ht="12.75" x14ac:dyDescent="0.2"/>
    <row r="53462" s="197" customFormat="1" ht="12.75" x14ac:dyDescent="0.2"/>
    <row r="53463" s="197" customFormat="1" ht="12.75" x14ac:dyDescent="0.2"/>
    <row r="53464" s="197" customFormat="1" ht="12.75" x14ac:dyDescent="0.2"/>
    <row r="53465" s="197" customFormat="1" ht="12.75" x14ac:dyDescent="0.2"/>
    <row r="53466" s="197" customFormat="1" ht="12.75" x14ac:dyDescent="0.2"/>
    <row r="53467" s="197" customFormat="1" ht="12.75" x14ac:dyDescent="0.2"/>
    <row r="53468" s="197" customFormat="1" ht="12.75" x14ac:dyDescent="0.2"/>
    <row r="53469" s="197" customFormat="1" ht="12.75" x14ac:dyDescent="0.2"/>
    <row r="53470" s="197" customFormat="1" ht="12.75" x14ac:dyDescent="0.2"/>
    <row r="53471" s="197" customFormat="1" ht="12.75" x14ac:dyDescent="0.2"/>
    <row r="53472" s="197" customFormat="1" ht="12.75" x14ac:dyDescent="0.2"/>
    <row r="53473" s="197" customFormat="1" ht="12.75" x14ac:dyDescent="0.2"/>
    <row r="53474" s="197" customFormat="1" ht="12.75" x14ac:dyDescent="0.2"/>
    <row r="53475" s="197" customFormat="1" ht="12.75" x14ac:dyDescent="0.2"/>
    <row r="53476" s="197" customFormat="1" ht="12.75" x14ac:dyDescent="0.2"/>
    <row r="53477" s="197" customFormat="1" ht="12.75" x14ac:dyDescent="0.2"/>
    <row r="53478" s="197" customFormat="1" ht="12.75" x14ac:dyDescent="0.2"/>
    <row r="53479" s="197" customFormat="1" ht="12.75" x14ac:dyDescent="0.2"/>
    <row r="53480" s="197" customFormat="1" ht="12.75" x14ac:dyDescent="0.2"/>
    <row r="53481" s="197" customFormat="1" ht="12.75" x14ac:dyDescent="0.2"/>
    <row r="53482" s="197" customFormat="1" ht="12.75" x14ac:dyDescent="0.2"/>
    <row r="53483" s="197" customFormat="1" ht="12.75" x14ac:dyDescent="0.2"/>
    <row r="53484" s="197" customFormat="1" ht="12.75" x14ac:dyDescent="0.2"/>
    <row r="53485" s="197" customFormat="1" ht="12.75" x14ac:dyDescent="0.2"/>
    <row r="53486" s="197" customFormat="1" ht="12.75" x14ac:dyDescent="0.2"/>
    <row r="53487" s="197" customFormat="1" ht="12.75" x14ac:dyDescent="0.2"/>
    <row r="53488" s="197" customFormat="1" ht="12.75" x14ac:dyDescent="0.2"/>
    <row r="53489" s="197" customFormat="1" ht="12.75" x14ac:dyDescent="0.2"/>
    <row r="53490" s="197" customFormat="1" ht="12.75" x14ac:dyDescent="0.2"/>
    <row r="53491" s="197" customFormat="1" ht="12.75" x14ac:dyDescent="0.2"/>
    <row r="53492" s="197" customFormat="1" ht="12.75" x14ac:dyDescent="0.2"/>
    <row r="53493" s="197" customFormat="1" ht="12.75" x14ac:dyDescent="0.2"/>
    <row r="53494" s="197" customFormat="1" ht="12.75" x14ac:dyDescent="0.2"/>
    <row r="53495" s="197" customFormat="1" ht="12.75" x14ac:dyDescent="0.2"/>
    <row r="53496" s="197" customFormat="1" ht="12.75" x14ac:dyDescent="0.2"/>
    <row r="53497" s="197" customFormat="1" ht="12.75" x14ac:dyDescent="0.2"/>
    <row r="53498" s="197" customFormat="1" ht="12.75" x14ac:dyDescent="0.2"/>
    <row r="53499" s="197" customFormat="1" ht="12.75" x14ac:dyDescent="0.2"/>
    <row r="53500" s="197" customFormat="1" ht="12.75" x14ac:dyDescent="0.2"/>
    <row r="53501" s="197" customFormat="1" ht="12.75" x14ac:dyDescent="0.2"/>
    <row r="53502" s="197" customFormat="1" ht="12.75" x14ac:dyDescent="0.2"/>
    <row r="53503" s="197" customFormat="1" ht="12.75" x14ac:dyDescent="0.2"/>
    <row r="53504" s="197" customFormat="1" ht="12.75" x14ac:dyDescent="0.2"/>
    <row r="53505" s="197" customFormat="1" ht="12.75" x14ac:dyDescent="0.2"/>
    <row r="53506" s="197" customFormat="1" ht="12.75" x14ac:dyDescent="0.2"/>
    <row r="53507" s="197" customFormat="1" ht="12.75" x14ac:dyDescent="0.2"/>
    <row r="53508" s="197" customFormat="1" ht="12.75" x14ac:dyDescent="0.2"/>
    <row r="53509" s="197" customFormat="1" ht="12.75" x14ac:dyDescent="0.2"/>
    <row r="53510" s="197" customFormat="1" ht="12.75" x14ac:dyDescent="0.2"/>
    <row r="53511" s="197" customFormat="1" ht="12.75" x14ac:dyDescent="0.2"/>
    <row r="53512" s="197" customFormat="1" ht="12.75" x14ac:dyDescent="0.2"/>
    <row r="53513" s="197" customFormat="1" ht="12.75" x14ac:dyDescent="0.2"/>
    <row r="53514" s="197" customFormat="1" ht="12.75" x14ac:dyDescent="0.2"/>
    <row r="53515" s="197" customFormat="1" ht="12.75" x14ac:dyDescent="0.2"/>
    <row r="53516" s="197" customFormat="1" ht="12.75" x14ac:dyDescent="0.2"/>
    <row r="53517" s="197" customFormat="1" ht="12.75" x14ac:dyDescent="0.2"/>
    <row r="53518" s="197" customFormat="1" ht="12.75" x14ac:dyDescent="0.2"/>
    <row r="53519" s="197" customFormat="1" ht="12.75" x14ac:dyDescent="0.2"/>
    <row r="53520" s="197" customFormat="1" ht="12.75" x14ac:dyDescent="0.2"/>
    <row r="53521" s="197" customFormat="1" ht="12.75" x14ac:dyDescent="0.2"/>
    <row r="53522" s="197" customFormat="1" ht="12.75" x14ac:dyDescent="0.2"/>
    <row r="53523" s="197" customFormat="1" ht="12.75" x14ac:dyDescent="0.2"/>
    <row r="53524" s="197" customFormat="1" ht="12.75" x14ac:dyDescent="0.2"/>
    <row r="53525" s="197" customFormat="1" ht="12.75" x14ac:dyDescent="0.2"/>
    <row r="53526" s="197" customFormat="1" ht="12.75" x14ac:dyDescent="0.2"/>
    <row r="53527" s="197" customFormat="1" ht="12.75" x14ac:dyDescent="0.2"/>
    <row r="53528" s="197" customFormat="1" ht="12.75" x14ac:dyDescent="0.2"/>
    <row r="53529" s="197" customFormat="1" ht="12.75" x14ac:dyDescent="0.2"/>
    <row r="53530" s="197" customFormat="1" ht="12.75" x14ac:dyDescent="0.2"/>
    <row r="53531" s="197" customFormat="1" ht="12.75" x14ac:dyDescent="0.2"/>
    <row r="53532" s="197" customFormat="1" ht="12.75" x14ac:dyDescent="0.2"/>
    <row r="53533" s="197" customFormat="1" ht="12.75" x14ac:dyDescent="0.2"/>
    <row r="53534" s="197" customFormat="1" ht="12.75" x14ac:dyDescent="0.2"/>
    <row r="53535" s="197" customFormat="1" ht="12.75" x14ac:dyDescent="0.2"/>
    <row r="53536" s="197" customFormat="1" ht="12.75" x14ac:dyDescent="0.2"/>
    <row r="53537" s="197" customFormat="1" ht="12.75" x14ac:dyDescent="0.2"/>
    <row r="53538" s="197" customFormat="1" ht="12.75" x14ac:dyDescent="0.2"/>
    <row r="53539" s="197" customFormat="1" ht="12.75" x14ac:dyDescent="0.2"/>
    <row r="53540" s="197" customFormat="1" ht="12.75" x14ac:dyDescent="0.2"/>
    <row r="53541" s="197" customFormat="1" ht="12.75" x14ac:dyDescent="0.2"/>
    <row r="53542" s="197" customFormat="1" ht="12.75" x14ac:dyDescent="0.2"/>
    <row r="53543" s="197" customFormat="1" ht="12.75" x14ac:dyDescent="0.2"/>
    <row r="53544" s="197" customFormat="1" ht="12.75" x14ac:dyDescent="0.2"/>
    <row r="53545" s="197" customFormat="1" ht="12.75" x14ac:dyDescent="0.2"/>
    <row r="53546" s="197" customFormat="1" ht="12.75" x14ac:dyDescent="0.2"/>
    <row r="53547" s="197" customFormat="1" ht="12.75" x14ac:dyDescent="0.2"/>
    <row r="53548" s="197" customFormat="1" ht="12.75" x14ac:dyDescent="0.2"/>
    <row r="53549" s="197" customFormat="1" ht="12.75" x14ac:dyDescent="0.2"/>
    <row r="53550" s="197" customFormat="1" ht="12.75" x14ac:dyDescent="0.2"/>
    <row r="53551" s="197" customFormat="1" ht="12.75" x14ac:dyDescent="0.2"/>
    <row r="53552" s="197" customFormat="1" ht="12.75" x14ac:dyDescent="0.2"/>
    <row r="53553" s="197" customFormat="1" ht="12.75" x14ac:dyDescent="0.2"/>
    <row r="53554" s="197" customFormat="1" ht="12.75" x14ac:dyDescent="0.2"/>
    <row r="53555" s="197" customFormat="1" ht="12.75" x14ac:dyDescent="0.2"/>
    <row r="53556" s="197" customFormat="1" ht="12.75" x14ac:dyDescent="0.2"/>
    <row r="53557" s="197" customFormat="1" ht="12.75" x14ac:dyDescent="0.2"/>
    <row r="53558" s="197" customFormat="1" ht="12.75" x14ac:dyDescent="0.2"/>
    <row r="53559" s="197" customFormat="1" ht="12.75" x14ac:dyDescent="0.2"/>
    <row r="53560" s="197" customFormat="1" ht="12.75" x14ac:dyDescent="0.2"/>
    <row r="53561" s="197" customFormat="1" ht="12.75" x14ac:dyDescent="0.2"/>
    <row r="53562" s="197" customFormat="1" ht="12.75" x14ac:dyDescent="0.2"/>
    <row r="53563" s="197" customFormat="1" ht="12.75" x14ac:dyDescent="0.2"/>
    <row r="53564" s="197" customFormat="1" ht="12.75" x14ac:dyDescent="0.2"/>
    <row r="53565" s="197" customFormat="1" ht="12.75" x14ac:dyDescent="0.2"/>
    <row r="53566" s="197" customFormat="1" ht="12.75" x14ac:dyDescent="0.2"/>
    <row r="53567" s="197" customFormat="1" ht="12.75" x14ac:dyDescent="0.2"/>
    <row r="53568" s="197" customFormat="1" ht="12.75" x14ac:dyDescent="0.2"/>
    <row r="53569" s="197" customFormat="1" ht="12.75" x14ac:dyDescent="0.2"/>
    <row r="53570" s="197" customFormat="1" ht="12.75" x14ac:dyDescent="0.2"/>
    <row r="53571" s="197" customFormat="1" ht="12.75" x14ac:dyDescent="0.2"/>
    <row r="53572" s="197" customFormat="1" ht="12.75" x14ac:dyDescent="0.2"/>
    <row r="53573" s="197" customFormat="1" ht="12.75" x14ac:dyDescent="0.2"/>
    <row r="53574" s="197" customFormat="1" ht="12.75" x14ac:dyDescent="0.2"/>
    <row r="53575" s="197" customFormat="1" ht="12.75" x14ac:dyDescent="0.2"/>
    <row r="53576" s="197" customFormat="1" ht="12.75" x14ac:dyDescent="0.2"/>
    <row r="53577" s="197" customFormat="1" ht="12.75" x14ac:dyDescent="0.2"/>
    <row r="53578" s="197" customFormat="1" ht="12.75" x14ac:dyDescent="0.2"/>
    <row r="53579" s="197" customFormat="1" ht="12.75" x14ac:dyDescent="0.2"/>
    <row r="53580" s="197" customFormat="1" ht="12.75" x14ac:dyDescent="0.2"/>
    <row r="53581" s="197" customFormat="1" ht="12.75" x14ac:dyDescent="0.2"/>
    <row r="53582" s="197" customFormat="1" ht="12.75" x14ac:dyDescent="0.2"/>
    <row r="53583" s="197" customFormat="1" ht="12.75" x14ac:dyDescent="0.2"/>
    <row r="53584" s="197" customFormat="1" ht="12.75" x14ac:dyDescent="0.2"/>
    <row r="53585" s="197" customFormat="1" ht="12.75" x14ac:dyDescent="0.2"/>
    <row r="53586" s="197" customFormat="1" ht="12.75" x14ac:dyDescent="0.2"/>
    <row r="53587" s="197" customFormat="1" ht="12.75" x14ac:dyDescent="0.2"/>
    <row r="53588" s="197" customFormat="1" ht="12.75" x14ac:dyDescent="0.2"/>
    <row r="53589" s="197" customFormat="1" ht="12.75" x14ac:dyDescent="0.2"/>
    <row r="53590" s="197" customFormat="1" ht="12.75" x14ac:dyDescent="0.2"/>
    <row r="53591" s="197" customFormat="1" ht="12.75" x14ac:dyDescent="0.2"/>
    <row r="53592" s="197" customFormat="1" ht="12.75" x14ac:dyDescent="0.2"/>
    <row r="53593" s="197" customFormat="1" ht="12.75" x14ac:dyDescent="0.2"/>
    <row r="53594" s="197" customFormat="1" ht="12.75" x14ac:dyDescent="0.2"/>
    <row r="53595" s="197" customFormat="1" ht="12.75" x14ac:dyDescent="0.2"/>
    <row r="53596" s="197" customFormat="1" ht="12.75" x14ac:dyDescent="0.2"/>
    <row r="53597" s="197" customFormat="1" ht="12.75" x14ac:dyDescent="0.2"/>
    <row r="53598" s="197" customFormat="1" ht="12.75" x14ac:dyDescent="0.2"/>
    <row r="53599" s="197" customFormat="1" ht="12.75" x14ac:dyDescent="0.2"/>
    <row r="53600" s="197" customFormat="1" ht="12.75" x14ac:dyDescent="0.2"/>
    <row r="53601" s="197" customFormat="1" ht="12.75" x14ac:dyDescent="0.2"/>
    <row r="53602" s="197" customFormat="1" ht="12.75" x14ac:dyDescent="0.2"/>
    <row r="53603" s="197" customFormat="1" ht="12.75" x14ac:dyDescent="0.2"/>
    <row r="53604" s="197" customFormat="1" ht="12.75" x14ac:dyDescent="0.2"/>
    <row r="53605" s="197" customFormat="1" ht="12.75" x14ac:dyDescent="0.2"/>
    <row r="53606" s="197" customFormat="1" ht="12.75" x14ac:dyDescent="0.2"/>
    <row r="53607" s="197" customFormat="1" ht="12.75" x14ac:dyDescent="0.2"/>
    <row r="53608" s="197" customFormat="1" ht="12.75" x14ac:dyDescent="0.2"/>
    <row r="53609" s="197" customFormat="1" ht="12.75" x14ac:dyDescent="0.2"/>
    <row r="53610" s="197" customFormat="1" ht="12.75" x14ac:dyDescent="0.2"/>
    <row r="53611" s="197" customFormat="1" ht="12.75" x14ac:dyDescent="0.2"/>
    <row r="53612" s="197" customFormat="1" ht="12.75" x14ac:dyDescent="0.2"/>
    <row r="53613" s="197" customFormat="1" ht="12.75" x14ac:dyDescent="0.2"/>
    <row r="53614" s="197" customFormat="1" ht="12.75" x14ac:dyDescent="0.2"/>
    <row r="53615" s="197" customFormat="1" ht="12.75" x14ac:dyDescent="0.2"/>
    <row r="53616" s="197" customFormat="1" ht="12.75" x14ac:dyDescent="0.2"/>
    <row r="53617" s="197" customFormat="1" ht="12.75" x14ac:dyDescent="0.2"/>
    <row r="53618" s="197" customFormat="1" ht="12.75" x14ac:dyDescent="0.2"/>
    <row r="53619" s="197" customFormat="1" ht="12.75" x14ac:dyDescent="0.2"/>
    <row r="53620" s="197" customFormat="1" ht="12.75" x14ac:dyDescent="0.2"/>
    <row r="53621" s="197" customFormat="1" ht="12.75" x14ac:dyDescent="0.2"/>
    <row r="53622" s="197" customFormat="1" ht="12.75" x14ac:dyDescent="0.2"/>
    <row r="53623" s="197" customFormat="1" ht="12.75" x14ac:dyDescent="0.2"/>
    <row r="53624" s="197" customFormat="1" ht="12.75" x14ac:dyDescent="0.2"/>
    <row r="53625" s="197" customFormat="1" ht="12.75" x14ac:dyDescent="0.2"/>
    <row r="53626" s="197" customFormat="1" ht="12.75" x14ac:dyDescent="0.2"/>
    <row r="53627" s="197" customFormat="1" ht="12.75" x14ac:dyDescent="0.2"/>
    <row r="53628" s="197" customFormat="1" ht="12.75" x14ac:dyDescent="0.2"/>
    <row r="53629" s="197" customFormat="1" ht="12.75" x14ac:dyDescent="0.2"/>
    <row r="53630" s="197" customFormat="1" ht="12.75" x14ac:dyDescent="0.2"/>
    <row r="53631" s="197" customFormat="1" ht="12.75" x14ac:dyDescent="0.2"/>
    <row r="53632" s="197" customFormat="1" ht="12.75" x14ac:dyDescent="0.2"/>
    <row r="53633" s="197" customFormat="1" ht="12.75" x14ac:dyDescent="0.2"/>
    <row r="53634" s="197" customFormat="1" ht="12.75" x14ac:dyDescent="0.2"/>
    <row r="53635" s="197" customFormat="1" ht="12.75" x14ac:dyDescent="0.2"/>
    <row r="53636" s="197" customFormat="1" ht="12.75" x14ac:dyDescent="0.2"/>
    <row r="53637" s="197" customFormat="1" ht="12.75" x14ac:dyDescent="0.2"/>
    <row r="53638" s="197" customFormat="1" ht="12.75" x14ac:dyDescent="0.2"/>
    <row r="53639" s="197" customFormat="1" ht="12.75" x14ac:dyDescent="0.2"/>
    <row r="53640" s="197" customFormat="1" ht="12.75" x14ac:dyDescent="0.2"/>
    <row r="53641" s="197" customFormat="1" ht="12.75" x14ac:dyDescent="0.2"/>
    <row r="53642" s="197" customFormat="1" ht="12.75" x14ac:dyDescent="0.2"/>
    <row r="53643" s="197" customFormat="1" ht="12.75" x14ac:dyDescent="0.2"/>
    <row r="53644" s="197" customFormat="1" ht="12.75" x14ac:dyDescent="0.2"/>
    <row r="53645" s="197" customFormat="1" ht="12.75" x14ac:dyDescent="0.2"/>
    <row r="53646" s="197" customFormat="1" ht="12.75" x14ac:dyDescent="0.2"/>
    <row r="53647" s="197" customFormat="1" ht="12.75" x14ac:dyDescent="0.2"/>
    <row r="53648" s="197" customFormat="1" ht="12.75" x14ac:dyDescent="0.2"/>
    <row r="53649" s="197" customFormat="1" ht="12.75" x14ac:dyDescent="0.2"/>
    <row r="53650" s="197" customFormat="1" ht="12.75" x14ac:dyDescent="0.2"/>
    <row r="53651" s="197" customFormat="1" ht="12.75" x14ac:dyDescent="0.2"/>
    <row r="53652" s="197" customFormat="1" ht="12.75" x14ac:dyDescent="0.2"/>
    <row r="53653" s="197" customFormat="1" ht="12.75" x14ac:dyDescent="0.2"/>
    <row r="53654" s="197" customFormat="1" ht="12.75" x14ac:dyDescent="0.2"/>
    <row r="53655" s="197" customFormat="1" ht="12.75" x14ac:dyDescent="0.2"/>
    <row r="53656" s="197" customFormat="1" ht="12.75" x14ac:dyDescent="0.2"/>
    <row r="53657" s="197" customFormat="1" ht="12.75" x14ac:dyDescent="0.2"/>
    <row r="53658" s="197" customFormat="1" ht="12.75" x14ac:dyDescent="0.2"/>
    <row r="53659" s="197" customFormat="1" ht="12.75" x14ac:dyDescent="0.2"/>
    <row r="53660" s="197" customFormat="1" ht="12.75" x14ac:dyDescent="0.2"/>
    <row r="53661" s="197" customFormat="1" ht="12.75" x14ac:dyDescent="0.2"/>
    <row r="53662" s="197" customFormat="1" ht="12.75" x14ac:dyDescent="0.2"/>
    <row r="53663" s="197" customFormat="1" ht="12.75" x14ac:dyDescent="0.2"/>
    <row r="53664" s="197" customFormat="1" ht="12.75" x14ac:dyDescent="0.2"/>
    <row r="53665" s="197" customFormat="1" ht="12.75" x14ac:dyDescent="0.2"/>
    <row r="53666" s="197" customFormat="1" ht="12.75" x14ac:dyDescent="0.2"/>
    <row r="53667" s="197" customFormat="1" ht="12.75" x14ac:dyDescent="0.2"/>
    <row r="53668" s="197" customFormat="1" ht="12.75" x14ac:dyDescent="0.2"/>
    <row r="53669" s="197" customFormat="1" ht="12.75" x14ac:dyDescent="0.2"/>
    <row r="53670" s="197" customFormat="1" ht="12.75" x14ac:dyDescent="0.2"/>
    <row r="53671" s="197" customFormat="1" ht="12.75" x14ac:dyDescent="0.2"/>
    <row r="53672" s="197" customFormat="1" ht="12.75" x14ac:dyDescent="0.2"/>
    <row r="53673" s="197" customFormat="1" ht="12.75" x14ac:dyDescent="0.2"/>
    <row r="53674" s="197" customFormat="1" ht="12.75" x14ac:dyDescent="0.2"/>
    <row r="53675" s="197" customFormat="1" ht="12.75" x14ac:dyDescent="0.2"/>
    <row r="53676" s="197" customFormat="1" ht="12.75" x14ac:dyDescent="0.2"/>
    <row r="53677" s="197" customFormat="1" ht="12.75" x14ac:dyDescent="0.2"/>
    <row r="53678" s="197" customFormat="1" ht="12.75" x14ac:dyDescent="0.2"/>
    <row r="53679" s="197" customFormat="1" ht="12.75" x14ac:dyDescent="0.2"/>
    <row r="53680" s="197" customFormat="1" ht="12.75" x14ac:dyDescent="0.2"/>
    <row r="53681" s="197" customFormat="1" ht="12.75" x14ac:dyDescent="0.2"/>
    <row r="53682" s="197" customFormat="1" ht="12.75" x14ac:dyDescent="0.2"/>
    <row r="53683" s="197" customFormat="1" ht="12.75" x14ac:dyDescent="0.2"/>
    <row r="53684" s="197" customFormat="1" ht="12.75" x14ac:dyDescent="0.2"/>
    <row r="53685" s="197" customFormat="1" ht="12.75" x14ac:dyDescent="0.2"/>
    <row r="53686" s="197" customFormat="1" ht="12.75" x14ac:dyDescent="0.2"/>
    <row r="53687" s="197" customFormat="1" ht="12.75" x14ac:dyDescent="0.2"/>
    <row r="53688" s="197" customFormat="1" ht="12.75" x14ac:dyDescent="0.2"/>
    <row r="53689" s="197" customFormat="1" ht="12.75" x14ac:dyDescent="0.2"/>
    <row r="53690" s="197" customFormat="1" ht="12.75" x14ac:dyDescent="0.2"/>
    <row r="53691" s="197" customFormat="1" ht="12.75" x14ac:dyDescent="0.2"/>
    <row r="53692" s="197" customFormat="1" ht="12.75" x14ac:dyDescent="0.2"/>
    <row r="53693" s="197" customFormat="1" ht="12.75" x14ac:dyDescent="0.2"/>
    <row r="53694" s="197" customFormat="1" ht="12.75" x14ac:dyDescent="0.2"/>
    <row r="53695" s="197" customFormat="1" ht="12.75" x14ac:dyDescent="0.2"/>
    <row r="53696" s="197" customFormat="1" ht="12.75" x14ac:dyDescent="0.2"/>
    <row r="53697" s="197" customFormat="1" ht="12.75" x14ac:dyDescent="0.2"/>
    <row r="53698" s="197" customFormat="1" ht="12.75" x14ac:dyDescent="0.2"/>
    <row r="53699" s="197" customFormat="1" ht="12.75" x14ac:dyDescent="0.2"/>
    <row r="53700" s="197" customFormat="1" ht="12.75" x14ac:dyDescent="0.2"/>
    <row r="53701" s="197" customFormat="1" ht="12.75" x14ac:dyDescent="0.2"/>
    <row r="53702" s="197" customFormat="1" ht="12.75" x14ac:dyDescent="0.2"/>
    <row r="53703" s="197" customFormat="1" ht="12.75" x14ac:dyDescent="0.2"/>
    <row r="53704" s="197" customFormat="1" ht="12.75" x14ac:dyDescent="0.2"/>
    <row r="53705" s="197" customFormat="1" ht="12.75" x14ac:dyDescent="0.2"/>
    <row r="53706" s="197" customFormat="1" ht="12.75" x14ac:dyDescent="0.2"/>
    <row r="53707" s="197" customFormat="1" ht="12.75" x14ac:dyDescent="0.2"/>
    <row r="53708" s="197" customFormat="1" ht="12.75" x14ac:dyDescent="0.2"/>
    <row r="53709" s="197" customFormat="1" ht="12.75" x14ac:dyDescent="0.2"/>
    <row r="53710" s="197" customFormat="1" ht="12.75" x14ac:dyDescent="0.2"/>
    <row r="53711" s="197" customFormat="1" ht="12.75" x14ac:dyDescent="0.2"/>
    <row r="53712" s="197" customFormat="1" ht="12.75" x14ac:dyDescent="0.2"/>
    <row r="53713" s="197" customFormat="1" ht="12.75" x14ac:dyDescent="0.2"/>
    <row r="53714" s="197" customFormat="1" ht="12.75" x14ac:dyDescent="0.2"/>
    <row r="53715" s="197" customFormat="1" ht="12.75" x14ac:dyDescent="0.2"/>
    <row r="53716" s="197" customFormat="1" ht="12.75" x14ac:dyDescent="0.2"/>
    <row r="53717" s="197" customFormat="1" ht="12.75" x14ac:dyDescent="0.2"/>
    <row r="53718" s="197" customFormat="1" ht="12.75" x14ac:dyDescent="0.2"/>
    <row r="53719" s="197" customFormat="1" ht="12.75" x14ac:dyDescent="0.2"/>
    <row r="53720" s="197" customFormat="1" ht="12.75" x14ac:dyDescent="0.2"/>
    <row r="53721" s="197" customFormat="1" ht="12.75" x14ac:dyDescent="0.2"/>
    <row r="53722" s="197" customFormat="1" ht="12.75" x14ac:dyDescent="0.2"/>
    <row r="53723" s="197" customFormat="1" ht="12.75" x14ac:dyDescent="0.2"/>
    <row r="53724" s="197" customFormat="1" ht="12.75" x14ac:dyDescent="0.2"/>
    <row r="53725" s="197" customFormat="1" ht="12.75" x14ac:dyDescent="0.2"/>
    <row r="53726" s="197" customFormat="1" ht="12.75" x14ac:dyDescent="0.2"/>
    <row r="53727" s="197" customFormat="1" ht="12.75" x14ac:dyDescent="0.2"/>
    <row r="53728" s="197" customFormat="1" ht="12.75" x14ac:dyDescent="0.2"/>
    <row r="53729" s="197" customFormat="1" ht="12.75" x14ac:dyDescent="0.2"/>
    <row r="53730" s="197" customFormat="1" ht="12.75" x14ac:dyDescent="0.2"/>
    <row r="53731" s="197" customFormat="1" ht="12.75" x14ac:dyDescent="0.2"/>
    <row r="53732" s="197" customFormat="1" ht="12.75" x14ac:dyDescent="0.2"/>
    <row r="53733" s="197" customFormat="1" ht="12.75" x14ac:dyDescent="0.2"/>
    <row r="53734" s="197" customFormat="1" ht="12.75" x14ac:dyDescent="0.2"/>
    <row r="53735" s="197" customFormat="1" ht="12.75" x14ac:dyDescent="0.2"/>
    <row r="53736" s="197" customFormat="1" ht="12.75" x14ac:dyDescent="0.2"/>
    <row r="53737" s="197" customFormat="1" ht="12.75" x14ac:dyDescent="0.2"/>
    <row r="53738" s="197" customFormat="1" ht="12.75" x14ac:dyDescent="0.2"/>
    <row r="53739" s="197" customFormat="1" ht="12.75" x14ac:dyDescent="0.2"/>
    <row r="53740" s="197" customFormat="1" ht="12.75" x14ac:dyDescent="0.2"/>
    <row r="53741" s="197" customFormat="1" ht="12.75" x14ac:dyDescent="0.2"/>
    <row r="53742" s="197" customFormat="1" ht="12.75" x14ac:dyDescent="0.2"/>
    <row r="53743" s="197" customFormat="1" ht="12.75" x14ac:dyDescent="0.2"/>
    <row r="53744" s="197" customFormat="1" ht="12.75" x14ac:dyDescent="0.2"/>
    <row r="53745" s="197" customFormat="1" ht="12.75" x14ac:dyDescent="0.2"/>
    <row r="53746" s="197" customFormat="1" ht="12.75" x14ac:dyDescent="0.2"/>
    <row r="53747" s="197" customFormat="1" ht="12.75" x14ac:dyDescent="0.2"/>
    <row r="53748" s="197" customFormat="1" ht="12.75" x14ac:dyDescent="0.2"/>
    <row r="53749" s="197" customFormat="1" ht="12.75" x14ac:dyDescent="0.2"/>
    <row r="53750" s="197" customFormat="1" ht="12.75" x14ac:dyDescent="0.2"/>
    <row r="53751" s="197" customFormat="1" ht="12.75" x14ac:dyDescent="0.2"/>
    <row r="53752" s="197" customFormat="1" ht="12.75" x14ac:dyDescent="0.2"/>
    <row r="53753" s="197" customFormat="1" ht="12.75" x14ac:dyDescent="0.2"/>
    <row r="53754" s="197" customFormat="1" ht="12.75" x14ac:dyDescent="0.2"/>
    <row r="53755" s="197" customFormat="1" ht="12.75" x14ac:dyDescent="0.2"/>
    <row r="53756" s="197" customFormat="1" ht="12.75" x14ac:dyDescent="0.2"/>
    <row r="53757" s="197" customFormat="1" ht="12.75" x14ac:dyDescent="0.2"/>
    <row r="53758" s="197" customFormat="1" ht="12.75" x14ac:dyDescent="0.2"/>
    <row r="53759" s="197" customFormat="1" ht="12.75" x14ac:dyDescent="0.2"/>
    <row r="53760" s="197" customFormat="1" ht="12.75" x14ac:dyDescent="0.2"/>
    <row r="53761" s="197" customFormat="1" ht="12.75" x14ac:dyDescent="0.2"/>
    <row r="53762" s="197" customFormat="1" ht="12.75" x14ac:dyDescent="0.2"/>
    <row r="53763" s="197" customFormat="1" ht="12.75" x14ac:dyDescent="0.2"/>
    <row r="53764" s="197" customFormat="1" ht="12.75" x14ac:dyDescent="0.2"/>
    <row r="53765" s="197" customFormat="1" ht="12.75" x14ac:dyDescent="0.2"/>
    <row r="53766" s="197" customFormat="1" ht="12.75" x14ac:dyDescent="0.2"/>
    <row r="53767" s="197" customFormat="1" ht="12.75" x14ac:dyDescent="0.2"/>
    <row r="53768" s="197" customFormat="1" ht="12.75" x14ac:dyDescent="0.2"/>
    <row r="53769" s="197" customFormat="1" ht="12.75" x14ac:dyDescent="0.2"/>
    <row r="53770" s="197" customFormat="1" ht="12.75" x14ac:dyDescent="0.2"/>
    <row r="53771" s="197" customFormat="1" ht="12.75" x14ac:dyDescent="0.2"/>
    <row r="53772" s="197" customFormat="1" ht="12.75" x14ac:dyDescent="0.2"/>
    <row r="53773" s="197" customFormat="1" ht="12.75" x14ac:dyDescent="0.2"/>
    <row r="53774" s="197" customFormat="1" ht="12.75" x14ac:dyDescent="0.2"/>
    <row r="53775" s="197" customFormat="1" ht="12.75" x14ac:dyDescent="0.2"/>
    <row r="53776" s="197" customFormat="1" ht="12.75" x14ac:dyDescent="0.2"/>
    <row r="53777" s="197" customFormat="1" ht="12.75" x14ac:dyDescent="0.2"/>
    <row r="53778" s="197" customFormat="1" ht="12.75" x14ac:dyDescent="0.2"/>
    <row r="53779" s="197" customFormat="1" ht="12.75" x14ac:dyDescent="0.2"/>
    <row r="53780" s="197" customFormat="1" ht="12.75" x14ac:dyDescent="0.2"/>
    <row r="53781" s="197" customFormat="1" ht="12.75" x14ac:dyDescent="0.2"/>
    <row r="53782" s="197" customFormat="1" ht="12.75" x14ac:dyDescent="0.2"/>
    <row r="53783" s="197" customFormat="1" ht="12.75" x14ac:dyDescent="0.2"/>
    <row r="53784" s="197" customFormat="1" ht="12.75" x14ac:dyDescent="0.2"/>
    <row r="53785" s="197" customFormat="1" ht="12.75" x14ac:dyDescent="0.2"/>
    <row r="53786" s="197" customFormat="1" ht="12.75" x14ac:dyDescent="0.2"/>
    <row r="53787" s="197" customFormat="1" ht="12.75" x14ac:dyDescent="0.2"/>
    <row r="53788" s="197" customFormat="1" ht="12.75" x14ac:dyDescent="0.2"/>
    <row r="53789" s="197" customFormat="1" ht="12.75" x14ac:dyDescent="0.2"/>
    <row r="53790" s="197" customFormat="1" ht="12.75" x14ac:dyDescent="0.2"/>
    <row r="53791" s="197" customFormat="1" ht="12.75" x14ac:dyDescent="0.2"/>
    <row r="53792" s="197" customFormat="1" ht="12.75" x14ac:dyDescent="0.2"/>
    <row r="53793" s="197" customFormat="1" ht="12.75" x14ac:dyDescent="0.2"/>
    <row r="53794" s="197" customFormat="1" ht="12.75" x14ac:dyDescent="0.2"/>
    <row r="53795" s="197" customFormat="1" ht="12.75" x14ac:dyDescent="0.2"/>
    <row r="53796" s="197" customFormat="1" ht="12.75" x14ac:dyDescent="0.2"/>
    <row r="53797" s="197" customFormat="1" ht="12.75" x14ac:dyDescent="0.2"/>
    <row r="53798" s="197" customFormat="1" ht="12.75" x14ac:dyDescent="0.2"/>
    <row r="53799" s="197" customFormat="1" ht="12.75" x14ac:dyDescent="0.2"/>
    <row r="53800" s="197" customFormat="1" ht="12.75" x14ac:dyDescent="0.2"/>
    <row r="53801" s="197" customFormat="1" ht="12.75" x14ac:dyDescent="0.2"/>
    <row r="53802" s="197" customFormat="1" ht="12.75" x14ac:dyDescent="0.2"/>
    <row r="53803" s="197" customFormat="1" ht="12.75" x14ac:dyDescent="0.2"/>
    <row r="53804" s="197" customFormat="1" ht="12.75" x14ac:dyDescent="0.2"/>
    <row r="53805" s="197" customFormat="1" ht="12.75" x14ac:dyDescent="0.2"/>
    <row r="53806" s="197" customFormat="1" ht="12.75" x14ac:dyDescent="0.2"/>
    <row r="53807" s="197" customFormat="1" ht="12.75" x14ac:dyDescent="0.2"/>
    <row r="53808" s="197" customFormat="1" ht="12.75" x14ac:dyDescent="0.2"/>
    <row r="53809" s="197" customFormat="1" ht="12.75" x14ac:dyDescent="0.2"/>
    <row r="53810" s="197" customFormat="1" ht="12.75" x14ac:dyDescent="0.2"/>
    <row r="53811" s="197" customFormat="1" ht="12.75" x14ac:dyDescent="0.2"/>
    <row r="53812" s="197" customFormat="1" ht="12.75" x14ac:dyDescent="0.2"/>
    <row r="53813" s="197" customFormat="1" ht="12.75" x14ac:dyDescent="0.2"/>
    <row r="53814" s="197" customFormat="1" ht="12.75" x14ac:dyDescent="0.2"/>
    <row r="53815" s="197" customFormat="1" ht="12.75" x14ac:dyDescent="0.2"/>
    <row r="53816" s="197" customFormat="1" ht="12.75" x14ac:dyDescent="0.2"/>
    <row r="53817" s="197" customFormat="1" ht="12.75" x14ac:dyDescent="0.2"/>
    <row r="53818" s="197" customFormat="1" ht="12.75" x14ac:dyDescent="0.2"/>
    <row r="53819" s="197" customFormat="1" ht="12.75" x14ac:dyDescent="0.2"/>
    <row r="53820" s="197" customFormat="1" ht="12.75" x14ac:dyDescent="0.2"/>
    <row r="53821" s="197" customFormat="1" ht="12.75" x14ac:dyDescent="0.2"/>
    <row r="53822" s="197" customFormat="1" ht="12.75" x14ac:dyDescent="0.2"/>
    <row r="53823" s="197" customFormat="1" ht="12.75" x14ac:dyDescent="0.2"/>
    <row r="53824" s="197" customFormat="1" ht="12.75" x14ac:dyDescent="0.2"/>
    <row r="53825" s="197" customFormat="1" ht="12.75" x14ac:dyDescent="0.2"/>
    <row r="53826" s="197" customFormat="1" ht="12.75" x14ac:dyDescent="0.2"/>
    <row r="53827" s="197" customFormat="1" ht="12.75" x14ac:dyDescent="0.2"/>
    <row r="53828" s="197" customFormat="1" ht="12.75" x14ac:dyDescent="0.2"/>
    <row r="53829" s="197" customFormat="1" ht="12.75" x14ac:dyDescent="0.2"/>
    <row r="53830" s="197" customFormat="1" ht="12.75" x14ac:dyDescent="0.2"/>
    <row r="53831" s="197" customFormat="1" ht="12.75" x14ac:dyDescent="0.2"/>
    <row r="53832" s="197" customFormat="1" ht="12.75" x14ac:dyDescent="0.2"/>
    <row r="53833" s="197" customFormat="1" ht="12.75" x14ac:dyDescent="0.2"/>
    <row r="53834" s="197" customFormat="1" ht="12.75" x14ac:dyDescent="0.2"/>
    <row r="53835" s="197" customFormat="1" ht="12.75" x14ac:dyDescent="0.2"/>
    <row r="53836" s="197" customFormat="1" ht="12.75" x14ac:dyDescent="0.2"/>
    <row r="53837" s="197" customFormat="1" ht="12.75" x14ac:dyDescent="0.2"/>
    <row r="53838" s="197" customFormat="1" ht="12.75" x14ac:dyDescent="0.2"/>
    <row r="53839" s="197" customFormat="1" ht="12.75" x14ac:dyDescent="0.2"/>
    <row r="53840" s="197" customFormat="1" ht="12.75" x14ac:dyDescent="0.2"/>
    <row r="53841" s="197" customFormat="1" ht="12.75" x14ac:dyDescent="0.2"/>
    <row r="53842" s="197" customFormat="1" ht="12.75" x14ac:dyDescent="0.2"/>
    <row r="53843" s="197" customFormat="1" ht="12.75" x14ac:dyDescent="0.2"/>
    <row r="53844" s="197" customFormat="1" ht="12.75" x14ac:dyDescent="0.2"/>
    <row r="53845" s="197" customFormat="1" ht="12.75" x14ac:dyDescent="0.2"/>
    <row r="53846" s="197" customFormat="1" ht="12.75" x14ac:dyDescent="0.2"/>
    <row r="53847" s="197" customFormat="1" ht="12.75" x14ac:dyDescent="0.2"/>
    <row r="53848" s="197" customFormat="1" ht="12.75" x14ac:dyDescent="0.2"/>
    <row r="53849" s="197" customFormat="1" ht="12.75" x14ac:dyDescent="0.2"/>
    <row r="53850" s="197" customFormat="1" ht="12.75" x14ac:dyDescent="0.2"/>
    <row r="53851" s="197" customFormat="1" ht="12.75" x14ac:dyDescent="0.2"/>
    <row r="53852" s="197" customFormat="1" ht="12.75" x14ac:dyDescent="0.2"/>
    <row r="53853" s="197" customFormat="1" ht="12.75" x14ac:dyDescent="0.2"/>
    <row r="53854" s="197" customFormat="1" ht="12.75" x14ac:dyDescent="0.2"/>
    <row r="53855" s="197" customFormat="1" ht="12.75" x14ac:dyDescent="0.2"/>
    <row r="53856" s="197" customFormat="1" ht="12.75" x14ac:dyDescent="0.2"/>
    <row r="53857" s="197" customFormat="1" ht="12.75" x14ac:dyDescent="0.2"/>
    <row r="53858" s="197" customFormat="1" ht="12.75" x14ac:dyDescent="0.2"/>
    <row r="53859" s="197" customFormat="1" ht="12.75" x14ac:dyDescent="0.2"/>
    <row r="53860" s="197" customFormat="1" ht="12.75" x14ac:dyDescent="0.2"/>
    <row r="53861" s="197" customFormat="1" ht="12.75" x14ac:dyDescent="0.2"/>
    <row r="53862" s="197" customFormat="1" ht="12.75" x14ac:dyDescent="0.2"/>
    <row r="53863" s="197" customFormat="1" ht="12.75" x14ac:dyDescent="0.2"/>
    <row r="53864" s="197" customFormat="1" ht="12.75" x14ac:dyDescent="0.2"/>
    <row r="53865" s="197" customFormat="1" ht="12.75" x14ac:dyDescent="0.2"/>
    <row r="53866" s="197" customFormat="1" ht="12.75" x14ac:dyDescent="0.2"/>
    <row r="53867" s="197" customFormat="1" ht="12.75" x14ac:dyDescent="0.2"/>
    <row r="53868" s="197" customFormat="1" ht="12.75" x14ac:dyDescent="0.2"/>
    <row r="53869" s="197" customFormat="1" ht="12.75" x14ac:dyDescent="0.2"/>
    <row r="53870" s="197" customFormat="1" ht="12.75" x14ac:dyDescent="0.2"/>
    <row r="53871" s="197" customFormat="1" ht="12.75" x14ac:dyDescent="0.2"/>
    <row r="53872" s="197" customFormat="1" ht="12.75" x14ac:dyDescent="0.2"/>
    <row r="53873" s="197" customFormat="1" ht="12.75" x14ac:dyDescent="0.2"/>
    <row r="53874" s="197" customFormat="1" ht="12.75" x14ac:dyDescent="0.2"/>
    <row r="53875" s="197" customFormat="1" ht="12.75" x14ac:dyDescent="0.2"/>
    <row r="53876" s="197" customFormat="1" ht="12.75" x14ac:dyDescent="0.2"/>
    <row r="53877" s="197" customFormat="1" ht="12.75" x14ac:dyDescent="0.2"/>
    <row r="53878" s="197" customFormat="1" ht="12.75" x14ac:dyDescent="0.2"/>
    <row r="53879" s="197" customFormat="1" ht="12.75" x14ac:dyDescent="0.2"/>
    <row r="53880" s="197" customFormat="1" ht="12.75" x14ac:dyDescent="0.2"/>
    <row r="53881" s="197" customFormat="1" ht="12.75" x14ac:dyDescent="0.2"/>
    <row r="53882" s="197" customFormat="1" ht="12.75" x14ac:dyDescent="0.2"/>
    <row r="53883" s="197" customFormat="1" ht="12.75" x14ac:dyDescent="0.2"/>
    <row r="53884" s="197" customFormat="1" ht="12.75" x14ac:dyDescent="0.2"/>
    <row r="53885" s="197" customFormat="1" ht="12.75" x14ac:dyDescent="0.2"/>
    <row r="53886" s="197" customFormat="1" ht="12.75" x14ac:dyDescent="0.2"/>
    <row r="53887" s="197" customFormat="1" ht="12.75" x14ac:dyDescent="0.2"/>
    <row r="53888" s="197" customFormat="1" ht="12.75" x14ac:dyDescent="0.2"/>
    <row r="53889" s="197" customFormat="1" ht="12.75" x14ac:dyDescent="0.2"/>
    <row r="53890" s="197" customFormat="1" ht="12.75" x14ac:dyDescent="0.2"/>
    <row r="53891" s="197" customFormat="1" ht="12.75" x14ac:dyDescent="0.2"/>
    <row r="53892" s="197" customFormat="1" ht="12.75" x14ac:dyDescent="0.2"/>
    <row r="53893" s="197" customFormat="1" ht="12.75" x14ac:dyDescent="0.2"/>
    <row r="53894" s="197" customFormat="1" ht="12.75" x14ac:dyDescent="0.2"/>
    <row r="53895" s="197" customFormat="1" ht="12.75" x14ac:dyDescent="0.2"/>
    <row r="53896" s="197" customFormat="1" ht="12.75" x14ac:dyDescent="0.2"/>
    <row r="53897" s="197" customFormat="1" ht="12.75" x14ac:dyDescent="0.2"/>
    <row r="53898" s="197" customFormat="1" ht="12.75" x14ac:dyDescent="0.2"/>
    <row r="53899" s="197" customFormat="1" ht="12.75" x14ac:dyDescent="0.2"/>
    <row r="53900" s="197" customFormat="1" ht="12.75" x14ac:dyDescent="0.2"/>
    <row r="53901" s="197" customFormat="1" ht="12.75" x14ac:dyDescent="0.2"/>
    <row r="53902" s="197" customFormat="1" ht="12.75" x14ac:dyDescent="0.2"/>
    <row r="53903" s="197" customFormat="1" ht="12.75" x14ac:dyDescent="0.2"/>
    <row r="53904" s="197" customFormat="1" ht="12.75" x14ac:dyDescent="0.2"/>
    <row r="53905" s="197" customFormat="1" ht="12.75" x14ac:dyDescent="0.2"/>
    <row r="53906" s="197" customFormat="1" ht="12.75" x14ac:dyDescent="0.2"/>
    <row r="53907" s="197" customFormat="1" ht="12.75" x14ac:dyDescent="0.2"/>
    <row r="53908" s="197" customFormat="1" ht="12.75" x14ac:dyDescent="0.2"/>
    <row r="53909" s="197" customFormat="1" ht="12.75" x14ac:dyDescent="0.2"/>
    <row r="53910" s="197" customFormat="1" ht="12.75" x14ac:dyDescent="0.2"/>
    <row r="53911" s="197" customFormat="1" ht="12.75" x14ac:dyDescent="0.2"/>
    <row r="53912" s="197" customFormat="1" ht="12.75" x14ac:dyDescent="0.2"/>
    <row r="53913" s="197" customFormat="1" ht="12.75" x14ac:dyDescent="0.2"/>
    <row r="53914" s="197" customFormat="1" ht="12.75" x14ac:dyDescent="0.2"/>
    <row r="53915" s="197" customFormat="1" ht="12.75" x14ac:dyDescent="0.2"/>
    <row r="53916" s="197" customFormat="1" ht="12.75" x14ac:dyDescent="0.2"/>
    <row r="53917" s="197" customFormat="1" ht="12.75" x14ac:dyDescent="0.2"/>
    <row r="53918" s="197" customFormat="1" ht="12.75" x14ac:dyDescent="0.2"/>
    <row r="53919" s="197" customFormat="1" ht="12.75" x14ac:dyDescent="0.2"/>
    <row r="53920" s="197" customFormat="1" ht="12.75" x14ac:dyDescent="0.2"/>
    <row r="53921" s="197" customFormat="1" ht="12.75" x14ac:dyDescent="0.2"/>
    <row r="53922" s="197" customFormat="1" ht="12.75" x14ac:dyDescent="0.2"/>
    <row r="53923" s="197" customFormat="1" ht="12.75" x14ac:dyDescent="0.2"/>
    <row r="53924" s="197" customFormat="1" ht="12.75" x14ac:dyDescent="0.2"/>
    <row r="53925" s="197" customFormat="1" ht="12.75" x14ac:dyDescent="0.2"/>
    <row r="53926" s="197" customFormat="1" ht="12.75" x14ac:dyDescent="0.2"/>
    <row r="53927" s="197" customFormat="1" ht="12.75" x14ac:dyDescent="0.2"/>
    <row r="53928" s="197" customFormat="1" ht="12.75" x14ac:dyDescent="0.2"/>
    <row r="53929" s="197" customFormat="1" ht="12.75" x14ac:dyDescent="0.2"/>
    <row r="53930" s="197" customFormat="1" ht="12.75" x14ac:dyDescent="0.2"/>
    <row r="53931" s="197" customFormat="1" ht="12.75" x14ac:dyDescent="0.2"/>
    <row r="53932" s="197" customFormat="1" ht="12.75" x14ac:dyDescent="0.2"/>
    <row r="53933" s="197" customFormat="1" ht="12.75" x14ac:dyDescent="0.2"/>
    <row r="53934" s="197" customFormat="1" ht="12.75" x14ac:dyDescent="0.2"/>
    <row r="53935" s="197" customFormat="1" ht="12.75" x14ac:dyDescent="0.2"/>
    <row r="53936" s="197" customFormat="1" ht="12.75" x14ac:dyDescent="0.2"/>
    <row r="53937" s="197" customFormat="1" ht="12.75" x14ac:dyDescent="0.2"/>
    <row r="53938" s="197" customFormat="1" ht="12.75" x14ac:dyDescent="0.2"/>
    <row r="53939" s="197" customFormat="1" ht="12.75" x14ac:dyDescent="0.2"/>
    <row r="53940" s="197" customFormat="1" ht="12.75" x14ac:dyDescent="0.2"/>
    <row r="53941" s="197" customFormat="1" ht="12.75" x14ac:dyDescent="0.2"/>
    <row r="53942" s="197" customFormat="1" ht="12.75" x14ac:dyDescent="0.2"/>
    <row r="53943" s="197" customFormat="1" ht="12.75" x14ac:dyDescent="0.2"/>
    <row r="53944" s="197" customFormat="1" ht="12.75" x14ac:dyDescent="0.2"/>
    <row r="53945" s="197" customFormat="1" ht="12.75" x14ac:dyDescent="0.2"/>
    <row r="53946" s="197" customFormat="1" ht="12.75" x14ac:dyDescent="0.2"/>
    <row r="53947" s="197" customFormat="1" ht="12.75" x14ac:dyDescent="0.2"/>
    <row r="53948" s="197" customFormat="1" ht="12.75" x14ac:dyDescent="0.2"/>
    <row r="53949" s="197" customFormat="1" ht="12.75" x14ac:dyDescent="0.2"/>
    <row r="53950" s="197" customFormat="1" ht="12.75" x14ac:dyDescent="0.2"/>
    <row r="53951" s="197" customFormat="1" ht="12.75" x14ac:dyDescent="0.2"/>
    <row r="53952" s="197" customFormat="1" ht="12.75" x14ac:dyDescent="0.2"/>
    <row r="53953" s="197" customFormat="1" ht="12.75" x14ac:dyDescent="0.2"/>
    <row r="53954" s="197" customFormat="1" ht="12.75" x14ac:dyDescent="0.2"/>
    <row r="53955" s="197" customFormat="1" ht="12.75" x14ac:dyDescent="0.2"/>
    <row r="53956" s="197" customFormat="1" ht="12.75" x14ac:dyDescent="0.2"/>
    <row r="53957" s="197" customFormat="1" ht="12.75" x14ac:dyDescent="0.2"/>
    <row r="53958" s="197" customFormat="1" ht="12.75" x14ac:dyDescent="0.2"/>
    <row r="53959" s="197" customFormat="1" ht="12.75" x14ac:dyDescent="0.2"/>
    <row r="53960" s="197" customFormat="1" ht="12.75" x14ac:dyDescent="0.2"/>
    <row r="53961" s="197" customFormat="1" ht="12.75" x14ac:dyDescent="0.2"/>
    <row r="53962" s="197" customFormat="1" ht="12.75" x14ac:dyDescent="0.2"/>
    <row r="53963" s="197" customFormat="1" ht="12.75" x14ac:dyDescent="0.2"/>
    <row r="53964" s="197" customFormat="1" ht="12.75" x14ac:dyDescent="0.2"/>
    <row r="53965" s="197" customFormat="1" ht="12.75" x14ac:dyDescent="0.2"/>
    <row r="53966" s="197" customFormat="1" ht="12.75" x14ac:dyDescent="0.2"/>
    <row r="53967" s="197" customFormat="1" ht="12.75" x14ac:dyDescent="0.2"/>
    <row r="53968" s="197" customFormat="1" ht="12.75" x14ac:dyDescent="0.2"/>
    <row r="53969" s="197" customFormat="1" ht="12.75" x14ac:dyDescent="0.2"/>
    <row r="53970" s="197" customFormat="1" ht="12.75" x14ac:dyDescent="0.2"/>
    <row r="53971" s="197" customFormat="1" ht="12.75" x14ac:dyDescent="0.2"/>
    <row r="53972" s="197" customFormat="1" ht="12.75" x14ac:dyDescent="0.2"/>
    <row r="53973" s="197" customFormat="1" ht="12.75" x14ac:dyDescent="0.2"/>
    <row r="53974" s="197" customFormat="1" ht="12.75" x14ac:dyDescent="0.2"/>
    <row r="53975" s="197" customFormat="1" ht="12.75" x14ac:dyDescent="0.2"/>
    <row r="53976" s="197" customFormat="1" ht="12.75" x14ac:dyDescent="0.2"/>
    <row r="53977" s="197" customFormat="1" ht="12.75" x14ac:dyDescent="0.2"/>
    <row r="53978" s="197" customFormat="1" ht="12.75" x14ac:dyDescent="0.2"/>
    <row r="53979" s="197" customFormat="1" ht="12.75" x14ac:dyDescent="0.2"/>
    <row r="53980" s="197" customFormat="1" ht="12.75" x14ac:dyDescent="0.2"/>
    <row r="53981" s="197" customFormat="1" ht="12.75" x14ac:dyDescent="0.2"/>
    <row r="53982" s="197" customFormat="1" ht="12.75" x14ac:dyDescent="0.2"/>
    <row r="53983" s="197" customFormat="1" ht="12.75" x14ac:dyDescent="0.2"/>
    <row r="53984" s="197" customFormat="1" ht="12.75" x14ac:dyDescent="0.2"/>
    <row r="53985" s="197" customFormat="1" ht="12.75" x14ac:dyDescent="0.2"/>
    <row r="53986" s="197" customFormat="1" ht="12.75" x14ac:dyDescent="0.2"/>
    <row r="53987" s="197" customFormat="1" ht="12.75" x14ac:dyDescent="0.2"/>
    <row r="53988" s="197" customFormat="1" ht="12.75" x14ac:dyDescent="0.2"/>
    <row r="53989" s="197" customFormat="1" ht="12.75" x14ac:dyDescent="0.2"/>
    <row r="53990" s="197" customFormat="1" ht="12.75" x14ac:dyDescent="0.2"/>
    <row r="53991" s="197" customFormat="1" ht="12.75" x14ac:dyDescent="0.2"/>
    <row r="53992" s="197" customFormat="1" ht="12.75" x14ac:dyDescent="0.2"/>
    <row r="53993" s="197" customFormat="1" ht="12.75" x14ac:dyDescent="0.2"/>
    <row r="53994" s="197" customFormat="1" ht="12.75" x14ac:dyDescent="0.2"/>
    <row r="53995" s="197" customFormat="1" ht="12.75" x14ac:dyDescent="0.2"/>
    <row r="53996" s="197" customFormat="1" ht="12.75" x14ac:dyDescent="0.2"/>
    <row r="53997" s="197" customFormat="1" ht="12.75" x14ac:dyDescent="0.2"/>
    <row r="53998" s="197" customFormat="1" ht="12.75" x14ac:dyDescent="0.2"/>
    <row r="53999" s="197" customFormat="1" ht="12.75" x14ac:dyDescent="0.2"/>
    <row r="54000" s="197" customFormat="1" ht="12.75" x14ac:dyDescent="0.2"/>
    <row r="54001" s="197" customFormat="1" ht="12.75" x14ac:dyDescent="0.2"/>
    <row r="54002" s="197" customFormat="1" ht="12.75" x14ac:dyDescent="0.2"/>
    <row r="54003" s="197" customFormat="1" ht="12.75" x14ac:dyDescent="0.2"/>
    <row r="54004" s="197" customFormat="1" ht="12.75" x14ac:dyDescent="0.2"/>
    <row r="54005" s="197" customFormat="1" ht="12.75" x14ac:dyDescent="0.2"/>
    <row r="54006" s="197" customFormat="1" ht="12.75" x14ac:dyDescent="0.2"/>
    <row r="54007" s="197" customFormat="1" ht="12.75" x14ac:dyDescent="0.2"/>
    <row r="54008" s="197" customFormat="1" ht="12.75" x14ac:dyDescent="0.2"/>
    <row r="54009" s="197" customFormat="1" ht="12.75" x14ac:dyDescent="0.2"/>
    <row r="54010" s="197" customFormat="1" ht="12.75" x14ac:dyDescent="0.2"/>
    <row r="54011" s="197" customFormat="1" ht="12.75" x14ac:dyDescent="0.2"/>
    <row r="54012" s="197" customFormat="1" ht="12.75" x14ac:dyDescent="0.2"/>
    <row r="54013" s="197" customFormat="1" ht="12.75" x14ac:dyDescent="0.2"/>
    <row r="54014" s="197" customFormat="1" ht="12.75" x14ac:dyDescent="0.2"/>
    <row r="54015" s="197" customFormat="1" ht="12.75" x14ac:dyDescent="0.2"/>
    <row r="54016" s="197" customFormat="1" ht="12.75" x14ac:dyDescent="0.2"/>
    <row r="54017" s="197" customFormat="1" ht="12.75" x14ac:dyDescent="0.2"/>
    <row r="54018" s="197" customFormat="1" ht="12.75" x14ac:dyDescent="0.2"/>
    <row r="54019" s="197" customFormat="1" ht="12.75" x14ac:dyDescent="0.2"/>
    <row r="54020" s="197" customFormat="1" ht="12.75" x14ac:dyDescent="0.2"/>
    <row r="54021" s="197" customFormat="1" ht="12.75" x14ac:dyDescent="0.2"/>
    <row r="54022" s="197" customFormat="1" ht="12.75" x14ac:dyDescent="0.2"/>
    <row r="54023" s="197" customFormat="1" ht="12.75" x14ac:dyDescent="0.2"/>
    <row r="54024" s="197" customFormat="1" ht="12.75" x14ac:dyDescent="0.2"/>
    <row r="54025" s="197" customFormat="1" ht="12.75" x14ac:dyDescent="0.2"/>
    <row r="54026" s="197" customFormat="1" ht="12.75" x14ac:dyDescent="0.2"/>
    <row r="54027" s="197" customFormat="1" ht="12.75" x14ac:dyDescent="0.2"/>
    <row r="54028" s="197" customFormat="1" ht="12.75" x14ac:dyDescent="0.2"/>
    <row r="54029" s="197" customFormat="1" ht="12.75" x14ac:dyDescent="0.2"/>
    <row r="54030" s="197" customFormat="1" ht="12.75" x14ac:dyDescent="0.2"/>
    <row r="54031" s="197" customFormat="1" ht="12.75" x14ac:dyDescent="0.2"/>
    <row r="54032" s="197" customFormat="1" ht="12.75" x14ac:dyDescent="0.2"/>
    <row r="54033" s="197" customFormat="1" ht="12.75" x14ac:dyDescent="0.2"/>
    <row r="54034" s="197" customFormat="1" ht="12.75" x14ac:dyDescent="0.2"/>
    <row r="54035" s="197" customFormat="1" ht="12.75" x14ac:dyDescent="0.2"/>
    <row r="54036" s="197" customFormat="1" ht="12.75" x14ac:dyDescent="0.2"/>
    <row r="54037" s="197" customFormat="1" ht="12.75" x14ac:dyDescent="0.2"/>
    <row r="54038" s="197" customFormat="1" ht="12.75" x14ac:dyDescent="0.2"/>
    <row r="54039" s="197" customFormat="1" ht="12.75" x14ac:dyDescent="0.2"/>
    <row r="54040" s="197" customFormat="1" ht="12.75" x14ac:dyDescent="0.2"/>
    <row r="54041" s="197" customFormat="1" ht="12.75" x14ac:dyDescent="0.2"/>
    <row r="54042" s="197" customFormat="1" ht="12.75" x14ac:dyDescent="0.2"/>
    <row r="54043" s="197" customFormat="1" ht="12.75" x14ac:dyDescent="0.2"/>
    <row r="54044" s="197" customFormat="1" ht="12.75" x14ac:dyDescent="0.2"/>
    <row r="54045" s="197" customFormat="1" ht="12.75" x14ac:dyDescent="0.2"/>
    <row r="54046" s="197" customFormat="1" ht="12.75" x14ac:dyDescent="0.2"/>
    <row r="54047" s="197" customFormat="1" ht="12.75" x14ac:dyDescent="0.2"/>
    <row r="54048" s="197" customFormat="1" ht="12.75" x14ac:dyDescent="0.2"/>
    <row r="54049" s="197" customFormat="1" ht="12.75" x14ac:dyDescent="0.2"/>
    <row r="54050" s="197" customFormat="1" ht="12.75" x14ac:dyDescent="0.2"/>
    <row r="54051" s="197" customFormat="1" ht="12.75" x14ac:dyDescent="0.2"/>
    <row r="54052" s="197" customFormat="1" ht="12.75" x14ac:dyDescent="0.2"/>
    <row r="54053" s="197" customFormat="1" ht="12.75" x14ac:dyDescent="0.2"/>
    <row r="54054" s="197" customFormat="1" ht="12.75" x14ac:dyDescent="0.2"/>
    <row r="54055" s="197" customFormat="1" ht="12.75" x14ac:dyDescent="0.2"/>
    <row r="54056" s="197" customFormat="1" ht="12.75" x14ac:dyDescent="0.2"/>
    <row r="54057" s="197" customFormat="1" ht="12.75" x14ac:dyDescent="0.2"/>
    <row r="54058" s="197" customFormat="1" ht="12.75" x14ac:dyDescent="0.2"/>
    <row r="54059" s="197" customFormat="1" ht="12.75" x14ac:dyDescent="0.2"/>
    <row r="54060" s="197" customFormat="1" ht="12.75" x14ac:dyDescent="0.2"/>
    <row r="54061" s="197" customFormat="1" ht="12.75" x14ac:dyDescent="0.2"/>
    <row r="54062" s="197" customFormat="1" ht="12.75" x14ac:dyDescent="0.2"/>
    <row r="54063" s="197" customFormat="1" ht="12.75" x14ac:dyDescent="0.2"/>
    <row r="54064" s="197" customFormat="1" ht="12.75" x14ac:dyDescent="0.2"/>
    <row r="54065" s="197" customFormat="1" ht="12.75" x14ac:dyDescent="0.2"/>
    <row r="54066" s="197" customFormat="1" ht="12.75" x14ac:dyDescent="0.2"/>
    <row r="54067" s="197" customFormat="1" ht="12.75" x14ac:dyDescent="0.2"/>
    <row r="54068" s="197" customFormat="1" ht="12.75" x14ac:dyDescent="0.2"/>
    <row r="54069" s="197" customFormat="1" ht="12.75" x14ac:dyDescent="0.2"/>
    <row r="54070" s="197" customFormat="1" ht="12.75" x14ac:dyDescent="0.2"/>
    <row r="54071" s="197" customFormat="1" ht="12.75" x14ac:dyDescent="0.2"/>
    <row r="54072" s="197" customFormat="1" ht="12.75" x14ac:dyDescent="0.2"/>
    <row r="54073" s="197" customFormat="1" ht="12.75" x14ac:dyDescent="0.2"/>
    <row r="54074" s="197" customFormat="1" ht="12.75" x14ac:dyDescent="0.2"/>
    <row r="54075" s="197" customFormat="1" ht="12.75" x14ac:dyDescent="0.2"/>
    <row r="54076" s="197" customFormat="1" ht="12.75" x14ac:dyDescent="0.2"/>
    <row r="54077" s="197" customFormat="1" ht="12.75" x14ac:dyDescent="0.2"/>
    <row r="54078" s="197" customFormat="1" ht="12.75" x14ac:dyDescent="0.2"/>
    <row r="54079" s="197" customFormat="1" ht="12.75" x14ac:dyDescent="0.2"/>
    <row r="54080" s="197" customFormat="1" ht="12.75" x14ac:dyDescent="0.2"/>
    <row r="54081" s="197" customFormat="1" ht="12.75" x14ac:dyDescent="0.2"/>
    <row r="54082" s="197" customFormat="1" ht="12.75" x14ac:dyDescent="0.2"/>
    <row r="54083" s="197" customFormat="1" ht="12.75" x14ac:dyDescent="0.2"/>
    <row r="54084" s="197" customFormat="1" ht="12.75" x14ac:dyDescent="0.2"/>
    <row r="54085" s="197" customFormat="1" ht="12.75" x14ac:dyDescent="0.2"/>
    <row r="54086" s="197" customFormat="1" ht="12.75" x14ac:dyDescent="0.2"/>
    <row r="54087" s="197" customFormat="1" ht="12.75" x14ac:dyDescent="0.2"/>
    <row r="54088" s="197" customFormat="1" ht="12.75" x14ac:dyDescent="0.2"/>
    <row r="54089" s="197" customFormat="1" ht="12.75" x14ac:dyDescent="0.2"/>
    <row r="54090" s="197" customFormat="1" ht="12.75" x14ac:dyDescent="0.2"/>
    <row r="54091" s="197" customFormat="1" ht="12.75" x14ac:dyDescent="0.2"/>
    <row r="54092" s="197" customFormat="1" ht="12.75" x14ac:dyDescent="0.2"/>
    <row r="54093" s="197" customFormat="1" ht="12.75" x14ac:dyDescent="0.2"/>
    <row r="54094" s="197" customFormat="1" ht="12.75" x14ac:dyDescent="0.2"/>
    <row r="54095" s="197" customFormat="1" ht="12.75" x14ac:dyDescent="0.2"/>
    <row r="54096" s="197" customFormat="1" ht="12.75" x14ac:dyDescent="0.2"/>
    <row r="54097" s="197" customFormat="1" ht="12.75" x14ac:dyDescent="0.2"/>
    <row r="54098" s="197" customFormat="1" ht="12.75" x14ac:dyDescent="0.2"/>
    <row r="54099" s="197" customFormat="1" ht="12.75" x14ac:dyDescent="0.2"/>
    <row r="54100" s="197" customFormat="1" ht="12.75" x14ac:dyDescent="0.2"/>
    <row r="54101" s="197" customFormat="1" ht="12.75" x14ac:dyDescent="0.2"/>
    <row r="54102" s="197" customFormat="1" ht="12.75" x14ac:dyDescent="0.2"/>
    <row r="54103" s="197" customFormat="1" ht="12.75" x14ac:dyDescent="0.2"/>
    <row r="54104" s="197" customFormat="1" ht="12.75" x14ac:dyDescent="0.2"/>
    <row r="54105" s="197" customFormat="1" ht="12.75" x14ac:dyDescent="0.2"/>
    <row r="54106" s="197" customFormat="1" ht="12.75" x14ac:dyDescent="0.2"/>
    <row r="54107" s="197" customFormat="1" ht="12.75" x14ac:dyDescent="0.2"/>
    <row r="54108" s="197" customFormat="1" ht="12.75" x14ac:dyDescent="0.2"/>
    <row r="54109" s="197" customFormat="1" ht="12.75" x14ac:dyDescent="0.2"/>
    <row r="54110" s="197" customFormat="1" ht="12.75" x14ac:dyDescent="0.2"/>
    <row r="54111" s="197" customFormat="1" ht="12.75" x14ac:dyDescent="0.2"/>
    <row r="54112" s="197" customFormat="1" ht="12.75" x14ac:dyDescent="0.2"/>
    <row r="54113" s="197" customFormat="1" ht="12.75" x14ac:dyDescent="0.2"/>
    <row r="54114" s="197" customFormat="1" ht="12.75" x14ac:dyDescent="0.2"/>
    <row r="54115" s="197" customFormat="1" ht="12.75" x14ac:dyDescent="0.2"/>
    <row r="54116" s="197" customFormat="1" ht="12.75" x14ac:dyDescent="0.2"/>
    <row r="54117" s="197" customFormat="1" ht="12.75" x14ac:dyDescent="0.2"/>
    <row r="54118" s="197" customFormat="1" ht="12.75" x14ac:dyDescent="0.2"/>
    <row r="54119" s="197" customFormat="1" ht="12.75" x14ac:dyDescent="0.2"/>
    <row r="54120" s="197" customFormat="1" ht="12.75" x14ac:dyDescent="0.2"/>
    <row r="54121" s="197" customFormat="1" ht="12.75" x14ac:dyDescent="0.2"/>
    <row r="54122" s="197" customFormat="1" ht="12.75" x14ac:dyDescent="0.2"/>
    <row r="54123" s="197" customFormat="1" ht="12.75" x14ac:dyDescent="0.2"/>
    <row r="54124" s="197" customFormat="1" ht="12.75" x14ac:dyDescent="0.2"/>
    <row r="54125" s="197" customFormat="1" ht="12.75" x14ac:dyDescent="0.2"/>
    <row r="54126" s="197" customFormat="1" ht="12.75" x14ac:dyDescent="0.2"/>
    <row r="54127" s="197" customFormat="1" ht="12.75" x14ac:dyDescent="0.2"/>
    <row r="54128" s="197" customFormat="1" ht="12.75" x14ac:dyDescent="0.2"/>
    <row r="54129" s="197" customFormat="1" ht="12.75" x14ac:dyDescent="0.2"/>
    <row r="54130" s="197" customFormat="1" ht="12.75" x14ac:dyDescent="0.2"/>
    <row r="54131" s="197" customFormat="1" ht="12.75" x14ac:dyDescent="0.2"/>
    <row r="54132" s="197" customFormat="1" ht="12.75" x14ac:dyDescent="0.2"/>
    <row r="54133" s="197" customFormat="1" ht="12.75" x14ac:dyDescent="0.2"/>
    <row r="54134" s="197" customFormat="1" ht="12.75" x14ac:dyDescent="0.2"/>
    <row r="54135" s="197" customFormat="1" ht="12.75" x14ac:dyDescent="0.2"/>
    <row r="54136" s="197" customFormat="1" ht="12.75" x14ac:dyDescent="0.2"/>
    <row r="54137" s="197" customFormat="1" ht="12.75" x14ac:dyDescent="0.2"/>
    <row r="54138" s="197" customFormat="1" ht="12.75" x14ac:dyDescent="0.2"/>
    <row r="54139" s="197" customFormat="1" ht="12.75" x14ac:dyDescent="0.2"/>
    <row r="54140" s="197" customFormat="1" ht="12.75" x14ac:dyDescent="0.2"/>
    <row r="54141" s="197" customFormat="1" ht="12.75" x14ac:dyDescent="0.2"/>
    <row r="54142" s="197" customFormat="1" ht="12.75" x14ac:dyDescent="0.2"/>
    <row r="54143" s="197" customFormat="1" ht="12.75" x14ac:dyDescent="0.2"/>
    <row r="54144" s="197" customFormat="1" ht="12.75" x14ac:dyDescent="0.2"/>
    <row r="54145" s="197" customFormat="1" ht="12.75" x14ac:dyDescent="0.2"/>
    <row r="54146" s="197" customFormat="1" ht="12.75" x14ac:dyDescent="0.2"/>
    <row r="54147" s="197" customFormat="1" ht="12.75" x14ac:dyDescent="0.2"/>
    <row r="54148" s="197" customFormat="1" ht="12.75" x14ac:dyDescent="0.2"/>
    <row r="54149" s="197" customFormat="1" ht="12.75" x14ac:dyDescent="0.2"/>
    <row r="54150" s="197" customFormat="1" ht="12.75" x14ac:dyDescent="0.2"/>
    <row r="54151" s="197" customFormat="1" ht="12.75" x14ac:dyDescent="0.2"/>
    <row r="54152" s="197" customFormat="1" ht="12.75" x14ac:dyDescent="0.2"/>
    <row r="54153" s="197" customFormat="1" ht="12.75" x14ac:dyDescent="0.2"/>
    <row r="54154" s="197" customFormat="1" ht="12.75" x14ac:dyDescent="0.2"/>
    <row r="54155" s="197" customFormat="1" ht="12.75" x14ac:dyDescent="0.2"/>
    <row r="54156" s="197" customFormat="1" ht="12.75" x14ac:dyDescent="0.2"/>
    <row r="54157" s="197" customFormat="1" ht="12.75" x14ac:dyDescent="0.2"/>
    <row r="54158" s="197" customFormat="1" ht="12.75" x14ac:dyDescent="0.2"/>
    <row r="54159" s="197" customFormat="1" ht="12.75" x14ac:dyDescent="0.2"/>
    <row r="54160" s="197" customFormat="1" ht="12.75" x14ac:dyDescent="0.2"/>
    <row r="54161" s="197" customFormat="1" ht="12.75" x14ac:dyDescent="0.2"/>
    <row r="54162" s="197" customFormat="1" ht="12.75" x14ac:dyDescent="0.2"/>
    <row r="54163" s="197" customFormat="1" ht="12.75" x14ac:dyDescent="0.2"/>
    <row r="54164" s="197" customFormat="1" ht="12.75" x14ac:dyDescent="0.2"/>
    <row r="54165" s="197" customFormat="1" ht="12.75" x14ac:dyDescent="0.2"/>
    <row r="54166" s="197" customFormat="1" ht="12.75" x14ac:dyDescent="0.2"/>
    <row r="54167" s="197" customFormat="1" ht="12.75" x14ac:dyDescent="0.2"/>
    <row r="54168" s="197" customFormat="1" ht="12.75" x14ac:dyDescent="0.2"/>
    <row r="54169" s="197" customFormat="1" ht="12.75" x14ac:dyDescent="0.2"/>
    <row r="54170" s="197" customFormat="1" ht="12.75" x14ac:dyDescent="0.2"/>
    <row r="54171" s="197" customFormat="1" ht="12.75" x14ac:dyDescent="0.2"/>
    <row r="54172" s="197" customFormat="1" ht="12.75" x14ac:dyDescent="0.2"/>
    <row r="54173" s="197" customFormat="1" ht="12.75" x14ac:dyDescent="0.2"/>
    <row r="54174" s="197" customFormat="1" ht="12.75" x14ac:dyDescent="0.2"/>
    <row r="54175" s="197" customFormat="1" ht="12.75" x14ac:dyDescent="0.2"/>
    <row r="54176" s="197" customFormat="1" ht="12.75" x14ac:dyDescent="0.2"/>
    <row r="54177" s="197" customFormat="1" ht="12.75" x14ac:dyDescent="0.2"/>
    <row r="54178" s="197" customFormat="1" ht="12.75" x14ac:dyDescent="0.2"/>
    <row r="54179" s="197" customFormat="1" ht="12.75" x14ac:dyDescent="0.2"/>
    <row r="54180" s="197" customFormat="1" ht="12.75" x14ac:dyDescent="0.2"/>
    <row r="54181" s="197" customFormat="1" ht="12.75" x14ac:dyDescent="0.2"/>
    <row r="54182" s="197" customFormat="1" ht="12.75" x14ac:dyDescent="0.2"/>
    <row r="54183" s="197" customFormat="1" ht="12.75" x14ac:dyDescent="0.2"/>
    <row r="54184" s="197" customFormat="1" ht="12.75" x14ac:dyDescent="0.2"/>
    <row r="54185" s="197" customFormat="1" ht="12.75" x14ac:dyDescent="0.2"/>
    <row r="54186" s="197" customFormat="1" ht="12.75" x14ac:dyDescent="0.2"/>
    <row r="54187" s="197" customFormat="1" ht="12.75" x14ac:dyDescent="0.2"/>
    <row r="54188" s="197" customFormat="1" ht="12.75" x14ac:dyDescent="0.2"/>
    <row r="54189" s="197" customFormat="1" ht="12.75" x14ac:dyDescent="0.2"/>
    <row r="54190" s="197" customFormat="1" ht="12.75" x14ac:dyDescent="0.2"/>
    <row r="54191" s="197" customFormat="1" ht="12.75" x14ac:dyDescent="0.2"/>
    <row r="54192" s="197" customFormat="1" ht="12.75" x14ac:dyDescent="0.2"/>
    <row r="54193" s="197" customFormat="1" ht="12.75" x14ac:dyDescent="0.2"/>
    <row r="54194" s="197" customFormat="1" ht="12.75" x14ac:dyDescent="0.2"/>
    <row r="54195" s="197" customFormat="1" ht="12.75" x14ac:dyDescent="0.2"/>
    <row r="54196" s="197" customFormat="1" ht="12.75" x14ac:dyDescent="0.2"/>
    <row r="54197" s="197" customFormat="1" ht="12.75" x14ac:dyDescent="0.2"/>
    <row r="54198" s="197" customFormat="1" ht="12.75" x14ac:dyDescent="0.2"/>
    <row r="54199" s="197" customFormat="1" ht="12.75" x14ac:dyDescent="0.2"/>
    <row r="54200" s="197" customFormat="1" ht="12.75" x14ac:dyDescent="0.2"/>
    <row r="54201" s="197" customFormat="1" ht="12.75" x14ac:dyDescent="0.2"/>
    <row r="54202" s="197" customFormat="1" ht="12.75" x14ac:dyDescent="0.2"/>
    <row r="54203" s="197" customFormat="1" ht="12.75" x14ac:dyDescent="0.2"/>
    <row r="54204" s="197" customFormat="1" ht="12.75" x14ac:dyDescent="0.2"/>
    <row r="54205" s="197" customFormat="1" ht="12.75" x14ac:dyDescent="0.2"/>
    <row r="54206" s="197" customFormat="1" ht="12.75" x14ac:dyDescent="0.2"/>
    <row r="54207" s="197" customFormat="1" ht="12.75" x14ac:dyDescent="0.2"/>
    <row r="54208" s="197" customFormat="1" ht="12.75" x14ac:dyDescent="0.2"/>
    <row r="54209" s="197" customFormat="1" ht="12.75" x14ac:dyDescent="0.2"/>
    <row r="54210" s="197" customFormat="1" ht="12.75" x14ac:dyDescent="0.2"/>
    <row r="54211" s="197" customFormat="1" ht="12.75" x14ac:dyDescent="0.2"/>
    <row r="54212" s="197" customFormat="1" ht="12.75" x14ac:dyDescent="0.2"/>
    <row r="54213" s="197" customFormat="1" ht="12.75" x14ac:dyDescent="0.2"/>
    <row r="54214" s="197" customFormat="1" ht="12.75" x14ac:dyDescent="0.2"/>
    <row r="54215" s="197" customFormat="1" ht="12.75" x14ac:dyDescent="0.2"/>
    <row r="54216" s="197" customFormat="1" ht="12.75" x14ac:dyDescent="0.2"/>
    <row r="54217" s="197" customFormat="1" ht="12.75" x14ac:dyDescent="0.2"/>
    <row r="54218" s="197" customFormat="1" ht="12.75" x14ac:dyDescent="0.2"/>
    <row r="54219" s="197" customFormat="1" ht="12.75" x14ac:dyDescent="0.2"/>
    <row r="54220" s="197" customFormat="1" ht="12.75" x14ac:dyDescent="0.2"/>
    <row r="54221" s="197" customFormat="1" ht="12.75" x14ac:dyDescent="0.2"/>
    <row r="54222" s="197" customFormat="1" ht="12.75" x14ac:dyDescent="0.2"/>
    <row r="54223" s="197" customFormat="1" ht="12.75" x14ac:dyDescent="0.2"/>
    <row r="54224" s="197" customFormat="1" ht="12.75" x14ac:dyDescent="0.2"/>
    <row r="54225" s="197" customFormat="1" ht="12.75" x14ac:dyDescent="0.2"/>
    <row r="54226" s="197" customFormat="1" ht="12.75" x14ac:dyDescent="0.2"/>
    <row r="54227" s="197" customFormat="1" ht="12.75" x14ac:dyDescent="0.2"/>
    <row r="54228" s="197" customFormat="1" ht="12.75" x14ac:dyDescent="0.2"/>
    <row r="54229" s="197" customFormat="1" ht="12.75" x14ac:dyDescent="0.2"/>
    <row r="54230" s="197" customFormat="1" ht="12.75" x14ac:dyDescent="0.2"/>
    <row r="54231" s="197" customFormat="1" ht="12.75" x14ac:dyDescent="0.2"/>
    <row r="54232" s="197" customFormat="1" ht="12.75" x14ac:dyDescent="0.2"/>
    <row r="54233" s="197" customFormat="1" ht="12.75" x14ac:dyDescent="0.2"/>
    <row r="54234" s="197" customFormat="1" ht="12.75" x14ac:dyDescent="0.2"/>
    <row r="54235" s="197" customFormat="1" ht="12.75" x14ac:dyDescent="0.2"/>
    <row r="54236" s="197" customFormat="1" ht="12.75" x14ac:dyDescent="0.2"/>
    <row r="54237" s="197" customFormat="1" ht="12.75" x14ac:dyDescent="0.2"/>
    <row r="54238" s="197" customFormat="1" ht="12.75" x14ac:dyDescent="0.2"/>
    <row r="54239" s="197" customFormat="1" ht="12.75" x14ac:dyDescent="0.2"/>
    <row r="54240" s="197" customFormat="1" ht="12.75" x14ac:dyDescent="0.2"/>
    <row r="54241" s="197" customFormat="1" ht="12.75" x14ac:dyDescent="0.2"/>
    <row r="54242" s="197" customFormat="1" ht="12.75" x14ac:dyDescent="0.2"/>
    <row r="54243" s="197" customFormat="1" ht="12.75" x14ac:dyDescent="0.2"/>
    <row r="54244" s="197" customFormat="1" ht="12.75" x14ac:dyDescent="0.2"/>
    <row r="54245" s="197" customFormat="1" ht="12.75" x14ac:dyDescent="0.2"/>
    <row r="54246" s="197" customFormat="1" ht="12.75" x14ac:dyDescent="0.2"/>
    <row r="54247" s="197" customFormat="1" ht="12.75" x14ac:dyDescent="0.2"/>
    <row r="54248" s="197" customFormat="1" ht="12.75" x14ac:dyDescent="0.2"/>
    <row r="54249" s="197" customFormat="1" ht="12.75" x14ac:dyDescent="0.2"/>
    <row r="54250" s="197" customFormat="1" ht="12.75" x14ac:dyDescent="0.2"/>
    <row r="54251" s="197" customFormat="1" ht="12.75" x14ac:dyDescent="0.2"/>
    <row r="54252" s="197" customFormat="1" ht="12.75" x14ac:dyDescent="0.2"/>
    <row r="54253" s="197" customFormat="1" ht="12.75" x14ac:dyDescent="0.2"/>
    <row r="54254" s="197" customFormat="1" ht="12.75" x14ac:dyDescent="0.2"/>
    <row r="54255" s="197" customFormat="1" ht="12.75" x14ac:dyDescent="0.2"/>
    <row r="54256" s="197" customFormat="1" ht="12.75" x14ac:dyDescent="0.2"/>
    <row r="54257" s="197" customFormat="1" ht="12.75" x14ac:dyDescent="0.2"/>
    <row r="54258" s="197" customFormat="1" ht="12.75" x14ac:dyDescent="0.2"/>
    <row r="54259" s="197" customFormat="1" ht="12.75" x14ac:dyDescent="0.2"/>
    <row r="54260" s="197" customFormat="1" ht="12.75" x14ac:dyDescent="0.2"/>
    <row r="54261" s="197" customFormat="1" ht="12.75" x14ac:dyDescent="0.2"/>
    <row r="54262" s="197" customFormat="1" ht="12.75" x14ac:dyDescent="0.2"/>
    <row r="54263" s="197" customFormat="1" ht="12.75" x14ac:dyDescent="0.2"/>
    <row r="54264" s="197" customFormat="1" ht="12.75" x14ac:dyDescent="0.2"/>
    <row r="54265" s="197" customFormat="1" ht="12.75" x14ac:dyDescent="0.2"/>
    <row r="54266" s="197" customFormat="1" ht="12.75" x14ac:dyDescent="0.2"/>
    <row r="54267" s="197" customFormat="1" ht="12.75" x14ac:dyDescent="0.2"/>
    <row r="54268" s="197" customFormat="1" ht="12.75" x14ac:dyDescent="0.2"/>
    <row r="54269" s="197" customFormat="1" ht="12.75" x14ac:dyDescent="0.2"/>
    <row r="54270" s="197" customFormat="1" ht="12.75" x14ac:dyDescent="0.2"/>
    <row r="54271" s="197" customFormat="1" ht="12.75" x14ac:dyDescent="0.2"/>
    <row r="54272" s="197" customFormat="1" ht="12.75" x14ac:dyDescent="0.2"/>
    <row r="54273" s="197" customFormat="1" ht="12.75" x14ac:dyDescent="0.2"/>
    <row r="54274" s="197" customFormat="1" ht="12.75" x14ac:dyDescent="0.2"/>
    <row r="54275" s="197" customFormat="1" ht="12.75" x14ac:dyDescent="0.2"/>
    <row r="54276" s="197" customFormat="1" ht="12.75" x14ac:dyDescent="0.2"/>
    <row r="54277" s="197" customFormat="1" ht="12.75" x14ac:dyDescent="0.2"/>
    <row r="54278" s="197" customFormat="1" ht="12.75" x14ac:dyDescent="0.2"/>
    <row r="54279" s="197" customFormat="1" ht="12.75" x14ac:dyDescent="0.2"/>
    <row r="54280" s="197" customFormat="1" ht="12.75" x14ac:dyDescent="0.2"/>
    <row r="54281" s="197" customFormat="1" ht="12.75" x14ac:dyDescent="0.2"/>
    <row r="54282" s="197" customFormat="1" ht="12.75" x14ac:dyDescent="0.2"/>
    <row r="54283" s="197" customFormat="1" ht="12.75" x14ac:dyDescent="0.2"/>
    <row r="54284" s="197" customFormat="1" ht="12.75" x14ac:dyDescent="0.2"/>
    <row r="54285" s="197" customFormat="1" ht="12.75" x14ac:dyDescent="0.2"/>
    <row r="54286" s="197" customFormat="1" ht="12.75" x14ac:dyDescent="0.2"/>
    <row r="54287" s="197" customFormat="1" ht="12.75" x14ac:dyDescent="0.2"/>
    <row r="54288" s="197" customFormat="1" ht="12.75" x14ac:dyDescent="0.2"/>
    <row r="54289" s="197" customFormat="1" ht="12.75" x14ac:dyDescent="0.2"/>
    <row r="54290" s="197" customFormat="1" ht="12.75" x14ac:dyDescent="0.2"/>
    <row r="54291" s="197" customFormat="1" ht="12.75" x14ac:dyDescent="0.2"/>
    <row r="54292" s="197" customFormat="1" ht="12.75" x14ac:dyDescent="0.2"/>
    <row r="54293" s="197" customFormat="1" ht="12.75" x14ac:dyDescent="0.2"/>
    <row r="54294" s="197" customFormat="1" ht="12.75" x14ac:dyDescent="0.2"/>
    <row r="54295" s="197" customFormat="1" ht="12.75" x14ac:dyDescent="0.2"/>
    <row r="54296" s="197" customFormat="1" ht="12.75" x14ac:dyDescent="0.2"/>
    <row r="54297" s="197" customFormat="1" ht="12.75" x14ac:dyDescent="0.2"/>
    <row r="54298" s="197" customFormat="1" ht="12.75" x14ac:dyDescent="0.2"/>
    <row r="54299" s="197" customFormat="1" ht="12.75" x14ac:dyDescent="0.2"/>
    <row r="54300" s="197" customFormat="1" ht="12.75" x14ac:dyDescent="0.2"/>
    <row r="54301" s="197" customFormat="1" ht="12.75" x14ac:dyDescent="0.2"/>
    <row r="54302" s="197" customFormat="1" ht="12.75" x14ac:dyDescent="0.2"/>
    <row r="54303" s="197" customFormat="1" ht="12.75" x14ac:dyDescent="0.2"/>
    <row r="54304" s="197" customFormat="1" ht="12.75" x14ac:dyDescent="0.2"/>
    <row r="54305" s="197" customFormat="1" ht="12.75" x14ac:dyDescent="0.2"/>
    <row r="54306" s="197" customFormat="1" ht="12.75" x14ac:dyDescent="0.2"/>
    <row r="54307" s="197" customFormat="1" ht="12.75" x14ac:dyDescent="0.2"/>
    <row r="54308" s="197" customFormat="1" ht="12.75" x14ac:dyDescent="0.2"/>
    <row r="54309" s="197" customFormat="1" ht="12.75" x14ac:dyDescent="0.2"/>
    <row r="54310" s="197" customFormat="1" ht="12.75" x14ac:dyDescent="0.2"/>
    <row r="54311" s="197" customFormat="1" ht="12.75" x14ac:dyDescent="0.2"/>
    <row r="54312" s="197" customFormat="1" ht="12.75" x14ac:dyDescent="0.2"/>
    <row r="54313" s="197" customFormat="1" ht="12.75" x14ac:dyDescent="0.2"/>
    <row r="54314" s="197" customFormat="1" ht="12.75" x14ac:dyDescent="0.2"/>
    <row r="54315" s="197" customFormat="1" ht="12.75" x14ac:dyDescent="0.2"/>
    <row r="54316" s="197" customFormat="1" ht="12.75" x14ac:dyDescent="0.2"/>
    <row r="54317" s="197" customFormat="1" ht="12.75" x14ac:dyDescent="0.2"/>
    <row r="54318" s="197" customFormat="1" ht="12.75" x14ac:dyDescent="0.2"/>
    <row r="54319" s="197" customFormat="1" ht="12.75" x14ac:dyDescent="0.2"/>
    <row r="54320" s="197" customFormat="1" ht="12.75" x14ac:dyDescent="0.2"/>
    <row r="54321" s="197" customFormat="1" ht="12.75" x14ac:dyDescent="0.2"/>
    <row r="54322" s="197" customFormat="1" ht="12.75" x14ac:dyDescent="0.2"/>
    <row r="54323" s="197" customFormat="1" ht="12.75" x14ac:dyDescent="0.2"/>
    <row r="54324" s="197" customFormat="1" ht="12.75" x14ac:dyDescent="0.2"/>
    <row r="54325" s="197" customFormat="1" ht="12.75" x14ac:dyDescent="0.2"/>
    <row r="54326" s="197" customFormat="1" ht="12.75" x14ac:dyDescent="0.2"/>
    <row r="54327" s="197" customFormat="1" ht="12.75" x14ac:dyDescent="0.2"/>
    <row r="54328" s="197" customFormat="1" ht="12.75" x14ac:dyDescent="0.2"/>
    <row r="54329" s="197" customFormat="1" ht="12.75" x14ac:dyDescent="0.2"/>
    <row r="54330" s="197" customFormat="1" ht="12.75" x14ac:dyDescent="0.2"/>
    <row r="54331" s="197" customFormat="1" ht="12.75" x14ac:dyDescent="0.2"/>
    <row r="54332" s="197" customFormat="1" ht="12.75" x14ac:dyDescent="0.2"/>
    <row r="54333" s="197" customFormat="1" ht="12.75" x14ac:dyDescent="0.2"/>
    <row r="54334" s="197" customFormat="1" ht="12.75" x14ac:dyDescent="0.2"/>
    <row r="54335" s="197" customFormat="1" ht="12.75" x14ac:dyDescent="0.2"/>
    <row r="54336" s="197" customFormat="1" ht="12.75" x14ac:dyDescent="0.2"/>
    <row r="54337" s="197" customFormat="1" ht="12.75" x14ac:dyDescent="0.2"/>
    <row r="54338" s="197" customFormat="1" ht="12.75" x14ac:dyDescent="0.2"/>
    <row r="54339" s="197" customFormat="1" ht="12.75" x14ac:dyDescent="0.2"/>
    <row r="54340" s="197" customFormat="1" ht="12.75" x14ac:dyDescent="0.2"/>
    <row r="54341" s="197" customFormat="1" ht="12.75" x14ac:dyDescent="0.2"/>
    <row r="54342" s="197" customFormat="1" ht="12.75" x14ac:dyDescent="0.2"/>
    <row r="54343" s="197" customFormat="1" ht="12.75" x14ac:dyDescent="0.2"/>
    <row r="54344" s="197" customFormat="1" ht="12.75" x14ac:dyDescent="0.2"/>
    <row r="54345" s="197" customFormat="1" ht="12.75" x14ac:dyDescent="0.2"/>
    <row r="54346" s="197" customFormat="1" ht="12.75" x14ac:dyDescent="0.2"/>
    <row r="54347" s="197" customFormat="1" ht="12.75" x14ac:dyDescent="0.2"/>
    <row r="54348" s="197" customFormat="1" ht="12.75" x14ac:dyDescent="0.2"/>
    <row r="54349" s="197" customFormat="1" ht="12.75" x14ac:dyDescent="0.2"/>
    <row r="54350" s="197" customFormat="1" ht="12.75" x14ac:dyDescent="0.2"/>
    <row r="54351" s="197" customFormat="1" ht="12.75" x14ac:dyDescent="0.2"/>
    <row r="54352" s="197" customFormat="1" ht="12.75" x14ac:dyDescent="0.2"/>
    <row r="54353" s="197" customFormat="1" ht="12.75" x14ac:dyDescent="0.2"/>
    <row r="54354" s="197" customFormat="1" ht="12.75" x14ac:dyDescent="0.2"/>
    <row r="54355" s="197" customFormat="1" ht="12.75" x14ac:dyDescent="0.2"/>
    <row r="54356" s="197" customFormat="1" ht="12.75" x14ac:dyDescent="0.2"/>
    <row r="54357" s="197" customFormat="1" ht="12.75" x14ac:dyDescent="0.2"/>
    <row r="54358" s="197" customFormat="1" ht="12.75" x14ac:dyDescent="0.2"/>
    <row r="54359" s="197" customFormat="1" ht="12.75" x14ac:dyDescent="0.2"/>
    <row r="54360" s="197" customFormat="1" ht="12.75" x14ac:dyDescent="0.2"/>
    <row r="54361" s="197" customFormat="1" ht="12.75" x14ac:dyDescent="0.2"/>
    <row r="54362" s="197" customFormat="1" ht="12.75" x14ac:dyDescent="0.2"/>
    <row r="54363" s="197" customFormat="1" ht="12.75" x14ac:dyDescent="0.2"/>
    <row r="54364" s="197" customFormat="1" ht="12.75" x14ac:dyDescent="0.2"/>
    <row r="54365" s="197" customFormat="1" ht="12.75" x14ac:dyDescent="0.2"/>
    <row r="54366" s="197" customFormat="1" ht="12.75" x14ac:dyDescent="0.2"/>
    <row r="54367" s="197" customFormat="1" ht="12.75" x14ac:dyDescent="0.2"/>
    <row r="54368" s="197" customFormat="1" ht="12.75" x14ac:dyDescent="0.2"/>
    <row r="54369" s="197" customFormat="1" ht="12.75" x14ac:dyDescent="0.2"/>
    <row r="54370" s="197" customFormat="1" ht="12.75" x14ac:dyDescent="0.2"/>
    <row r="54371" s="197" customFormat="1" ht="12.75" x14ac:dyDescent="0.2"/>
    <row r="54372" s="197" customFormat="1" ht="12.75" x14ac:dyDescent="0.2"/>
    <row r="54373" s="197" customFormat="1" ht="12.75" x14ac:dyDescent="0.2"/>
    <row r="54374" s="197" customFormat="1" ht="12.75" x14ac:dyDescent="0.2"/>
    <row r="54375" s="197" customFormat="1" ht="12.75" x14ac:dyDescent="0.2"/>
    <row r="54376" s="197" customFormat="1" ht="12.75" x14ac:dyDescent="0.2"/>
    <row r="54377" s="197" customFormat="1" ht="12.75" x14ac:dyDescent="0.2"/>
    <row r="54378" s="197" customFormat="1" ht="12.75" x14ac:dyDescent="0.2"/>
    <row r="54379" s="197" customFormat="1" ht="12.75" x14ac:dyDescent="0.2"/>
    <row r="54380" s="197" customFormat="1" ht="12.75" x14ac:dyDescent="0.2"/>
    <row r="54381" s="197" customFormat="1" ht="12.75" x14ac:dyDescent="0.2"/>
    <row r="54382" s="197" customFormat="1" ht="12.75" x14ac:dyDescent="0.2"/>
    <row r="54383" s="197" customFormat="1" ht="12.75" x14ac:dyDescent="0.2"/>
    <row r="54384" s="197" customFormat="1" ht="12.75" x14ac:dyDescent="0.2"/>
    <row r="54385" s="197" customFormat="1" ht="12.75" x14ac:dyDescent="0.2"/>
    <row r="54386" s="197" customFormat="1" ht="12.75" x14ac:dyDescent="0.2"/>
    <row r="54387" s="197" customFormat="1" ht="12.75" x14ac:dyDescent="0.2"/>
    <row r="54388" s="197" customFormat="1" ht="12.75" x14ac:dyDescent="0.2"/>
    <row r="54389" s="197" customFormat="1" ht="12.75" x14ac:dyDescent="0.2"/>
    <row r="54390" s="197" customFormat="1" ht="12.75" x14ac:dyDescent="0.2"/>
    <row r="54391" s="197" customFormat="1" ht="12.75" x14ac:dyDescent="0.2"/>
    <row r="54392" s="197" customFormat="1" ht="12.75" x14ac:dyDescent="0.2"/>
    <row r="54393" s="197" customFormat="1" ht="12.75" x14ac:dyDescent="0.2"/>
    <row r="54394" s="197" customFormat="1" ht="12.75" x14ac:dyDescent="0.2"/>
    <row r="54395" s="197" customFormat="1" ht="12.75" x14ac:dyDescent="0.2"/>
    <row r="54396" s="197" customFormat="1" ht="12.75" x14ac:dyDescent="0.2"/>
    <row r="54397" s="197" customFormat="1" ht="12.75" x14ac:dyDescent="0.2"/>
    <row r="54398" s="197" customFormat="1" ht="12.75" x14ac:dyDescent="0.2"/>
    <row r="54399" s="197" customFormat="1" ht="12.75" x14ac:dyDescent="0.2"/>
    <row r="54400" s="197" customFormat="1" ht="12.75" x14ac:dyDescent="0.2"/>
    <row r="54401" s="197" customFormat="1" ht="12.75" x14ac:dyDescent="0.2"/>
    <row r="54402" s="197" customFormat="1" ht="12.75" x14ac:dyDescent="0.2"/>
    <row r="54403" s="197" customFormat="1" ht="12.75" x14ac:dyDescent="0.2"/>
    <row r="54404" s="197" customFormat="1" ht="12.75" x14ac:dyDescent="0.2"/>
    <row r="54405" s="197" customFormat="1" ht="12.75" x14ac:dyDescent="0.2"/>
    <row r="54406" s="197" customFormat="1" ht="12.75" x14ac:dyDescent="0.2"/>
    <row r="54407" s="197" customFormat="1" ht="12.75" x14ac:dyDescent="0.2"/>
    <row r="54408" s="197" customFormat="1" ht="12.75" x14ac:dyDescent="0.2"/>
    <row r="54409" s="197" customFormat="1" ht="12.75" x14ac:dyDescent="0.2"/>
    <row r="54410" s="197" customFormat="1" ht="12.75" x14ac:dyDescent="0.2"/>
    <row r="54411" s="197" customFormat="1" ht="12.75" x14ac:dyDescent="0.2"/>
    <row r="54412" s="197" customFormat="1" ht="12.75" x14ac:dyDescent="0.2"/>
    <row r="54413" s="197" customFormat="1" ht="12.75" x14ac:dyDescent="0.2"/>
    <row r="54414" s="197" customFormat="1" ht="12.75" x14ac:dyDescent="0.2"/>
    <row r="54415" s="197" customFormat="1" ht="12.75" x14ac:dyDescent="0.2"/>
    <row r="54416" s="197" customFormat="1" ht="12.75" x14ac:dyDescent="0.2"/>
    <row r="54417" s="197" customFormat="1" ht="12.75" x14ac:dyDescent="0.2"/>
    <row r="54418" s="197" customFormat="1" ht="12.75" x14ac:dyDescent="0.2"/>
    <row r="54419" s="197" customFormat="1" ht="12.75" x14ac:dyDescent="0.2"/>
    <row r="54420" s="197" customFormat="1" ht="12.75" x14ac:dyDescent="0.2"/>
    <row r="54421" s="197" customFormat="1" ht="12.75" x14ac:dyDescent="0.2"/>
    <row r="54422" s="197" customFormat="1" ht="12.75" x14ac:dyDescent="0.2"/>
    <row r="54423" s="197" customFormat="1" ht="12.75" x14ac:dyDescent="0.2"/>
    <row r="54424" s="197" customFormat="1" ht="12.75" x14ac:dyDescent="0.2"/>
    <row r="54425" s="197" customFormat="1" ht="12.75" x14ac:dyDescent="0.2"/>
    <row r="54426" s="197" customFormat="1" ht="12.75" x14ac:dyDescent="0.2"/>
    <row r="54427" s="197" customFormat="1" ht="12.75" x14ac:dyDescent="0.2"/>
    <row r="54428" s="197" customFormat="1" ht="12.75" x14ac:dyDescent="0.2"/>
    <row r="54429" s="197" customFormat="1" ht="12.75" x14ac:dyDescent="0.2"/>
    <row r="54430" s="197" customFormat="1" ht="12.75" x14ac:dyDescent="0.2"/>
    <row r="54431" s="197" customFormat="1" ht="12.75" x14ac:dyDescent="0.2"/>
    <row r="54432" s="197" customFormat="1" ht="12.75" x14ac:dyDescent="0.2"/>
    <row r="54433" s="197" customFormat="1" ht="12.75" x14ac:dyDescent="0.2"/>
    <row r="54434" s="197" customFormat="1" ht="12.75" x14ac:dyDescent="0.2"/>
    <row r="54435" s="197" customFormat="1" ht="12.75" x14ac:dyDescent="0.2"/>
    <row r="54436" s="197" customFormat="1" ht="12.75" x14ac:dyDescent="0.2"/>
    <row r="54437" s="197" customFormat="1" ht="12.75" x14ac:dyDescent="0.2"/>
    <row r="54438" s="197" customFormat="1" ht="12.75" x14ac:dyDescent="0.2"/>
    <row r="54439" s="197" customFormat="1" ht="12.75" x14ac:dyDescent="0.2"/>
    <row r="54440" s="197" customFormat="1" ht="12.75" x14ac:dyDescent="0.2"/>
    <row r="54441" s="197" customFormat="1" ht="12.75" x14ac:dyDescent="0.2"/>
    <row r="54442" s="197" customFormat="1" ht="12.75" x14ac:dyDescent="0.2"/>
    <row r="54443" s="197" customFormat="1" ht="12.75" x14ac:dyDescent="0.2"/>
    <row r="54444" s="197" customFormat="1" ht="12.75" x14ac:dyDescent="0.2"/>
    <row r="54445" s="197" customFormat="1" ht="12.75" x14ac:dyDescent="0.2"/>
    <row r="54446" s="197" customFormat="1" ht="12.75" x14ac:dyDescent="0.2"/>
    <row r="54447" s="197" customFormat="1" ht="12.75" x14ac:dyDescent="0.2"/>
    <row r="54448" s="197" customFormat="1" ht="12.75" x14ac:dyDescent="0.2"/>
    <row r="54449" s="197" customFormat="1" ht="12.75" x14ac:dyDescent="0.2"/>
    <row r="54450" s="197" customFormat="1" ht="12.75" x14ac:dyDescent="0.2"/>
    <row r="54451" s="197" customFormat="1" ht="12.75" x14ac:dyDescent="0.2"/>
    <row r="54452" s="197" customFormat="1" ht="12.75" x14ac:dyDescent="0.2"/>
    <row r="54453" s="197" customFormat="1" ht="12.75" x14ac:dyDescent="0.2"/>
    <row r="54454" s="197" customFormat="1" ht="12.75" x14ac:dyDescent="0.2"/>
    <row r="54455" s="197" customFormat="1" ht="12.75" x14ac:dyDescent="0.2"/>
    <row r="54456" s="197" customFormat="1" ht="12.75" x14ac:dyDescent="0.2"/>
    <row r="54457" s="197" customFormat="1" ht="12.75" x14ac:dyDescent="0.2"/>
    <row r="54458" s="197" customFormat="1" ht="12.75" x14ac:dyDescent="0.2"/>
    <row r="54459" s="197" customFormat="1" ht="12.75" x14ac:dyDescent="0.2"/>
    <row r="54460" s="197" customFormat="1" ht="12.75" x14ac:dyDescent="0.2"/>
    <row r="54461" s="197" customFormat="1" ht="12.75" x14ac:dyDescent="0.2"/>
    <row r="54462" s="197" customFormat="1" ht="12.75" x14ac:dyDescent="0.2"/>
    <row r="54463" s="197" customFormat="1" ht="12.75" x14ac:dyDescent="0.2"/>
    <row r="54464" s="197" customFormat="1" ht="12.75" x14ac:dyDescent="0.2"/>
    <row r="54465" s="197" customFormat="1" ht="12.75" x14ac:dyDescent="0.2"/>
    <row r="54466" s="197" customFormat="1" ht="12.75" x14ac:dyDescent="0.2"/>
    <row r="54467" s="197" customFormat="1" ht="12.75" x14ac:dyDescent="0.2"/>
    <row r="54468" s="197" customFormat="1" ht="12.75" x14ac:dyDescent="0.2"/>
    <row r="54469" s="197" customFormat="1" ht="12.75" x14ac:dyDescent="0.2"/>
    <row r="54470" s="197" customFormat="1" ht="12.75" x14ac:dyDescent="0.2"/>
    <row r="54471" s="197" customFormat="1" ht="12.75" x14ac:dyDescent="0.2"/>
    <row r="54472" s="197" customFormat="1" ht="12.75" x14ac:dyDescent="0.2"/>
    <row r="54473" s="197" customFormat="1" ht="12.75" x14ac:dyDescent="0.2"/>
    <row r="54474" s="197" customFormat="1" ht="12.75" x14ac:dyDescent="0.2"/>
    <row r="54475" s="197" customFormat="1" ht="12.75" x14ac:dyDescent="0.2"/>
    <row r="54476" s="197" customFormat="1" ht="12.75" x14ac:dyDescent="0.2"/>
    <row r="54477" s="197" customFormat="1" ht="12.75" x14ac:dyDescent="0.2"/>
    <row r="54478" s="197" customFormat="1" ht="12.75" x14ac:dyDescent="0.2"/>
    <row r="54479" s="197" customFormat="1" ht="12.75" x14ac:dyDescent="0.2"/>
    <row r="54480" s="197" customFormat="1" ht="12.75" x14ac:dyDescent="0.2"/>
    <row r="54481" s="197" customFormat="1" ht="12.75" x14ac:dyDescent="0.2"/>
    <row r="54482" s="197" customFormat="1" ht="12.75" x14ac:dyDescent="0.2"/>
    <row r="54483" s="197" customFormat="1" ht="12.75" x14ac:dyDescent="0.2"/>
    <row r="54484" s="197" customFormat="1" ht="12.75" x14ac:dyDescent="0.2"/>
    <row r="54485" s="197" customFormat="1" ht="12.75" x14ac:dyDescent="0.2"/>
    <row r="54486" s="197" customFormat="1" ht="12.75" x14ac:dyDescent="0.2"/>
    <row r="54487" s="197" customFormat="1" ht="12.75" x14ac:dyDescent="0.2"/>
    <row r="54488" s="197" customFormat="1" ht="12.75" x14ac:dyDescent="0.2"/>
    <row r="54489" s="197" customFormat="1" ht="12.75" x14ac:dyDescent="0.2"/>
    <row r="54490" s="197" customFormat="1" ht="12.75" x14ac:dyDescent="0.2"/>
    <row r="54491" s="197" customFormat="1" ht="12.75" x14ac:dyDescent="0.2"/>
    <row r="54492" s="197" customFormat="1" ht="12.75" x14ac:dyDescent="0.2"/>
    <row r="54493" s="197" customFormat="1" ht="12.75" x14ac:dyDescent="0.2"/>
    <row r="54494" s="197" customFormat="1" ht="12.75" x14ac:dyDescent="0.2"/>
    <row r="54495" s="197" customFormat="1" ht="12.75" x14ac:dyDescent="0.2"/>
    <row r="54496" s="197" customFormat="1" ht="12.75" x14ac:dyDescent="0.2"/>
    <row r="54497" s="197" customFormat="1" ht="12.75" x14ac:dyDescent="0.2"/>
    <row r="54498" s="197" customFormat="1" ht="12.75" x14ac:dyDescent="0.2"/>
    <row r="54499" s="197" customFormat="1" ht="12.75" x14ac:dyDescent="0.2"/>
    <row r="54500" s="197" customFormat="1" ht="12.75" x14ac:dyDescent="0.2"/>
    <row r="54501" s="197" customFormat="1" ht="12.75" x14ac:dyDescent="0.2"/>
    <row r="54502" s="197" customFormat="1" ht="12.75" x14ac:dyDescent="0.2"/>
    <row r="54503" s="197" customFormat="1" ht="12.75" x14ac:dyDescent="0.2"/>
    <row r="54504" s="197" customFormat="1" ht="12.75" x14ac:dyDescent="0.2"/>
    <row r="54505" s="197" customFormat="1" ht="12.75" x14ac:dyDescent="0.2"/>
    <row r="54506" s="197" customFormat="1" ht="12.75" x14ac:dyDescent="0.2"/>
    <row r="54507" s="197" customFormat="1" ht="12.75" x14ac:dyDescent="0.2"/>
    <row r="54508" s="197" customFormat="1" ht="12.75" x14ac:dyDescent="0.2"/>
    <row r="54509" s="197" customFormat="1" ht="12.75" x14ac:dyDescent="0.2"/>
    <row r="54510" s="197" customFormat="1" ht="12.75" x14ac:dyDescent="0.2"/>
    <row r="54511" s="197" customFormat="1" ht="12.75" x14ac:dyDescent="0.2"/>
    <row r="54512" s="197" customFormat="1" ht="12.75" x14ac:dyDescent="0.2"/>
    <row r="54513" s="197" customFormat="1" ht="12.75" x14ac:dyDescent="0.2"/>
    <row r="54514" s="197" customFormat="1" ht="12.75" x14ac:dyDescent="0.2"/>
    <row r="54515" s="197" customFormat="1" ht="12.75" x14ac:dyDescent="0.2"/>
    <row r="54516" s="197" customFormat="1" ht="12.75" x14ac:dyDescent="0.2"/>
    <row r="54517" s="197" customFormat="1" ht="12.75" x14ac:dyDescent="0.2"/>
    <row r="54518" s="197" customFormat="1" ht="12.75" x14ac:dyDescent="0.2"/>
    <row r="54519" s="197" customFormat="1" ht="12.75" x14ac:dyDescent="0.2"/>
    <row r="54520" s="197" customFormat="1" ht="12.75" x14ac:dyDescent="0.2"/>
    <row r="54521" s="197" customFormat="1" ht="12.75" x14ac:dyDescent="0.2"/>
    <row r="54522" s="197" customFormat="1" ht="12.75" x14ac:dyDescent="0.2"/>
    <row r="54523" s="197" customFormat="1" ht="12.75" x14ac:dyDescent="0.2"/>
    <row r="54524" s="197" customFormat="1" ht="12.75" x14ac:dyDescent="0.2"/>
    <row r="54525" s="197" customFormat="1" ht="12.75" x14ac:dyDescent="0.2"/>
    <row r="54526" s="197" customFormat="1" ht="12.75" x14ac:dyDescent="0.2"/>
    <row r="54527" s="197" customFormat="1" ht="12.75" x14ac:dyDescent="0.2"/>
    <row r="54528" s="197" customFormat="1" ht="12.75" x14ac:dyDescent="0.2"/>
    <row r="54529" s="197" customFormat="1" ht="12.75" x14ac:dyDescent="0.2"/>
    <row r="54530" s="197" customFormat="1" ht="12.75" x14ac:dyDescent="0.2"/>
    <row r="54531" s="197" customFormat="1" ht="12.75" x14ac:dyDescent="0.2"/>
    <row r="54532" s="197" customFormat="1" ht="12.75" x14ac:dyDescent="0.2"/>
    <row r="54533" s="197" customFormat="1" ht="12.75" x14ac:dyDescent="0.2"/>
    <row r="54534" s="197" customFormat="1" ht="12.75" x14ac:dyDescent="0.2"/>
    <row r="54535" s="197" customFormat="1" ht="12.75" x14ac:dyDescent="0.2"/>
    <row r="54536" s="197" customFormat="1" ht="12.75" x14ac:dyDescent="0.2"/>
    <row r="54537" s="197" customFormat="1" ht="12.75" x14ac:dyDescent="0.2"/>
    <row r="54538" s="197" customFormat="1" ht="12.75" x14ac:dyDescent="0.2"/>
    <row r="54539" s="197" customFormat="1" ht="12.75" x14ac:dyDescent="0.2"/>
    <row r="54540" s="197" customFormat="1" ht="12.75" x14ac:dyDescent="0.2"/>
    <row r="54541" s="197" customFormat="1" ht="12.75" x14ac:dyDescent="0.2"/>
    <row r="54542" s="197" customFormat="1" ht="12.75" x14ac:dyDescent="0.2"/>
    <row r="54543" s="197" customFormat="1" ht="12.75" x14ac:dyDescent="0.2"/>
    <row r="54544" s="197" customFormat="1" ht="12.75" x14ac:dyDescent="0.2"/>
    <row r="54545" s="197" customFormat="1" ht="12.75" x14ac:dyDescent="0.2"/>
    <row r="54546" s="197" customFormat="1" ht="12.75" x14ac:dyDescent="0.2"/>
    <row r="54547" s="197" customFormat="1" ht="12.75" x14ac:dyDescent="0.2"/>
    <row r="54548" s="197" customFormat="1" ht="12.75" x14ac:dyDescent="0.2"/>
    <row r="54549" s="197" customFormat="1" ht="12.75" x14ac:dyDescent="0.2"/>
    <row r="54550" s="197" customFormat="1" ht="12.75" x14ac:dyDescent="0.2"/>
    <row r="54551" s="197" customFormat="1" ht="12.75" x14ac:dyDescent="0.2"/>
    <row r="54552" s="197" customFormat="1" ht="12.75" x14ac:dyDescent="0.2"/>
    <row r="54553" s="197" customFormat="1" ht="12.75" x14ac:dyDescent="0.2"/>
    <row r="54554" s="197" customFormat="1" ht="12.75" x14ac:dyDescent="0.2"/>
    <row r="54555" s="197" customFormat="1" ht="12.75" x14ac:dyDescent="0.2"/>
    <row r="54556" s="197" customFormat="1" ht="12.75" x14ac:dyDescent="0.2"/>
    <row r="54557" s="197" customFormat="1" ht="12.75" x14ac:dyDescent="0.2"/>
    <row r="54558" s="197" customFormat="1" ht="12.75" x14ac:dyDescent="0.2"/>
    <row r="54559" s="197" customFormat="1" ht="12.75" x14ac:dyDescent="0.2"/>
    <row r="54560" s="197" customFormat="1" ht="12.75" x14ac:dyDescent="0.2"/>
    <row r="54561" s="197" customFormat="1" ht="12.75" x14ac:dyDescent="0.2"/>
    <row r="54562" s="197" customFormat="1" ht="12.75" x14ac:dyDescent="0.2"/>
    <row r="54563" s="197" customFormat="1" ht="12.75" x14ac:dyDescent="0.2"/>
    <row r="54564" s="197" customFormat="1" ht="12.75" x14ac:dyDescent="0.2"/>
    <row r="54565" s="197" customFormat="1" ht="12.75" x14ac:dyDescent="0.2"/>
    <row r="54566" s="197" customFormat="1" ht="12.75" x14ac:dyDescent="0.2"/>
    <row r="54567" s="197" customFormat="1" ht="12.75" x14ac:dyDescent="0.2"/>
    <row r="54568" s="197" customFormat="1" ht="12.75" x14ac:dyDescent="0.2"/>
    <row r="54569" s="197" customFormat="1" ht="12.75" x14ac:dyDescent="0.2"/>
    <row r="54570" s="197" customFormat="1" ht="12.75" x14ac:dyDescent="0.2"/>
    <row r="54571" s="197" customFormat="1" ht="12.75" x14ac:dyDescent="0.2"/>
    <row r="54572" s="197" customFormat="1" ht="12.75" x14ac:dyDescent="0.2"/>
    <row r="54573" s="197" customFormat="1" ht="12.75" x14ac:dyDescent="0.2"/>
    <row r="54574" s="197" customFormat="1" ht="12.75" x14ac:dyDescent="0.2"/>
    <row r="54575" s="197" customFormat="1" ht="12.75" x14ac:dyDescent="0.2"/>
    <row r="54576" s="197" customFormat="1" ht="12.75" x14ac:dyDescent="0.2"/>
    <row r="54577" s="197" customFormat="1" ht="12.75" x14ac:dyDescent="0.2"/>
    <row r="54578" s="197" customFormat="1" ht="12.75" x14ac:dyDescent="0.2"/>
    <row r="54579" s="197" customFormat="1" ht="12.75" x14ac:dyDescent="0.2"/>
    <row r="54580" s="197" customFormat="1" ht="12.75" x14ac:dyDescent="0.2"/>
    <row r="54581" s="197" customFormat="1" ht="12.75" x14ac:dyDescent="0.2"/>
    <row r="54582" s="197" customFormat="1" ht="12.75" x14ac:dyDescent="0.2"/>
    <row r="54583" s="197" customFormat="1" ht="12.75" x14ac:dyDescent="0.2"/>
    <row r="54584" s="197" customFormat="1" ht="12.75" x14ac:dyDescent="0.2"/>
    <row r="54585" s="197" customFormat="1" ht="12.75" x14ac:dyDescent="0.2"/>
    <row r="54586" s="197" customFormat="1" ht="12.75" x14ac:dyDescent="0.2"/>
    <row r="54587" s="197" customFormat="1" ht="12.75" x14ac:dyDescent="0.2"/>
    <row r="54588" s="197" customFormat="1" ht="12.75" x14ac:dyDescent="0.2"/>
    <row r="54589" s="197" customFormat="1" ht="12.75" x14ac:dyDescent="0.2"/>
    <row r="54590" s="197" customFormat="1" ht="12.75" x14ac:dyDescent="0.2"/>
    <row r="54591" s="197" customFormat="1" ht="12.75" x14ac:dyDescent="0.2"/>
    <row r="54592" s="197" customFormat="1" ht="12.75" x14ac:dyDescent="0.2"/>
    <row r="54593" s="197" customFormat="1" ht="12.75" x14ac:dyDescent="0.2"/>
    <row r="54594" s="197" customFormat="1" ht="12.75" x14ac:dyDescent="0.2"/>
    <row r="54595" s="197" customFormat="1" ht="12.75" x14ac:dyDescent="0.2"/>
    <row r="54596" s="197" customFormat="1" ht="12.75" x14ac:dyDescent="0.2"/>
    <row r="54597" s="197" customFormat="1" ht="12.75" x14ac:dyDescent="0.2"/>
    <row r="54598" s="197" customFormat="1" ht="12.75" x14ac:dyDescent="0.2"/>
    <row r="54599" s="197" customFormat="1" ht="12.75" x14ac:dyDescent="0.2"/>
    <row r="54600" s="197" customFormat="1" ht="12.75" x14ac:dyDescent="0.2"/>
    <row r="54601" s="197" customFormat="1" ht="12.75" x14ac:dyDescent="0.2"/>
    <row r="54602" s="197" customFormat="1" ht="12.75" x14ac:dyDescent="0.2"/>
    <row r="54603" s="197" customFormat="1" ht="12.75" x14ac:dyDescent="0.2"/>
    <row r="54604" s="197" customFormat="1" ht="12.75" x14ac:dyDescent="0.2"/>
    <row r="54605" s="197" customFormat="1" ht="12.75" x14ac:dyDescent="0.2"/>
    <row r="54606" s="197" customFormat="1" ht="12.75" x14ac:dyDescent="0.2"/>
    <row r="54607" s="197" customFormat="1" ht="12.75" x14ac:dyDescent="0.2"/>
    <row r="54608" s="197" customFormat="1" ht="12.75" x14ac:dyDescent="0.2"/>
    <row r="54609" s="197" customFormat="1" ht="12.75" x14ac:dyDescent="0.2"/>
    <row r="54610" s="197" customFormat="1" ht="12.75" x14ac:dyDescent="0.2"/>
    <row r="54611" s="197" customFormat="1" ht="12.75" x14ac:dyDescent="0.2"/>
    <row r="54612" s="197" customFormat="1" ht="12.75" x14ac:dyDescent="0.2"/>
    <row r="54613" s="197" customFormat="1" ht="12.75" x14ac:dyDescent="0.2"/>
    <row r="54614" s="197" customFormat="1" ht="12.75" x14ac:dyDescent="0.2"/>
    <row r="54615" s="197" customFormat="1" ht="12.75" x14ac:dyDescent="0.2"/>
    <row r="54616" s="197" customFormat="1" ht="12.75" x14ac:dyDescent="0.2"/>
    <row r="54617" s="197" customFormat="1" ht="12.75" x14ac:dyDescent="0.2"/>
    <row r="54618" s="197" customFormat="1" ht="12.75" x14ac:dyDescent="0.2"/>
    <row r="54619" s="197" customFormat="1" ht="12.75" x14ac:dyDescent="0.2"/>
    <row r="54620" s="197" customFormat="1" ht="12.75" x14ac:dyDescent="0.2"/>
    <row r="54621" s="197" customFormat="1" ht="12.75" x14ac:dyDescent="0.2"/>
    <row r="54622" s="197" customFormat="1" ht="12.75" x14ac:dyDescent="0.2"/>
    <row r="54623" s="197" customFormat="1" ht="12.75" x14ac:dyDescent="0.2"/>
    <row r="54624" s="197" customFormat="1" ht="12.75" x14ac:dyDescent="0.2"/>
    <row r="54625" s="197" customFormat="1" ht="12.75" x14ac:dyDescent="0.2"/>
    <row r="54626" s="197" customFormat="1" ht="12.75" x14ac:dyDescent="0.2"/>
    <row r="54627" s="197" customFormat="1" ht="12.75" x14ac:dyDescent="0.2"/>
    <row r="54628" s="197" customFormat="1" ht="12.75" x14ac:dyDescent="0.2"/>
    <row r="54629" s="197" customFormat="1" ht="12.75" x14ac:dyDescent="0.2"/>
    <row r="54630" s="197" customFormat="1" ht="12.75" x14ac:dyDescent="0.2"/>
    <row r="54631" s="197" customFormat="1" ht="12.75" x14ac:dyDescent="0.2"/>
    <row r="54632" s="197" customFormat="1" ht="12.75" x14ac:dyDescent="0.2"/>
    <row r="54633" s="197" customFormat="1" ht="12.75" x14ac:dyDescent="0.2"/>
    <row r="54634" s="197" customFormat="1" ht="12.75" x14ac:dyDescent="0.2"/>
    <row r="54635" s="197" customFormat="1" ht="12.75" x14ac:dyDescent="0.2"/>
    <row r="54636" s="197" customFormat="1" ht="12.75" x14ac:dyDescent="0.2"/>
    <row r="54637" s="197" customFormat="1" ht="12.75" x14ac:dyDescent="0.2"/>
    <row r="54638" s="197" customFormat="1" ht="12.75" x14ac:dyDescent="0.2"/>
    <row r="54639" s="197" customFormat="1" ht="12.75" x14ac:dyDescent="0.2"/>
    <row r="54640" s="197" customFormat="1" ht="12.75" x14ac:dyDescent="0.2"/>
    <row r="54641" s="197" customFormat="1" ht="12.75" x14ac:dyDescent="0.2"/>
    <row r="54642" s="197" customFormat="1" ht="12.75" x14ac:dyDescent="0.2"/>
    <row r="54643" s="197" customFormat="1" ht="12.75" x14ac:dyDescent="0.2"/>
    <row r="54644" s="197" customFormat="1" ht="12.75" x14ac:dyDescent="0.2"/>
    <row r="54645" s="197" customFormat="1" ht="12.75" x14ac:dyDescent="0.2"/>
    <row r="54646" s="197" customFormat="1" ht="12.75" x14ac:dyDescent="0.2"/>
    <row r="54647" s="197" customFormat="1" ht="12.75" x14ac:dyDescent="0.2"/>
    <row r="54648" s="197" customFormat="1" ht="12.75" x14ac:dyDescent="0.2"/>
    <row r="54649" s="197" customFormat="1" ht="12.75" x14ac:dyDescent="0.2"/>
    <row r="54650" s="197" customFormat="1" ht="12.75" x14ac:dyDescent="0.2"/>
    <row r="54651" s="197" customFormat="1" ht="12.75" x14ac:dyDescent="0.2"/>
    <row r="54652" s="197" customFormat="1" ht="12.75" x14ac:dyDescent="0.2"/>
    <row r="54653" s="197" customFormat="1" ht="12.75" x14ac:dyDescent="0.2"/>
    <row r="54654" s="197" customFormat="1" ht="12.75" x14ac:dyDescent="0.2"/>
    <row r="54655" s="197" customFormat="1" ht="12.75" x14ac:dyDescent="0.2"/>
    <row r="54656" s="197" customFormat="1" ht="12.75" x14ac:dyDescent="0.2"/>
    <row r="54657" s="197" customFormat="1" ht="12.75" x14ac:dyDescent="0.2"/>
    <row r="54658" s="197" customFormat="1" ht="12.75" x14ac:dyDescent="0.2"/>
    <row r="54659" s="197" customFormat="1" ht="12.75" x14ac:dyDescent="0.2"/>
    <row r="54660" s="197" customFormat="1" ht="12.75" x14ac:dyDescent="0.2"/>
    <row r="54661" s="197" customFormat="1" ht="12.75" x14ac:dyDescent="0.2"/>
    <row r="54662" s="197" customFormat="1" ht="12.75" x14ac:dyDescent="0.2"/>
    <row r="54663" s="197" customFormat="1" ht="12.75" x14ac:dyDescent="0.2"/>
    <row r="54664" s="197" customFormat="1" ht="12.75" x14ac:dyDescent="0.2"/>
    <row r="54665" s="197" customFormat="1" ht="12.75" x14ac:dyDescent="0.2"/>
    <row r="54666" s="197" customFormat="1" ht="12.75" x14ac:dyDescent="0.2"/>
    <row r="54667" s="197" customFormat="1" ht="12.75" x14ac:dyDescent="0.2"/>
    <row r="54668" s="197" customFormat="1" ht="12.75" x14ac:dyDescent="0.2"/>
    <row r="54669" s="197" customFormat="1" ht="12.75" x14ac:dyDescent="0.2"/>
    <row r="54670" s="197" customFormat="1" ht="12.75" x14ac:dyDescent="0.2"/>
    <row r="54671" s="197" customFormat="1" ht="12.75" x14ac:dyDescent="0.2"/>
    <row r="54672" s="197" customFormat="1" ht="12.75" x14ac:dyDescent="0.2"/>
    <row r="54673" s="197" customFormat="1" ht="12.75" x14ac:dyDescent="0.2"/>
    <row r="54674" s="197" customFormat="1" ht="12.75" x14ac:dyDescent="0.2"/>
    <row r="54675" s="197" customFormat="1" ht="12.75" x14ac:dyDescent="0.2"/>
    <row r="54676" s="197" customFormat="1" ht="12.75" x14ac:dyDescent="0.2"/>
    <row r="54677" s="197" customFormat="1" ht="12.75" x14ac:dyDescent="0.2"/>
    <row r="54678" s="197" customFormat="1" ht="12.75" x14ac:dyDescent="0.2"/>
    <row r="54679" s="197" customFormat="1" ht="12.75" x14ac:dyDescent="0.2"/>
    <row r="54680" s="197" customFormat="1" ht="12.75" x14ac:dyDescent="0.2"/>
    <row r="54681" s="197" customFormat="1" ht="12.75" x14ac:dyDescent="0.2"/>
    <row r="54682" s="197" customFormat="1" ht="12.75" x14ac:dyDescent="0.2"/>
    <row r="54683" s="197" customFormat="1" ht="12.75" x14ac:dyDescent="0.2"/>
    <row r="54684" s="197" customFormat="1" ht="12.75" x14ac:dyDescent="0.2"/>
    <row r="54685" s="197" customFormat="1" ht="12.75" x14ac:dyDescent="0.2"/>
    <row r="54686" s="197" customFormat="1" ht="12.75" x14ac:dyDescent="0.2"/>
    <row r="54687" s="197" customFormat="1" ht="12.75" x14ac:dyDescent="0.2"/>
    <row r="54688" s="197" customFormat="1" ht="12.75" x14ac:dyDescent="0.2"/>
    <row r="54689" s="197" customFormat="1" ht="12.75" x14ac:dyDescent="0.2"/>
    <row r="54690" s="197" customFormat="1" ht="12.75" x14ac:dyDescent="0.2"/>
    <row r="54691" s="197" customFormat="1" ht="12.75" x14ac:dyDescent="0.2"/>
    <row r="54692" s="197" customFormat="1" ht="12.75" x14ac:dyDescent="0.2"/>
    <row r="54693" s="197" customFormat="1" ht="12.75" x14ac:dyDescent="0.2"/>
    <row r="54694" s="197" customFormat="1" ht="12.75" x14ac:dyDescent="0.2"/>
    <row r="54695" s="197" customFormat="1" ht="12.75" x14ac:dyDescent="0.2"/>
    <row r="54696" s="197" customFormat="1" ht="12.75" x14ac:dyDescent="0.2"/>
    <row r="54697" s="197" customFormat="1" ht="12.75" x14ac:dyDescent="0.2"/>
    <row r="54698" s="197" customFormat="1" ht="12.75" x14ac:dyDescent="0.2"/>
    <row r="54699" s="197" customFormat="1" ht="12.75" x14ac:dyDescent="0.2"/>
    <row r="54700" s="197" customFormat="1" ht="12.75" x14ac:dyDescent="0.2"/>
    <row r="54701" s="197" customFormat="1" ht="12.75" x14ac:dyDescent="0.2"/>
    <row r="54702" s="197" customFormat="1" ht="12.75" x14ac:dyDescent="0.2"/>
    <row r="54703" s="197" customFormat="1" ht="12.75" x14ac:dyDescent="0.2"/>
    <row r="54704" s="197" customFormat="1" ht="12.75" x14ac:dyDescent="0.2"/>
    <row r="54705" s="197" customFormat="1" ht="12.75" x14ac:dyDescent="0.2"/>
    <row r="54706" s="197" customFormat="1" ht="12.75" x14ac:dyDescent="0.2"/>
    <row r="54707" s="197" customFormat="1" ht="12.75" x14ac:dyDescent="0.2"/>
    <row r="54708" s="197" customFormat="1" ht="12.75" x14ac:dyDescent="0.2"/>
    <row r="54709" s="197" customFormat="1" ht="12.75" x14ac:dyDescent="0.2"/>
    <row r="54710" s="197" customFormat="1" ht="12.75" x14ac:dyDescent="0.2"/>
    <row r="54711" s="197" customFormat="1" ht="12.75" x14ac:dyDescent="0.2"/>
    <row r="54712" s="197" customFormat="1" ht="12.75" x14ac:dyDescent="0.2"/>
    <row r="54713" s="197" customFormat="1" ht="12.75" x14ac:dyDescent="0.2"/>
    <row r="54714" s="197" customFormat="1" ht="12.75" x14ac:dyDescent="0.2"/>
    <row r="54715" s="197" customFormat="1" ht="12.75" x14ac:dyDescent="0.2"/>
    <row r="54716" s="197" customFormat="1" ht="12.75" x14ac:dyDescent="0.2"/>
    <row r="54717" s="197" customFormat="1" ht="12.75" x14ac:dyDescent="0.2"/>
    <row r="54718" s="197" customFormat="1" ht="12.75" x14ac:dyDescent="0.2"/>
    <row r="54719" s="197" customFormat="1" ht="12.75" x14ac:dyDescent="0.2"/>
    <row r="54720" s="197" customFormat="1" ht="12.75" x14ac:dyDescent="0.2"/>
    <row r="54721" s="197" customFormat="1" ht="12.75" x14ac:dyDescent="0.2"/>
    <row r="54722" s="197" customFormat="1" ht="12.75" x14ac:dyDescent="0.2"/>
    <row r="54723" s="197" customFormat="1" ht="12.75" x14ac:dyDescent="0.2"/>
    <row r="54724" s="197" customFormat="1" ht="12.75" x14ac:dyDescent="0.2"/>
    <row r="54725" s="197" customFormat="1" ht="12.75" x14ac:dyDescent="0.2"/>
    <row r="54726" s="197" customFormat="1" ht="12.75" x14ac:dyDescent="0.2"/>
    <row r="54727" s="197" customFormat="1" ht="12.75" x14ac:dyDescent="0.2"/>
    <row r="54728" s="197" customFormat="1" ht="12.75" x14ac:dyDescent="0.2"/>
    <row r="54729" s="197" customFormat="1" ht="12.75" x14ac:dyDescent="0.2"/>
    <row r="54730" s="197" customFormat="1" ht="12.75" x14ac:dyDescent="0.2"/>
    <row r="54731" s="197" customFormat="1" ht="12.75" x14ac:dyDescent="0.2"/>
    <row r="54732" s="197" customFormat="1" ht="12.75" x14ac:dyDescent="0.2"/>
    <row r="54733" s="197" customFormat="1" ht="12.75" x14ac:dyDescent="0.2"/>
    <row r="54734" s="197" customFormat="1" ht="12.75" x14ac:dyDescent="0.2"/>
    <row r="54735" s="197" customFormat="1" ht="12.75" x14ac:dyDescent="0.2"/>
    <row r="54736" s="197" customFormat="1" ht="12.75" x14ac:dyDescent="0.2"/>
    <row r="54737" s="197" customFormat="1" ht="12.75" x14ac:dyDescent="0.2"/>
    <row r="54738" s="197" customFormat="1" ht="12.75" x14ac:dyDescent="0.2"/>
    <row r="54739" s="197" customFormat="1" ht="12.75" x14ac:dyDescent="0.2"/>
    <row r="54740" s="197" customFormat="1" ht="12.75" x14ac:dyDescent="0.2"/>
    <row r="54741" s="197" customFormat="1" ht="12.75" x14ac:dyDescent="0.2"/>
    <row r="54742" s="197" customFormat="1" ht="12.75" x14ac:dyDescent="0.2"/>
    <row r="54743" s="197" customFormat="1" ht="12.75" x14ac:dyDescent="0.2"/>
    <row r="54744" s="197" customFormat="1" ht="12.75" x14ac:dyDescent="0.2"/>
    <row r="54745" s="197" customFormat="1" ht="12.75" x14ac:dyDescent="0.2"/>
    <row r="54746" s="197" customFormat="1" ht="12.75" x14ac:dyDescent="0.2"/>
    <row r="54747" s="197" customFormat="1" ht="12.75" x14ac:dyDescent="0.2"/>
    <row r="54748" s="197" customFormat="1" ht="12.75" x14ac:dyDescent="0.2"/>
    <row r="54749" s="197" customFormat="1" ht="12.75" x14ac:dyDescent="0.2"/>
    <row r="54750" s="197" customFormat="1" ht="12.75" x14ac:dyDescent="0.2"/>
    <row r="54751" s="197" customFormat="1" ht="12.75" x14ac:dyDescent="0.2"/>
    <row r="54752" s="197" customFormat="1" ht="12.75" x14ac:dyDescent="0.2"/>
    <row r="54753" s="197" customFormat="1" ht="12.75" x14ac:dyDescent="0.2"/>
    <row r="54754" s="197" customFormat="1" ht="12.75" x14ac:dyDescent="0.2"/>
    <row r="54755" s="197" customFormat="1" ht="12.75" x14ac:dyDescent="0.2"/>
    <row r="54756" s="197" customFormat="1" ht="12.75" x14ac:dyDescent="0.2"/>
    <row r="54757" s="197" customFormat="1" ht="12.75" x14ac:dyDescent="0.2"/>
    <row r="54758" s="197" customFormat="1" ht="12.75" x14ac:dyDescent="0.2"/>
    <row r="54759" s="197" customFormat="1" ht="12.75" x14ac:dyDescent="0.2"/>
    <row r="54760" s="197" customFormat="1" ht="12.75" x14ac:dyDescent="0.2"/>
    <row r="54761" s="197" customFormat="1" ht="12.75" x14ac:dyDescent="0.2"/>
    <row r="54762" s="197" customFormat="1" ht="12.75" x14ac:dyDescent="0.2"/>
    <row r="54763" s="197" customFormat="1" ht="12.75" x14ac:dyDescent="0.2"/>
    <row r="54764" s="197" customFormat="1" ht="12.75" x14ac:dyDescent="0.2"/>
    <row r="54765" s="197" customFormat="1" ht="12.75" x14ac:dyDescent="0.2"/>
    <row r="54766" s="197" customFormat="1" ht="12.75" x14ac:dyDescent="0.2"/>
    <row r="54767" s="197" customFormat="1" ht="12.75" x14ac:dyDescent="0.2"/>
    <row r="54768" s="197" customFormat="1" ht="12.75" x14ac:dyDescent="0.2"/>
    <row r="54769" s="197" customFormat="1" ht="12.75" x14ac:dyDescent="0.2"/>
    <row r="54770" s="197" customFormat="1" ht="12.75" x14ac:dyDescent="0.2"/>
    <row r="54771" s="197" customFormat="1" ht="12.75" x14ac:dyDescent="0.2"/>
    <row r="54772" s="197" customFormat="1" ht="12.75" x14ac:dyDescent="0.2"/>
    <row r="54773" s="197" customFormat="1" ht="12.75" x14ac:dyDescent="0.2"/>
    <row r="54774" s="197" customFormat="1" ht="12.75" x14ac:dyDescent="0.2"/>
    <row r="54775" s="197" customFormat="1" ht="12.75" x14ac:dyDescent="0.2"/>
    <row r="54776" s="197" customFormat="1" ht="12.75" x14ac:dyDescent="0.2"/>
    <row r="54777" s="197" customFormat="1" ht="12.75" x14ac:dyDescent="0.2"/>
    <row r="54778" s="197" customFormat="1" ht="12.75" x14ac:dyDescent="0.2"/>
    <row r="54779" s="197" customFormat="1" ht="12.75" x14ac:dyDescent="0.2"/>
    <row r="54780" s="197" customFormat="1" ht="12.75" x14ac:dyDescent="0.2"/>
    <row r="54781" s="197" customFormat="1" ht="12.75" x14ac:dyDescent="0.2"/>
    <row r="54782" s="197" customFormat="1" ht="12.75" x14ac:dyDescent="0.2"/>
    <row r="54783" s="197" customFormat="1" ht="12.75" x14ac:dyDescent="0.2"/>
    <row r="54784" s="197" customFormat="1" ht="12.75" x14ac:dyDescent="0.2"/>
    <row r="54785" s="197" customFormat="1" ht="12.75" x14ac:dyDescent="0.2"/>
    <row r="54786" s="197" customFormat="1" ht="12.75" x14ac:dyDescent="0.2"/>
    <row r="54787" s="197" customFormat="1" ht="12.75" x14ac:dyDescent="0.2"/>
    <row r="54788" s="197" customFormat="1" ht="12.75" x14ac:dyDescent="0.2"/>
    <row r="54789" s="197" customFormat="1" ht="12.75" x14ac:dyDescent="0.2"/>
    <row r="54790" s="197" customFormat="1" ht="12.75" x14ac:dyDescent="0.2"/>
    <row r="54791" s="197" customFormat="1" ht="12.75" x14ac:dyDescent="0.2"/>
    <row r="54792" s="197" customFormat="1" ht="12.75" x14ac:dyDescent="0.2"/>
    <row r="54793" s="197" customFormat="1" ht="12.75" x14ac:dyDescent="0.2"/>
    <row r="54794" s="197" customFormat="1" ht="12.75" x14ac:dyDescent="0.2"/>
    <row r="54795" s="197" customFormat="1" ht="12.75" x14ac:dyDescent="0.2"/>
    <row r="54796" s="197" customFormat="1" ht="12.75" x14ac:dyDescent="0.2"/>
    <row r="54797" s="197" customFormat="1" ht="12.75" x14ac:dyDescent="0.2"/>
    <row r="54798" s="197" customFormat="1" ht="12.75" x14ac:dyDescent="0.2"/>
    <row r="54799" s="197" customFormat="1" ht="12.75" x14ac:dyDescent="0.2"/>
    <row r="54800" s="197" customFormat="1" ht="12.75" x14ac:dyDescent="0.2"/>
    <row r="54801" s="197" customFormat="1" ht="12.75" x14ac:dyDescent="0.2"/>
    <row r="54802" s="197" customFormat="1" ht="12.75" x14ac:dyDescent="0.2"/>
    <row r="54803" s="197" customFormat="1" ht="12.75" x14ac:dyDescent="0.2"/>
    <row r="54804" s="197" customFormat="1" ht="12.75" x14ac:dyDescent="0.2"/>
    <row r="54805" s="197" customFormat="1" ht="12.75" x14ac:dyDescent="0.2"/>
    <row r="54806" s="197" customFormat="1" ht="12.75" x14ac:dyDescent="0.2"/>
    <row r="54807" s="197" customFormat="1" ht="12.75" x14ac:dyDescent="0.2"/>
    <row r="54808" s="197" customFormat="1" ht="12.75" x14ac:dyDescent="0.2"/>
    <row r="54809" s="197" customFormat="1" ht="12.75" x14ac:dyDescent="0.2"/>
    <row r="54810" s="197" customFormat="1" ht="12.75" x14ac:dyDescent="0.2"/>
    <row r="54811" s="197" customFormat="1" ht="12.75" x14ac:dyDescent="0.2"/>
    <row r="54812" s="197" customFormat="1" ht="12.75" x14ac:dyDescent="0.2"/>
    <row r="54813" s="197" customFormat="1" ht="12.75" x14ac:dyDescent="0.2"/>
    <row r="54814" s="197" customFormat="1" ht="12.75" x14ac:dyDescent="0.2"/>
    <row r="54815" s="197" customFormat="1" ht="12.75" x14ac:dyDescent="0.2"/>
    <row r="54816" s="197" customFormat="1" ht="12.75" x14ac:dyDescent="0.2"/>
    <row r="54817" s="197" customFormat="1" ht="12.75" x14ac:dyDescent="0.2"/>
    <row r="54818" s="197" customFormat="1" ht="12.75" x14ac:dyDescent="0.2"/>
    <row r="54819" s="197" customFormat="1" ht="12.75" x14ac:dyDescent="0.2"/>
    <row r="54820" s="197" customFormat="1" ht="12.75" x14ac:dyDescent="0.2"/>
    <row r="54821" s="197" customFormat="1" ht="12.75" x14ac:dyDescent="0.2"/>
    <row r="54822" s="197" customFormat="1" ht="12.75" x14ac:dyDescent="0.2"/>
    <row r="54823" s="197" customFormat="1" ht="12.75" x14ac:dyDescent="0.2"/>
    <row r="54824" s="197" customFormat="1" ht="12.75" x14ac:dyDescent="0.2"/>
    <row r="54825" s="197" customFormat="1" ht="12.75" x14ac:dyDescent="0.2"/>
    <row r="54826" s="197" customFormat="1" ht="12.75" x14ac:dyDescent="0.2"/>
    <row r="54827" s="197" customFormat="1" ht="12.75" x14ac:dyDescent="0.2"/>
    <row r="54828" s="197" customFormat="1" ht="12.75" x14ac:dyDescent="0.2"/>
    <row r="54829" s="197" customFormat="1" ht="12.75" x14ac:dyDescent="0.2"/>
    <row r="54830" s="197" customFormat="1" ht="12.75" x14ac:dyDescent="0.2"/>
    <row r="54831" s="197" customFormat="1" ht="12.75" x14ac:dyDescent="0.2"/>
    <row r="54832" s="197" customFormat="1" ht="12.75" x14ac:dyDescent="0.2"/>
    <row r="54833" s="197" customFormat="1" ht="12.75" x14ac:dyDescent="0.2"/>
    <row r="54834" s="197" customFormat="1" ht="12.75" x14ac:dyDescent="0.2"/>
    <row r="54835" s="197" customFormat="1" ht="12.75" x14ac:dyDescent="0.2"/>
    <row r="54836" s="197" customFormat="1" ht="12.75" x14ac:dyDescent="0.2"/>
    <row r="54837" s="197" customFormat="1" ht="12.75" x14ac:dyDescent="0.2"/>
    <row r="54838" s="197" customFormat="1" ht="12.75" x14ac:dyDescent="0.2"/>
    <row r="54839" s="197" customFormat="1" ht="12.75" x14ac:dyDescent="0.2"/>
    <row r="54840" s="197" customFormat="1" ht="12.75" x14ac:dyDescent="0.2"/>
    <row r="54841" s="197" customFormat="1" ht="12.75" x14ac:dyDescent="0.2"/>
    <row r="54842" s="197" customFormat="1" ht="12.75" x14ac:dyDescent="0.2"/>
    <row r="54843" s="197" customFormat="1" ht="12.75" x14ac:dyDescent="0.2"/>
    <row r="54844" s="197" customFormat="1" ht="12.75" x14ac:dyDescent="0.2"/>
    <row r="54845" s="197" customFormat="1" ht="12.75" x14ac:dyDescent="0.2"/>
    <row r="54846" s="197" customFormat="1" ht="12.75" x14ac:dyDescent="0.2"/>
    <row r="54847" s="197" customFormat="1" ht="12.75" x14ac:dyDescent="0.2"/>
    <row r="54848" s="197" customFormat="1" ht="12.75" x14ac:dyDescent="0.2"/>
    <row r="54849" s="197" customFormat="1" ht="12.75" x14ac:dyDescent="0.2"/>
    <row r="54850" s="197" customFormat="1" ht="12.75" x14ac:dyDescent="0.2"/>
    <row r="54851" s="197" customFormat="1" ht="12.75" x14ac:dyDescent="0.2"/>
    <row r="54852" s="197" customFormat="1" ht="12.75" x14ac:dyDescent="0.2"/>
    <row r="54853" s="197" customFormat="1" ht="12.75" x14ac:dyDescent="0.2"/>
    <row r="54854" s="197" customFormat="1" ht="12.75" x14ac:dyDescent="0.2"/>
    <row r="54855" s="197" customFormat="1" ht="12.75" x14ac:dyDescent="0.2"/>
    <row r="54856" s="197" customFormat="1" ht="12.75" x14ac:dyDescent="0.2"/>
    <row r="54857" s="197" customFormat="1" ht="12.75" x14ac:dyDescent="0.2"/>
    <row r="54858" s="197" customFormat="1" ht="12.75" x14ac:dyDescent="0.2"/>
    <row r="54859" s="197" customFormat="1" ht="12.75" x14ac:dyDescent="0.2"/>
    <row r="54860" s="197" customFormat="1" ht="12.75" x14ac:dyDescent="0.2"/>
    <row r="54861" s="197" customFormat="1" ht="12.75" x14ac:dyDescent="0.2"/>
    <row r="54862" s="197" customFormat="1" ht="12.75" x14ac:dyDescent="0.2"/>
    <row r="54863" s="197" customFormat="1" ht="12.75" x14ac:dyDescent="0.2"/>
    <row r="54864" s="197" customFormat="1" ht="12.75" x14ac:dyDescent="0.2"/>
    <row r="54865" s="197" customFormat="1" ht="12.75" x14ac:dyDescent="0.2"/>
    <row r="54866" s="197" customFormat="1" ht="12.75" x14ac:dyDescent="0.2"/>
    <row r="54867" s="197" customFormat="1" ht="12.75" x14ac:dyDescent="0.2"/>
    <row r="54868" s="197" customFormat="1" ht="12.75" x14ac:dyDescent="0.2"/>
    <row r="54869" s="197" customFormat="1" ht="12.75" x14ac:dyDescent="0.2"/>
    <row r="54870" s="197" customFormat="1" ht="12.75" x14ac:dyDescent="0.2"/>
    <row r="54871" s="197" customFormat="1" ht="12.75" x14ac:dyDescent="0.2"/>
    <row r="54872" s="197" customFormat="1" ht="12.75" x14ac:dyDescent="0.2"/>
    <row r="54873" s="197" customFormat="1" ht="12.75" x14ac:dyDescent="0.2"/>
    <row r="54874" s="197" customFormat="1" ht="12.75" x14ac:dyDescent="0.2"/>
    <row r="54875" s="197" customFormat="1" ht="12.75" x14ac:dyDescent="0.2"/>
    <row r="54876" s="197" customFormat="1" ht="12.75" x14ac:dyDescent="0.2"/>
    <row r="54877" s="197" customFormat="1" ht="12.75" x14ac:dyDescent="0.2"/>
    <row r="54878" s="197" customFormat="1" ht="12.75" x14ac:dyDescent="0.2"/>
    <row r="54879" s="197" customFormat="1" ht="12.75" x14ac:dyDescent="0.2"/>
    <row r="54880" s="197" customFormat="1" ht="12.75" x14ac:dyDescent="0.2"/>
    <row r="54881" s="197" customFormat="1" ht="12.75" x14ac:dyDescent="0.2"/>
    <row r="54882" s="197" customFormat="1" ht="12.75" x14ac:dyDescent="0.2"/>
    <row r="54883" s="197" customFormat="1" ht="12.75" x14ac:dyDescent="0.2"/>
    <row r="54884" s="197" customFormat="1" ht="12.75" x14ac:dyDescent="0.2"/>
    <row r="54885" s="197" customFormat="1" ht="12.75" x14ac:dyDescent="0.2"/>
    <row r="54886" s="197" customFormat="1" ht="12.75" x14ac:dyDescent="0.2"/>
    <row r="54887" s="197" customFormat="1" ht="12.75" x14ac:dyDescent="0.2"/>
    <row r="54888" s="197" customFormat="1" ht="12.75" x14ac:dyDescent="0.2"/>
    <row r="54889" s="197" customFormat="1" ht="12.75" x14ac:dyDescent="0.2"/>
    <row r="54890" s="197" customFormat="1" ht="12.75" x14ac:dyDescent="0.2"/>
    <row r="54891" s="197" customFormat="1" ht="12.75" x14ac:dyDescent="0.2"/>
    <row r="54892" s="197" customFormat="1" ht="12.75" x14ac:dyDescent="0.2"/>
    <row r="54893" s="197" customFormat="1" ht="12.75" x14ac:dyDescent="0.2"/>
    <row r="54894" s="197" customFormat="1" ht="12.75" x14ac:dyDescent="0.2"/>
    <row r="54895" s="197" customFormat="1" ht="12.75" x14ac:dyDescent="0.2"/>
    <row r="54896" s="197" customFormat="1" ht="12.75" x14ac:dyDescent="0.2"/>
    <row r="54897" s="197" customFormat="1" ht="12.75" x14ac:dyDescent="0.2"/>
    <row r="54898" s="197" customFormat="1" ht="12.75" x14ac:dyDescent="0.2"/>
    <row r="54899" s="197" customFormat="1" ht="12.75" x14ac:dyDescent="0.2"/>
    <row r="54900" s="197" customFormat="1" ht="12.75" x14ac:dyDescent="0.2"/>
    <row r="54901" s="197" customFormat="1" ht="12.75" x14ac:dyDescent="0.2"/>
    <row r="54902" s="197" customFormat="1" ht="12.75" x14ac:dyDescent="0.2"/>
    <row r="54903" s="197" customFormat="1" ht="12.75" x14ac:dyDescent="0.2"/>
    <row r="54904" s="197" customFormat="1" ht="12.75" x14ac:dyDescent="0.2"/>
    <row r="54905" s="197" customFormat="1" ht="12.75" x14ac:dyDescent="0.2"/>
    <row r="54906" s="197" customFormat="1" ht="12.75" x14ac:dyDescent="0.2"/>
    <row r="54907" s="197" customFormat="1" ht="12.75" x14ac:dyDescent="0.2"/>
    <row r="54908" s="197" customFormat="1" ht="12.75" x14ac:dyDescent="0.2"/>
    <row r="54909" s="197" customFormat="1" ht="12.75" x14ac:dyDescent="0.2"/>
    <row r="54910" s="197" customFormat="1" ht="12.75" x14ac:dyDescent="0.2"/>
    <row r="54911" s="197" customFormat="1" ht="12.75" x14ac:dyDescent="0.2"/>
    <row r="54912" s="197" customFormat="1" ht="12.75" x14ac:dyDescent="0.2"/>
    <row r="54913" s="197" customFormat="1" ht="12.75" x14ac:dyDescent="0.2"/>
    <row r="54914" s="197" customFormat="1" ht="12.75" x14ac:dyDescent="0.2"/>
    <row r="54915" s="197" customFormat="1" ht="12.75" x14ac:dyDescent="0.2"/>
    <row r="54916" s="197" customFormat="1" ht="12.75" x14ac:dyDescent="0.2"/>
    <row r="54917" s="197" customFormat="1" ht="12.75" x14ac:dyDescent="0.2"/>
    <row r="54918" s="197" customFormat="1" ht="12.75" x14ac:dyDescent="0.2"/>
    <row r="54919" s="197" customFormat="1" ht="12.75" x14ac:dyDescent="0.2"/>
    <row r="54920" s="197" customFormat="1" ht="12.75" x14ac:dyDescent="0.2"/>
    <row r="54921" s="197" customFormat="1" ht="12.75" x14ac:dyDescent="0.2"/>
    <row r="54922" s="197" customFormat="1" ht="12.75" x14ac:dyDescent="0.2"/>
    <row r="54923" s="197" customFormat="1" ht="12.75" x14ac:dyDescent="0.2"/>
    <row r="54924" s="197" customFormat="1" ht="12.75" x14ac:dyDescent="0.2"/>
    <row r="54925" s="197" customFormat="1" ht="12.75" x14ac:dyDescent="0.2"/>
    <row r="54926" s="197" customFormat="1" ht="12.75" x14ac:dyDescent="0.2"/>
    <row r="54927" s="197" customFormat="1" ht="12.75" x14ac:dyDescent="0.2"/>
    <row r="54928" s="197" customFormat="1" ht="12.75" x14ac:dyDescent="0.2"/>
    <row r="54929" s="197" customFormat="1" ht="12.75" x14ac:dyDescent="0.2"/>
    <row r="54930" s="197" customFormat="1" ht="12.75" x14ac:dyDescent="0.2"/>
    <row r="54931" s="197" customFormat="1" ht="12.75" x14ac:dyDescent="0.2"/>
    <row r="54932" s="197" customFormat="1" ht="12.75" x14ac:dyDescent="0.2"/>
    <row r="54933" s="197" customFormat="1" ht="12.75" x14ac:dyDescent="0.2"/>
    <row r="54934" s="197" customFormat="1" ht="12.75" x14ac:dyDescent="0.2"/>
    <row r="54935" s="197" customFormat="1" ht="12.75" x14ac:dyDescent="0.2"/>
    <row r="54936" s="197" customFormat="1" ht="12.75" x14ac:dyDescent="0.2"/>
    <row r="54937" s="197" customFormat="1" ht="12.75" x14ac:dyDescent="0.2"/>
    <row r="54938" s="197" customFormat="1" ht="12.75" x14ac:dyDescent="0.2"/>
    <row r="54939" s="197" customFormat="1" ht="12.75" x14ac:dyDescent="0.2"/>
    <row r="54940" s="197" customFormat="1" ht="12.75" x14ac:dyDescent="0.2"/>
    <row r="54941" s="197" customFormat="1" ht="12.75" x14ac:dyDescent="0.2"/>
    <row r="54942" s="197" customFormat="1" ht="12.75" x14ac:dyDescent="0.2"/>
    <row r="54943" s="197" customFormat="1" ht="12.75" x14ac:dyDescent="0.2"/>
    <row r="54944" s="197" customFormat="1" ht="12.75" x14ac:dyDescent="0.2"/>
    <row r="54945" s="197" customFormat="1" ht="12.75" x14ac:dyDescent="0.2"/>
    <row r="54946" s="197" customFormat="1" ht="12.75" x14ac:dyDescent="0.2"/>
    <row r="54947" s="197" customFormat="1" ht="12.75" x14ac:dyDescent="0.2"/>
    <row r="54948" s="197" customFormat="1" ht="12.75" x14ac:dyDescent="0.2"/>
    <row r="54949" s="197" customFormat="1" ht="12.75" x14ac:dyDescent="0.2"/>
    <row r="54950" s="197" customFormat="1" ht="12.75" x14ac:dyDescent="0.2"/>
    <row r="54951" s="197" customFormat="1" ht="12.75" x14ac:dyDescent="0.2"/>
    <row r="54952" s="197" customFormat="1" ht="12.75" x14ac:dyDescent="0.2"/>
    <row r="54953" s="197" customFormat="1" ht="12.75" x14ac:dyDescent="0.2"/>
    <row r="54954" s="197" customFormat="1" ht="12.75" x14ac:dyDescent="0.2"/>
    <row r="54955" s="197" customFormat="1" ht="12.75" x14ac:dyDescent="0.2"/>
    <row r="54956" s="197" customFormat="1" ht="12.75" x14ac:dyDescent="0.2"/>
    <row r="54957" s="197" customFormat="1" ht="12.75" x14ac:dyDescent="0.2"/>
    <row r="54958" s="197" customFormat="1" ht="12.75" x14ac:dyDescent="0.2"/>
    <row r="54959" s="197" customFormat="1" ht="12.75" x14ac:dyDescent="0.2"/>
    <row r="54960" s="197" customFormat="1" ht="12.75" x14ac:dyDescent="0.2"/>
    <row r="54961" s="197" customFormat="1" ht="12.75" x14ac:dyDescent="0.2"/>
    <row r="54962" s="197" customFormat="1" ht="12.75" x14ac:dyDescent="0.2"/>
    <row r="54963" s="197" customFormat="1" ht="12.75" x14ac:dyDescent="0.2"/>
    <row r="54964" s="197" customFormat="1" ht="12.75" x14ac:dyDescent="0.2"/>
    <row r="54965" s="197" customFormat="1" ht="12.75" x14ac:dyDescent="0.2"/>
    <row r="54966" s="197" customFormat="1" ht="12.75" x14ac:dyDescent="0.2"/>
    <row r="54967" s="197" customFormat="1" ht="12.75" x14ac:dyDescent="0.2"/>
    <row r="54968" s="197" customFormat="1" ht="12.75" x14ac:dyDescent="0.2"/>
    <row r="54969" s="197" customFormat="1" ht="12.75" x14ac:dyDescent="0.2"/>
    <row r="54970" s="197" customFormat="1" ht="12.75" x14ac:dyDescent="0.2"/>
    <row r="54971" s="197" customFormat="1" ht="12.75" x14ac:dyDescent="0.2"/>
    <row r="54972" s="197" customFormat="1" ht="12.75" x14ac:dyDescent="0.2"/>
    <row r="54973" s="197" customFormat="1" ht="12.75" x14ac:dyDescent="0.2"/>
    <row r="54974" s="197" customFormat="1" ht="12.75" x14ac:dyDescent="0.2"/>
    <row r="54975" s="197" customFormat="1" ht="12.75" x14ac:dyDescent="0.2"/>
    <row r="54976" s="197" customFormat="1" ht="12.75" x14ac:dyDescent="0.2"/>
    <row r="54977" s="197" customFormat="1" ht="12.75" x14ac:dyDescent="0.2"/>
    <row r="54978" s="197" customFormat="1" ht="12.75" x14ac:dyDescent="0.2"/>
    <row r="54979" s="197" customFormat="1" ht="12.75" x14ac:dyDescent="0.2"/>
    <row r="54980" s="197" customFormat="1" ht="12.75" x14ac:dyDescent="0.2"/>
    <row r="54981" s="197" customFormat="1" ht="12.75" x14ac:dyDescent="0.2"/>
    <row r="54982" s="197" customFormat="1" ht="12.75" x14ac:dyDescent="0.2"/>
    <row r="54983" s="197" customFormat="1" ht="12.75" x14ac:dyDescent="0.2"/>
    <row r="54984" s="197" customFormat="1" ht="12.75" x14ac:dyDescent="0.2"/>
    <row r="54985" s="197" customFormat="1" ht="12.75" x14ac:dyDescent="0.2"/>
    <row r="54986" s="197" customFormat="1" ht="12.75" x14ac:dyDescent="0.2"/>
    <row r="54987" s="197" customFormat="1" ht="12.75" x14ac:dyDescent="0.2"/>
    <row r="54988" s="197" customFormat="1" ht="12.75" x14ac:dyDescent="0.2"/>
    <row r="54989" s="197" customFormat="1" ht="12.75" x14ac:dyDescent="0.2"/>
    <row r="54990" s="197" customFormat="1" ht="12.75" x14ac:dyDescent="0.2"/>
    <row r="54991" s="197" customFormat="1" ht="12.75" x14ac:dyDescent="0.2"/>
    <row r="54992" s="197" customFormat="1" ht="12.75" x14ac:dyDescent="0.2"/>
    <row r="54993" s="197" customFormat="1" ht="12.75" x14ac:dyDescent="0.2"/>
    <row r="54994" s="197" customFormat="1" ht="12.75" x14ac:dyDescent="0.2"/>
    <row r="54995" s="197" customFormat="1" ht="12.75" x14ac:dyDescent="0.2"/>
    <row r="54996" s="197" customFormat="1" ht="12.75" x14ac:dyDescent="0.2"/>
    <row r="54997" s="197" customFormat="1" ht="12.75" x14ac:dyDescent="0.2"/>
    <row r="54998" s="197" customFormat="1" ht="12.75" x14ac:dyDescent="0.2"/>
    <row r="54999" s="197" customFormat="1" ht="12.75" x14ac:dyDescent="0.2"/>
    <row r="55000" s="197" customFormat="1" ht="12.75" x14ac:dyDescent="0.2"/>
    <row r="55001" s="197" customFormat="1" ht="12.75" x14ac:dyDescent="0.2"/>
    <row r="55002" s="197" customFormat="1" ht="12.75" x14ac:dyDescent="0.2"/>
    <row r="55003" s="197" customFormat="1" ht="12.75" x14ac:dyDescent="0.2"/>
    <row r="55004" s="197" customFormat="1" ht="12.75" x14ac:dyDescent="0.2"/>
    <row r="55005" s="197" customFormat="1" ht="12.75" x14ac:dyDescent="0.2"/>
    <row r="55006" s="197" customFormat="1" ht="12.75" x14ac:dyDescent="0.2"/>
    <row r="55007" s="197" customFormat="1" ht="12.75" x14ac:dyDescent="0.2"/>
    <row r="55008" s="197" customFormat="1" ht="12.75" x14ac:dyDescent="0.2"/>
    <row r="55009" s="197" customFormat="1" ht="12.75" x14ac:dyDescent="0.2"/>
    <row r="55010" s="197" customFormat="1" ht="12.75" x14ac:dyDescent="0.2"/>
    <row r="55011" s="197" customFormat="1" ht="12.75" x14ac:dyDescent="0.2"/>
    <row r="55012" s="197" customFormat="1" ht="12.75" x14ac:dyDescent="0.2"/>
    <row r="55013" s="197" customFormat="1" ht="12.75" x14ac:dyDescent="0.2"/>
    <row r="55014" s="197" customFormat="1" ht="12.75" x14ac:dyDescent="0.2"/>
    <row r="55015" s="197" customFormat="1" ht="12.75" x14ac:dyDescent="0.2"/>
    <row r="55016" s="197" customFormat="1" ht="12.75" x14ac:dyDescent="0.2"/>
    <row r="55017" s="197" customFormat="1" ht="12.75" x14ac:dyDescent="0.2"/>
    <row r="55018" s="197" customFormat="1" ht="12.75" x14ac:dyDescent="0.2"/>
    <row r="55019" s="197" customFormat="1" ht="12.75" x14ac:dyDescent="0.2"/>
    <row r="55020" s="197" customFormat="1" ht="12.75" x14ac:dyDescent="0.2"/>
    <row r="55021" s="197" customFormat="1" ht="12.75" x14ac:dyDescent="0.2"/>
    <row r="55022" s="197" customFormat="1" ht="12.75" x14ac:dyDescent="0.2"/>
    <row r="55023" s="197" customFormat="1" ht="12.75" x14ac:dyDescent="0.2"/>
    <row r="55024" s="197" customFormat="1" ht="12.75" x14ac:dyDescent="0.2"/>
    <row r="55025" s="197" customFormat="1" ht="12.75" x14ac:dyDescent="0.2"/>
    <row r="55026" s="197" customFormat="1" ht="12.75" x14ac:dyDescent="0.2"/>
    <row r="55027" s="197" customFormat="1" ht="12.75" x14ac:dyDescent="0.2"/>
    <row r="55028" s="197" customFormat="1" ht="12.75" x14ac:dyDescent="0.2"/>
    <row r="55029" s="197" customFormat="1" ht="12.75" x14ac:dyDescent="0.2"/>
    <row r="55030" s="197" customFormat="1" ht="12.75" x14ac:dyDescent="0.2"/>
    <row r="55031" s="197" customFormat="1" ht="12.75" x14ac:dyDescent="0.2"/>
    <row r="55032" s="197" customFormat="1" ht="12.75" x14ac:dyDescent="0.2"/>
    <row r="55033" s="197" customFormat="1" ht="12.75" x14ac:dyDescent="0.2"/>
    <row r="55034" s="197" customFormat="1" ht="12.75" x14ac:dyDescent="0.2"/>
    <row r="55035" s="197" customFormat="1" ht="12.75" x14ac:dyDescent="0.2"/>
    <row r="55036" s="197" customFormat="1" ht="12.75" x14ac:dyDescent="0.2"/>
    <row r="55037" s="197" customFormat="1" ht="12.75" x14ac:dyDescent="0.2"/>
    <row r="55038" s="197" customFormat="1" ht="12.75" x14ac:dyDescent="0.2"/>
    <row r="55039" s="197" customFormat="1" ht="12.75" x14ac:dyDescent="0.2"/>
    <row r="55040" s="197" customFormat="1" ht="12.75" x14ac:dyDescent="0.2"/>
    <row r="55041" s="197" customFormat="1" ht="12.75" x14ac:dyDescent="0.2"/>
    <row r="55042" s="197" customFormat="1" ht="12.75" x14ac:dyDescent="0.2"/>
    <row r="55043" s="197" customFormat="1" ht="12.75" x14ac:dyDescent="0.2"/>
    <row r="55044" s="197" customFormat="1" ht="12.75" x14ac:dyDescent="0.2"/>
    <row r="55045" s="197" customFormat="1" ht="12.75" x14ac:dyDescent="0.2"/>
    <row r="55046" s="197" customFormat="1" ht="12.75" x14ac:dyDescent="0.2"/>
    <row r="55047" s="197" customFormat="1" ht="12.75" x14ac:dyDescent="0.2"/>
    <row r="55048" s="197" customFormat="1" ht="12.75" x14ac:dyDescent="0.2"/>
    <row r="55049" s="197" customFormat="1" ht="12.75" x14ac:dyDescent="0.2"/>
    <row r="55050" s="197" customFormat="1" ht="12.75" x14ac:dyDescent="0.2"/>
    <row r="55051" s="197" customFormat="1" ht="12.75" x14ac:dyDescent="0.2"/>
    <row r="55052" s="197" customFormat="1" ht="12.75" x14ac:dyDescent="0.2"/>
    <row r="55053" s="197" customFormat="1" ht="12.75" x14ac:dyDescent="0.2"/>
    <row r="55054" s="197" customFormat="1" ht="12.75" x14ac:dyDescent="0.2"/>
    <row r="55055" s="197" customFormat="1" ht="12.75" x14ac:dyDescent="0.2"/>
    <row r="55056" s="197" customFormat="1" ht="12.75" x14ac:dyDescent="0.2"/>
    <row r="55057" s="197" customFormat="1" ht="12.75" x14ac:dyDescent="0.2"/>
    <row r="55058" s="197" customFormat="1" ht="12.75" x14ac:dyDescent="0.2"/>
    <row r="55059" s="197" customFormat="1" ht="12.75" x14ac:dyDescent="0.2"/>
    <row r="55060" s="197" customFormat="1" ht="12.75" x14ac:dyDescent="0.2"/>
    <row r="55061" s="197" customFormat="1" ht="12.75" x14ac:dyDescent="0.2"/>
    <row r="55062" s="197" customFormat="1" ht="12.75" x14ac:dyDescent="0.2"/>
    <row r="55063" s="197" customFormat="1" ht="12.75" x14ac:dyDescent="0.2"/>
    <row r="55064" s="197" customFormat="1" ht="12.75" x14ac:dyDescent="0.2"/>
    <row r="55065" s="197" customFormat="1" ht="12.75" x14ac:dyDescent="0.2"/>
    <row r="55066" s="197" customFormat="1" ht="12.75" x14ac:dyDescent="0.2"/>
    <row r="55067" s="197" customFormat="1" ht="12.75" x14ac:dyDescent="0.2"/>
    <row r="55068" s="197" customFormat="1" ht="12.75" x14ac:dyDescent="0.2"/>
    <row r="55069" s="197" customFormat="1" ht="12.75" x14ac:dyDescent="0.2"/>
    <row r="55070" s="197" customFormat="1" ht="12.75" x14ac:dyDescent="0.2"/>
    <row r="55071" s="197" customFormat="1" ht="12.75" x14ac:dyDescent="0.2"/>
    <row r="55072" s="197" customFormat="1" ht="12.75" x14ac:dyDescent="0.2"/>
    <row r="55073" s="197" customFormat="1" ht="12.75" x14ac:dyDescent="0.2"/>
    <row r="55074" s="197" customFormat="1" ht="12.75" x14ac:dyDescent="0.2"/>
    <row r="55075" s="197" customFormat="1" ht="12.75" x14ac:dyDescent="0.2"/>
    <row r="55076" s="197" customFormat="1" ht="12.75" x14ac:dyDescent="0.2"/>
    <row r="55077" s="197" customFormat="1" ht="12.75" x14ac:dyDescent="0.2"/>
    <row r="55078" s="197" customFormat="1" ht="12.75" x14ac:dyDescent="0.2"/>
    <row r="55079" s="197" customFormat="1" ht="12.75" x14ac:dyDescent="0.2"/>
    <row r="55080" s="197" customFormat="1" ht="12.75" x14ac:dyDescent="0.2"/>
    <row r="55081" s="197" customFormat="1" ht="12.75" x14ac:dyDescent="0.2"/>
    <row r="55082" s="197" customFormat="1" ht="12.75" x14ac:dyDescent="0.2"/>
    <row r="55083" s="197" customFormat="1" ht="12.75" x14ac:dyDescent="0.2"/>
    <row r="55084" s="197" customFormat="1" ht="12.75" x14ac:dyDescent="0.2"/>
    <row r="55085" s="197" customFormat="1" ht="12.75" x14ac:dyDescent="0.2"/>
    <row r="55086" s="197" customFormat="1" ht="12.75" x14ac:dyDescent="0.2"/>
    <row r="55087" s="197" customFormat="1" ht="12.75" x14ac:dyDescent="0.2"/>
    <row r="55088" s="197" customFormat="1" ht="12.75" x14ac:dyDescent="0.2"/>
    <row r="55089" s="197" customFormat="1" ht="12.75" x14ac:dyDescent="0.2"/>
    <row r="55090" s="197" customFormat="1" ht="12.75" x14ac:dyDescent="0.2"/>
    <row r="55091" s="197" customFormat="1" ht="12.75" x14ac:dyDescent="0.2"/>
    <row r="55092" s="197" customFormat="1" ht="12.75" x14ac:dyDescent="0.2"/>
    <row r="55093" s="197" customFormat="1" ht="12.75" x14ac:dyDescent="0.2"/>
    <row r="55094" s="197" customFormat="1" ht="12.75" x14ac:dyDescent="0.2"/>
    <row r="55095" s="197" customFormat="1" ht="12.75" x14ac:dyDescent="0.2"/>
    <row r="55096" s="197" customFormat="1" ht="12.75" x14ac:dyDescent="0.2"/>
    <row r="55097" s="197" customFormat="1" ht="12.75" x14ac:dyDescent="0.2"/>
    <row r="55098" s="197" customFormat="1" ht="12.75" x14ac:dyDescent="0.2"/>
    <row r="55099" s="197" customFormat="1" ht="12.75" x14ac:dyDescent="0.2"/>
    <row r="55100" s="197" customFormat="1" ht="12.75" x14ac:dyDescent="0.2"/>
    <row r="55101" s="197" customFormat="1" ht="12.75" x14ac:dyDescent="0.2"/>
    <row r="55102" s="197" customFormat="1" ht="12.75" x14ac:dyDescent="0.2"/>
    <row r="55103" s="197" customFormat="1" ht="12.75" x14ac:dyDescent="0.2"/>
    <row r="55104" s="197" customFormat="1" ht="12.75" x14ac:dyDescent="0.2"/>
    <row r="55105" s="197" customFormat="1" ht="12.75" x14ac:dyDescent="0.2"/>
    <row r="55106" s="197" customFormat="1" ht="12.75" x14ac:dyDescent="0.2"/>
    <row r="55107" s="197" customFormat="1" ht="12.75" x14ac:dyDescent="0.2"/>
    <row r="55108" s="197" customFormat="1" ht="12.75" x14ac:dyDescent="0.2"/>
    <row r="55109" s="197" customFormat="1" ht="12.75" x14ac:dyDescent="0.2"/>
    <row r="55110" s="197" customFormat="1" ht="12.75" x14ac:dyDescent="0.2"/>
    <row r="55111" s="197" customFormat="1" ht="12.75" x14ac:dyDescent="0.2"/>
    <row r="55112" s="197" customFormat="1" ht="12.75" x14ac:dyDescent="0.2"/>
    <row r="55113" s="197" customFormat="1" ht="12.75" x14ac:dyDescent="0.2"/>
    <row r="55114" s="197" customFormat="1" ht="12.75" x14ac:dyDescent="0.2"/>
    <row r="55115" s="197" customFormat="1" ht="12.75" x14ac:dyDescent="0.2"/>
    <row r="55116" s="197" customFormat="1" ht="12.75" x14ac:dyDescent="0.2"/>
    <row r="55117" s="197" customFormat="1" ht="12.75" x14ac:dyDescent="0.2"/>
    <row r="55118" s="197" customFormat="1" ht="12.75" x14ac:dyDescent="0.2"/>
    <row r="55119" s="197" customFormat="1" ht="12.75" x14ac:dyDescent="0.2"/>
    <row r="55120" s="197" customFormat="1" ht="12.75" x14ac:dyDescent="0.2"/>
    <row r="55121" s="197" customFormat="1" ht="12.75" x14ac:dyDescent="0.2"/>
    <row r="55122" s="197" customFormat="1" ht="12.75" x14ac:dyDescent="0.2"/>
    <row r="55123" s="197" customFormat="1" ht="12.75" x14ac:dyDescent="0.2"/>
    <row r="55124" s="197" customFormat="1" ht="12.75" x14ac:dyDescent="0.2"/>
    <row r="55125" s="197" customFormat="1" ht="12.75" x14ac:dyDescent="0.2"/>
    <row r="55126" s="197" customFormat="1" ht="12.75" x14ac:dyDescent="0.2"/>
    <row r="55127" s="197" customFormat="1" ht="12.75" x14ac:dyDescent="0.2"/>
    <row r="55128" s="197" customFormat="1" ht="12.75" x14ac:dyDescent="0.2"/>
    <row r="55129" s="197" customFormat="1" ht="12.75" x14ac:dyDescent="0.2"/>
    <row r="55130" s="197" customFormat="1" ht="12.75" x14ac:dyDescent="0.2"/>
    <row r="55131" s="197" customFormat="1" ht="12.75" x14ac:dyDescent="0.2"/>
    <row r="55132" s="197" customFormat="1" ht="12.75" x14ac:dyDescent="0.2"/>
    <row r="55133" s="197" customFormat="1" ht="12.75" x14ac:dyDescent="0.2"/>
    <row r="55134" s="197" customFormat="1" ht="12.75" x14ac:dyDescent="0.2"/>
    <row r="55135" s="197" customFormat="1" ht="12.75" x14ac:dyDescent="0.2"/>
    <row r="55136" s="197" customFormat="1" ht="12.75" x14ac:dyDescent="0.2"/>
    <row r="55137" s="197" customFormat="1" ht="12.75" x14ac:dyDescent="0.2"/>
    <row r="55138" s="197" customFormat="1" ht="12.75" x14ac:dyDescent="0.2"/>
    <row r="55139" s="197" customFormat="1" ht="12.75" x14ac:dyDescent="0.2"/>
    <row r="55140" s="197" customFormat="1" ht="12.75" x14ac:dyDescent="0.2"/>
    <row r="55141" s="197" customFormat="1" ht="12.75" x14ac:dyDescent="0.2"/>
    <row r="55142" s="197" customFormat="1" ht="12.75" x14ac:dyDescent="0.2"/>
    <row r="55143" s="197" customFormat="1" ht="12.75" x14ac:dyDescent="0.2"/>
    <row r="55144" s="197" customFormat="1" ht="12.75" x14ac:dyDescent="0.2"/>
    <row r="55145" s="197" customFormat="1" ht="12.75" x14ac:dyDescent="0.2"/>
    <row r="55146" s="197" customFormat="1" ht="12.75" x14ac:dyDescent="0.2"/>
    <row r="55147" s="197" customFormat="1" ht="12.75" x14ac:dyDescent="0.2"/>
    <row r="55148" s="197" customFormat="1" ht="12.75" x14ac:dyDescent="0.2"/>
    <row r="55149" s="197" customFormat="1" ht="12.75" x14ac:dyDescent="0.2"/>
    <row r="55150" s="197" customFormat="1" ht="12.75" x14ac:dyDescent="0.2"/>
    <row r="55151" s="197" customFormat="1" ht="12.75" x14ac:dyDescent="0.2"/>
    <row r="55152" s="197" customFormat="1" ht="12.75" x14ac:dyDescent="0.2"/>
    <row r="55153" s="197" customFormat="1" ht="12.75" x14ac:dyDescent="0.2"/>
    <row r="55154" s="197" customFormat="1" ht="12.75" x14ac:dyDescent="0.2"/>
    <row r="55155" s="197" customFormat="1" ht="12.75" x14ac:dyDescent="0.2"/>
    <row r="55156" s="197" customFormat="1" ht="12.75" x14ac:dyDescent="0.2"/>
    <row r="55157" s="197" customFormat="1" ht="12.75" x14ac:dyDescent="0.2"/>
    <row r="55158" s="197" customFormat="1" ht="12.75" x14ac:dyDescent="0.2"/>
    <row r="55159" s="197" customFormat="1" ht="12.75" x14ac:dyDescent="0.2"/>
    <row r="55160" s="197" customFormat="1" ht="12.75" x14ac:dyDescent="0.2"/>
    <row r="55161" s="197" customFormat="1" ht="12.75" x14ac:dyDescent="0.2"/>
    <row r="55162" s="197" customFormat="1" ht="12.75" x14ac:dyDescent="0.2"/>
    <row r="55163" s="197" customFormat="1" ht="12.75" x14ac:dyDescent="0.2"/>
    <row r="55164" s="197" customFormat="1" ht="12.75" x14ac:dyDescent="0.2"/>
    <row r="55165" s="197" customFormat="1" ht="12.75" x14ac:dyDescent="0.2"/>
    <row r="55166" s="197" customFormat="1" ht="12.75" x14ac:dyDescent="0.2"/>
    <row r="55167" s="197" customFormat="1" ht="12.75" x14ac:dyDescent="0.2"/>
    <row r="55168" s="197" customFormat="1" ht="12.75" x14ac:dyDescent="0.2"/>
    <row r="55169" s="197" customFormat="1" ht="12.75" x14ac:dyDescent="0.2"/>
    <row r="55170" s="197" customFormat="1" ht="12.75" x14ac:dyDescent="0.2"/>
    <row r="55171" s="197" customFormat="1" ht="12.75" x14ac:dyDescent="0.2"/>
    <row r="55172" s="197" customFormat="1" ht="12.75" x14ac:dyDescent="0.2"/>
    <row r="55173" s="197" customFormat="1" ht="12.75" x14ac:dyDescent="0.2"/>
    <row r="55174" s="197" customFormat="1" ht="12.75" x14ac:dyDescent="0.2"/>
    <row r="55175" s="197" customFormat="1" ht="12.75" x14ac:dyDescent="0.2"/>
    <row r="55176" s="197" customFormat="1" ht="12.75" x14ac:dyDescent="0.2"/>
    <row r="55177" s="197" customFormat="1" ht="12.75" x14ac:dyDescent="0.2"/>
    <row r="55178" s="197" customFormat="1" ht="12.75" x14ac:dyDescent="0.2"/>
    <row r="55179" s="197" customFormat="1" ht="12.75" x14ac:dyDescent="0.2"/>
    <row r="55180" s="197" customFormat="1" ht="12.75" x14ac:dyDescent="0.2"/>
    <row r="55181" s="197" customFormat="1" ht="12.75" x14ac:dyDescent="0.2"/>
    <row r="55182" s="197" customFormat="1" ht="12.75" x14ac:dyDescent="0.2"/>
    <row r="55183" s="197" customFormat="1" ht="12.75" x14ac:dyDescent="0.2"/>
    <row r="55184" s="197" customFormat="1" ht="12.75" x14ac:dyDescent="0.2"/>
    <row r="55185" s="197" customFormat="1" ht="12.75" x14ac:dyDescent="0.2"/>
    <row r="55186" s="197" customFormat="1" ht="12.75" x14ac:dyDescent="0.2"/>
    <row r="55187" s="197" customFormat="1" ht="12.75" x14ac:dyDescent="0.2"/>
    <row r="55188" s="197" customFormat="1" ht="12.75" x14ac:dyDescent="0.2"/>
    <row r="55189" s="197" customFormat="1" ht="12.75" x14ac:dyDescent="0.2"/>
    <row r="55190" s="197" customFormat="1" ht="12.75" x14ac:dyDescent="0.2"/>
    <row r="55191" s="197" customFormat="1" ht="12.75" x14ac:dyDescent="0.2"/>
    <row r="55192" s="197" customFormat="1" ht="12.75" x14ac:dyDescent="0.2"/>
    <row r="55193" s="197" customFormat="1" ht="12.75" x14ac:dyDescent="0.2"/>
    <row r="55194" s="197" customFormat="1" ht="12.75" x14ac:dyDescent="0.2"/>
    <row r="55195" s="197" customFormat="1" ht="12.75" x14ac:dyDescent="0.2"/>
    <row r="55196" s="197" customFormat="1" ht="12.75" x14ac:dyDescent="0.2"/>
    <row r="55197" s="197" customFormat="1" ht="12.75" x14ac:dyDescent="0.2"/>
    <row r="55198" s="197" customFormat="1" ht="12.75" x14ac:dyDescent="0.2"/>
    <row r="55199" s="197" customFormat="1" ht="12.75" x14ac:dyDescent="0.2"/>
    <row r="55200" s="197" customFormat="1" ht="12.75" x14ac:dyDescent="0.2"/>
    <row r="55201" s="197" customFormat="1" ht="12.75" x14ac:dyDescent="0.2"/>
    <row r="55202" s="197" customFormat="1" ht="12.75" x14ac:dyDescent="0.2"/>
    <row r="55203" s="197" customFormat="1" ht="12.75" x14ac:dyDescent="0.2"/>
    <row r="55204" s="197" customFormat="1" ht="12.75" x14ac:dyDescent="0.2"/>
    <row r="55205" s="197" customFormat="1" ht="12.75" x14ac:dyDescent="0.2"/>
    <row r="55206" s="197" customFormat="1" ht="12.75" x14ac:dyDescent="0.2"/>
    <row r="55207" s="197" customFormat="1" ht="12.75" x14ac:dyDescent="0.2"/>
    <row r="55208" s="197" customFormat="1" ht="12.75" x14ac:dyDescent="0.2"/>
    <row r="55209" s="197" customFormat="1" ht="12.75" x14ac:dyDescent="0.2"/>
    <row r="55210" s="197" customFormat="1" ht="12.75" x14ac:dyDescent="0.2"/>
    <row r="55211" s="197" customFormat="1" ht="12.75" x14ac:dyDescent="0.2"/>
    <row r="55212" s="197" customFormat="1" ht="12.75" x14ac:dyDescent="0.2"/>
    <row r="55213" s="197" customFormat="1" ht="12.75" x14ac:dyDescent="0.2"/>
    <row r="55214" s="197" customFormat="1" ht="12.75" x14ac:dyDescent="0.2"/>
    <row r="55215" s="197" customFormat="1" ht="12.75" x14ac:dyDescent="0.2"/>
    <row r="55216" s="197" customFormat="1" ht="12.75" x14ac:dyDescent="0.2"/>
    <row r="55217" s="197" customFormat="1" ht="12.75" x14ac:dyDescent="0.2"/>
    <row r="55218" s="197" customFormat="1" ht="12.75" x14ac:dyDescent="0.2"/>
    <row r="55219" s="197" customFormat="1" ht="12.75" x14ac:dyDescent="0.2"/>
    <row r="55220" s="197" customFormat="1" ht="12.75" x14ac:dyDescent="0.2"/>
    <row r="55221" s="197" customFormat="1" ht="12.75" x14ac:dyDescent="0.2"/>
    <row r="55222" s="197" customFormat="1" ht="12.75" x14ac:dyDescent="0.2"/>
    <row r="55223" s="197" customFormat="1" ht="12.75" x14ac:dyDescent="0.2"/>
    <row r="55224" s="197" customFormat="1" ht="12.75" x14ac:dyDescent="0.2"/>
    <row r="55225" s="197" customFormat="1" ht="12.75" x14ac:dyDescent="0.2"/>
    <row r="55226" s="197" customFormat="1" ht="12.75" x14ac:dyDescent="0.2"/>
    <row r="55227" s="197" customFormat="1" ht="12.75" x14ac:dyDescent="0.2"/>
    <row r="55228" s="197" customFormat="1" ht="12.75" x14ac:dyDescent="0.2"/>
    <row r="55229" s="197" customFormat="1" ht="12.75" x14ac:dyDescent="0.2"/>
    <row r="55230" s="197" customFormat="1" ht="12.75" x14ac:dyDescent="0.2"/>
    <row r="55231" s="197" customFormat="1" ht="12.75" x14ac:dyDescent="0.2"/>
    <row r="55232" s="197" customFormat="1" ht="12.75" x14ac:dyDescent="0.2"/>
    <row r="55233" s="197" customFormat="1" ht="12.75" x14ac:dyDescent="0.2"/>
    <row r="55234" s="197" customFormat="1" ht="12.75" x14ac:dyDescent="0.2"/>
    <row r="55235" s="197" customFormat="1" ht="12.75" x14ac:dyDescent="0.2"/>
    <row r="55236" s="197" customFormat="1" ht="12.75" x14ac:dyDescent="0.2"/>
    <row r="55237" s="197" customFormat="1" ht="12.75" x14ac:dyDescent="0.2"/>
    <row r="55238" s="197" customFormat="1" ht="12.75" x14ac:dyDescent="0.2"/>
    <row r="55239" s="197" customFormat="1" ht="12.75" x14ac:dyDescent="0.2"/>
    <row r="55240" s="197" customFormat="1" ht="12.75" x14ac:dyDescent="0.2"/>
    <row r="55241" s="197" customFormat="1" ht="12.75" x14ac:dyDescent="0.2"/>
    <row r="55242" s="197" customFormat="1" ht="12.75" x14ac:dyDescent="0.2"/>
    <row r="55243" s="197" customFormat="1" ht="12.75" x14ac:dyDescent="0.2"/>
    <row r="55244" s="197" customFormat="1" ht="12.75" x14ac:dyDescent="0.2"/>
    <row r="55245" s="197" customFormat="1" ht="12.75" x14ac:dyDescent="0.2"/>
    <row r="55246" s="197" customFormat="1" ht="12.75" x14ac:dyDescent="0.2"/>
    <row r="55247" s="197" customFormat="1" ht="12.75" x14ac:dyDescent="0.2"/>
    <row r="55248" s="197" customFormat="1" ht="12.75" x14ac:dyDescent="0.2"/>
    <row r="55249" s="197" customFormat="1" ht="12.75" x14ac:dyDescent="0.2"/>
    <row r="55250" s="197" customFormat="1" ht="12.75" x14ac:dyDescent="0.2"/>
    <row r="55251" s="197" customFormat="1" ht="12.75" x14ac:dyDescent="0.2"/>
    <row r="55252" s="197" customFormat="1" ht="12.75" x14ac:dyDescent="0.2"/>
    <row r="55253" s="197" customFormat="1" ht="12.75" x14ac:dyDescent="0.2"/>
    <row r="55254" s="197" customFormat="1" ht="12.75" x14ac:dyDescent="0.2"/>
    <row r="55255" s="197" customFormat="1" ht="12.75" x14ac:dyDescent="0.2"/>
    <row r="55256" s="197" customFormat="1" ht="12.75" x14ac:dyDescent="0.2"/>
    <row r="55257" s="197" customFormat="1" ht="12.75" x14ac:dyDescent="0.2"/>
    <row r="55258" s="197" customFormat="1" ht="12.75" x14ac:dyDescent="0.2"/>
    <row r="55259" s="197" customFormat="1" ht="12.75" x14ac:dyDescent="0.2"/>
    <row r="55260" s="197" customFormat="1" ht="12.75" x14ac:dyDescent="0.2"/>
    <row r="55261" s="197" customFormat="1" ht="12.75" x14ac:dyDescent="0.2"/>
    <row r="55262" s="197" customFormat="1" ht="12.75" x14ac:dyDescent="0.2"/>
    <row r="55263" s="197" customFormat="1" ht="12.75" x14ac:dyDescent="0.2"/>
    <row r="55264" s="197" customFormat="1" ht="12.75" x14ac:dyDescent="0.2"/>
    <row r="55265" s="197" customFormat="1" ht="12.75" x14ac:dyDescent="0.2"/>
    <row r="55266" s="197" customFormat="1" ht="12.75" x14ac:dyDescent="0.2"/>
    <row r="55267" s="197" customFormat="1" ht="12.75" x14ac:dyDescent="0.2"/>
    <row r="55268" s="197" customFormat="1" ht="12.75" x14ac:dyDescent="0.2"/>
    <row r="55269" s="197" customFormat="1" ht="12.75" x14ac:dyDescent="0.2"/>
    <row r="55270" s="197" customFormat="1" ht="12.75" x14ac:dyDescent="0.2"/>
    <row r="55271" s="197" customFormat="1" ht="12.75" x14ac:dyDescent="0.2"/>
    <row r="55272" s="197" customFormat="1" ht="12.75" x14ac:dyDescent="0.2"/>
    <row r="55273" s="197" customFormat="1" ht="12.75" x14ac:dyDescent="0.2"/>
    <row r="55274" s="197" customFormat="1" ht="12.75" x14ac:dyDescent="0.2"/>
    <row r="55275" s="197" customFormat="1" ht="12.75" x14ac:dyDescent="0.2"/>
    <row r="55276" s="197" customFormat="1" ht="12.75" x14ac:dyDescent="0.2"/>
    <row r="55277" s="197" customFormat="1" ht="12.75" x14ac:dyDescent="0.2"/>
    <row r="55278" s="197" customFormat="1" ht="12.75" x14ac:dyDescent="0.2"/>
    <row r="55279" s="197" customFormat="1" ht="12.75" x14ac:dyDescent="0.2"/>
    <row r="55280" s="197" customFormat="1" ht="12.75" x14ac:dyDescent="0.2"/>
    <row r="55281" s="197" customFormat="1" ht="12.75" x14ac:dyDescent="0.2"/>
    <row r="55282" s="197" customFormat="1" ht="12.75" x14ac:dyDescent="0.2"/>
    <row r="55283" s="197" customFormat="1" ht="12.75" x14ac:dyDescent="0.2"/>
    <row r="55284" s="197" customFormat="1" ht="12.75" x14ac:dyDescent="0.2"/>
    <row r="55285" s="197" customFormat="1" ht="12.75" x14ac:dyDescent="0.2"/>
    <row r="55286" s="197" customFormat="1" ht="12.75" x14ac:dyDescent="0.2"/>
    <row r="55287" s="197" customFormat="1" ht="12.75" x14ac:dyDescent="0.2"/>
    <row r="55288" s="197" customFormat="1" ht="12.75" x14ac:dyDescent="0.2"/>
    <row r="55289" s="197" customFormat="1" ht="12.75" x14ac:dyDescent="0.2"/>
    <row r="55290" s="197" customFormat="1" ht="12.75" x14ac:dyDescent="0.2"/>
    <row r="55291" s="197" customFormat="1" ht="12.75" x14ac:dyDescent="0.2"/>
    <row r="55292" s="197" customFormat="1" ht="12.75" x14ac:dyDescent="0.2"/>
    <row r="55293" s="197" customFormat="1" ht="12.75" x14ac:dyDescent="0.2"/>
    <row r="55294" s="197" customFormat="1" ht="12.75" x14ac:dyDescent="0.2"/>
    <row r="55295" s="197" customFormat="1" ht="12.75" x14ac:dyDescent="0.2"/>
    <row r="55296" s="197" customFormat="1" ht="12.75" x14ac:dyDescent="0.2"/>
    <row r="55297" s="197" customFormat="1" ht="12.75" x14ac:dyDescent="0.2"/>
    <row r="55298" s="197" customFormat="1" ht="12.75" x14ac:dyDescent="0.2"/>
    <row r="55299" s="197" customFormat="1" ht="12.75" x14ac:dyDescent="0.2"/>
    <row r="55300" s="197" customFormat="1" ht="12.75" x14ac:dyDescent="0.2"/>
    <row r="55301" s="197" customFormat="1" ht="12.75" x14ac:dyDescent="0.2"/>
    <row r="55302" s="197" customFormat="1" ht="12.75" x14ac:dyDescent="0.2"/>
    <row r="55303" s="197" customFormat="1" ht="12.75" x14ac:dyDescent="0.2"/>
    <row r="55304" s="197" customFormat="1" ht="12.75" x14ac:dyDescent="0.2"/>
    <row r="55305" s="197" customFormat="1" ht="12.75" x14ac:dyDescent="0.2"/>
    <row r="55306" s="197" customFormat="1" ht="12.75" x14ac:dyDescent="0.2"/>
    <row r="55307" s="197" customFormat="1" ht="12.75" x14ac:dyDescent="0.2"/>
    <row r="55308" s="197" customFormat="1" ht="12.75" x14ac:dyDescent="0.2"/>
    <row r="55309" s="197" customFormat="1" ht="12.75" x14ac:dyDescent="0.2"/>
    <row r="55310" s="197" customFormat="1" ht="12.75" x14ac:dyDescent="0.2"/>
    <row r="55311" s="197" customFormat="1" ht="12.75" x14ac:dyDescent="0.2"/>
    <row r="55312" s="197" customFormat="1" ht="12.75" x14ac:dyDescent="0.2"/>
    <row r="55313" s="197" customFormat="1" ht="12.75" x14ac:dyDescent="0.2"/>
    <row r="55314" s="197" customFormat="1" ht="12.75" x14ac:dyDescent="0.2"/>
    <row r="55315" s="197" customFormat="1" ht="12.75" x14ac:dyDescent="0.2"/>
    <row r="55316" s="197" customFormat="1" ht="12.75" x14ac:dyDescent="0.2"/>
    <row r="55317" s="197" customFormat="1" ht="12.75" x14ac:dyDescent="0.2"/>
    <row r="55318" s="197" customFormat="1" ht="12.75" x14ac:dyDescent="0.2"/>
    <row r="55319" s="197" customFormat="1" ht="12.75" x14ac:dyDescent="0.2"/>
    <row r="55320" s="197" customFormat="1" ht="12.75" x14ac:dyDescent="0.2"/>
    <row r="55321" s="197" customFormat="1" ht="12.75" x14ac:dyDescent="0.2"/>
    <row r="55322" s="197" customFormat="1" ht="12.75" x14ac:dyDescent="0.2"/>
    <row r="55323" s="197" customFormat="1" ht="12.75" x14ac:dyDescent="0.2"/>
    <row r="55324" s="197" customFormat="1" ht="12.75" x14ac:dyDescent="0.2"/>
    <row r="55325" s="197" customFormat="1" ht="12.75" x14ac:dyDescent="0.2"/>
    <row r="55326" s="197" customFormat="1" ht="12.75" x14ac:dyDescent="0.2"/>
    <row r="55327" s="197" customFormat="1" ht="12.75" x14ac:dyDescent="0.2"/>
    <row r="55328" s="197" customFormat="1" ht="12.75" x14ac:dyDescent="0.2"/>
    <row r="55329" s="197" customFormat="1" ht="12.75" x14ac:dyDescent="0.2"/>
    <row r="55330" s="197" customFormat="1" ht="12.75" x14ac:dyDescent="0.2"/>
    <row r="55331" s="197" customFormat="1" ht="12.75" x14ac:dyDescent="0.2"/>
    <row r="55332" s="197" customFormat="1" ht="12.75" x14ac:dyDescent="0.2"/>
    <row r="55333" s="197" customFormat="1" ht="12.75" x14ac:dyDescent="0.2"/>
    <row r="55334" s="197" customFormat="1" ht="12.75" x14ac:dyDescent="0.2"/>
    <row r="55335" s="197" customFormat="1" ht="12.75" x14ac:dyDescent="0.2"/>
    <row r="55336" s="197" customFormat="1" ht="12.75" x14ac:dyDescent="0.2"/>
    <row r="55337" s="197" customFormat="1" ht="12.75" x14ac:dyDescent="0.2"/>
    <row r="55338" s="197" customFormat="1" ht="12.75" x14ac:dyDescent="0.2"/>
    <row r="55339" s="197" customFormat="1" ht="12.75" x14ac:dyDescent="0.2"/>
    <row r="55340" s="197" customFormat="1" ht="12.75" x14ac:dyDescent="0.2"/>
    <row r="55341" s="197" customFormat="1" ht="12.75" x14ac:dyDescent="0.2"/>
    <row r="55342" s="197" customFormat="1" ht="12.75" x14ac:dyDescent="0.2"/>
    <row r="55343" s="197" customFormat="1" ht="12.75" x14ac:dyDescent="0.2"/>
    <row r="55344" s="197" customFormat="1" ht="12.75" x14ac:dyDescent="0.2"/>
    <row r="55345" s="197" customFormat="1" ht="12.75" x14ac:dyDescent="0.2"/>
    <row r="55346" s="197" customFormat="1" ht="12.75" x14ac:dyDescent="0.2"/>
    <row r="55347" s="197" customFormat="1" ht="12.75" x14ac:dyDescent="0.2"/>
    <row r="55348" s="197" customFormat="1" ht="12.75" x14ac:dyDescent="0.2"/>
    <row r="55349" s="197" customFormat="1" ht="12.75" x14ac:dyDescent="0.2"/>
    <row r="55350" s="197" customFormat="1" ht="12.75" x14ac:dyDescent="0.2"/>
    <row r="55351" s="197" customFormat="1" ht="12.75" x14ac:dyDescent="0.2"/>
    <row r="55352" s="197" customFormat="1" ht="12.75" x14ac:dyDescent="0.2"/>
    <row r="55353" s="197" customFormat="1" ht="12.75" x14ac:dyDescent="0.2"/>
    <row r="55354" s="197" customFormat="1" ht="12.75" x14ac:dyDescent="0.2"/>
    <row r="55355" s="197" customFormat="1" ht="12.75" x14ac:dyDescent="0.2"/>
    <row r="55356" s="197" customFormat="1" ht="12.75" x14ac:dyDescent="0.2"/>
    <row r="55357" s="197" customFormat="1" ht="12.75" x14ac:dyDescent="0.2"/>
    <row r="55358" s="197" customFormat="1" ht="12.75" x14ac:dyDescent="0.2"/>
    <row r="55359" s="197" customFormat="1" ht="12.75" x14ac:dyDescent="0.2"/>
    <row r="55360" s="197" customFormat="1" ht="12.75" x14ac:dyDescent="0.2"/>
    <row r="55361" s="197" customFormat="1" ht="12.75" x14ac:dyDescent="0.2"/>
    <row r="55362" s="197" customFormat="1" ht="12.75" x14ac:dyDescent="0.2"/>
    <row r="55363" s="197" customFormat="1" ht="12.75" x14ac:dyDescent="0.2"/>
    <row r="55364" s="197" customFormat="1" ht="12.75" x14ac:dyDescent="0.2"/>
    <row r="55365" s="197" customFormat="1" ht="12.75" x14ac:dyDescent="0.2"/>
    <row r="55366" s="197" customFormat="1" ht="12.75" x14ac:dyDescent="0.2"/>
    <row r="55367" s="197" customFormat="1" ht="12.75" x14ac:dyDescent="0.2"/>
    <row r="55368" s="197" customFormat="1" ht="12.75" x14ac:dyDescent="0.2"/>
    <row r="55369" s="197" customFormat="1" ht="12.75" x14ac:dyDescent="0.2"/>
    <row r="55370" s="197" customFormat="1" ht="12.75" x14ac:dyDescent="0.2"/>
    <row r="55371" s="197" customFormat="1" ht="12.75" x14ac:dyDescent="0.2"/>
    <row r="55372" s="197" customFormat="1" ht="12.75" x14ac:dyDescent="0.2"/>
    <row r="55373" s="197" customFormat="1" ht="12.75" x14ac:dyDescent="0.2"/>
    <row r="55374" s="197" customFormat="1" ht="12.75" x14ac:dyDescent="0.2"/>
    <row r="55375" s="197" customFormat="1" ht="12.75" x14ac:dyDescent="0.2"/>
    <row r="55376" s="197" customFormat="1" ht="12.75" x14ac:dyDescent="0.2"/>
    <row r="55377" s="197" customFormat="1" ht="12.75" x14ac:dyDescent="0.2"/>
    <row r="55378" s="197" customFormat="1" ht="12.75" x14ac:dyDescent="0.2"/>
    <row r="55379" s="197" customFormat="1" ht="12.75" x14ac:dyDescent="0.2"/>
    <row r="55380" s="197" customFormat="1" ht="12.75" x14ac:dyDescent="0.2"/>
    <row r="55381" s="197" customFormat="1" ht="12.75" x14ac:dyDescent="0.2"/>
    <row r="55382" s="197" customFormat="1" ht="12.75" x14ac:dyDescent="0.2"/>
    <row r="55383" s="197" customFormat="1" ht="12.75" x14ac:dyDescent="0.2"/>
    <row r="55384" s="197" customFormat="1" ht="12.75" x14ac:dyDescent="0.2"/>
    <row r="55385" s="197" customFormat="1" ht="12.75" x14ac:dyDescent="0.2"/>
    <row r="55386" s="197" customFormat="1" ht="12.75" x14ac:dyDescent="0.2"/>
    <row r="55387" s="197" customFormat="1" ht="12.75" x14ac:dyDescent="0.2"/>
    <row r="55388" s="197" customFormat="1" ht="12.75" x14ac:dyDescent="0.2"/>
    <row r="55389" s="197" customFormat="1" ht="12.75" x14ac:dyDescent="0.2"/>
    <row r="55390" s="197" customFormat="1" ht="12.75" x14ac:dyDescent="0.2"/>
    <row r="55391" s="197" customFormat="1" ht="12.75" x14ac:dyDescent="0.2"/>
    <row r="55392" s="197" customFormat="1" ht="12.75" x14ac:dyDescent="0.2"/>
    <row r="55393" s="197" customFormat="1" ht="12.75" x14ac:dyDescent="0.2"/>
    <row r="55394" s="197" customFormat="1" ht="12.75" x14ac:dyDescent="0.2"/>
    <row r="55395" s="197" customFormat="1" ht="12.75" x14ac:dyDescent="0.2"/>
    <row r="55396" s="197" customFormat="1" ht="12.75" x14ac:dyDescent="0.2"/>
    <row r="55397" s="197" customFormat="1" ht="12.75" x14ac:dyDescent="0.2"/>
    <row r="55398" s="197" customFormat="1" ht="12.75" x14ac:dyDescent="0.2"/>
    <row r="55399" s="197" customFormat="1" ht="12.75" x14ac:dyDescent="0.2"/>
    <row r="55400" s="197" customFormat="1" ht="12.75" x14ac:dyDescent="0.2"/>
    <row r="55401" s="197" customFormat="1" ht="12.75" x14ac:dyDescent="0.2"/>
    <row r="55402" s="197" customFormat="1" ht="12.75" x14ac:dyDescent="0.2"/>
    <row r="55403" s="197" customFormat="1" ht="12.75" x14ac:dyDescent="0.2"/>
    <row r="55404" s="197" customFormat="1" ht="12.75" x14ac:dyDescent="0.2"/>
    <row r="55405" s="197" customFormat="1" ht="12.75" x14ac:dyDescent="0.2"/>
    <row r="55406" s="197" customFormat="1" ht="12.75" x14ac:dyDescent="0.2"/>
    <row r="55407" s="197" customFormat="1" ht="12.75" x14ac:dyDescent="0.2"/>
    <row r="55408" s="197" customFormat="1" ht="12.75" x14ac:dyDescent="0.2"/>
    <row r="55409" s="197" customFormat="1" ht="12.75" x14ac:dyDescent="0.2"/>
    <row r="55410" s="197" customFormat="1" ht="12.75" x14ac:dyDescent="0.2"/>
    <row r="55411" s="197" customFormat="1" ht="12.75" x14ac:dyDescent="0.2"/>
    <row r="55412" s="197" customFormat="1" ht="12.75" x14ac:dyDescent="0.2"/>
    <row r="55413" s="197" customFormat="1" ht="12.75" x14ac:dyDescent="0.2"/>
    <row r="55414" s="197" customFormat="1" ht="12.75" x14ac:dyDescent="0.2"/>
    <row r="55415" s="197" customFormat="1" ht="12.75" x14ac:dyDescent="0.2"/>
    <row r="55416" s="197" customFormat="1" ht="12.75" x14ac:dyDescent="0.2"/>
    <row r="55417" s="197" customFormat="1" ht="12.75" x14ac:dyDescent="0.2"/>
    <row r="55418" s="197" customFormat="1" ht="12.75" x14ac:dyDescent="0.2"/>
    <row r="55419" s="197" customFormat="1" ht="12.75" x14ac:dyDescent="0.2"/>
    <row r="55420" s="197" customFormat="1" ht="12.75" x14ac:dyDescent="0.2"/>
    <row r="55421" s="197" customFormat="1" ht="12.75" x14ac:dyDescent="0.2"/>
    <row r="55422" s="197" customFormat="1" ht="12.75" x14ac:dyDescent="0.2"/>
    <row r="55423" s="197" customFormat="1" ht="12.75" x14ac:dyDescent="0.2"/>
    <row r="55424" s="197" customFormat="1" ht="12.75" x14ac:dyDescent="0.2"/>
    <row r="55425" s="197" customFormat="1" ht="12.75" x14ac:dyDescent="0.2"/>
    <row r="55426" s="197" customFormat="1" ht="12.75" x14ac:dyDescent="0.2"/>
    <row r="55427" s="197" customFormat="1" ht="12.75" x14ac:dyDescent="0.2"/>
    <row r="55428" s="197" customFormat="1" ht="12.75" x14ac:dyDescent="0.2"/>
    <row r="55429" s="197" customFormat="1" ht="12.75" x14ac:dyDescent="0.2"/>
    <row r="55430" s="197" customFormat="1" ht="12.75" x14ac:dyDescent="0.2"/>
    <row r="55431" s="197" customFormat="1" ht="12.75" x14ac:dyDescent="0.2"/>
    <row r="55432" s="197" customFormat="1" ht="12.75" x14ac:dyDescent="0.2"/>
    <row r="55433" s="197" customFormat="1" ht="12.75" x14ac:dyDescent="0.2"/>
    <row r="55434" s="197" customFormat="1" ht="12.75" x14ac:dyDescent="0.2"/>
    <row r="55435" s="197" customFormat="1" ht="12.75" x14ac:dyDescent="0.2"/>
    <row r="55436" s="197" customFormat="1" ht="12.75" x14ac:dyDescent="0.2"/>
    <row r="55437" s="197" customFormat="1" ht="12.75" x14ac:dyDescent="0.2"/>
    <row r="55438" s="197" customFormat="1" ht="12.75" x14ac:dyDescent="0.2"/>
    <row r="55439" s="197" customFormat="1" ht="12.75" x14ac:dyDescent="0.2"/>
    <row r="55440" s="197" customFormat="1" ht="12.75" x14ac:dyDescent="0.2"/>
    <row r="55441" s="197" customFormat="1" ht="12.75" x14ac:dyDescent="0.2"/>
    <row r="55442" s="197" customFormat="1" ht="12.75" x14ac:dyDescent="0.2"/>
    <row r="55443" s="197" customFormat="1" ht="12.75" x14ac:dyDescent="0.2"/>
    <row r="55444" s="197" customFormat="1" ht="12.75" x14ac:dyDescent="0.2"/>
    <row r="55445" s="197" customFormat="1" ht="12.75" x14ac:dyDescent="0.2"/>
    <row r="55446" s="197" customFormat="1" ht="12.75" x14ac:dyDescent="0.2"/>
    <row r="55447" s="197" customFormat="1" ht="12.75" x14ac:dyDescent="0.2"/>
    <row r="55448" s="197" customFormat="1" ht="12.75" x14ac:dyDescent="0.2"/>
    <row r="55449" s="197" customFormat="1" ht="12.75" x14ac:dyDescent="0.2"/>
    <row r="55450" s="197" customFormat="1" ht="12.75" x14ac:dyDescent="0.2"/>
    <row r="55451" s="197" customFormat="1" ht="12.75" x14ac:dyDescent="0.2"/>
    <row r="55452" s="197" customFormat="1" ht="12.75" x14ac:dyDescent="0.2"/>
    <row r="55453" s="197" customFormat="1" ht="12.75" x14ac:dyDescent="0.2"/>
    <row r="55454" s="197" customFormat="1" ht="12.75" x14ac:dyDescent="0.2"/>
    <row r="55455" s="197" customFormat="1" ht="12.75" x14ac:dyDescent="0.2"/>
    <row r="55456" s="197" customFormat="1" ht="12.75" x14ac:dyDescent="0.2"/>
    <row r="55457" s="197" customFormat="1" ht="12.75" x14ac:dyDescent="0.2"/>
    <row r="55458" s="197" customFormat="1" ht="12.75" x14ac:dyDescent="0.2"/>
    <row r="55459" s="197" customFormat="1" ht="12.75" x14ac:dyDescent="0.2"/>
    <row r="55460" s="197" customFormat="1" ht="12.75" x14ac:dyDescent="0.2"/>
    <row r="55461" s="197" customFormat="1" ht="12.75" x14ac:dyDescent="0.2"/>
    <row r="55462" s="197" customFormat="1" ht="12.75" x14ac:dyDescent="0.2"/>
    <row r="55463" s="197" customFormat="1" ht="12.75" x14ac:dyDescent="0.2"/>
    <row r="55464" s="197" customFormat="1" ht="12.75" x14ac:dyDescent="0.2"/>
    <row r="55465" s="197" customFormat="1" ht="12.75" x14ac:dyDescent="0.2"/>
    <row r="55466" s="197" customFormat="1" ht="12.75" x14ac:dyDescent="0.2"/>
    <row r="55467" s="197" customFormat="1" ht="12.75" x14ac:dyDescent="0.2"/>
    <row r="55468" s="197" customFormat="1" ht="12.75" x14ac:dyDescent="0.2"/>
    <row r="55469" s="197" customFormat="1" ht="12.75" x14ac:dyDescent="0.2"/>
    <row r="55470" s="197" customFormat="1" ht="12.75" x14ac:dyDescent="0.2"/>
    <row r="55471" s="197" customFormat="1" ht="12.75" x14ac:dyDescent="0.2"/>
    <row r="55472" s="197" customFormat="1" ht="12.75" x14ac:dyDescent="0.2"/>
    <row r="55473" s="197" customFormat="1" ht="12.75" x14ac:dyDescent="0.2"/>
    <row r="55474" s="197" customFormat="1" ht="12.75" x14ac:dyDescent="0.2"/>
    <row r="55475" s="197" customFormat="1" ht="12.75" x14ac:dyDescent="0.2"/>
    <row r="55476" s="197" customFormat="1" ht="12.75" x14ac:dyDescent="0.2"/>
    <row r="55477" s="197" customFormat="1" ht="12.75" x14ac:dyDescent="0.2"/>
    <row r="55478" s="197" customFormat="1" ht="12.75" x14ac:dyDescent="0.2"/>
    <row r="55479" s="197" customFormat="1" ht="12.75" x14ac:dyDescent="0.2"/>
    <row r="55480" s="197" customFormat="1" ht="12.75" x14ac:dyDescent="0.2"/>
    <row r="55481" s="197" customFormat="1" ht="12.75" x14ac:dyDescent="0.2"/>
    <row r="55482" s="197" customFormat="1" ht="12.75" x14ac:dyDescent="0.2"/>
    <row r="55483" s="197" customFormat="1" ht="12.75" x14ac:dyDescent="0.2"/>
    <row r="55484" s="197" customFormat="1" ht="12.75" x14ac:dyDescent="0.2"/>
    <row r="55485" s="197" customFormat="1" ht="12.75" x14ac:dyDescent="0.2"/>
    <row r="55486" s="197" customFormat="1" ht="12.75" x14ac:dyDescent="0.2"/>
    <row r="55487" s="197" customFormat="1" ht="12.75" x14ac:dyDescent="0.2"/>
    <row r="55488" s="197" customFormat="1" ht="12.75" x14ac:dyDescent="0.2"/>
    <row r="55489" s="197" customFormat="1" ht="12.75" x14ac:dyDescent="0.2"/>
    <row r="55490" s="197" customFormat="1" ht="12.75" x14ac:dyDescent="0.2"/>
    <row r="55491" s="197" customFormat="1" ht="12.75" x14ac:dyDescent="0.2"/>
    <row r="55492" s="197" customFormat="1" ht="12.75" x14ac:dyDescent="0.2"/>
    <row r="55493" s="197" customFormat="1" ht="12.75" x14ac:dyDescent="0.2"/>
    <row r="55494" s="197" customFormat="1" ht="12.75" x14ac:dyDescent="0.2"/>
    <row r="55495" s="197" customFormat="1" ht="12.75" x14ac:dyDescent="0.2"/>
    <row r="55496" s="197" customFormat="1" ht="12.75" x14ac:dyDescent="0.2"/>
    <row r="55497" s="197" customFormat="1" ht="12.75" x14ac:dyDescent="0.2"/>
    <row r="55498" s="197" customFormat="1" ht="12.75" x14ac:dyDescent="0.2"/>
    <row r="55499" s="197" customFormat="1" ht="12.75" x14ac:dyDescent="0.2"/>
    <row r="55500" s="197" customFormat="1" ht="12.75" x14ac:dyDescent="0.2"/>
    <row r="55501" s="197" customFormat="1" ht="12.75" x14ac:dyDescent="0.2"/>
    <row r="55502" s="197" customFormat="1" ht="12.75" x14ac:dyDescent="0.2"/>
    <row r="55503" s="197" customFormat="1" ht="12.75" x14ac:dyDescent="0.2"/>
    <row r="55504" s="197" customFormat="1" ht="12.75" x14ac:dyDescent="0.2"/>
    <row r="55505" s="197" customFormat="1" ht="12.75" x14ac:dyDescent="0.2"/>
    <row r="55506" s="197" customFormat="1" ht="12.75" x14ac:dyDescent="0.2"/>
    <row r="55507" s="197" customFormat="1" ht="12.75" x14ac:dyDescent="0.2"/>
    <row r="55508" s="197" customFormat="1" ht="12.75" x14ac:dyDescent="0.2"/>
    <row r="55509" s="197" customFormat="1" ht="12.75" x14ac:dyDescent="0.2"/>
    <row r="55510" s="197" customFormat="1" ht="12.75" x14ac:dyDescent="0.2"/>
    <row r="55511" s="197" customFormat="1" ht="12.75" x14ac:dyDescent="0.2"/>
    <row r="55512" s="197" customFormat="1" ht="12.75" x14ac:dyDescent="0.2"/>
    <row r="55513" s="197" customFormat="1" ht="12.75" x14ac:dyDescent="0.2"/>
    <row r="55514" s="197" customFormat="1" ht="12.75" x14ac:dyDescent="0.2"/>
    <row r="55515" s="197" customFormat="1" ht="12.75" x14ac:dyDescent="0.2"/>
    <row r="55516" s="197" customFormat="1" ht="12.75" x14ac:dyDescent="0.2"/>
    <row r="55517" s="197" customFormat="1" ht="12.75" x14ac:dyDescent="0.2"/>
    <row r="55518" s="197" customFormat="1" ht="12.75" x14ac:dyDescent="0.2"/>
    <row r="55519" s="197" customFormat="1" ht="12.75" x14ac:dyDescent="0.2"/>
    <row r="55520" s="197" customFormat="1" ht="12.75" x14ac:dyDescent="0.2"/>
    <row r="55521" s="197" customFormat="1" ht="12.75" x14ac:dyDescent="0.2"/>
    <row r="55522" s="197" customFormat="1" ht="12.75" x14ac:dyDescent="0.2"/>
    <row r="55523" s="197" customFormat="1" ht="12.75" x14ac:dyDescent="0.2"/>
    <row r="55524" s="197" customFormat="1" ht="12.75" x14ac:dyDescent="0.2"/>
    <row r="55525" s="197" customFormat="1" ht="12.75" x14ac:dyDescent="0.2"/>
    <row r="55526" s="197" customFormat="1" ht="12.75" x14ac:dyDescent="0.2"/>
    <row r="55527" s="197" customFormat="1" ht="12.75" x14ac:dyDescent="0.2"/>
    <row r="55528" s="197" customFormat="1" ht="12.75" x14ac:dyDescent="0.2"/>
    <row r="55529" s="197" customFormat="1" ht="12.75" x14ac:dyDescent="0.2"/>
    <row r="55530" s="197" customFormat="1" ht="12.75" x14ac:dyDescent="0.2"/>
    <row r="55531" s="197" customFormat="1" ht="12.75" x14ac:dyDescent="0.2"/>
    <row r="55532" s="197" customFormat="1" ht="12.75" x14ac:dyDescent="0.2"/>
    <row r="55533" s="197" customFormat="1" ht="12.75" x14ac:dyDescent="0.2"/>
    <row r="55534" s="197" customFormat="1" ht="12.75" x14ac:dyDescent="0.2"/>
    <row r="55535" s="197" customFormat="1" ht="12.75" x14ac:dyDescent="0.2"/>
    <row r="55536" s="197" customFormat="1" ht="12.75" x14ac:dyDescent="0.2"/>
    <row r="55537" s="197" customFormat="1" ht="12.75" x14ac:dyDescent="0.2"/>
    <row r="55538" s="197" customFormat="1" ht="12.75" x14ac:dyDescent="0.2"/>
    <row r="55539" s="197" customFormat="1" ht="12.75" x14ac:dyDescent="0.2"/>
    <row r="55540" s="197" customFormat="1" ht="12.75" x14ac:dyDescent="0.2"/>
    <row r="55541" s="197" customFormat="1" ht="12.75" x14ac:dyDescent="0.2"/>
    <row r="55542" s="197" customFormat="1" ht="12.75" x14ac:dyDescent="0.2"/>
    <row r="55543" s="197" customFormat="1" ht="12.75" x14ac:dyDescent="0.2"/>
    <row r="55544" s="197" customFormat="1" ht="12.75" x14ac:dyDescent="0.2"/>
    <row r="55545" s="197" customFormat="1" ht="12.75" x14ac:dyDescent="0.2"/>
    <row r="55546" s="197" customFormat="1" ht="12.75" x14ac:dyDescent="0.2"/>
    <row r="55547" s="197" customFormat="1" ht="12.75" x14ac:dyDescent="0.2"/>
    <row r="55548" s="197" customFormat="1" ht="12.75" x14ac:dyDescent="0.2"/>
    <row r="55549" s="197" customFormat="1" ht="12.75" x14ac:dyDescent="0.2"/>
    <row r="55550" s="197" customFormat="1" ht="12.75" x14ac:dyDescent="0.2"/>
    <row r="55551" s="197" customFormat="1" ht="12.75" x14ac:dyDescent="0.2"/>
    <row r="55552" s="197" customFormat="1" ht="12.75" x14ac:dyDescent="0.2"/>
    <row r="55553" s="197" customFormat="1" ht="12.75" x14ac:dyDescent="0.2"/>
    <row r="55554" s="197" customFormat="1" ht="12.75" x14ac:dyDescent="0.2"/>
    <row r="55555" s="197" customFormat="1" ht="12.75" x14ac:dyDescent="0.2"/>
    <row r="55556" s="197" customFormat="1" ht="12.75" x14ac:dyDescent="0.2"/>
    <row r="55557" s="197" customFormat="1" ht="12.75" x14ac:dyDescent="0.2"/>
    <row r="55558" s="197" customFormat="1" ht="12.75" x14ac:dyDescent="0.2"/>
    <row r="55559" s="197" customFormat="1" ht="12.75" x14ac:dyDescent="0.2"/>
    <row r="55560" s="197" customFormat="1" ht="12.75" x14ac:dyDescent="0.2"/>
    <row r="55561" s="197" customFormat="1" ht="12.75" x14ac:dyDescent="0.2"/>
    <row r="55562" s="197" customFormat="1" ht="12.75" x14ac:dyDescent="0.2"/>
    <row r="55563" s="197" customFormat="1" ht="12.75" x14ac:dyDescent="0.2"/>
    <row r="55564" s="197" customFormat="1" ht="12.75" x14ac:dyDescent="0.2"/>
    <row r="55565" s="197" customFormat="1" ht="12.75" x14ac:dyDescent="0.2"/>
    <row r="55566" s="197" customFormat="1" ht="12.75" x14ac:dyDescent="0.2"/>
    <row r="55567" s="197" customFormat="1" ht="12.75" x14ac:dyDescent="0.2"/>
    <row r="55568" s="197" customFormat="1" ht="12.75" x14ac:dyDescent="0.2"/>
    <row r="55569" s="197" customFormat="1" ht="12.75" x14ac:dyDescent="0.2"/>
    <row r="55570" s="197" customFormat="1" ht="12.75" x14ac:dyDescent="0.2"/>
    <row r="55571" s="197" customFormat="1" ht="12.75" x14ac:dyDescent="0.2"/>
    <row r="55572" s="197" customFormat="1" ht="12.75" x14ac:dyDescent="0.2"/>
    <row r="55573" s="197" customFormat="1" ht="12.75" x14ac:dyDescent="0.2"/>
    <row r="55574" s="197" customFormat="1" ht="12.75" x14ac:dyDescent="0.2"/>
    <row r="55575" s="197" customFormat="1" ht="12.75" x14ac:dyDescent="0.2"/>
    <row r="55576" s="197" customFormat="1" ht="12.75" x14ac:dyDescent="0.2"/>
    <row r="55577" s="197" customFormat="1" ht="12.75" x14ac:dyDescent="0.2"/>
    <row r="55578" s="197" customFormat="1" ht="12.75" x14ac:dyDescent="0.2"/>
    <row r="55579" s="197" customFormat="1" ht="12.75" x14ac:dyDescent="0.2"/>
    <row r="55580" s="197" customFormat="1" ht="12.75" x14ac:dyDescent="0.2"/>
    <row r="55581" s="197" customFormat="1" ht="12.75" x14ac:dyDescent="0.2"/>
    <row r="55582" s="197" customFormat="1" ht="12.75" x14ac:dyDescent="0.2"/>
    <row r="55583" s="197" customFormat="1" ht="12.75" x14ac:dyDescent="0.2"/>
    <row r="55584" s="197" customFormat="1" ht="12.75" x14ac:dyDescent="0.2"/>
    <row r="55585" s="197" customFormat="1" ht="12.75" x14ac:dyDescent="0.2"/>
    <row r="55586" s="197" customFormat="1" ht="12.75" x14ac:dyDescent="0.2"/>
    <row r="55587" s="197" customFormat="1" ht="12.75" x14ac:dyDescent="0.2"/>
    <row r="55588" s="197" customFormat="1" ht="12.75" x14ac:dyDescent="0.2"/>
    <row r="55589" s="197" customFormat="1" ht="12.75" x14ac:dyDescent="0.2"/>
    <row r="55590" s="197" customFormat="1" ht="12.75" x14ac:dyDescent="0.2"/>
    <row r="55591" s="197" customFormat="1" ht="12.75" x14ac:dyDescent="0.2"/>
    <row r="55592" s="197" customFormat="1" ht="12.75" x14ac:dyDescent="0.2"/>
    <row r="55593" s="197" customFormat="1" ht="12.75" x14ac:dyDescent="0.2"/>
    <row r="55594" s="197" customFormat="1" ht="12.75" x14ac:dyDescent="0.2"/>
    <row r="55595" s="197" customFormat="1" ht="12.75" x14ac:dyDescent="0.2"/>
    <row r="55596" s="197" customFormat="1" ht="12.75" x14ac:dyDescent="0.2"/>
    <row r="55597" s="197" customFormat="1" ht="12.75" x14ac:dyDescent="0.2"/>
    <row r="55598" s="197" customFormat="1" ht="12.75" x14ac:dyDescent="0.2"/>
    <row r="55599" s="197" customFormat="1" ht="12.75" x14ac:dyDescent="0.2"/>
    <row r="55600" s="197" customFormat="1" ht="12.75" x14ac:dyDescent="0.2"/>
    <row r="55601" s="197" customFormat="1" ht="12.75" x14ac:dyDescent="0.2"/>
    <row r="55602" s="197" customFormat="1" ht="12.75" x14ac:dyDescent="0.2"/>
    <row r="55603" s="197" customFormat="1" ht="12.75" x14ac:dyDescent="0.2"/>
    <row r="55604" s="197" customFormat="1" ht="12.75" x14ac:dyDescent="0.2"/>
    <row r="55605" s="197" customFormat="1" ht="12.75" x14ac:dyDescent="0.2"/>
    <row r="55606" s="197" customFormat="1" ht="12.75" x14ac:dyDescent="0.2"/>
    <row r="55607" s="197" customFormat="1" ht="12.75" x14ac:dyDescent="0.2"/>
    <row r="55608" s="197" customFormat="1" ht="12.75" x14ac:dyDescent="0.2"/>
    <row r="55609" s="197" customFormat="1" ht="12.75" x14ac:dyDescent="0.2"/>
    <row r="55610" s="197" customFormat="1" ht="12.75" x14ac:dyDescent="0.2"/>
    <row r="55611" s="197" customFormat="1" ht="12.75" x14ac:dyDescent="0.2"/>
    <row r="55612" s="197" customFormat="1" ht="12.75" x14ac:dyDescent="0.2"/>
    <row r="55613" s="197" customFormat="1" ht="12.75" x14ac:dyDescent="0.2"/>
    <row r="55614" s="197" customFormat="1" ht="12.75" x14ac:dyDescent="0.2"/>
    <row r="55615" s="197" customFormat="1" ht="12.75" x14ac:dyDescent="0.2"/>
    <row r="55616" s="197" customFormat="1" ht="12.75" x14ac:dyDescent="0.2"/>
    <row r="55617" s="197" customFormat="1" ht="12.75" x14ac:dyDescent="0.2"/>
    <row r="55618" s="197" customFormat="1" ht="12.75" x14ac:dyDescent="0.2"/>
    <row r="55619" s="197" customFormat="1" ht="12.75" x14ac:dyDescent="0.2"/>
    <row r="55620" s="197" customFormat="1" ht="12.75" x14ac:dyDescent="0.2"/>
    <row r="55621" s="197" customFormat="1" ht="12.75" x14ac:dyDescent="0.2"/>
    <row r="55622" s="197" customFormat="1" ht="12.75" x14ac:dyDescent="0.2"/>
    <row r="55623" s="197" customFormat="1" ht="12.75" x14ac:dyDescent="0.2"/>
    <row r="55624" s="197" customFormat="1" ht="12.75" x14ac:dyDescent="0.2"/>
    <row r="55625" s="197" customFormat="1" ht="12.75" x14ac:dyDescent="0.2"/>
    <row r="55626" s="197" customFormat="1" ht="12.75" x14ac:dyDescent="0.2"/>
    <row r="55627" s="197" customFormat="1" ht="12.75" x14ac:dyDescent="0.2"/>
    <row r="55628" s="197" customFormat="1" ht="12.75" x14ac:dyDescent="0.2"/>
    <row r="55629" s="197" customFormat="1" ht="12.75" x14ac:dyDescent="0.2"/>
    <row r="55630" s="197" customFormat="1" ht="12.75" x14ac:dyDescent="0.2"/>
    <row r="55631" s="197" customFormat="1" ht="12.75" x14ac:dyDescent="0.2"/>
    <row r="55632" s="197" customFormat="1" ht="12.75" x14ac:dyDescent="0.2"/>
    <row r="55633" s="197" customFormat="1" ht="12.75" x14ac:dyDescent="0.2"/>
    <row r="55634" s="197" customFormat="1" ht="12.75" x14ac:dyDescent="0.2"/>
    <row r="55635" s="197" customFormat="1" ht="12.75" x14ac:dyDescent="0.2"/>
    <row r="55636" s="197" customFormat="1" ht="12.75" x14ac:dyDescent="0.2"/>
    <row r="55637" s="197" customFormat="1" ht="12.75" x14ac:dyDescent="0.2"/>
    <row r="55638" s="197" customFormat="1" ht="12.75" x14ac:dyDescent="0.2"/>
    <row r="55639" s="197" customFormat="1" ht="12.75" x14ac:dyDescent="0.2"/>
    <row r="55640" s="197" customFormat="1" ht="12.75" x14ac:dyDescent="0.2"/>
    <row r="55641" s="197" customFormat="1" ht="12.75" x14ac:dyDescent="0.2"/>
    <row r="55642" s="197" customFormat="1" ht="12.75" x14ac:dyDescent="0.2"/>
    <row r="55643" s="197" customFormat="1" ht="12.75" x14ac:dyDescent="0.2"/>
    <row r="55644" s="197" customFormat="1" ht="12.75" x14ac:dyDescent="0.2"/>
    <row r="55645" s="197" customFormat="1" ht="12.75" x14ac:dyDescent="0.2"/>
    <row r="55646" s="197" customFormat="1" ht="12.75" x14ac:dyDescent="0.2"/>
    <row r="55647" s="197" customFormat="1" ht="12.75" x14ac:dyDescent="0.2"/>
    <row r="55648" s="197" customFormat="1" ht="12.75" x14ac:dyDescent="0.2"/>
    <row r="55649" s="197" customFormat="1" ht="12.75" x14ac:dyDescent="0.2"/>
    <row r="55650" s="197" customFormat="1" ht="12.75" x14ac:dyDescent="0.2"/>
    <row r="55651" s="197" customFormat="1" ht="12.75" x14ac:dyDescent="0.2"/>
    <row r="55652" s="197" customFormat="1" ht="12.75" x14ac:dyDescent="0.2"/>
    <row r="55653" s="197" customFormat="1" ht="12.75" x14ac:dyDescent="0.2"/>
    <row r="55654" s="197" customFormat="1" ht="12.75" x14ac:dyDescent="0.2"/>
    <row r="55655" s="197" customFormat="1" ht="12.75" x14ac:dyDescent="0.2"/>
    <row r="55656" s="197" customFormat="1" ht="12.75" x14ac:dyDescent="0.2"/>
    <row r="55657" s="197" customFormat="1" ht="12.75" x14ac:dyDescent="0.2"/>
    <row r="55658" s="197" customFormat="1" ht="12.75" x14ac:dyDescent="0.2"/>
    <row r="55659" s="197" customFormat="1" ht="12.75" x14ac:dyDescent="0.2"/>
    <row r="55660" s="197" customFormat="1" ht="12.75" x14ac:dyDescent="0.2"/>
    <row r="55661" s="197" customFormat="1" ht="12.75" x14ac:dyDescent="0.2"/>
    <row r="55662" s="197" customFormat="1" ht="12.75" x14ac:dyDescent="0.2"/>
    <row r="55663" s="197" customFormat="1" ht="12.75" x14ac:dyDescent="0.2"/>
    <row r="55664" s="197" customFormat="1" ht="12.75" x14ac:dyDescent="0.2"/>
    <row r="55665" s="197" customFormat="1" ht="12.75" x14ac:dyDescent="0.2"/>
    <row r="55666" s="197" customFormat="1" ht="12.75" x14ac:dyDescent="0.2"/>
    <row r="55667" s="197" customFormat="1" ht="12.75" x14ac:dyDescent="0.2"/>
    <row r="55668" s="197" customFormat="1" ht="12.75" x14ac:dyDescent="0.2"/>
    <row r="55669" s="197" customFormat="1" ht="12.75" x14ac:dyDescent="0.2"/>
    <row r="55670" s="197" customFormat="1" ht="12.75" x14ac:dyDescent="0.2"/>
    <row r="55671" s="197" customFormat="1" ht="12.75" x14ac:dyDescent="0.2"/>
    <row r="55672" s="197" customFormat="1" ht="12.75" x14ac:dyDescent="0.2"/>
    <row r="55673" s="197" customFormat="1" ht="12.75" x14ac:dyDescent="0.2"/>
    <row r="55674" s="197" customFormat="1" ht="12.75" x14ac:dyDescent="0.2"/>
    <row r="55675" s="197" customFormat="1" ht="12.75" x14ac:dyDescent="0.2"/>
    <row r="55676" s="197" customFormat="1" ht="12.75" x14ac:dyDescent="0.2"/>
    <row r="55677" s="197" customFormat="1" ht="12.75" x14ac:dyDescent="0.2"/>
    <row r="55678" s="197" customFormat="1" ht="12.75" x14ac:dyDescent="0.2"/>
    <row r="55679" s="197" customFormat="1" ht="12.75" x14ac:dyDescent="0.2"/>
    <row r="55680" s="197" customFormat="1" ht="12.75" x14ac:dyDescent="0.2"/>
    <row r="55681" s="197" customFormat="1" ht="12.75" x14ac:dyDescent="0.2"/>
    <row r="55682" s="197" customFormat="1" ht="12.75" x14ac:dyDescent="0.2"/>
    <row r="55683" s="197" customFormat="1" ht="12.75" x14ac:dyDescent="0.2"/>
    <row r="55684" s="197" customFormat="1" ht="12.75" x14ac:dyDescent="0.2"/>
    <row r="55685" s="197" customFormat="1" ht="12.75" x14ac:dyDescent="0.2"/>
    <row r="55686" s="197" customFormat="1" ht="12.75" x14ac:dyDescent="0.2"/>
    <row r="55687" s="197" customFormat="1" ht="12.75" x14ac:dyDescent="0.2"/>
    <row r="55688" s="197" customFormat="1" ht="12.75" x14ac:dyDescent="0.2"/>
    <row r="55689" s="197" customFormat="1" ht="12.75" x14ac:dyDescent="0.2"/>
    <row r="55690" s="197" customFormat="1" ht="12.75" x14ac:dyDescent="0.2"/>
    <row r="55691" s="197" customFormat="1" ht="12.75" x14ac:dyDescent="0.2"/>
    <row r="55692" s="197" customFormat="1" ht="12.75" x14ac:dyDescent="0.2"/>
    <row r="55693" s="197" customFormat="1" ht="12.75" x14ac:dyDescent="0.2"/>
    <row r="55694" s="197" customFormat="1" ht="12.75" x14ac:dyDescent="0.2"/>
    <row r="55695" s="197" customFormat="1" ht="12.75" x14ac:dyDescent="0.2"/>
    <row r="55696" s="197" customFormat="1" ht="12.75" x14ac:dyDescent="0.2"/>
    <row r="55697" s="197" customFormat="1" ht="12.75" x14ac:dyDescent="0.2"/>
    <row r="55698" s="197" customFormat="1" ht="12.75" x14ac:dyDescent="0.2"/>
    <row r="55699" s="197" customFormat="1" ht="12.75" x14ac:dyDescent="0.2"/>
    <row r="55700" s="197" customFormat="1" ht="12.75" x14ac:dyDescent="0.2"/>
    <row r="55701" s="197" customFormat="1" ht="12.75" x14ac:dyDescent="0.2"/>
    <row r="55702" s="197" customFormat="1" ht="12.75" x14ac:dyDescent="0.2"/>
    <row r="55703" s="197" customFormat="1" ht="12.75" x14ac:dyDescent="0.2"/>
    <row r="55704" s="197" customFormat="1" ht="12.75" x14ac:dyDescent="0.2"/>
    <row r="55705" s="197" customFormat="1" ht="12.75" x14ac:dyDescent="0.2"/>
    <row r="55706" s="197" customFormat="1" ht="12.75" x14ac:dyDescent="0.2"/>
    <row r="55707" s="197" customFormat="1" ht="12.75" x14ac:dyDescent="0.2"/>
    <row r="55708" s="197" customFormat="1" ht="12.75" x14ac:dyDescent="0.2"/>
    <row r="55709" s="197" customFormat="1" ht="12.75" x14ac:dyDescent="0.2"/>
    <row r="55710" s="197" customFormat="1" ht="12.75" x14ac:dyDescent="0.2"/>
    <row r="55711" s="197" customFormat="1" ht="12.75" x14ac:dyDescent="0.2"/>
    <row r="55712" s="197" customFormat="1" ht="12.75" x14ac:dyDescent="0.2"/>
    <row r="55713" s="197" customFormat="1" ht="12.75" x14ac:dyDescent="0.2"/>
    <row r="55714" s="197" customFormat="1" ht="12.75" x14ac:dyDescent="0.2"/>
    <row r="55715" s="197" customFormat="1" ht="12.75" x14ac:dyDescent="0.2"/>
    <row r="55716" s="197" customFormat="1" ht="12.75" x14ac:dyDescent="0.2"/>
    <row r="55717" s="197" customFormat="1" ht="12.75" x14ac:dyDescent="0.2"/>
    <row r="55718" s="197" customFormat="1" ht="12.75" x14ac:dyDescent="0.2"/>
    <row r="55719" s="197" customFormat="1" ht="12.75" x14ac:dyDescent="0.2"/>
    <row r="55720" s="197" customFormat="1" ht="12.75" x14ac:dyDescent="0.2"/>
    <row r="55721" s="197" customFormat="1" ht="12.75" x14ac:dyDescent="0.2"/>
    <row r="55722" s="197" customFormat="1" ht="12.75" x14ac:dyDescent="0.2"/>
    <row r="55723" s="197" customFormat="1" ht="12.75" x14ac:dyDescent="0.2"/>
    <row r="55724" s="197" customFormat="1" ht="12.75" x14ac:dyDescent="0.2"/>
    <row r="55725" s="197" customFormat="1" ht="12.75" x14ac:dyDescent="0.2"/>
    <row r="55726" s="197" customFormat="1" ht="12.75" x14ac:dyDescent="0.2"/>
    <row r="55727" s="197" customFormat="1" ht="12.75" x14ac:dyDescent="0.2"/>
    <row r="55728" s="197" customFormat="1" ht="12.75" x14ac:dyDescent="0.2"/>
    <row r="55729" s="197" customFormat="1" ht="12.75" x14ac:dyDescent="0.2"/>
    <row r="55730" s="197" customFormat="1" ht="12.75" x14ac:dyDescent="0.2"/>
    <row r="55731" s="197" customFormat="1" ht="12.75" x14ac:dyDescent="0.2"/>
    <row r="55732" s="197" customFormat="1" ht="12.75" x14ac:dyDescent="0.2"/>
    <row r="55733" s="197" customFormat="1" ht="12.75" x14ac:dyDescent="0.2"/>
    <row r="55734" s="197" customFormat="1" ht="12.75" x14ac:dyDescent="0.2"/>
    <row r="55735" s="197" customFormat="1" ht="12.75" x14ac:dyDescent="0.2"/>
    <row r="55736" s="197" customFormat="1" ht="12.75" x14ac:dyDescent="0.2"/>
    <row r="55737" s="197" customFormat="1" ht="12.75" x14ac:dyDescent="0.2"/>
    <row r="55738" s="197" customFormat="1" ht="12.75" x14ac:dyDescent="0.2"/>
    <row r="55739" s="197" customFormat="1" ht="12.75" x14ac:dyDescent="0.2"/>
    <row r="55740" s="197" customFormat="1" ht="12.75" x14ac:dyDescent="0.2"/>
    <row r="55741" s="197" customFormat="1" ht="12.75" x14ac:dyDescent="0.2"/>
    <row r="55742" s="197" customFormat="1" ht="12.75" x14ac:dyDescent="0.2"/>
    <row r="55743" s="197" customFormat="1" ht="12.75" x14ac:dyDescent="0.2"/>
    <row r="55744" s="197" customFormat="1" ht="12.75" x14ac:dyDescent="0.2"/>
    <row r="55745" s="197" customFormat="1" ht="12.75" x14ac:dyDescent="0.2"/>
    <row r="55746" s="197" customFormat="1" ht="12.75" x14ac:dyDescent="0.2"/>
    <row r="55747" s="197" customFormat="1" ht="12.75" x14ac:dyDescent="0.2"/>
    <row r="55748" s="197" customFormat="1" ht="12.75" x14ac:dyDescent="0.2"/>
    <row r="55749" s="197" customFormat="1" ht="12.75" x14ac:dyDescent="0.2"/>
    <row r="55750" s="197" customFormat="1" ht="12.75" x14ac:dyDescent="0.2"/>
    <row r="55751" s="197" customFormat="1" ht="12.75" x14ac:dyDescent="0.2"/>
    <row r="55752" s="197" customFormat="1" ht="12.75" x14ac:dyDescent="0.2"/>
    <row r="55753" s="197" customFormat="1" ht="12.75" x14ac:dyDescent="0.2"/>
    <row r="55754" s="197" customFormat="1" ht="12.75" x14ac:dyDescent="0.2"/>
    <row r="55755" s="197" customFormat="1" ht="12.75" x14ac:dyDescent="0.2"/>
    <row r="55756" s="197" customFormat="1" ht="12.75" x14ac:dyDescent="0.2"/>
    <row r="55757" s="197" customFormat="1" ht="12.75" x14ac:dyDescent="0.2"/>
    <row r="55758" s="197" customFormat="1" ht="12.75" x14ac:dyDescent="0.2"/>
    <row r="55759" s="197" customFormat="1" ht="12.75" x14ac:dyDescent="0.2"/>
    <row r="55760" s="197" customFormat="1" ht="12.75" x14ac:dyDescent="0.2"/>
    <row r="55761" s="197" customFormat="1" ht="12.75" x14ac:dyDescent="0.2"/>
    <row r="55762" s="197" customFormat="1" ht="12.75" x14ac:dyDescent="0.2"/>
    <row r="55763" s="197" customFormat="1" ht="12.75" x14ac:dyDescent="0.2"/>
    <row r="55764" s="197" customFormat="1" ht="12.75" x14ac:dyDescent="0.2"/>
    <row r="55765" s="197" customFormat="1" ht="12.75" x14ac:dyDescent="0.2"/>
    <row r="55766" s="197" customFormat="1" ht="12.75" x14ac:dyDescent="0.2"/>
    <row r="55767" s="197" customFormat="1" ht="12.75" x14ac:dyDescent="0.2"/>
    <row r="55768" s="197" customFormat="1" ht="12.75" x14ac:dyDescent="0.2"/>
    <row r="55769" s="197" customFormat="1" ht="12.75" x14ac:dyDescent="0.2"/>
    <row r="55770" s="197" customFormat="1" ht="12.75" x14ac:dyDescent="0.2"/>
    <row r="55771" s="197" customFormat="1" ht="12.75" x14ac:dyDescent="0.2"/>
    <row r="55772" s="197" customFormat="1" ht="12.75" x14ac:dyDescent="0.2"/>
    <row r="55773" s="197" customFormat="1" ht="12.75" x14ac:dyDescent="0.2"/>
    <row r="55774" s="197" customFormat="1" ht="12.75" x14ac:dyDescent="0.2"/>
    <row r="55775" s="197" customFormat="1" ht="12.75" x14ac:dyDescent="0.2"/>
    <row r="55776" s="197" customFormat="1" ht="12.75" x14ac:dyDescent="0.2"/>
    <row r="55777" s="197" customFormat="1" ht="12.75" x14ac:dyDescent="0.2"/>
    <row r="55778" s="197" customFormat="1" ht="12.75" x14ac:dyDescent="0.2"/>
    <row r="55779" s="197" customFormat="1" ht="12.75" x14ac:dyDescent="0.2"/>
    <row r="55780" s="197" customFormat="1" ht="12.75" x14ac:dyDescent="0.2"/>
    <row r="55781" s="197" customFormat="1" ht="12.75" x14ac:dyDescent="0.2"/>
    <row r="55782" s="197" customFormat="1" ht="12.75" x14ac:dyDescent="0.2"/>
    <row r="55783" s="197" customFormat="1" ht="12.75" x14ac:dyDescent="0.2"/>
    <row r="55784" s="197" customFormat="1" ht="12.75" x14ac:dyDescent="0.2"/>
    <row r="55785" s="197" customFormat="1" ht="12.75" x14ac:dyDescent="0.2"/>
    <row r="55786" s="197" customFormat="1" ht="12.75" x14ac:dyDescent="0.2"/>
    <row r="55787" s="197" customFormat="1" ht="12.75" x14ac:dyDescent="0.2"/>
    <row r="55788" s="197" customFormat="1" ht="12.75" x14ac:dyDescent="0.2"/>
    <row r="55789" s="197" customFormat="1" ht="12.75" x14ac:dyDescent="0.2"/>
    <row r="55790" s="197" customFormat="1" ht="12.75" x14ac:dyDescent="0.2"/>
    <row r="55791" s="197" customFormat="1" ht="12.75" x14ac:dyDescent="0.2"/>
    <row r="55792" s="197" customFormat="1" ht="12.75" x14ac:dyDescent="0.2"/>
    <row r="55793" s="197" customFormat="1" ht="12.75" x14ac:dyDescent="0.2"/>
    <row r="55794" s="197" customFormat="1" ht="12.75" x14ac:dyDescent="0.2"/>
    <row r="55795" s="197" customFormat="1" ht="12.75" x14ac:dyDescent="0.2"/>
    <row r="55796" s="197" customFormat="1" ht="12.75" x14ac:dyDescent="0.2"/>
    <row r="55797" s="197" customFormat="1" ht="12.75" x14ac:dyDescent="0.2"/>
    <row r="55798" s="197" customFormat="1" ht="12.75" x14ac:dyDescent="0.2"/>
    <row r="55799" s="197" customFormat="1" ht="12.75" x14ac:dyDescent="0.2"/>
    <row r="55800" s="197" customFormat="1" ht="12.75" x14ac:dyDescent="0.2"/>
    <row r="55801" s="197" customFormat="1" ht="12.75" x14ac:dyDescent="0.2"/>
    <row r="55802" s="197" customFormat="1" ht="12.75" x14ac:dyDescent="0.2"/>
    <row r="55803" s="197" customFormat="1" ht="12.75" x14ac:dyDescent="0.2"/>
    <row r="55804" s="197" customFormat="1" ht="12.75" x14ac:dyDescent="0.2"/>
    <row r="55805" s="197" customFormat="1" ht="12.75" x14ac:dyDescent="0.2"/>
    <row r="55806" s="197" customFormat="1" ht="12.75" x14ac:dyDescent="0.2"/>
    <row r="55807" s="197" customFormat="1" ht="12.75" x14ac:dyDescent="0.2"/>
    <row r="55808" s="197" customFormat="1" ht="12.75" x14ac:dyDescent="0.2"/>
    <row r="55809" s="197" customFormat="1" ht="12.75" x14ac:dyDescent="0.2"/>
    <row r="55810" s="197" customFormat="1" ht="12.75" x14ac:dyDescent="0.2"/>
    <row r="55811" s="197" customFormat="1" ht="12.75" x14ac:dyDescent="0.2"/>
    <row r="55812" s="197" customFormat="1" ht="12.75" x14ac:dyDescent="0.2"/>
    <row r="55813" s="197" customFormat="1" ht="12.75" x14ac:dyDescent="0.2"/>
    <row r="55814" s="197" customFormat="1" ht="12.75" x14ac:dyDescent="0.2"/>
    <row r="55815" s="197" customFormat="1" ht="12.75" x14ac:dyDescent="0.2"/>
    <row r="55816" s="197" customFormat="1" ht="12.75" x14ac:dyDescent="0.2"/>
    <row r="55817" s="197" customFormat="1" ht="12.75" x14ac:dyDescent="0.2"/>
    <row r="55818" s="197" customFormat="1" ht="12.75" x14ac:dyDescent="0.2"/>
    <row r="55819" s="197" customFormat="1" ht="12.75" x14ac:dyDescent="0.2"/>
    <row r="55820" s="197" customFormat="1" ht="12.75" x14ac:dyDescent="0.2"/>
    <row r="55821" s="197" customFormat="1" ht="12.75" x14ac:dyDescent="0.2"/>
    <row r="55822" s="197" customFormat="1" ht="12.75" x14ac:dyDescent="0.2"/>
    <row r="55823" s="197" customFormat="1" ht="12.75" x14ac:dyDescent="0.2"/>
    <row r="55824" s="197" customFormat="1" ht="12.75" x14ac:dyDescent="0.2"/>
    <row r="55825" s="197" customFormat="1" ht="12.75" x14ac:dyDescent="0.2"/>
    <row r="55826" s="197" customFormat="1" ht="12.75" x14ac:dyDescent="0.2"/>
    <row r="55827" s="197" customFormat="1" ht="12.75" x14ac:dyDescent="0.2"/>
    <row r="55828" s="197" customFormat="1" ht="12.75" x14ac:dyDescent="0.2"/>
    <row r="55829" s="197" customFormat="1" ht="12.75" x14ac:dyDescent="0.2"/>
    <row r="55830" s="197" customFormat="1" ht="12.75" x14ac:dyDescent="0.2"/>
    <row r="55831" s="197" customFormat="1" ht="12.75" x14ac:dyDescent="0.2"/>
    <row r="55832" s="197" customFormat="1" ht="12.75" x14ac:dyDescent="0.2"/>
    <row r="55833" s="197" customFormat="1" ht="12.75" x14ac:dyDescent="0.2"/>
    <row r="55834" s="197" customFormat="1" ht="12.75" x14ac:dyDescent="0.2"/>
    <row r="55835" s="197" customFormat="1" ht="12.75" x14ac:dyDescent="0.2"/>
    <row r="55836" s="197" customFormat="1" ht="12.75" x14ac:dyDescent="0.2"/>
    <row r="55837" s="197" customFormat="1" ht="12.75" x14ac:dyDescent="0.2"/>
    <row r="55838" s="197" customFormat="1" ht="12.75" x14ac:dyDescent="0.2"/>
    <row r="55839" s="197" customFormat="1" ht="12.75" x14ac:dyDescent="0.2"/>
    <row r="55840" s="197" customFormat="1" ht="12.75" x14ac:dyDescent="0.2"/>
    <row r="55841" s="197" customFormat="1" ht="12.75" x14ac:dyDescent="0.2"/>
    <row r="55842" s="197" customFormat="1" ht="12.75" x14ac:dyDescent="0.2"/>
    <row r="55843" s="197" customFormat="1" ht="12.75" x14ac:dyDescent="0.2"/>
    <row r="55844" s="197" customFormat="1" ht="12.75" x14ac:dyDescent="0.2"/>
    <row r="55845" s="197" customFormat="1" ht="12.75" x14ac:dyDescent="0.2"/>
    <row r="55846" s="197" customFormat="1" ht="12.75" x14ac:dyDescent="0.2"/>
    <row r="55847" s="197" customFormat="1" ht="12.75" x14ac:dyDescent="0.2"/>
    <row r="55848" s="197" customFormat="1" ht="12.75" x14ac:dyDescent="0.2"/>
    <row r="55849" s="197" customFormat="1" ht="12.75" x14ac:dyDescent="0.2"/>
    <row r="55850" s="197" customFormat="1" ht="12.75" x14ac:dyDescent="0.2"/>
    <row r="55851" s="197" customFormat="1" ht="12.75" x14ac:dyDescent="0.2"/>
    <row r="55852" s="197" customFormat="1" ht="12.75" x14ac:dyDescent="0.2"/>
    <row r="55853" s="197" customFormat="1" ht="12.75" x14ac:dyDescent="0.2"/>
    <row r="55854" s="197" customFormat="1" ht="12.75" x14ac:dyDescent="0.2"/>
    <row r="55855" s="197" customFormat="1" ht="12.75" x14ac:dyDescent="0.2"/>
    <row r="55856" s="197" customFormat="1" ht="12.75" x14ac:dyDescent="0.2"/>
    <row r="55857" s="197" customFormat="1" ht="12.75" x14ac:dyDescent="0.2"/>
    <row r="55858" s="197" customFormat="1" ht="12.75" x14ac:dyDescent="0.2"/>
    <row r="55859" s="197" customFormat="1" ht="12.75" x14ac:dyDescent="0.2"/>
    <row r="55860" s="197" customFormat="1" ht="12.75" x14ac:dyDescent="0.2"/>
    <row r="55861" s="197" customFormat="1" ht="12.75" x14ac:dyDescent="0.2"/>
    <row r="55862" s="197" customFormat="1" ht="12.75" x14ac:dyDescent="0.2"/>
    <row r="55863" s="197" customFormat="1" ht="12.75" x14ac:dyDescent="0.2"/>
    <row r="55864" s="197" customFormat="1" ht="12.75" x14ac:dyDescent="0.2"/>
    <row r="55865" s="197" customFormat="1" ht="12.75" x14ac:dyDescent="0.2"/>
    <row r="55866" s="197" customFormat="1" ht="12.75" x14ac:dyDescent="0.2"/>
    <row r="55867" s="197" customFormat="1" ht="12.75" x14ac:dyDescent="0.2"/>
    <row r="55868" s="197" customFormat="1" ht="12.75" x14ac:dyDescent="0.2"/>
    <row r="55869" s="197" customFormat="1" ht="12.75" x14ac:dyDescent="0.2"/>
    <row r="55870" s="197" customFormat="1" ht="12.75" x14ac:dyDescent="0.2"/>
    <row r="55871" s="197" customFormat="1" ht="12.75" x14ac:dyDescent="0.2"/>
    <row r="55872" s="197" customFormat="1" ht="12.75" x14ac:dyDescent="0.2"/>
    <row r="55873" s="197" customFormat="1" ht="12.75" x14ac:dyDescent="0.2"/>
    <row r="55874" s="197" customFormat="1" ht="12.75" x14ac:dyDescent="0.2"/>
    <row r="55875" s="197" customFormat="1" ht="12.75" x14ac:dyDescent="0.2"/>
    <row r="55876" s="197" customFormat="1" ht="12.75" x14ac:dyDescent="0.2"/>
    <row r="55877" s="197" customFormat="1" ht="12.75" x14ac:dyDescent="0.2"/>
    <row r="55878" s="197" customFormat="1" ht="12.75" x14ac:dyDescent="0.2"/>
    <row r="55879" s="197" customFormat="1" ht="12.75" x14ac:dyDescent="0.2"/>
    <row r="55880" s="197" customFormat="1" ht="12.75" x14ac:dyDescent="0.2"/>
    <row r="55881" s="197" customFormat="1" ht="12.75" x14ac:dyDescent="0.2"/>
    <row r="55882" s="197" customFormat="1" ht="12.75" x14ac:dyDescent="0.2"/>
    <row r="55883" s="197" customFormat="1" ht="12.75" x14ac:dyDescent="0.2"/>
    <row r="55884" s="197" customFormat="1" ht="12.75" x14ac:dyDescent="0.2"/>
    <row r="55885" s="197" customFormat="1" ht="12.75" x14ac:dyDescent="0.2"/>
    <row r="55886" s="197" customFormat="1" ht="12.75" x14ac:dyDescent="0.2"/>
    <row r="55887" s="197" customFormat="1" ht="12.75" x14ac:dyDescent="0.2"/>
    <row r="55888" s="197" customFormat="1" ht="12.75" x14ac:dyDescent="0.2"/>
    <row r="55889" s="197" customFormat="1" ht="12.75" x14ac:dyDescent="0.2"/>
    <row r="55890" s="197" customFormat="1" ht="12.75" x14ac:dyDescent="0.2"/>
    <row r="55891" s="197" customFormat="1" ht="12.75" x14ac:dyDescent="0.2"/>
    <row r="55892" s="197" customFormat="1" ht="12.75" x14ac:dyDescent="0.2"/>
    <row r="55893" s="197" customFormat="1" ht="12.75" x14ac:dyDescent="0.2"/>
    <row r="55894" s="197" customFormat="1" ht="12.75" x14ac:dyDescent="0.2"/>
    <row r="55895" s="197" customFormat="1" ht="12.75" x14ac:dyDescent="0.2"/>
    <row r="55896" s="197" customFormat="1" ht="12.75" x14ac:dyDescent="0.2"/>
    <row r="55897" s="197" customFormat="1" ht="12.75" x14ac:dyDescent="0.2"/>
    <row r="55898" s="197" customFormat="1" ht="12.75" x14ac:dyDescent="0.2"/>
    <row r="55899" s="197" customFormat="1" ht="12.75" x14ac:dyDescent="0.2"/>
    <row r="55900" s="197" customFormat="1" ht="12.75" x14ac:dyDescent="0.2"/>
    <row r="55901" s="197" customFormat="1" ht="12.75" x14ac:dyDescent="0.2"/>
    <row r="55902" s="197" customFormat="1" ht="12.75" x14ac:dyDescent="0.2"/>
    <row r="55903" s="197" customFormat="1" ht="12.75" x14ac:dyDescent="0.2"/>
    <row r="55904" s="197" customFormat="1" ht="12.75" x14ac:dyDescent="0.2"/>
    <row r="55905" s="197" customFormat="1" ht="12.75" x14ac:dyDescent="0.2"/>
    <row r="55906" s="197" customFormat="1" ht="12.75" x14ac:dyDescent="0.2"/>
    <row r="55907" s="197" customFormat="1" ht="12.75" x14ac:dyDescent="0.2"/>
    <row r="55908" s="197" customFormat="1" ht="12.75" x14ac:dyDescent="0.2"/>
    <row r="55909" s="197" customFormat="1" ht="12.75" x14ac:dyDescent="0.2"/>
    <row r="55910" s="197" customFormat="1" ht="12.75" x14ac:dyDescent="0.2"/>
    <row r="55911" s="197" customFormat="1" ht="12.75" x14ac:dyDescent="0.2"/>
    <row r="55912" s="197" customFormat="1" ht="12.75" x14ac:dyDescent="0.2"/>
    <row r="55913" s="197" customFormat="1" ht="12.75" x14ac:dyDescent="0.2"/>
    <row r="55914" s="197" customFormat="1" ht="12.75" x14ac:dyDescent="0.2"/>
    <row r="55915" s="197" customFormat="1" ht="12.75" x14ac:dyDescent="0.2"/>
    <row r="55916" s="197" customFormat="1" ht="12.75" x14ac:dyDescent="0.2"/>
    <row r="55917" s="197" customFormat="1" ht="12.75" x14ac:dyDescent="0.2"/>
    <row r="55918" s="197" customFormat="1" ht="12.75" x14ac:dyDescent="0.2"/>
    <row r="55919" s="197" customFormat="1" ht="12.75" x14ac:dyDescent="0.2"/>
    <row r="55920" s="197" customFormat="1" ht="12.75" x14ac:dyDescent="0.2"/>
    <row r="55921" s="197" customFormat="1" ht="12.75" x14ac:dyDescent="0.2"/>
    <row r="55922" s="197" customFormat="1" ht="12.75" x14ac:dyDescent="0.2"/>
    <row r="55923" s="197" customFormat="1" ht="12.75" x14ac:dyDescent="0.2"/>
    <row r="55924" s="197" customFormat="1" ht="12.75" x14ac:dyDescent="0.2"/>
    <row r="55925" s="197" customFormat="1" ht="12.75" x14ac:dyDescent="0.2"/>
    <row r="55926" s="197" customFormat="1" ht="12.75" x14ac:dyDescent="0.2"/>
    <row r="55927" s="197" customFormat="1" ht="12.75" x14ac:dyDescent="0.2"/>
    <row r="55928" s="197" customFormat="1" ht="12.75" x14ac:dyDescent="0.2"/>
    <row r="55929" s="197" customFormat="1" ht="12.75" x14ac:dyDescent="0.2"/>
    <row r="55930" s="197" customFormat="1" ht="12.75" x14ac:dyDescent="0.2"/>
    <row r="55931" s="197" customFormat="1" ht="12.75" x14ac:dyDescent="0.2"/>
    <row r="55932" s="197" customFormat="1" ht="12.75" x14ac:dyDescent="0.2"/>
    <row r="55933" s="197" customFormat="1" ht="12.75" x14ac:dyDescent="0.2"/>
    <row r="55934" s="197" customFormat="1" ht="12.75" x14ac:dyDescent="0.2"/>
    <row r="55935" s="197" customFormat="1" ht="12.75" x14ac:dyDescent="0.2"/>
    <row r="55936" s="197" customFormat="1" ht="12.75" x14ac:dyDescent="0.2"/>
    <row r="55937" s="197" customFormat="1" ht="12.75" x14ac:dyDescent="0.2"/>
    <row r="55938" s="197" customFormat="1" ht="12.75" x14ac:dyDescent="0.2"/>
    <row r="55939" s="197" customFormat="1" ht="12.75" x14ac:dyDescent="0.2"/>
    <row r="55940" s="197" customFormat="1" ht="12.75" x14ac:dyDescent="0.2"/>
    <row r="55941" s="197" customFormat="1" ht="12.75" x14ac:dyDescent="0.2"/>
    <row r="55942" s="197" customFormat="1" ht="12.75" x14ac:dyDescent="0.2"/>
    <row r="55943" s="197" customFormat="1" ht="12.75" x14ac:dyDescent="0.2"/>
    <row r="55944" s="197" customFormat="1" ht="12.75" x14ac:dyDescent="0.2"/>
    <row r="55945" s="197" customFormat="1" ht="12.75" x14ac:dyDescent="0.2"/>
    <row r="55946" s="197" customFormat="1" ht="12.75" x14ac:dyDescent="0.2"/>
    <row r="55947" s="197" customFormat="1" ht="12.75" x14ac:dyDescent="0.2"/>
    <row r="55948" s="197" customFormat="1" ht="12.75" x14ac:dyDescent="0.2"/>
    <row r="55949" s="197" customFormat="1" ht="12.75" x14ac:dyDescent="0.2"/>
    <row r="55950" s="197" customFormat="1" ht="12.75" x14ac:dyDescent="0.2"/>
    <row r="55951" s="197" customFormat="1" ht="12.75" x14ac:dyDescent="0.2"/>
    <row r="55952" s="197" customFormat="1" ht="12.75" x14ac:dyDescent="0.2"/>
    <row r="55953" s="197" customFormat="1" ht="12.75" x14ac:dyDescent="0.2"/>
    <row r="55954" s="197" customFormat="1" ht="12.75" x14ac:dyDescent="0.2"/>
    <row r="55955" s="197" customFormat="1" ht="12.75" x14ac:dyDescent="0.2"/>
    <row r="55956" s="197" customFormat="1" ht="12.75" x14ac:dyDescent="0.2"/>
    <row r="55957" s="197" customFormat="1" ht="12.75" x14ac:dyDescent="0.2"/>
    <row r="55958" s="197" customFormat="1" ht="12.75" x14ac:dyDescent="0.2"/>
    <row r="55959" s="197" customFormat="1" ht="12.75" x14ac:dyDescent="0.2"/>
    <row r="55960" s="197" customFormat="1" ht="12.75" x14ac:dyDescent="0.2"/>
    <row r="55961" s="197" customFormat="1" ht="12.75" x14ac:dyDescent="0.2"/>
    <row r="55962" s="197" customFormat="1" ht="12.75" x14ac:dyDescent="0.2"/>
    <row r="55963" s="197" customFormat="1" ht="12.75" x14ac:dyDescent="0.2"/>
    <row r="55964" s="197" customFormat="1" ht="12.75" x14ac:dyDescent="0.2"/>
    <row r="55965" s="197" customFormat="1" ht="12.75" x14ac:dyDescent="0.2"/>
    <row r="55966" s="197" customFormat="1" ht="12.75" x14ac:dyDescent="0.2"/>
    <row r="55967" s="197" customFormat="1" ht="12.75" x14ac:dyDescent="0.2"/>
    <row r="55968" s="197" customFormat="1" ht="12.75" x14ac:dyDescent="0.2"/>
    <row r="55969" s="197" customFormat="1" ht="12.75" x14ac:dyDescent="0.2"/>
    <row r="55970" s="197" customFormat="1" ht="12.75" x14ac:dyDescent="0.2"/>
    <row r="55971" s="197" customFormat="1" ht="12.75" x14ac:dyDescent="0.2"/>
    <row r="55972" s="197" customFormat="1" ht="12.75" x14ac:dyDescent="0.2"/>
    <row r="55973" s="197" customFormat="1" ht="12.75" x14ac:dyDescent="0.2"/>
    <row r="55974" s="197" customFormat="1" ht="12.75" x14ac:dyDescent="0.2"/>
    <row r="55975" s="197" customFormat="1" ht="12.75" x14ac:dyDescent="0.2"/>
    <row r="55976" s="197" customFormat="1" ht="12.75" x14ac:dyDescent="0.2"/>
    <row r="55977" s="197" customFormat="1" ht="12.75" x14ac:dyDescent="0.2"/>
    <row r="55978" s="197" customFormat="1" ht="12.75" x14ac:dyDescent="0.2"/>
    <row r="55979" s="197" customFormat="1" ht="12.75" x14ac:dyDescent="0.2"/>
    <row r="55980" s="197" customFormat="1" ht="12.75" x14ac:dyDescent="0.2"/>
    <row r="55981" s="197" customFormat="1" ht="12.75" x14ac:dyDescent="0.2"/>
    <row r="55982" s="197" customFormat="1" ht="12.75" x14ac:dyDescent="0.2"/>
    <row r="55983" s="197" customFormat="1" ht="12.75" x14ac:dyDescent="0.2"/>
    <row r="55984" s="197" customFormat="1" ht="12.75" x14ac:dyDescent="0.2"/>
    <row r="55985" s="197" customFormat="1" ht="12.75" x14ac:dyDescent="0.2"/>
    <row r="55986" s="197" customFormat="1" ht="12.75" x14ac:dyDescent="0.2"/>
    <row r="55987" s="197" customFormat="1" ht="12.75" x14ac:dyDescent="0.2"/>
    <row r="55988" s="197" customFormat="1" ht="12.75" x14ac:dyDescent="0.2"/>
    <row r="55989" s="197" customFormat="1" ht="12.75" x14ac:dyDescent="0.2"/>
    <row r="55990" s="197" customFormat="1" ht="12.75" x14ac:dyDescent="0.2"/>
    <row r="55991" s="197" customFormat="1" ht="12.75" x14ac:dyDescent="0.2"/>
    <row r="55992" s="197" customFormat="1" ht="12.75" x14ac:dyDescent="0.2"/>
    <row r="55993" s="197" customFormat="1" ht="12.75" x14ac:dyDescent="0.2"/>
    <row r="55994" s="197" customFormat="1" ht="12.75" x14ac:dyDescent="0.2"/>
    <row r="55995" s="197" customFormat="1" ht="12.75" x14ac:dyDescent="0.2"/>
    <row r="55996" s="197" customFormat="1" ht="12.75" x14ac:dyDescent="0.2"/>
    <row r="55997" s="197" customFormat="1" ht="12.75" x14ac:dyDescent="0.2"/>
    <row r="55998" s="197" customFormat="1" ht="12.75" x14ac:dyDescent="0.2"/>
    <row r="55999" s="197" customFormat="1" ht="12.75" x14ac:dyDescent="0.2"/>
    <row r="56000" s="197" customFormat="1" ht="12.75" x14ac:dyDescent="0.2"/>
    <row r="56001" s="197" customFormat="1" ht="12.75" x14ac:dyDescent="0.2"/>
    <row r="56002" s="197" customFormat="1" ht="12.75" x14ac:dyDescent="0.2"/>
    <row r="56003" s="197" customFormat="1" ht="12.75" x14ac:dyDescent="0.2"/>
    <row r="56004" s="197" customFormat="1" ht="12.75" x14ac:dyDescent="0.2"/>
    <row r="56005" s="197" customFormat="1" ht="12.75" x14ac:dyDescent="0.2"/>
    <row r="56006" s="197" customFormat="1" ht="12.75" x14ac:dyDescent="0.2"/>
    <row r="56007" s="197" customFormat="1" ht="12.75" x14ac:dyDescent="0.2"/>
    <row r="56008" s="197" customFormat="1" ht="12.75" x14ac:dyDescent="0.2"/>
    <row r="56009" s="197" customFormat="1" ht="12.75" x14ac:dyDescent="0.2"/>
    <row r="56010" s="197" customFormat="1" ht="12.75" x14ac:dyDescent="0.2"/>
    <row r="56011" s="197" customFormat="1" ht="12.75" x14ac:dyDescent="0.2"/>
    <row r="56012" s="197" customFormat="1" ht="12.75" x14ac:dyDescent="0.2"/>
    <row r="56013" s="197" customFormat="1" ht="12.75" x14ac:dyDescent="0.2"/>
    <row r="56014" s="197" customFormat="1" ht="12.75" x14ac:dyDescent="0.2"/>
    <row r="56015" s="197" customFormat="1" ht="12.75" x14ac:dyDescent="0.2"/>
    <row r="56016" s="197" customFormat="1" ht="12.75" x14ac:dyDescent="0.2"/>
    <row r="56017" s="197" customFormat="1" ht="12.75" x14ac:dyDescent="0.2"/>
    <row r="56018" s="197" customFormat="1" ht="12.75" x14ac:dyDescent="0.2"/>
    <row r="56019" s="197" customFormat="1" ht="12.75" x14ac:dyDescent="0.2"/>
    <row r="56020" s="197" customFormat="1" ht="12.75" x14ac:dyDescent="0.2"/>
    <row r="56021" s="197" customFormat="1" ht="12.75" x14ac:dyDescent="0.2"/>
    <row r="56022" s="197" customFormat="1" ht="12.75" x14ac:dyDescent="0.2"/>
    <row r="56023" s="197" customFormat="1" ht="12.75" x14ac:dyDescent="0.2"/>
    <row r="56024" s="197" customFormat="1" ht="12.75" x14ac:dyDescent="0.2"/>
    <row r="56025" s="197" customFormat="1" ht="12.75" x14ac:dyDescent="0.2"/>
    <row r="56026" s="197" customFormat="1" ht="12.75" x14ac:dyDescent="0.2"/>
    <row r="56027" s="197" customFormat="1" ht="12.75" x14ac:dyDescent="0.2"/>
    <row r="56028" s="197" customFormat="1" ht="12.75" x14ac:dyDescent="0.2"/>
    <row r="56029" s="197" customFormat="1" ht="12.75" x14ac:dyDescent="0.2"/>
    <row r="56030" s="197" customFormat="1" ht="12.75" x14ac:dyDescent="0.2"/>
    <row r="56031" s="197" customFormat="1" ht="12.75" x14ac:dyDescent="0.2"/>
    <row r="56032" s="197" customFormat="1" ht="12.75" x14ac:dyDescent="0.2"/>
    <row r="56033" s="197" customFormat="1" ht="12.75" x14ac:dyDescent="0.2"/>
    <row r="56034" s="197" customFormat="1" ht="12.75" x14ac:dyDescent="0.2"/>
    <row r="56035" s="197" customFormat="1" ht="12.75" x14ac:dyDescent="0.2"/>
    <row r="56036" s="197" customFormat="1" ht="12.75" x14ac:dyDescent="0.2"/>
    <row r="56037" s="197" customFormat="1" ht="12.75" x14ac:dyDescent="0.2"/>
    <row r="56038" s="197" customFormat="1" ht="12.75" x14ac:dyDescent="0.2"/>
    <row r="56039" s="197" customFormat="1" ht="12.75" x14ac:dyDescent="0.2"/>
    <row r="56040" s="197" customFormat="1" ht="12.75" x14ac:dyDescent="0.2"/>
    <row r="56041" s="197" customFormat="1" ht="12.75" x14ac:dyDescent="0.2"/>
    <row r="56042" s="197" customFormat="1" ht="12.75" x14ac:dyDescent="0.2"/>
    <row r="56043" s="197" customFormat="1" ht="12.75" x14ac:dyDescent="0.2"/>
    <row r="56044" s="197" customFormat="1" ht="12.75" x14ac:dyDescent="0.2"/>
    <row r="56045" s="197" customFormat="1" ht="12.75" x14ac:dyDescent="0.2"/>
    <row r="56046" s="197" customFormat="1" ht="12.75" x14ac:dyDescent="0.2"/>
    <row r="56047" s="197" customFormat="1" ht="12.75" x14ac:dyDescent="0.2"/>
    <row r="56048" s="197" customFormat="1" ht="12.75" x14ac:dyDescent="0.2"/>
    <row r="56049" s="197" customFormat="1" ht="12.75" x14ac:dyDescent="0.2"/>
    <row r="56050" s="197" customFormat="1" ht="12.75" x14ac:dyDescent="0.2"/>
    <row r="56051" s="197" customFormat="1" ht="12.75" x14ac:dyDescent="0.2"/>
    <row r="56052" s="197" customFormat="1" ht="12.75" x14ac:dyDescent="0.2"/>
    <row r="56053" s="197" customFormat="1" ht="12.75" x14ac:dyDescent="0.2"/>
    <row r="56054" s="197" customFormat="1" ht="12.75" x14ac:dyDescent="0.2"/>
    <row r="56055" s="197" customFormat="1" ht="12.75" x14ac:dyDescent="0.2"/>
    <row r="56056" s="197" customFormat="1" ht="12.75" x14ac:dyDescent="0.2"/>
    <row r="56057" s="197" customFormat="1" ht="12.75" x14ac:dyDescent="0.2"/>
    <row r="56058" s="197" customFormat="1" ht="12.75" x14ac:dyDescent="0.2"/>
    <row r="56059" s="197" customFormat="1" ht="12.75" x14ac:dyDescent="0.2"/>
    <row r="56060" s="197" customFormat="1" ht="12.75" x14ac:dyDescent="0.2"/>
    <row r="56061" s="197" customFormat="1" ht="12.75" x14ac:dyDescent="0.2"/>
    <row r="56062" s="197" customFormat="1" ht="12.75" x14ac:dyDescent="0.2"/>
    <row r="56063" s="197" customFormat="1" ht="12.75" x14ac:dyDescent="0.2"/>
    <row r="56064" s="197" customFormat="1" ht="12.75" x14ac:dyDescent="0.2"/>
    <row r="56065" s="197" customFormat="1" ht="12.75" x14ac:dyDescent="0.2"/>
    <row r="56066" s="197" customFormat="1" ht="12.75" x14ac:dyDescent="0.2"/>
    <row r="56067" s="197" customFormat="1" ht="12.75" x14ac:dyDescent="0.2"/>
    <row r="56068" s="197" customFormat="1" ht="12.75" x14ac:dyDescent="0.2"/>
    <row r="56069" s="197" customFormat="1" ht="12.75" x14ac:dyDescent="0.2"/>
    <row r="56070" s="197" customFormat="1" ht="12.75" x14ac:dyDescent="0.2"/>
    <row r="56071" s="197" customFormat="1" ht="12.75" x14ac:dyDescent="0.2"/>
    <row r="56072" s="197" customFormat="1" ht="12.75" x14ac:dyDescent="0.2"/>
    <row r="56073" s="197" customFormat="1" ht="12.75" x14ac:dyDescent="0.2"/>
    <row r="56074" s="197" customFormat="1" ht="12.75" x14ac:dyDescent="0.2"/>
    <row r="56075" s="197" customFormat="1" ht="12.75" x14ac:dyDescent="0.2"/>
    <row r="56076" s="197" customFormat="1" ht="12.75" x14ac:dyDescent="0.2"/>
    <row r="56077" s="197" customFormat="1" ht="12.75" x14ac:dyDescent="0.2"/>
    <row r="56078" s="197" customFormat="1" ht="12.75" x14ac:dyDescent="0.2"/>
    <row r="56079" s="197" customFormat="1" ht="12.75" x14ac:dyDescent="0.2"/>
    <row r="56080" s="197" customFormat="1" ht="12.75" x14ac:dyDescent="0.2"/>
    <row r="56081" s="197" customFormat="1" ht="12.75" x14ac:dyDescent="0.2"/>
    <row r="56082" s="197" customFormat="1" ht="12.75" x14ac:dyDescent="0.2"/>
    <row r="56083" s="197" customFormat="1" ht="12.75" x14ac:dyDescent="0.2"/>
    <row r="56084" s="197" customFormat="1" ht="12.75" x14ac:dyDescent="0.2"/>
    <row r="56085" s="197" customFormat="1" ht="12.75" x14ac:dyDescent="0.2"/>
    <row r="56086" s="197" customFormat="1" ht="12.75" x14ac:dyDescent="0.2"/>
    <row r="56087" s="197" customFormat="1" ht="12.75" x14ac:dyDescent="0.2"/>
    <row r="56088" s="197" customFormat="1" ht="12.75" x14ac:dyDescent="0.2"/>
    <row r="56089" s="197" customFormat="1" ht="12.75" x14ac:dyDescent="0.2"/>
    <row r="56090" s="197" customFormat="1" ht="12.75" x14ac:dyDescent="0.2"/>
    <row r="56091" s="197" customFormat="1" ht="12.75" x14ac:dyDescent="0.2"/>
    <row r="56092" s="197" customFormat="1" ht="12.75" x14ac:dyDescent="0.2"/>
    <row r="56093" s="197" customFormat="1" ht="12.75" x14ac:dyDescent="0.2"/>
    <row r="56094" s="197" customFormat="1" ht="12.75" x14ac:dyDescent="0.2"/>
    <row r="56095" s="197" customFormat="1" ht="12.75" x14ac:dyDescent="0.2"/>
    <row r="56096" s="197" customFormat="1" ht="12.75" x14ac:dyDescent="0.2"/>
    <row r="56097" s="197" customFormat="1" ht="12.75" x14ac:dyDescent="0.2"/>
    <row r="56098" s="197" customFormat="1" ht="12.75" x14ac:dyDescent="0.2"/>
    <row r="56099" s="197" customFormat="1" ht="12.75" x14ac:dyDescent="0.2"/>
    <row r="56100" s="197" customFormat="1" ht="12.75" x14ac:dyDescent="0.2"/>
    <row r="56101" s="197" customFormat="1" ht="12.75" x14ac:dyDescent="0.2"/>
    <row r="56102" s="197" customFormat="1" ht="12.75" x14ac:dyDescent="0.2"/>
    <row r="56103" s="197" customFormat="1" ht="12.75" x14ac:dyDescent="0.2"/>
    <row r="56104" s="197" customFormat="1" ht="12.75" x14ac:dyDescent="0.2"/>
    <row r="56105" s="197" customFormat="1" ht="12.75" x14ac:dyDescent="0.2"/>
    <row r="56106" s="197" customFormat="1" ht="12.75" x14ac:dyDescent="0.2"/>
    <row r="56107" s="197" customFormat="1" ht="12.75" x14ac:dyDescent="0.2"/>
    <row r="56108" s="197" customFormat="1" ht="12.75" x14ac:dyDescent="0.2"/>
    <row r="56109" s="197" customFormat="1" ht="12.75" x14ac:dyDescent="0.2"/>
    <row r="56110" s="197" customFormat="1" ht="12.75" x14ac:dyDescent="0.2"/>
    <row r="56111" s="197" customFormat="1" ht="12.75" x14ac:dyDescent="0.2"/>
    <row r="56112" s="197" customFormat="1" ht="12.75" x14ac:dyDescent="0.2"/>
    <row r="56113" s="197" customFormat="1" ht="12.75" x14ac:dyDescent="0.2"/>
    <row r="56114" s="197" customFormat="1" ht="12.75" x14ac:dyDescent="0.2"/>
    <row r="56115" s="197" customFormat="1" ht="12.75" x14ac:dyDescent="0.2"/>
    <row r="56116" s="197" customFormat="1" ht="12.75" x14ac:dyDescent="0.2"/>
    <row r="56117" s="197" customFormat="1" ht="12.75" x14ac:dyDescent="0.2"/>
    <row r="56118" s="197" customFormat="1" ht="12.75" x14ac:dyDescent="0.2"/>
    <row r="56119" s="197" customFormat="1" ht="12.75" x14ac:dyDescent="0.2"/>
    <row r="56120" s="197" customFormat="1" ht="12.75" x14ac:dyDescent="0.2"/>
    <row r="56121" s="197" customFormat="1" ht="12.75" x14ac:dyDescent="0.2"/>
    <row r="56122" s="197" customFormat="1" ht="12.75" x14ac:dyDescent="0.2"/>
    <row r="56123" s="197" customFormat="1" ht="12.75" x14ac:dyDescent="0.2"/>
    <row r="56124" s="197" customFormat="1" ht="12.75" x14ac:dyDescent="0.2"/>
    <row r="56125" s="197" customFormat="1" ht="12.75" x14ac:dyDescent="0.2"/>
    <row r="56126" s="197" customFormat="1" ht="12.75" x14ac:dyDescent="0.2"/>
    <row r="56127" s="197" customFormat="1" ht="12.75" x14ac:dyDescent="0.2"/>
    <row r="56128" s="197" customFormat="1" ht="12.75" x14ac:dyDescent="0.2"/>
    <row r="56129" s="197" customFormat="1" ht="12.75" x14ac:dyDescent="0.2"/>
    <row r="56130" s="197" customFormat="1" ht="12.75" x14ac:dyDescent="0.2"/>
    <row r="56131" s="197" customFormat="1" ht="12.75" x14ac:dyDescent="0.2"/>
    <row r="56132" s="197" customFormat="1" ht="12.75" x14ac:dyDescent="0.2"/>
    <row r="56133" s="197" customFormat="1" ht="12.75" x14ac:dyDescent="0.2"/>
    <row r="56134" s="197" customFormat="1" ht="12.75" x14ac:dyDescent="0.2"/>
    <row r="56135" s="197" customFormat="1" ht="12.75" x14ac:dyDescent="0.2"/>
    <row r="56136" s="197" customFormat="1" ht="12.75" x14ac:dyDescent="0.2"/>
    <row r="56137" s="197" customFormat="1" ht="12.75" x14ac:dyDescent="0.2"/>
    <row r="56138" s="197" customFormat="1" ht="12.75" x14ac:dyDescent="0.2"/>
    <row r="56139" s="197" customFormat="1" ht="12.75" x14ac:dyDescent="0.2"/>
    <row r="56140" s="197" customFormat="1" ht="12.75" x14ac:dyDescent="0.2"/>
    <row r="56141" s="197" customFormat="1" ht="12.75" x14ac:dyDescent="0.2"/>
    <row r="56142" s="197" customFormat="1" ht="12.75" x14ac:dyDescent="0.2"/>
    <row r="56143" s="197" customFormat="1" ht="12.75" x14ac:dyDescent="0.2"/>
    <row r="56144" s="197" customFormat="1" ht="12.75" x14ac:dyDescent="0.2"/>
    <row r="56145" s="197" customFormat="1" ht="12.75" x14ac:dyDescent="0.2"/>
    <row r="56146" s="197" customFormat="1" ht="12.75" x14ac:dyDescent="0.2"/>
    <row r="56147" s="197" customFormat="1" ht="12.75" x14ac:dyDescent="0.2"/>
    <row r="56148" s="197" customFormat="1" ht="12.75" x14ac:dyDescent="0.2"/>
    <row r="56149" s="197" customFormat="1" ht="12.75" x14ac:dyDescent="0.2"/>
    <row r="56150" s="197" customFormat="1" ht="12.75" x14ac:dyDescent="0.2"/>
    <row r="56151" s="197" customFormat="1" ht="12.75" x14ac:dyDescent="0.2"/>
    <row r="56152" s="197" customFormat="1" ht="12.75" x14ac:dyDescent="0.2"/>
    <row r="56153" s="197" customFormat="1" ht="12.75" x14ac:dyDescent="0.2"/>
    <row r="56154" s="197" customFormat="1" ht="12.75" x14ac:dyDescent="0.2"/>
    <row r="56155" s="197" customFormat="1" ht="12.75" x14ac:dyDescent="0.2"/>
    <row r="56156" s="197" customFormat="1" ht="12.75" x14ac:dyDescent="0.2"/>
    <row r="56157" s="197" customFormat="1" ht="12.75" x14ac:dyDescent="0.2"/>
    <row r="56158" s="197" customFormat="1" ht="12.75" x14ac:dyDescent="0.2"/>
    <row r="56159" s="197" customFormat="1" ht="12.75" x14ac:dyDescent="0.2"/>
    <row r="56160" s="197" customFormat="1" ht="12.75" x14ac:dyDescent="0.2"/>
    <row r="56161" s="197" customFormat="1" ht="12.75" x14ac:dyDescent="0.2"/>
    <row r="56162" s="197" customFormat="1" ht="12.75" x14ac:dyDescent="0.2"/>
    <row r="56163" s="197" customFormat="1" ht="12.75" x14ac:dyDescent="0.2"/>
    <row r="56164" s="197" customFormat="1" ht="12.75" x14ac:dyDescent="0.2"/>
    <row r="56165" s="197" customFormat="1" ht="12.75" x14ac:dyDescent="0.2"/>
    <row r="56166" s="197" customFormat="1" ht="12.75" x14ac:dyDescent="0.2"/>
    <row r="56167" s="197" customFormat="1" ht="12.75" x14ac:dyDescent="0.2"/>
    <row r="56168" s="197" customFormat="1" ht="12.75" x14ac:dyDescent="0.2"/>
    <row r="56169" s="197" customFormat="1" ht="12.75" x14ac:dyDescent="0.2"/>
    <row r="56170" s="197" customFormat="1" ht="12.75" x14ac:dyDescent="0.2"/>
    <row r="56171" s="197" customFormat="1" ht="12.75" x14ac:dyDescent="0.2"/>
    <row r="56172" s="197" customFormat="1" ht="12.75" x14ac:dyDescent="0.2"/>
    <row r="56173" s="197" customFormat="1" ht="12.75" x14ac:dyDescent="0.2"/>
    <row r="56174" s="197" customFormat="1" ht="12.75" x14ac:dyDescent="0.2"/>
    <row r="56175" s="197" customFormat="1" ht="12.75" x14ac:dyDescent="0.2"/>
    <row r="56176" s="197" customFormat="1" ht="12.75" x14ac:dyDescent="0.2"/>
    <row r="56177" s="197" customFormat="1" ht="12.75" x14ac:dyDescent="0.2"/>
    <row r="56178" s="197" customFormat="1" ht="12.75" x14ac:dyDescent="0.2"/>
    <row r="56179" s="197" customFormat="1" ht="12.75" x14ac:dyDescent="0.2"/>
    <row r="56180" s="197" customFormat="1" ht="12.75" x14ac:dyDescent="0.2"/>
    <row r="56181" s="197" customFormat="1" ht="12.75" x14ac:dyDescent="0.2"/>
    <row r="56182" s="197" customFormat="1" ht="12.75" x14ac:dyDescent="0.2"/>
    <row r="56183" s="197" customFormat="1" ht="12.75" x14ac:dyDescent="0.2"/>
    <row r="56184" s="197" customFormat="1" ht="12.75" x14ac:dyDescent="0.2"/>
    <row r="56185" s="197" customFormat="1" ht="12.75" x14ac:dyDescent="0.2"/>
    <row r="56186" s="197" customFormat="1" ht="12.75" x14ac:dyDescent="0.2"/>
    <row r="56187" s="197" customFormat="1" ht="12.75" x14ac:dyDescent="0.2"/>
    <row r="56188" s="197" customFormat="1" ht="12.75" x14ac:dyDescent="0.2"/>
    <row r="56189" s="197" customFormat="1" ht="12.75" x14ac:dyDescent="0.2"/>
    <row r="56190" s="197" customFormat="1" ht="12.75" x14ac:dyDescent="0.2"/>
    <row r="56191" s="197" customFormat="1" ht="12.75" x14ac:dyDescent="0.2"/>
    <row r="56192" s="197" customFormat="1" ht="12.75" x14ac:dyDescent="0.2"/>
    <row r="56193" s="197" customFormat="1" ht="12.75" x14ac:dyDescent="0.2"/>
    <row r="56194" s="197" customFormat="1" ht="12.75" x14ac:dyDescent="0.2"/>
    <row r="56195" s="197" customFormat="1" ht="12.75" x14ac:dyDescent="0.2"/>
    <row r="56196" s="197" customFormat="1" ht="12.75" x14ac:dyDescent="0.2"/>
    <row r="56197" s="197" customFormat="1" ht="12.75" x14ac:dyDescent="0.2"/>
    <row r="56198" s="197" customFormat="1" ht="12.75" x14ac:dyDescent="0.2"/>
    <row r="56199" s="197" customFormat="1" ht="12.75" x14ac:dyDescent="0.2"/>
    <row r="56200" s="197" customFormat="1" ht="12.75" x14ac:dyDescent="0.2"/>
    <row r="56201" s="197" customFormat="1" ht="12.75" x14ac:dyDescent="0.2"/>
    <row r="56202" s="197" customFormat="1" ht="12.75" x14ac:dyDescent="0.2"/>
    <row r="56203" s="197" customFormat="1" ht="12.75" x14ac:dyDescent="0.2"/>
    <row r="56204" s="197" customFormat="1" ht="12.75" x14ac:dyDescent="0.2"/>
    <row r="56205" s="197" customFormat="1" ht="12.75" x14ac:dyDescent="0.2"/>
    <row r="56206" s="197" customFormat="1" ht="12.75" x14ac:dyDescent="0.2"/>
    <row r="56207" s="197" customFormat="1" ht="12.75" x14ac:dyDescent="0.2"/>
    <row r="56208" s="197" customFormat="1" ht="12.75" x14ac:dyDescent="0.2"/>
    <row r="56209" s="197" customFormat="1" ht="12.75" x14ac:dyDescent="0.2"/>
    <row r="56210" s="197" customFormat="1" ht="12.75" x14ac:dyDescent="0.2"/>
    <row r="56211" s="197" customFormat="1" ht="12.75" x14ac:dyDescent="0.2"/>
    <row r="56212" s="197" customFormat="1" ht="12.75" x14ac:dyDescent="0.2"/>
    <row r="56213" s="197" customFormat="1" ht="12.75" x14ac:dyDescent="0.2"/>
    <row r="56214" s="197" customFormat="1" ht="12.75" x14ac:dyDescent="0.2"/>
    <row r="56215" s="197" customFormat="1" ht="12.75" x14ac:dyDescent="0.2"/>
    <row r="56216" s="197" customFormat="1" ht="12.75" x14ac:dyDescent="0.2"/>
    <row r="56217" s="197" customFormat="1" ht="12.75" x14ac:dyDescent="0.2"/>
    <row r="56218" s="197" customFormat="1" ht="12.75" x14ac:dyDescent="0.2"/>
    <row r="56219" s="197" customFormat="1" ht="12.75" x14ac:dyDescent="0.2"/>
    <row r="56220" s="197" customFormat="1" ht="12.75" x14ac:dyDescent="0.2"/>
    <row r="56221" s="197" customFormat="1" ht="12.75" x14ac:dyDescent="0.2"/>
    <row r="56222" s="197" customFormat="1" ht="12.75" x14ac:dyDescent="0.2"/>
    <row r="56223" s="197" customFormat="1" ht="12.75" x14ac:dyDescent="0.2"/>
    <row r="56224" s="197" customFormat="1" ht="12.75" x14ac:dyDescent="0.2"/>
    <row r="56225" s="197" customFormat="1" ht="12.75" x14ac:dyDescent="0.2"/>
    <row r="56226" s="197" customFormat="1" ht="12.75" x14ac:dyDescent="0.2"/>
    <row r="56227" s="197" customFormat="1" ht="12.75" x14ac:dyDescent="0.2"/>
    <row r="56228" s="197" customFormat="1" ht="12.75" x14ac:dyDescent="0.2"/>
    <row r="56229" s="197" customFormat="1" ht="12.75" x14ac:dyDescent="0.2"/>
    <row r="56230" s="197" customFormat="1" ht="12.75" x14ac:dyDescent="0.2"/>
    <row r="56231" s="197" customFormat="1" ht="12.75" x14ac:dyDescent="0.2"/>
    <row r="56232" s="197" customFormat="1" ht="12.75" x14ac:dyDescent="0.2"/>
    <row r="56233" s="197" customFormat="1" ht="12.75" x14ac:dyDescent="0.2"/>
    <row r="56234" s="197" customFormat="1" ht="12.75" x14ac:dyDescent="0.2"/>
    <row r="56235" s="197" customFormat="1" ht="12.75" x14ac:dyDescent="0.2"/>
    <row r="56236" s="197" customFormat="1" ht="12.75" x14ac:dyDescent="0.2"/>
    <row r="56237" s="197" customFormat="1" ht="12.75" x14ac:dyDescent="0.2"/>
    <row r="56238" s="197" customFormat="1" ht="12.75" x14ac:dyDescent="0.2"/>
    <row r="56239" s="197" customFormat="1" ht="12.75" x14ac:dyDescent="0.2"/>
    <row r="56240" s="197" customFormat="1" ht="12.75" x14ac:dyDescent="0.2"/>
    <row r="56241" s="197" customFormat="1" ht="12.75" x14ac:dyDescent="0.2"/>
    <row r="56242" s="197" customFormat="1" ht="12.75" x14ac:dyDescent="0.2"/>
    <row r="56243" s="197" customFormat="1" ht="12.75" x14ac:dyDescent="0.2"/>
    <row r="56244" s="197" customFormat="1" ht="12.75" x14ac:dyDescent="0.2"/>
    <row r="56245" s="197" customFormat="1" ht="12.75" x14ac:dyDescent="0.2"/>
    <row r="56246" s="197" customFormat="1" ht="12.75" x14ac:dyDescent="0.2"/>
    <row r="56247" s="197" customFormat="1" ht="12.75" x14ac:dyDescent="0.2"/>
    <row r="56248" s="197" customFormat="1" ht="12.75" x14ac:dyDescent="0.2"/>
    <row r="56249" s="197" customFormat="1" ht="12.75" x14ac:dyDescent="0.2"/>
    <row r="56250" s="197" customFormat="1" ht="12.75" x14ac:dyDescent="0.2"/>
    <row r="56251" s="197" customFormat="1" ht="12.75" x14ac:dyDescent="0.2"/>
    <row r="56252" s="197" customFormat="1" ht="12.75" x14ac:dyDescent="0.2"/>
    <row r="56253" s="197" customFormat="1" ht="12.75" x14ac:dyDescent="0.2"/>
    <row r="56254" s="197" customFormat="1" ht="12.75" x14ac:dyDescent="0.2"/>
    <row r="56255" s="197" customFormat="1" ht="12.75" x14ac:dyDescent="0.2"/>
    <row r="56256" s="197" customFormat="1" ht="12.75" x14ac:dyDescent="0.2"/>
    <row r="56257" s="197" customFormat="1" ht="12.75" x14ac:dyDescent="0.2"/>
    <row r="56258" s="197" customFormat="1" ht="12.75" x14ac:dyDescent="0.2"/>
    <row r="56259" s="197" customFormat="1" ht="12.75" x14ac:dyDescent="0.2"/>
    <row r="56260" s="197" customFormat="1" ht="12.75" x14ac:dyDescent="0.2"/>
    <row r="56261" s="197" customFormat="1" ht="12.75" x14ac:dyDescent="0.2"/>
    <row r="56262" s="197" customFormat="1" ht="12.75" x14ac:dyDescent="0.2"/>
    <row r="56263" s="197" customFormat="1" ht="12.75" x14ac:dyDescent="0.2"/>
    <row r="56264" s="197" customFormat="1" ht="12.75" x14ac:dyDescent="0.2"/>
    <row r="56265" s="197" customFormat="1" ht="12.75" x14ac:dyDescent="0.2"/>
    <row r="56266" s="197" customFormat="1" ht="12.75" x14ac:dyDescent="0.2"/>
    <row r="56267" s="197" customFormat="1" ht="12.75" x14ac:dyDescent="0.2"/>
    <row r="56268" s="197" customFormat="1" ht="12.75" x14ac:dyDescent="0.2"/>
    <row r="56269" s="197" customFormat="1" ht="12.75" x14ac:dyDescent="0.2"/>
    <row r="56270" s="197" customFormat="1" ht="12.75" x14ac:dyDescent="0.2"/>
    <row r="56271" s="197" customFormat="1" ht="12.75" x14ac:dyDescent="0.2"/>
    <row r="56272" s="197" customFormat="1" ht="12.75" x14ac:dyDescent="0.2"/>
    <row r="56273" s="197" customFormat="1" ht="12.75" x14ac:dyDescent="0.2"/>
    <row r="56274" s="197" customFormat="1" ht="12.75" x14ac:dyDescent="0.2"/>
    <row r="56275" s="197" customFormat="1" ht="12.75" x14ac:dyDescent="0.2"/>
    <row r="56276" s="197" customFormat="1" ht="12.75" x14ac:dyDescent="0.2"/>
    <row r="56277" s="197" customFormat="1" ht="12.75" x14ac:dyDescent="0.2"/>
    <row r="56278" s="197" customFormat="1" ht="12.75" x14ac:dyDescent="0.2"/>
    <row r="56279" s="197" customFormat="1" ht="12.75" x14ac:dyDescent="0.2"/>
    <row r="56280" s="197" customFormat="1" ht="12.75" x14ac:dyDescent="0.2"/>
    <row r="56281" s="197" customFormat="1" ht="12.75" x14ac:dyDescent="0.2"/>
    <row r="56282" s="197" customFormat="1" ht="12.75" x14ac:dyDescent="0.2"/>
    <row r="56283" s="197" customFormat="1" ht="12.75" x14ac:dyDescent="0.2"/>
    <row r="56284" s="197" customFormat="1" ht="12.75" x14ac:dyDescent="0.2"/>
    <row r="56285" s="197" customFormat="1" ht="12.75" x14ac:dyDescent="0.2"/>
    <row r="56286" s="197" customFormat="1" ht="12.75" x14ac:dyDescent="0.2"/>
    <row r="56287" s="197" customFormat="1" ht="12.75" x14ac:dyDescent="0.2"/>
    <row r="56288" s="197" customFormat="1" ht="12.75" x14ac:dyDescent="0.2"/>
    <row r="56289" s="197" customFormat="1" ht="12.75" x14ac:dyDescent="0.2"/>
    <row r="56290" s="197" customFormat="1" ht="12.75" x14ac:dyDescent="0.2"/>
    <row r="56291" s="197" customFormat="1" ht="12.75" x14ac:dyDescent="0.2"/>
    <row r="56292" s="197" customFormat="1" ht="12.75" x14ac:dyDescent="0.2"/>
    <row r="56293" s="197" customFormat="1" ht="12.75" x14ac:dyDescent="0.2"/>
    <row r="56294" s="197" customFormat="1" ht="12.75" x14ac:dyDescent="0.2"/>
    <row r="56295" s="197" customFormat="1" ht="12.75" x14ac:dyDescent="0.2"/>
    <row r="56296" s="197" customFormat="1" ht="12.75" x14ac:dyDescent="0.2"/>
    <row r="56297" s="197" customFormat="1" ht="12.75" x14ac:dyDescent="0.2"/>
    <row r="56298" s="197" customFormat="1" ht="12.75" x14ac:dyDescent="0.2"/>
    <row r="56299" s="197" customFormat="1" ht="12.75" x14ac:dyDescent="0.2"/>
    <row r="56300" s="197" customFormat="1" ht="12.75" x14ac:dyDescent="0.2"/>
    <row r="56301" s="197" customFormat="1" ht="12.75" x14ac:dyDescent="0.2"/>
    <row r="56302" s="197" customFormat="1" ht="12.75" x14ac:dyDescent="0.2"/>
    <row r="56303" s="197" customFormat="1" ht="12.75" x14ac:dyDescent="0.2"/>
    <row r="56304" s="197" customFormat="1" ht="12.75" x14ac:dyDescent="0.2"/>
    <row r="56305" s="197" customFormat="1" ht="12.75" x14ac:dyDescent="0.2"/>
    <row r="56306" s="197" customFormat="1" ht="12.75" x14ac:dyDescent="0.2"/>
    <row r="56307" s="197" customFormat="1" ht="12.75" x14ac:dyDescent="0.2"/>
    <row r="56308" s="197" customFormat="1" ht="12.75" x14ac:dyDescent="0.2"/>
    <row r="56309" s="197" customFormat="1" ht="12.75" x14ac:dyDescent="0.2"/>
    <row r="56310" s="197" customFormat="1" ht="12.75" x14ac:dyDescent="0.2"/>
    <row r="56311" s="197" customFormat="1" ht="12.75" x14ac:dyDescent="0.2"/>
    <row r="56312" s="197" customFormat="1" ht="12.75" x14ac:dyDescent="0.2"/>
    <row r="56313" s="197" customFormat="1" ht="12.75" x14ac:dyDescent="0.2"/>
    <row r="56314" s="197" customFormat="1" ht="12.75" x14ac:dyDescent="0.2"/>
    <row r="56315" s="197" customFormat="1" ht="12.75" x14ac:dyDescent="0.2"/>
    <row r="56316" s="197" customFormat="1" ht="12.75" x14ac:dyDescent="0.2"/>
    <row r="56317" s="197" customFormat="1" ht="12.75" x14ac:dyDescent="0.2"/>
    <row r="56318" s="197" customFormat="1" ht="12.75" x14ac:dyDescent="0.2"/>
    <row r="56319" s="197" customFormat="1" ht="12.75" x14ac:dyDescent="0.2"/>
    <row r="56320" s="197" customFormat="1" ht="12.75" x14ac:dyDescent="0.2"/>
    <row r="56321" s="197" customFormat="1" ht="12.75" x14ac:dyDescent="0.2"/>
    <row r="56322" s="197" customFormat="1" ht="12.75" x14ac:dyDescent="0.2"/>
    <row r="56323" s="197" customFormat="1" ht="12.75" x14ac:dyDescent="0.2"/>
    <row r="56324" s="197" customFormat="1" ht="12.75" x14ac:dyDescent="0.2"/>
    <row r="56325" s="197" customFormat="1" ht="12.75" x14ac:dyDescent="0.2"/>
    <row r="56326" s="197" customFormat="1" ht="12.75" x14ac:dyDescent="0.2"/>
    <row r="56327" s="197" customFormat="1" ht="12.75" x14ac:dyDescent="0.2"/>
    <row r="56328" s="197" customFormat="1" ht="12.75" x14ac:dyDescent="0.2"/>
    <row r="56329" s="197" customFormat="1" ht="12.75" x14ac:dyDescent="0.2"/>
    <row r="56330" s="197" customFormat="1" ht="12.75" x14ac:dyDescent="0.2"/>
    <row r="56331" s="197" customFormat="1" ht="12.75" x14ac:dyDescent="0.2"/>
    <row r="56332" s="197" customFormat="1" ht="12.75" x14ac:dyDescent="0.2"/>
    <row r="56333" s="197" customFormat="1" ht="12.75" x14ac:dyDescent="0.2"/>
    <row r="56334" s="197" customFormat="1" ht="12.75" x14ac:dyDescent="0.2"/>
    <row r="56335" s="197" customFormat="1" ht="12.75" x14ac:dyDescent="0.2"/>
    <row r="56336" s="197" customFormat="1" ht="12.75" x14ac:dyDescent="0.2"/>
    <row r="56337" s="197" customFormat="1" ht="12.75" x14ac:dyDescent="0.2"/>
    <row r="56338" s="197" customFormat="1" ht="12.75" x14ac:dyDescent="0.2"/>
    <row r="56339" s="197" customFormat="1" ht="12.75" x14ac:dyDescent="0.2"/>
    <row r="56340" s="197" customFormat="1" ht="12.75" x14ac:dyDescent="0.2"/>
    <row r="56341" s="197" customFormat="1" ht="12.75" x14ac:dyDescent="0.2"/>
    <row r="56342" s="197" customFormat="1" ht="12.75" x14ac:dyDescent="0.2"/>
    <row r="56343" s="197" customFormat="1" ht="12.75" x14ac:dyDescent="0.2"/>
    <row r="56344" s="197" customFormat="1" ht="12.75" x14ac:dyDescent="0.2"/>
    <row r="56345" s="197" customFormat="1" ht="12.75" x14ac:dyDescent="0.2"/>
    <row r="56346" s="197" customFormat="1" ht="12.75" x14ac:dyDescent="0.2"/>
    <row r="56347" s="197" customFormat="1" ht="12.75" x14ac:dyDescent="0.2"/>
    <row r="56348" s="197" customFormat="1" ht="12.75" x14ac:dyDescent="0.2"/>
    <row r="56349" s="197" customFormat="1" ht="12.75" x14ac:dyDescent="0.2"/>
    <row r="56350" s="197" customFormat="1" ht="12.75" x14ac:dyDescent="0.2"/>
    <row r="56351" s="197" customFormat="1" ht="12.75" x14ac:dyDescent="0.2"/>
    <row r="56352" s="197" customFormat="1" ht="12.75" x14ac:dyDescent="0.2"/>
    <row r="56353" s="197" customFormat="1" ht="12.75" x14ac:dyDescent="0.2"/>
    <row r="56354" s="197" customFormat="1" ht="12.75" x14ac:dyDescent="0.2"/>
    <row r="56355" s="197" customFormat="1" ht="12.75" x14ac:dyDescent="0.2"/>
    <row r="56356" s="197" customFormat="1" ht="12.75" x14ac:dyDescent="0.2"/>
    <row r="56357" s="197" customFormat="1" ht="12.75" x14ac:dyDescent="0.2"/>
    <row r="56358" s="197" customFormat="1" ht="12.75" x14ac:dyDescent="0.2"/>
    <row r="56359" s="197" customFormat="1" ht="12.75" x14ac:dyDescent="0.2"/>
    <row r="56360" s="197" customFormat="1" ht="12.75" x14ac:dyDescent="0.2"/>
    <row r="56361" s="197" customFormat="1" ht="12.75" x14ac:dyDescent="0.2"/>
    <row r="56362" s="197" customFormat="1" ht="12.75" x14ac:dyDescent="0.2"/>
    <row r="56363" s="197" customFormat="1" ht="12.75" x14ac:dyDescent="0.2"/>
    <row r="56364" s="197" customFormat="1" ht="12.75" x14ac:dyDescent="0.2"/>
    <row r="56365" s="197" customFormat="1" ht="12.75" x14ac:dyDescent="0.2"/>
    <row r="56366" s="197" customFormat="1" ht="12.75" x14ac:dyDescent="0.2"/>
    <row r="56367" s="197" customFormat="1" ht="12.75" x14ac:dyDescent="0.2"/>
    <row r="56368" s="197" customFormat="1" ht="12.75" x14ac:dyDescent="0.2"/>
    <row r="56369" s="197" customFormat="1" ht="12.75" x14ac:dyDescent="0.2"/>
    <row r="56370" s="197" customFormat="1" ht="12.75" x14ac:dyDescent="0.2"/>
    <row r="56371" s="197" customFormat="1" ht="12.75" x14ac:dyDescent="0.2"/>
    <row r="56372" s="197" customFormat="1" ht="12.75" x14ac:dyDescent="0.2"/>
    <row r="56373" s="197" customFormat="1" ht="12.75" x14ac:dyDescent="0.2"/>
    <row r="56374" s="197" customFormat="1" ht="12.75" x14ac:dyDescent="0.2"/>
    <row r="56375" s="197" customFormat="1" ht="12.75" x14ac:dyDescent="0.2"/>
    <row r="56376" s="197" customFormat="1" ht="12.75" x14ac:dyDescent="0.2"/>
    <row r="56377" s="197" customFormat="1" ht="12.75" x14ac:dyDescent="0.2"/>
    <row r="56378" s="197" customFormat="1" ht="12.75" x14ac:dyDescent="0.2"/>
    <row r="56379" s="197" customFormat="1" ht="12.75" x14ac:dyDescent="0.2"/>
    <row r="56380" s="197" customFormat="1" ht="12.75" x14ac:dyDescent="0.2"/>
    <row r="56381" s="197" customFormat="1" ht="12.75" x14ac:dyDescent="0.2"/>
    <row r="56382" s="197" customFormat="1" ht="12.75" x14ac:dyDescent="0.2"/>
    <row r="56383" s="197" customFormat="1" ht="12.75" x14ac:dyDescent="0.2"/>
    <row r="56384" s="197" customFormat="1" ht="12.75" x14ac:dyDescent="0.2"/>
    <row r="56385" s="197" customFormat="1" ht="12.75" x14ac:dyDescent="0.2"/>
    <row r="56386" s="197" customFormat="1" ht="12.75" x14ac:dyDescent="0.2"/>
    <row r="56387" s="197" customFormat="1" ht="12.75" x14ac:dyDescent="0.2"/>
    <row r="56388" s="197" customFormat="1" ht="12.75" x14ac:dyDescent="0.2"/>
    <row r="56389" s="197" customFormat="1" ht="12.75" x14ac:dyDescent="0.2"/>
    <row r="56390" s="197" customFormat="1" ht="12.75" x14ac:dyDescent="0.2"/>
    <row r="56391" s="197" customFormat="1" ht="12.75" x14ac:dyDescent="0.2"/>
    <row r="56392" s="197" customFormat="1" ht="12.75" x14ac:dyDescent="0.2"/>
    <row r="56393" s="197" customFormat="1" ht="12.75" x14ac:dyDescent="0.2"/>
    <row r="56394" s="197" customFormat="1" ht="12.75" x14ac:dyDescent="0.2"/>
    <row r="56395" s="197" customFormat="1" ht="12.75" x14ac:dyDescent="0.2"/>
    <row r="56396" s="197" customFormat="1" ht="12.75" x14ac:dyDescent="0.2"/>
    <row r="56397" s="197" customFormat="1" ht="12.75" x14ac:dyDescent="0.2"/>
    <row r="56398" s="197" customFormat="1" ht="12.75" x14ac:dyDescent="0.2"/>
    <row r="56399" s="197" customFormat="1" ht="12.75" x14ac:dyDescent="0.2"/>
    <row r="56400" s="197" customFormat="1" ht="12.75" x14ac:dyDescent="0.2"/>
    <row r="56401" s="197" customFormat="1" ht="12.75" x14ac:dyDescent="0.2"/>
    <row r="56402" s="197" customFormat="1" ht="12.75" x14ac:dyDescent="0.2"/>
    <row r="56403" s="197" customFormat="1" ht="12.75" x14ac:dyDescent="0.2"/>
    <row r="56404" s="197" customFormat="1" ht="12.75" x14ac:dyDescent="0.2"/>
    <row r="56405" s="197" customFormat="1" ht="12.75" x14ac:dyDescent="0.2"/>
    <row r="56406" s="197" customFormat="1" ht="12.75" x14ac:dyDescent="0.2"/>
    <row r="56407" s="197" customFormat="1" ht="12.75" x14ac:dyDescent="0.2"/>
    <row r="56408" s="197" customFormat="1" ht="12.75" x14ac:dyDescent="0.2"/>
    <row r="56409" s="197" customFormat="1" ht="12.75" x14ac:dyDescent="0.2"/>
    <row r="56410" s="197" customFormat="1" ht="12.75" x14ac:dyDescent="0.2"/>
    <row r="56411" s="197" customFormat="1" ht="12.75" x14ac:dyDescent="0.2"/>
    <row r="56412" s="197" customFormat="1" ht="12.75" x14ac:dyDescent="0.2"/>
    <row r="56413" s="197" customFormat="1" ht="12.75" x14ac:dyDescent="0.2"/>
    <row r="56414" s="197" customFormat="1" ht="12.75" x14ac:dyDescent="0.2"/>
    <row r="56415" s="197" customFormat="1" ht="12.75" x14ac:dyDescent="0.2"/>
    <row r="56416" s="197" customFormat="1" ht="12.75" x14ac:dyDescent="0.2"/>
    <row r="56417" s="197" customFormat="1" ht="12.75" x14ac:dyDescent="0.2"/>
    <row r="56418" s="197" customFormat="1" ht="12.75" x14ac:dyDescent="0.2"/>
    <row r="56419" s="197" customFormat="1" ht="12.75" x14ac:dyDescent="0.2"/>
    <row r="56420" s="197" customFormat="1" ht="12.75" x14ac:dyDescent="0.2"/>
    <row r="56421" s="197" customFormat="1" ht="12.75" x14ac:dyDescent="0.2"/>
    <row r="56422" s="197" customFormat="1" ht="12.75" x14ac:dyDescent="0.2"/>
    <row r="56423" s="197" customFormat="1" ht="12.75" x14ac:dyDescent="0.2"/>
    <row r="56424" s="197" customFormat="1" ht="12.75" x14ac:dyDescent="0.2"/>
    <row r="56425" s="197" customFormat="1" ht="12.75" x14ac:dyDescent="0.2"/>
    <row r="56426" s="197" customFormat="1" ht="12.75" x14ac:dyDescent="0.2"/>
    <row r="56427" s="197" customFormat="1" ht="12.75" x14ac:dyDescent="0.2"/>
    <row r="56428" s="197" customFormat="1" ht="12.75" x14ac:dyDescent="0.2"/>
    <row r="56429" s="197" customFormat="1" ht="12.75" x14ac:dyDescent="0.2"/>
    <row r="56430" s="197" customFormat="1" ht="12.75" x14ac:dyDescent="0.2"/>
    <row r="56431" s="197" customFormat="1" ht="12.75" x14ac:dyDescent="0.2"/>
    <row r="56432" s="197" customFormat="1" ht="12.75" x14ac:dyDescent="0.2"/>
    <row r="56433" s="197" customFormat="1" ht="12.75" x14ac:dyDescent="0.2"/>
    <row r="56434" s="197" customFormat="1" ht="12.75" x14ac:dyDescent="0.2"/>
    <row r="56435" s="197" customFormat="1" ht="12.75" x14ac:dyDescent="0.2"/>
    <row r="56436" s="197" customFormat="1" ht="12.75" x14ac:dyDescent="0.2"/>
    <row r="56437" s="197" customFormat="1" ht="12.75" x14ac:dyDescent="0.2"/>
    <row r="56438" s="197" customFormat="1" ht="12.75" x14ac:dyDescent="0.2"/>
    <row r="56439" s="197" customFormat="1" ht="12.75" x14ac:dyDescent="0.2"/>
    <row r="56440" s="197" customFormat="1" ht="12.75" x14ac:dyDescent="0.2"/>
    <row r="56441" s="197" customFormat="1" ht="12.75" x14ac:dyDescent="0.2"/>
    <row r="56442" s="197" customFormat="1" ht="12.75" x14ac:dyDescent="0.2"/>
    <row r="56443" s="197" customFormat="1" ht="12.75" x14ac:dyDescent="0.2"/>
    <row r="56444" s="197" customFormat="1" ht="12.75" x14ac:dyDescent="0.2"/>
    <row r="56445" s="197" customFormat="1" ht="12.75" x14ac:dyDescent="0.2"/>
    <row r="56446" s="197" customFormat="1" ht="12.75" x14ac:dyDescent="0.2"/>
    <row r="56447" s="197" customFormat="1" ht="12.75" x14ac:dyDescent="0.2"/>
    <row r="56448" s="197" customFormat="1" ht="12.75" x14ac:dyDescent="0.2"/>
    <row r="56449" s="197" customFormat="1" ht="12.75" x14ac:dyDescent="0.2"/>
    <row r="56450" s="197" customFormat="1" ht="12.75" x14ac:dyDescent="0.2"/>
    <row r="56451" s="197" customFormat="1" ht="12.75" x14ac:dyDescent="0.2"/>
    <row r="56452" s="197" customFormat="1" ht="12.75" x14ac:dyDescent="0.2"/>
    <row r="56453" s="197" customFormat="1" ht="12.75" x14ac:dyDescent="0.2"/>
    <row r="56454" s="197" customFormat="1" ht="12.75" x14ac:dyDescent="0.2"/>
    <row r="56455" s="197" customFormat="1" ht="12.75" x14ac:dyDescent="0.2"/>
    <row r="56456" s="197" customFormat="1" ht="12.75" x14ac:dyDescent="0.2"/>
    <row r="56457" s="197" customFormat="1" ht="12.75" x14ac:dyDescent="0.2"/>
    <row r="56458" s="197" customFormat="1" ht="12.75" x14ac:dyDescent="0.2"/>
    <row r="56459" s="197" customFormat="1" ht="12.75" x14ac:dyDescent="0.2"/>
    <row r="56460" s="197" customFormat="1" ht="12.75" x14ac:dyDescent="0.2"/>
    <row r="56461" s="197" customFormat="1" ht="12.75" x14ac:dyDescent="0.2"/>
    <row r="56462" s="197" customFormat="1" ht="12.75" x14ac:dyDescent="0.2"/>
    <row r="56463" s="197" customFormat="1" ht="12.75" x14ac:dyDescent="0.2"/>
    <row r="56464" s="197" customFormat="1" ht="12.75" x14ac:dyDescent="0.2"/>
    <row r="56465" s="197" customFormat="1" ht="12.75" x14ac:dyDescent="0.2"/>
    <row r="56466" s="197" customFormat="1" ht="12.75" x14ac:dyDescent="0.2"/>
    <row r="56467" s="197" customFormat="1" ht="12.75" x14ac:dyDescent="0.2"/>
    <row r="56468" s="197" customFormat="1" ht="12.75" x14ac:dyDescent="0.2"/>
    <row r="56469" s="197" customFormat="1" ht="12.75" x14ac:dyDescent="0.2"/>
    <row r="56470" s="197" customFormat="1" ht="12.75" x14ac:dyDescent="0.2"/>
    <row r="56471" s="197" customFormat="1" ht="12.75" x14ac:dyDescent="0.2"/>
    <row r="56472" s="197" customFormat="1" ht="12.75" x14ac:dyDescent="0.2"/>
    <row r="56473" s="197" customFormat="1" ht="12.75" x14ac:dyDescent="0.2"/>
    <row r="56474" s="197" customFormat="1" ht="12.75" x14ac:dyDescent="0.2"/>
    <row r="56475" s="197" customFormat="1" ht="12.75" x14ac:dyDescent="0.2"/>
    <row r="56476" s="197" customFormat="1" ht="12.75" x14ac:dyDescent="0.2"/>
    <row r="56477" s="197" customFormat="1" ht="12.75" x14ac:dyDescent="0.2"/>
    <row r="56478" s="197" customFormat="1" ht="12.75" x14ac:dyDescent="0.2"/>
    <row r="56479" s="197" customFormat="1" ht="12.75" x14ac:dyDescent="0.2"/>
    <row r="56480" s="197" customFormat="1" ht="12.75" x14ac:dyDescent="0.2"/>
    <row r="56481" s="197" customFormat="1" ht="12.75" x14ac:dyDescent="0.2"/>
    <row r="56482" s="197" customFormat="1" ht="12.75" x14ac:dyDescent="0.2"/>
    <row r="56483" s="197" customFormat="1" ht="12.75" x14ac:dyDescent="0.2"/>
    <row r="56484" s="197" customFormat="1" ht="12.75" x14ac:dyDescent="0.2"/>
    <row r="56485" s="197" customFormat="1" ht="12.75" x14ac:dyDescent="0.2"/>
    <row r="56486" s="197" customFormat="1" ht="12.75" x14ac:dyDescent="0.2"/>
    <row r="56487" s="197" customFormat="1" ht="12.75" x14ac:dyDescent="0.2"/>
    <row r="56488" s="197" customFormat="1" ht="12.75" x14ac:dyDescent="0.2"/>
    <row r="56489" s="197" customFormat="1" ht="12.75" x14ac:dyDescent="0.2"/>
    <row r="56490" s="197" customFormat="1" ht="12.75" x14ac:dyDescent="0.2"/>
    <row r="56491" s="197" customFormat="1" ht="12.75" x14ac:dyDescent="0.2"/>
    <row r="56492" s="197" customFormat="1" ht="12.75" x14ac:dyDescent="0.2"/>
    <row r="56493" s="197" customFormat="1" ht="12.75" x14ac:dyDescent="0.2"/>
    <row r="56494" s="197" customFormat="1" ht="12.75" x14ac:dyDescent="0.2"/>
    <row r="56495" s="197" customFormat="1" ht="12.75" x14ac:dyDescent="0.2"/>
    <row r="56496" s="197" customFormat="1" ht="12.75" x14ac:dyDescent="0.2"/>
    <row r="56497" s="197" customFormat="1" ht="12.75" x14ac:dyDescent="0.2"/>
    <row r="56498" s="197" customFormat="1" ht="12.75" x14ac:dyDescent="0.2"/>
    <row r="56499" s="197" customFormat="1" ht="12.75" x14ac:dyDescent="0.2"/>
    <row r="56500" s="197" customFormat="1" ht="12.75" x14ac:dyDescent="0.2"/>
    <row r="56501" s="197" customFormat="1" ht="12.75" x14ac:dyDescent="0.2"/>
    <row r="56502" s="197" customFormat="1" ht="12.75" x14ac:dyDescent="0.2"/>
    <row r="56503" s="197" customFormat="1" ht="12.75" x14ac:dyDescent="0.2"/>
    <row r="56504" s="197" customFormat="1" ht="12.75" x14ac:dyDescent="0.2"/>
    <row r="56505" s="197" customFormat="1" ht="12.75" x14ac:dyDescent="0.2"/>
    <row r="56506" s="197" customFormat="1" ht="12.75" x14ac:dyDescent="0.2"/>
    <row r="56507" s="197" customFormat="1" ht="12.75" x14ac:dyDescent="0.2"/>
    <row r="56508" s="197" customFormat="1" ht="12.75" x14ac:dyDescent="0.2"/>
    <row r="56509" s="197" customFormat="1" ht="12.75" x14ac:dyDescent="0.2"/>
    <row r="56510" s="197" customFormat="1" ht="12.75" x14ac:dyDescent="0.2"/>
    <row r="56511" s="197" customFormat="1" ht="12.75" x14ac:dyDescent="0.2"/>
    <row r="56512" s="197" customFormat="1" ht="12.75" x14ac:dyDescent="0.2"/>
    <row r="56513" s="197" customFormat="1" ht="12.75" x14ac:dyDescent="0.2"/>
    <row r="56514" s="197" customFormat="1" ht="12.75" x14ac:dyDescent="0.2"/>
    <row r="56515" s="197" customFormat="1" ht="12.75" x14ac:dyDescent="0.2"/>
    <row r="56516" s="197" customFormat="1" ht="12.75" x14ac:dyDescent="0.2"/>
    <row r="56517" s="197" customFormat="1" ht="12.75" x14ac:dyDescent="0.2"/>
    <row r="56518" s="197" customFormat="1" ht="12.75" x14ac:dyDescent="0.2"/>
    <row r="56519" s="197" customFormat="1" ht="12.75" x14ac:dyDescent="0.2"/>
    <row r="56520" s="197" customFormat="1" ht="12.75" x14ac:dyDescent="0.2"/>
    <row r="56521" s="197" customFormat="1" ht="12.75" x14ac:dyDescent="0.2"/>
    <row r="56522" s="197" customFormat="1" ht="12.75" x14ac:dyDescent="0.2"/>
    <row r="56523" s="197" customFormat="1" ht="12.75" x14ac:dyDescent="0.2"/>
    <row r="56524" s="197" customFormat="1" ht="12.75" x14ac:dyDescent="0.2"/>
    <row r="56525" s="197" customFormat="1" ht="12.75" x14ac:dyDescent="0.2"/>
    <row r="56526" s="197" customFormat="1" ht="12.75" x14ac:dyDescent="0.2"/>
    <row r="56527" s="197" customFormat="1" ht="12.75" x14ac:dyDescent="0.2"/>
    <row r="56528" s="197" customFormat="1" ht="12.75" x14ac:dyDescent="0.2"/>
    <row r="56529" s="197" customFormat="1" ht="12.75" x14ac:dyDescent="0.2"/>
    <row r="56530" s="197" customFormat="1" ht="12.75" x14ac:dyDescent="0.2"/>
    <row r="56531" s="197" customFormat="1" ht="12.75" x14ac:dyDescent="0.2"/>
    <row r="56532" s="197" customFormat="1" ht="12.75" x14ac:dyDescent="0.2"/>
    <row r="56533" s="197" customFormat="1" ht="12.75" x14ac:dyDescent="0.2"/>
    <row r="56534" s="197" customFormat="1" ht="12.75" x14ac:dyDescent="0.2"/>
    <row r="56535" s="197" customFormat="1" ht="12.75" x14ac:dyDescent="0.2"/>
    <row r="56536" s="197" customFormat="1" ht="12.75" x14ac:dyDescent="0.2"/>
    <row r="56537" s="197" customFormat="1" ht="12.75" x14ac:dyDescent="0.2"/>
    <row r="56538" s="197" customFormat="1" ht="12.75" x14ac:dyDescent="0.2"/>
    <row r="56539" s="197" customFormat="1" ht="12.75" x14ac:dyDescent="0.2"/>
    <row r="56540" s="197" customFormat="1" ht="12.75" x14ac:dyDescent="0.2"/>
    <row r="56541" s="197" customFormat="1" ht="12.75" x14ac:dyDescent="0.2"/>
    <row r="56542" s="197" customFormat="1" ht="12.75" x14ac:dyDescent="0.2"/>
    <row r="56543" s="197" customFormat="1" ht="12.75" x14ac:dyDescent="0.2"/>
    <row r="56544" s="197" customFormat="1" ht="12.75" x14ac:dyDescent="0.2"/>
    <row r="56545" s="197" customFormat="1" ht="12.75" x14ac:dyDescent="0.2"/>
    <row r="56546" s="197" customFormat="1" ht="12.75" x14ac:dyDescent="0.2"/>
    <row r="56547" s="197" customFormat="1" ht="12.75" x14ac:dyDescent="0.2"/>
    <row r="56548" s="197" customFormat="1" ht="12.75" x14ac:dyDescent="0.2"/>
    <row r="56549" s="197" customFormat="1" ht="12.75" x14ac:dyDescent="0.2"/>
    <row r="56550" s="197" customFormat="1" ht="12.75" x14ac:dyDescent="0.2"/>
    <row r="56551" s="197" customFormat="1" ht="12.75" x14ac:dyDescent="0.2"/>
    <row r="56552" s="197" customFormat="1" ht="12.75" x14ac:dyDescent="0.2"/>
    <row r="56553" s="197" customFormat="1" ht="12.75" x14ac:dyDescent="0.2"/>
    <row r="56554" s="197" customFormat="1" ht="12.75" x14ac:dyDescent="0.2"/>
    <row r="56555" s="197" customFormat="1" ht="12.75" x14ac:dyDescent="0.2"/>
    <row r="56556" s="197" customFormat="1" ht="12.75" x14ac:dyDescent="0.2"/>
    <row r="56557" s="197" customFormat="1" ht="12.75" x14ac:dyDescent="0.2"/>
    <row r="56558" s="197" customFormat="1" ht="12.75" x14ac:dyDescent="0.2"/>
    <row r="56559" s="197" customFormat="1" ht="12.75" x14ac:dyDescent="0.2"/>
    <row r="56560" s="197" customFormat="1" ht="12.75" x14ac:dyDescent="0.2"/>
    <row r="56561" s="197" customFormat="1" ht="12.75" x14ac:dyDescent="0.2"/>
    <row r="56562" s="197" customFormat="1" ht="12.75" x14ac:dyDescent="0.2"/>
    <row r="56563" s="197" customFormat="1" ht="12.75" x14ac:dyDescent="0.2"/>
    <row r="56564" s="197" customFormat="1" ht="12.75" x14ac:dyDescent="0.2"/>
    <row r="56565" s="197" customFormat="1" ht="12.75" x14ac:dyDescent="0.2"/>
    <row r="56566" s="197" customFormat="1" ht="12.75" x14ac:dyDescent="0.2"/>
    <row r="56567" s="197" customFormat="1" ht="12.75" x14ac:dyDescent="0.2"/>
    <row r="56568" s="197" customFormat="1" ht="12.75" x14ac:dyDescent="0.2"/>
    <row r="56569" s="197" customFormat="1" ht="12.75" x14ac:dyDescent="0.2"/>
    <row r="56570" s="197" customFormat="1" ht="12.75" x14ac:dyDescent="0.2"/>
    <row r="56571" s="197" customFormat="1" ht="12.75" x14ac:dyDescent="0.2"/>
    <row r="56572" s="197" customFormat="1" ht="12.75" x14ac:dyDescent="0.2"/>
    <row r="56573" s="197" customFormat="1" ht="12.75" x14ac:dyDescent="0.2"/>
    <row r="56574" s="197" customFormat="1" ht="12.75" x14ac:dyDescent="0.2"/>
    <row r="56575" s="197" customFormat="1" ht="12.75" x14ac:dyDescent="0.2"/>
    <row r="56576" s="197" customFormat="1" ht="12.75" x14ac:dyDescent="0.2"/>
    <row r="56577" s="197" customFormat="1" ht="12.75" x14ac:dyDescent="0.2"/>
    <row r="56578" s="197" customFormat="1" ht="12.75" x14ac:dyDescent="0.2"/>
    <row r="56579" s="197" customFormat="1" ht="12.75" x14ac:dyDescent="0.2"/>
    <row r="56580" s="197" customFormat="1" ht="12.75" x14ac:dyDescent="0.2"/>
    <row r="56581" s="197" customFormat="1" ht="12.75" x14ac:dyDescent="0.2"/>
    <row r="56582" s="197" customFormat="1" ht="12.75" x14ac:dyDescent="0.2"/>
    <row r="56583" s="197" customFormat="1" ht="12.75" x14ac:dyDescent="0.2"/>
    <row r="56584" s="197" customFormat="1" ht="12.75" x14ac:dyDescent="0.2"/>
    <row r="56585" s="197" customFormat="1" ht="12.75" x14ac:dyDescent="0.2"/>
    <row r="56586" s="197" customFormat="1" ht="12.75" x14ac:dyDescent="0.2"/>
    <row r="56587" s="197" customFormat="1" ht="12.75" x14ac:dyDescent="0.2"/>
    <row r="56588" s="197" customFormat="1" ht="12.75" x14ac:dyDescent="0.2"/>
    <row r="56589" s="197" customFormat="1" ht="12.75" x14ac:dyDescent="0.2"/>
    <row r="56590" s="197" customFormat="1" ht="12.75" x14ac:dyDescent="0.2"/>
    <row r="56591" s="197" customFormat="1" ht="12.75" x14ac:dyDescent="0.2"/>
    <row r="56592" s="197" customFormat="1" ht="12.75" x14ac:dyDescent="0.2"/>
    <row r="56593" s="197" customFormat="1" ht="12.75" x14ac:dyDescent="0.2"/>
    <row r="56594" s="197" customFormat="1" ht="12.75" x14ac:dyDescent="0.2"/>
    <row r="56595" s="197" customFormat="1" ht="12.75" x14ac:dyDescent="0.2"/>
    <row r="56596" s="197" customFormat="1" ht="12.75" x14ac:dyDescent="0.2"/>
    <row r="56597" s="197" customFormat="1" ht="12.75" x14ac:dyDescent="0.2"/>
    <row r="56598" s="197" customFormat="1" ht="12.75" x14ac:dyDescent="0.2"/>
    <row r="56599" s="197" customFormat="1" ht="12.75" x14ac:dyDescent="0.2"/>
    <row r="56600" s="197" customFormat="1" ht="12.75" x14ac:dyDescent="0.2"/>
    <row r="56601" s="197" customFormat="1" ht="12.75" x14ac:dyDescent="0.2"/>
    <row r="56602" s="197" customFormat="1" ht="12.75" x14ac:dyDescent="0.2"/>
    <row r="56603" s="197" customFormat="1" ht="12.75" x14ac:dyDescent="0.2"/>
    <row r="56604" s="197" customFormat="1" ht="12.75" x14ac:dyDescent="0.2"/>
    <row r="56605" s="197" customFormat="1" ht="12.75" x14ac:dyDescent="0.2"/>
    <row r="56606" s="197" customFormat="1" ht="12.75" x14ac:dyDescent="0.2"/>
    <row r="56607" s="197" customFormat="1" ht="12.75" x14ac:dyDescent="0.2"/>
    <row r="56608" s="197" customFormat="1" ht="12.75" x14ac:dyDescent="0.2"/>
    <row r="56609" s="197" customFormat="1" ht="12.75" x14ac:dyDescent="0.2"/>
    <row r="56610" s="197" customFormat="1" ht="12.75" x14ac:dyDescent="0.2"/>
    <row r="56611" s="197" customFormat="1" ht="12.75" x14ac:dyDescent="0.2"/>
    <row r="56612" s="197" customFormat="1" ht="12.75" x14ac:dyDescent="0.2"/>
    <row r="56613" s="197" customFormat="1" ht="12.75" x14ac:dyDescent="0.2"/>
    <row r="56614" s="197" customFormat="1" ht="12.75" x14ac:dyDescent="0.2"/>
    <row r="56615" s="197" customFormat="1" ht="12.75" x14ac:dyDescent="0.2"/>
    <row r="56616" s="197" customFormat="1" ht="12.75" x14ac:dyDescent="0.2"/>
    <row r="56617" s="197" customFormat="1" ht="12.75" x14ac:dyDescent="0.2"/>
    <row r="56618" s="197" customFormat="1" ht="12.75" x14ac:dyDescent="0.2"/>
    <row r="56619" s="197" customFormat="1" ht="12.75" x14ac:dyDescent="0.2"/>
    <row r="56620" s="197" customFormat="1" ht="12.75" x14ac:dyDescent="0.2"/>
    <row r="56621" s="197" customFormat="1" ht="12.75" x14ac:dyDescent="0.2"/>
    <row r="56622" s="197" customFormat="1" ht="12.75" x14ac:dyDescent="0.2"/>
    <row r="56623" s="197" customFormat="1" ht="12.75" x14ac:dyDescent="0.2"/>
    <row r="56624" s="197" customFormat="1" ht="12.75" x14ac:dyDescent="0.2"/>
    <row r="56625" s="197" customFormat="1" ht="12.75" x14ac:dyDescent="0.2"/>
    <row r="56626" s="197" customFormat="1" ht="12.75" x14ac:dyDescent="0.2"/>
    <row r="56627" s="197" customFormat="1" ht="12.75" x14ac:dyDescent="0.2"/>
    <row r="56628" s="197" customFormat="1" ht="12.75" x14ac:dyDescent="0.2"/>
    <row r="56629" s="197" customFormat="1" ht="12.75" x14ac:dyDescent="0.2"/>
    <row r="56630" s="197" customFormat="1" ht="12.75" x14ac:dyDescent="0.2"/>
    <row r="56631" s="197" customFormat="1" ht="12.75" x14ac:dyDescent="0.2"/>
    <row r="56632" s="197" customFormat="1" ht="12.75" x14ac:dyDescent="0.2"/>
    <row r="56633" s="197" customFormat="1" ht="12.75" x14ac:dyDescent="0.2"/>
    <row r="56634" s="197" customFormat="1" ht="12.75" x14ac:dyDescent="0.2"/>
    <row r="56635" s="197" customFormat="1" ht="12.75" x14ac:dyDescent="0.2"/>
    <row r="56636" s="197" customFormat="1" ht="12.75" x14ac:dyDescent="0.2"/>
    <row r="56637" s="197" customFormat="1" ht="12.75" x14ac:dyDescent="0.2"/>
    <row r="56638" s="197" customFormat="1" ht="12.75" x14ac:dyDescent="0.2"/>
    <row r="56639" s="197" customFormat="1" ht="12.75" x14ac:dyDescent="0.2"/>
    <row r="56640" s="197" customFormat="1" ht="12.75" x14ac:dyDescent="0.2"/>
    <row r="56641" s="197" customFormat="1" ht="12.75" x14ac:dyDescent="0.2"/>
    <row r="56642" s="197" customFormat="1" ht="12.75" x14ac:dyDescent="0.2"/>
    <row r="56643" s="197" customFormat="1" ht="12.75" x14ac:dyDescent="0.2"/>
    <row r="56644" s="197" customFormat="1" ht="12.75" x14ac:dyDescent="0.2"/>
    <row r="56645" s="197" customFormat="1" ht="12.75" x14ac:dyDescent="0.2"/>
    <row r="56646" s="197" customFormat="1" ht="12.75" x14ac:dyDescent="0.2"/>
    <row r="56647" s="197" customFormat="1" ht="12.75" x14ac:dyDescent="0.2"/>
    <row r="56648" s="197" customFormat="1" ht="12.75" x14ac:dyDescent="0.2"/>
    <row r="56649" s="197" customFormat="1" ht="12.75" x14ac:dyDescent="0.2"/>
    <row r="56650" s="197" customFormat="1" ht="12.75" x14ac:dyDescent="0.2"/>
    <row r="56651" s="197" customFormat="1" ht="12.75" x14ac:dyDescent="0.2"/>
    <row r="56652" s="197" customFormat="1" ht="12.75" x14ac:dyDescent="0.2"/>
    <row r="56653" s="197" customFormat="1" ht="12.75" x14ac:dyDescent="0.2"/>
    <row r="56654" s="197" customFormat="1" ht="12.75" x14ac:dyDescent="0.2"/>
    <row r="56655" s="197" customFormat="1" ht="12.75" x14ac:dyDescent="0.2"/>
    <row r="56656" s="197" customFormat="1" ht="12.75" x14ac:dyDescent="0.2"/>
    <row r="56657" s="197" customFormat="1" ht="12.75" x14ac:dyDescent="0.2"/>
    <row r="56658" s="197" customFormat="1" ht="12.75" x14ac:dyDescent="0.2"/>
    <row r="56659" s="197" customFormat="1" ht="12.75" x14ac:dyDescent="0.2"/>
    <row r="56660" s="197" customFormat="1" ht="12.75" x14ac:dyDescent="0.2"/>
    <row r="56661" s="197" customFormat="1" ht="12.75" x14ac:dyDescent="0.2"/>
    <row r="56662" s="197" customFormat="1" ht="12.75" x14ac:dyDescent="0.2"/>
    <row r="56663" s="197" customFormat="1" ht="12.75" x14ac:dyDescent="0.2"/>
    <row r="56664" s="197" customFormat="1" ht="12.75" x14ac:dyDescent="0.2"/>
    <row r="56665" s="197" customFormat="1" ht="12.75" x14ac:dyDescent="0.2"/>
    <row r="56666" s="197" customFormat="1" ht="12.75" x14ac:dyDescent="0.2"/>
    <row r="56667" s="197" customFormat="1" ht="12.75" x14ac:dyDescent="0.2"/>
    <row r="56668" s="197" customFormat="1" ht="12.75" x14ac:dyDescent="0.2"/>
    <row r="56669" s="197" customFormat="1" ht="12.75" x14ac:dyDescent="0.2"/>
    <row r="56670" s="197" customFormat="1" ht="12.75" x14ac:dyDescent="0.2"/>
    <row r="56671" s="197" customFormat="1" ht="12.75" x14ac:dyDescent="0.2"/>
    <row r="56672" s="197" customFormat="1" ht="12.75" x14ac:dyDescent="0.2"/>
    <row r="56673" s="197" customFormat="1" ht="12.75" x14ac:dyDescent="0.2"/>
    <row r="56674" s="197" customFormat="1" ht="12.75" x14ac:dyDescent="0.2"/>
    <row r="56675" s="197" customFormat="1" ht="12.75" x14ac:dyDescent="0.2"/>
    <row r="56676" s="197" customFormat="1" ht="12.75" x14ac:dyDescent="0.2"/>
    <row r="56677" s="197" customFormat="1" ht="12.75" x14ac:dyDescent="0.2"/>
    <row r="56678" s="197" customFormat="1" ht="12.75" x14ac:dyDescent="0.2"/>
    <row r="56679" s="197" customFormat="1" ht="12.75" x14ac:dyDescent="0.2"/>
    <row r="56680" s="197" customFormat="1" ht="12.75" x14ac:dyDescent="0.2"/>
    <row r="56681" s="197" customFormat="1" ht="12.75" x14ac:dyDescent="0.2"/>
    <row r="56682" s="197" customFormat="1" ht="12.75" x14ac:dyDescent="0.2"/>
    <row r="56683" s="197" customFormat="1" ht="12.75" x14ac:dyDescent="0.2"/>
    <row r="56684" s="197" customFormat="1" ht="12.75" x14ac:dyDescent="0.2"/>
    <row r="56685" s="197" customFormat="1" ht="12.75" x14ac:dyDescent="0.2"/>
    <row r="56686" s="197" customFormat="1" ht="12.75" x14ac:dyDescent="0.2"/>
    <row r="56687" s="197" customFormat="1" ht="12.75" x14ac:dyDescent="0.2"/>
    <row r="56688" s="197" customFormat="1" ht="12.75" x14ac:dyDescent="0.2"/>
    <row r="56689" s="197" customFormat="1" ht="12.75" x14ac:dyDescent="0.2"/>
    <row r="56690" s="197" customFormat="1" ht="12.75" x14ac:dyDescent="0.2"/>
    <row r="56691" s="197" customFormat="1" ht="12.75" x14ac:dyDescent="0.2"/>
    <row r="56692" s="197" customFormat="1" ht="12.75" x14ac:dyDescent="0.2"/>
    <row r="56693" s="197" customFormat="1" ht="12.75" x14ac:dyDescent="0.2"/>
    <row r="56694" s="197" customFormat="1" ht="12.75" x14ac:dyDescent="0.2"/>
    <row r="56695" s="197" customFormat="1" ht="12.75" x14ac:dyDescent="0.2"/>
    <row r="56696" s="197" customFormat="1" ht="12.75" x14ac:dyDescent="0.2"/>
    <row r="56697" s="197" customFormat="1" ht="12.75" x14ac:dyDescent="0.2"/>
    <row r="56698" s="197" customFormat="1" ht="12.75" x14ac:dyDescent="0.2"/>
    <row r="56699" s="197" customFormat="1" ht="12.75" x14ac:dyDescent="0.2"/>
    <row r="56700" s="197" customFormat="1" ht="12.75" x14ac:dyDescent="0.2"/>
    <row r="56701" s="197" customFormat="1" ht="12.75" x14ac:dyDescent="0.2"/>
    <row r="56702" s="197" customFormat="1" ht="12.75" x14ac:dyDescent="0.2"/>
    <row r="56703" s="197" customFormat="1" ht="12.75" x14ac:dyDescent="0.2"/>
    <row r="56704" s="197" customFormat="1" ht="12.75" x14ac:dyDescent="0.2"/>
    <row r="56705" s="197" customFormat="1" ht="12.75" x14ac:dyDescent="0.2"/>
    <row r="56706" s="197" customFormat="1" ht="12.75" x14ac:dyDescent="0.2"/>
    <row r="56707" s="197" customFormat="1" ht="12.75" x14ac:dyDescent="0.2"/>
    <row r="56708" s="197" customFormat="1" ht="12.75" x14ac:dyDescent="0.2"/>
    <row r="56709" s="197" customFormat="1" ht="12.75" x14ac:dyDescent="0.2"/>
    <row r="56710" s="197" customFormat="1" ht="12.75" x14ac:dyDescent="0.2"/>
    <row r="56711" s="197" customFormat="1" ht="12.75" x14ac:dyDescent="0.2"/>
    <row r="56712" s="197" customFormat="1" ht="12.75" x14ac:dyDescent="0.2"/>
    <row r="56713" s="197" customFormat="1" ht="12.75" x14ac:dyDescent="0.2"/>
    <row r="56714" s="197" customFormat="1" ht="12.75" x14ac:dyDescent="0.2"/>
    <row r="56715" s="197" customFormat="1" ht="12.75" x14ac:dyDescent="0.2"/>
    <row r="56716" s="197" customFormat="1" ht="12.75" x14ac:dyDescent="0.2"/>
    <row r="56717" s="197" customFormat="1" ht="12.75" x14ac:dyDescent="0.2"/>
    <row r="56718" s="197" customFormat="1" ht="12.75" x14ac:dyDescent="0.2"/>
    <row r="56719" s="197" customFormat="1" ht="12.75" x14ac:dyDescent="0.2"/>
    <row r="56720" s="197" customFormat="1" ht="12.75" x14ac:dyDescent="0.2"/>
    <row r="56721" s="197" customFormat="1" ht="12.75" x14ac:dyDescent="0.2"/>
    <row r="56722" s="197" customFormat="1" ht="12.75" x14ac:dyDescent="0.2"/>
    <row r="56723" s="197" customFormat="1" ht="12.75" x14ac:dyDescent="0.2"/>
    <row r="56724" s="197" customFormat="1" ht="12.75" x14ac:dyDescent="0.2"/>
    <row r="56725" s="197" customFormat="1" ht="12.75" x14ac:dyDescent="0.2"/>
    <row r="56726" s="197" customFormat="1" ht="12.75" x14ac:dyDescent="0.2"/>
    <row r="56727" s="197" customFormat="1" ht="12.75" x14ac:dyDescent="0.2"/>
    <row r="56728" s="197" customFormat="1" ht="12.75" x14ac:dyDescent="0.2"/>
    <row r="56729" s="197" customFormat="1" ht="12.75" x14ac:dyDescent="0.2"/>
    <row r="56730" s="197" customFormat="1" ht="12.75" x14ac:dyDescent="0.2"/>
    <row r="56731" s="197" customFormat="1" ht="12.75" x14ac:dyDescent="0.2"/>
    <row r="56732" s="197" customFormat="1" ht="12.75" x14ac:dyDescent="0.2"/>
    <row r="56733" s="197" customFormat="1" ht="12.75" x14ac:dyDescent="0.2"/>
    <row r="56734" s="197" customFormat="1" ht="12.75" x14ac:dyDescent="0.2"/>
    <row r="56735" s="197" customFormat="1" ht="12.75" x14ac:dyDescent="0.2"/>
    <row r="56736" s="197" customFormat="1" ht="12.75" x14ac:dyDescent="0.2"/>
    <row r="56737" s="197" customFormat="1" ht="12.75" x14ac:dyDescent="0.2"/>
    <row r="56738" s="197" customFormat="1" ht="12.75" x14ac:dyDescent="0.2"/>
    <row r="56739" s="197" customFormat="1" ht="12.75" x14ac:dyDescent="0.2"/>
    <row r="56740" s="197" customFormat="1" ht="12.75" x14ac:dyDescent="0.2"/>
    <row r="56741" s="197" customFormat="1" ht="12.75" x14ac:dyDescent="0.2"/>
    <row r="56742" s="197" customFormat="1" ht="12.75" x14ac:dyDescent="0.2"/>
    <row r="56743" s="197" customFormat="1" ht="12.75" x14ac:dyDescent="0.2"/>
    <row r="56744" s="197" customFormat="1" ht="12.75" x14ac:dyDescent="0.2"/>
    <row r="56745" s="197" customFormat="1" ht="12.75" x14ac:dyDescent="0.2"/>
    <row r="56746" s="197" customFormat="1" ht="12.75" x14ac:dyDescent="0.2"/>
    <row r="56747" s="197" customFormat="1" ht="12.75" x14ac:dyDescent="0.2"/>
    <row r="56748" s="197" customFormat="1" ht="12.75" x14ac:dyDescent="0.2"/>
    <row r="56749" s="197" customFormat="1" ht="12.75" x14ac:dyDescent="0.2"/>
    <row r="56750" s="197" customFormat="1" ht="12.75" x14ac:dyDescent="0.2"/>
    <row r="56751" s="197" customFormat="1" ht="12.75" x14ac:dyDescent="0.2"/>
    <row r="56752" s="197" customFormat="1" ht="12.75" x14ac:dyDescent="0.2"/>
    <row r="56753" s="197" customFormat="1" ht="12.75" x14ac:dyDescent="0.2"/>
    <row r="56754" s="197" customFormat="1" ht="12.75" x14ac:dyDescent="0.2"/>
    <row r="56755" s="197" customFormat="1" ht="12.75" x14ac:dyDescent="0.2"/>
    <row r="56756" s="197" customFormat="1" ht="12.75" x14ac:dyDescent="0.2"/>
    <row r="56757" s="197" customFormat="1" ht="12.75" x14ac:dyDescent="0.2"/>
    <row r="56758" s="197" customFormat="1" ht="12.75" x14ac:dyDescent="0.2"/>
    <row r="56759" s="197" customFormat="1" ht="12.75" x14ac:dyDescent="0.2"/>
    <row r="56760" s="197" customFormat="1" ht="12.75" x14ac:dyDescent="0.2"/>
    <row r="56761" s="197" customFormat="1" ht="12.75" x14ac:dyDescent="0.2"/>
    <row r="56762" s="197" customFormat="1" ht="12.75" x14ac:dyDescent="0.2"/>
    <row r="56763" s="197" customFormat="1" ht="12.75" x14ac:dyDescent="0.2"/>
    <row r="56764" s="197" customFormat="1" ht="12.75" x14ac:dyDescent="0.2"/>
    <row r="56765" s="197" customFormat="1" ht="12.75" x14ac:dyDescent="0.2"/>
    <row r="56766" s="197" customFormat="1" ht="12.75" x14ac:dyDescent="0.2"/>
    <row r="56767" s="197" customFormat="1" ht="12.75" x14ac:dyDescent="0.2"/>
    <row r="56768" s="197" customFormat="1" ht="12.75" x14ac:dyDescent="0.2"/>
    <row r="56769" s="197" customFormat="1" ht="12.75" x14ac:dyDescent="0.2"/>
    <row r="56770" s="197" customFormat="1" ht="12.75" x14ac:dyDescent="0.2"/>
    <row r="56771" s="197" customFormat="1" ht="12.75" x14ac:dyDescent="0.2"/>
    <row r="56772" s="197" customFormat="1" ht="12.75" x14ac:dyDescent="0.2"/>
    <row r="56773" s="197" customFormat="1" ht="12.75" x14ac:dyDescent="0.2"/>
    <row r="56774" s="197" customFormat="1" ht="12.75" x14ac:dyDescent="0.2"/>
    <row r="56775" s="197" customFormat="1" ht="12.75" x14ac:dyDescent="0.2"/>
    <row r="56776" s="197" customFormat="1" ht="12.75" x14ac:dyDescent="0.2"/>
    <row r="56777" s="197" customFormat="1" ht="12.75" x14ac:dyDescent="0.2"/>
    <row r="56778" s="197" customFormat="1" ht="12.75" x14ac:dyDescent="0.2"/>
    <row r="56779" s="197" customFormat="1" ht="12.75" x14ac:dyDescent="0.2"/>
    <row r="56780" s="197" customFormat="1" ht="12.75" x14ac:dyDescent="0.2"/>
    <row r="56781" s="197" customFormat="1" ht="12.75" x14ac:dyDescent="0.2"/>
    <row r="56782" s="197" customFormat="1" ht="12.75" x14ac:dyDescent="0.2"/>
    <row r="56783" s="197" customFormat="1" ht="12.75" x14ac:dyDescent="0.2"/>
    <row r="56784" s="197" customFormat="1" ht="12.75" x14ac:dyDescent="0.2"/>
    <row r="56785" s="197" customFormat="1" ht="12.75" x14ac:dyDescent="0.2"/>
    <row r="56786" s="197" customFormat="1" ht="12.75" x14ac:dyDescent="0.2"/>
    <row r="56787" s="197" customFormat="1" ht="12.75" x14ac:dyDescent="0.2"/>
    <row r="56788" s="197" customFormat="1" ht="12.75" x14ac:dyDescent="0.2"/>
    <row r="56789" s="197" customFormat="1" ht="12.75" x14ac:dyDescent="0.2"/>
    <row r="56790" s="197" customFormat="1" ht="12.75" x14ac:dyDescent="0.2"/>
    <row r="56791" s="197" customFormat="1" ht="12.75" x14ac:dyDescent="0.2"/>
    <row r="56792" s="197" customFormat="1" ht="12.75" x14ac:dyDescent="0.2"/>
    <row r="56793" s="197" customFormat="1" ht="12.75" x14ac:dyDescent="0.2"/>
    <row r="56794" s="197" customFormat="1" ht="12.75" x14ac:dyDescent="0.2"/>
    <row r="56795" s="197" customFormat="1" ht="12.75" x14ac:dyDescent="0.2"/>
    <row r="56796" s="197" customFormat="1" ht="12.75" x14ac:dyDescent="0.2"/>
    <row r="56797" s="197" customFormat="1" ht="12.75" x14ac:dyDescent="0.2"/>
    <row r="56798" s="197" customFormat="1" ht="12.75" x14ac:dyDescent="0.2"/>
    <row r="56799" s="197" customFormat="1" ht="12.75" x14ac:dyDescent="0.2"/>
    <row r="56800" s="197" customFormat="1" ht="12.75" x14ac:dyDescent="0.2"/>
    <row r="56801" s="197" customFormat="1" ht="12.75" x14ac:dyDescent="0.2"/>
    <row r="56802" s="197" customFormat="1" ht="12.75" x14ac:dyDescent="0.2"/>
    <row r="56803" s="197" customFormat="1" ht="12.75" x14ac:dyDescent="0.2"/>
    <row r="56804" s="197" customFormat="1" ht="12.75" x14ac:dyDescent="0.2"/>
    <row r="56805" s="197" customFormat="1" ht="12.75" x14ac:dyDescent="0.2"/>
    <row r="56806" s="197" customFormat="1" ht="12.75" x14ac:dyDescent="0.2"/>
    <row r="56807" s="197" customFormat="1" ht="12.75" x14ac:dyDescent="0.2"/>
    <row r="56808" s="197" customFormat="1" ht="12.75" x14ac:dyDescent="0.2"/>
    <row r="56809" s="197" customFormat="1" ht="12.75" x14ac:dyDescent="0.2"/>
    <row r="56810" s="197" customFormat="1" ht="12.75" x14ac:dyDescent="0.2"/>
    <row r="56811" s="197" customFormat="1" ht="12.75" x14ac:dyDescent="0.2"/>
    <row r="56812" s="197" customFormat="1" ht="12.75" x14ac:dyDescent="0.2"/>
    <row r="56813" s="197" customFormat="1" ht="12.75" x14ac:dyDescent="0.2"/>
    <row r="56814" s="197" customFormat="1" ht="12.75" x14ac:dyDescent="0.2"/>
    <row r="56815" s="197" customFormat="1" ht="12.75" x14ac:dyDescent="0.2"/>
    <row r="56816" s="197" customFormat="1" ht="12.75" x14ac:dyDescent="0.2"/>
    <row r="56817" s="197" customFormat="1" ht="12.75" x14ac:dyDescent="0.2"/>
    <row r="56818" s="197" customFormat="1" ht="12.75" x14ac:dyDescent="0.2"/>
    <row r="56819" s="197" customFormat="1" ht="12.75" x14ac:dyDescent="0.2"/>
    <row r="56820" s="197" customFormat="1" ht="12.75" x14ac:dyDescent="0.2"/>
    <row r="56821" s="197" customFormat="1" ht="12.75" x14ac:dyDescent="0.2"/>
    <row r="56822" s="197" customFormat="1" ht="12.75" x14ac:dyDescent="0.2"/>
    <row r="56823" s="197" customFormat="1" ht="12.75" x14ac:dyDescent="0.2"/>
    <row r="56824" s="197" customFormat="1" ht="12.75" x14ac:dyDescent="0.2"/>
    <row r="56825" s="197" customFormat="1" ht="12.75" x14ac:dyDescent="0.2"/>
    <row r="56826" s="197" customFormat="1" ht="12.75" x14ac:dyDescent="0.2"/>
    <row r="56827" s="197" customFormat="1" ht="12.75" x14ac:dyDescent="0.2"/>
    <row r="56828" s="197" customFormat="1" ht="12.75" x14ac:dyDescent="0.2"/>
    <row r="56829" s="197" customFormat="1" ht="12.75" x14ac:dyDescent="0.2"/>
    <row r="56830" s="197" customFormat="1" ht="12.75" x14ac:dyDescent="0.2"/>
    <row r="56831" s="197" customFormat="1" ht="12.75" x14ac:dyDescent="0.2"/>
    <row r="56832" s="197" customFormat="1" ht="12.75" x14ac:dyDescent="0.2"/>
    <row r="56833" s="197" customFormat="1" ht="12.75" x14ac:dyDescent="0.2"/>
    <row r="56834" s="197" customFormat="1" ht="12.75" x14ac:dyDescent="0.2"/>
    <row r="56835" s="197" customFormat="1" ht="12.75" x14ac:dyDescent="0.2"/>
    <row r="56836" s="197" customFormat="1" ht="12.75" x14ac:dyDescent="0.2"/>
    <row r="56837" s="197" customFormat="1" ht="12.75" x14ac:dyDescent="0.2"/>
    <row r="56838" s="197" customFormat="1" ht="12.75" x14ac:dyDescent="0.2"/>
    <row r="56839" s="197" customFormat="1" ht="12.75" x14ac:dyDescent="0.2"/>
    <row r="56840" s="197" customFormat="1" ht="12.75" x14ac:dyDescent="0.2"/>
    <row r="56841" s="197" customFormat="1" ht="12.75" x14ac:dyDescent="0.2"/>
    <row r="56842" s="197" customFormat="1" ht="12.75" x14ac:dyDescent="0.2"/>
    <row r="56843" s="197" customFormat="1" ht="12.75" x14ac:dyDescent="0.2"/>
    <row r="56844" s="197" customFormat="1" ht="12.75" x14ac:dyDescent="0.2"/>
    <row r="56845" s="197" customFormat="1" ht="12.75" x14ac:dyDescent="0.2"/>
    <row r="56846" s="197" customFormat="1" ht="12.75" x14ac:dyDescent="0.2"/>
    <row r="56847" s="197" customFormat="1" ht="12.75" x14ac:dyDescent="0.2"/>
    <row r="56848" s="197" customFormat="1" ht="12.75" x14ac:dyDescent="0.2"/>
    <row r="56849" s="197" customFormat="1" ht="12.75" x14ac:dyDescent="0.2"/>
    <row r="56850" s="197" customFormat="1" ht="12.75" x14ac:dyDescent="0.2"/>
    <row r="56851" s="197" customFormat="1" ht="12.75" x14ac:dyDescent="0.2"/>
    <row r="56852" s="197" customFormat="1" ht="12.75" x14ac:dyDescent="0.2"/>
    <row r="56853" s="197" customFormat="1" ht="12.75" x14ac:dyDescent="0.2"/>
    <row r="56854" s="197" customFormat="1" ht="12.75" x14ac:dyDescent="0.2"/>
    <row r="56855" s="197" customFormat="1" ht="12.75" x14ac:dyDescent="0.2"/>
    <row r="56856" s="197" customFormat="1" ht="12.75" x14ac:dyDescent="0.2"/>
    <row r="56857" s="197" customFormat="1" ht="12.75" x14ac:dyDescent="0.2"/>
    <row r="56858" s="197" customFormat="1" ht="12.75" x14ac:dyDescent="0.2"/>
    <row r="56859" s="197" customFormat="1" ht="12.75" x14ac:dyDescent="0.2"/>
    <row r="56860" s="197" customFormat="1" ht="12.75" x14ac:dyDescent="0.2"/>
    <row r="56861" s="197" customFormat="1" ht="12.75" x14ac:dyDescent="0.2"/>
    <row r="56862" s="197" customFormat="1" ht="12.75" x14ac:dyDescent="0.2"/>
    <row r="56863" s="197" customFormat="1" ht="12.75" x14ac:dyDescent="0.2"/>
    <row r="56864" s="197" customFormat="1" ht="12.75" x14ac:dyDescent="0.2"/>
    <row r="56865" s="197" customFormat="1" ht="12.75" x14ac:dyDescent="0.2"/>
    <row r="56866" s="197" customFormat="1" ht="12.75" x14ac:dyDescent="0.2"/>
    <row r="56867" s="197" customFormat="1" ht="12.75" x14ac:dyDescent="0.2"/>
    <row r="56868" s="197" customFormat="1" ht="12.75" x14ac:dyDescent="0.2"/>
    <row r="56869" s="197" customFormat="1" ht="12.75" x14ac:dyDescent="0.2"/>
    <row r="56870" s="197" customFormat="1" ht="12.75" x14ac:dyDescent="0.2"/>
    <row r="56871" s="197" customFormat="1" ht="12.75" x14ac:dyDescent="0.2"/>
    <row r="56872" s="197" customFormat="1" ht="12.75" x14ac:dyDescent="0.2"/>
    <row r="56873" s="197" customFormat="1" ht="12.75" x14ac:dyDescent="0.2"/>
    <row r="56874" s="197" customFormat="1" ht="12.75" x14ac:dyDescent="0.2"/>
    <row r="56875" s="197" customFormat="1" ht="12.75" x14ac:dyDescent="0.2"/>
    <row r="56876" s="197" customFormat="1" ht="12.75" x14ac:dyDescent="0.2"/>
    <row r="56877" s="197" customFormat="1" ht="12.75" x14ac:dyDescent="0.2"/>
    <row r="56878" s="197" customFormat="1" ht="12.75" x14ac:dyDescent="0.2"/>
    <row r="56879" s="197" customFormat="1" ht="12.75" x14ac:dyDescent="0.2"/>
    <row r="56880" s="197" customFormat="1" ht="12.75" x14ac:dyDescent="0.2"/>
    <row r="56881" s="197" customFormat="1" ht="12.75" x14ac:dyDescent="0.2"/>
    <row r="56882" s="197" customFormat="1" ht="12.75" x14ac:dyDescent="0.2"/>
    <row r="56883" s="197" customFormat="1" ht="12.75" x14ac:dyDescent="0.2"/>
    <row r="56884" s="197" customFormat="1" ht="12.75" x14ac:dyDescent="0.2"/>
    <row r="56885" s="197" customFormat="1" ht="12.75" x14ac:dyDescent="0.2"/>
    <row r="56886" s="197" customFormat="1" ht="12.75" x14ac:dyDescent="0.2"/>
    <row r="56887" s="197" customFormat="1" ht="12.75" x14ac:dyDescent="0.2"/>
    <row r="56888" s="197" customFormat="1" ht="12.75" x14ac:dyDescent="0.2"/>
    <row r="56889" s="197" customFormat="1" ht="12.75" x14ac:dyDescent="0.2"/>
    <row r="56890" s="197" customFormat="1" ht="12.75" x14ac:dyDescent="0.2"/>
    <row r="56891" s="197" customFormat="1" ht="12.75" x14ac:dyDescent="0.2"/>
    <row r="56892" s="197" customFormat="1" ht="12.75" x14ac:dyDescent="0.2"/>
    <row r="56893" s="197" customFormat="1" ht="12.75" x14ac:dyDescent="0.2"/>
    <row r="56894" s="197" customFormat="1" ht="12.75" x14ac:dyDescent="0.2"/>
    <row r="56895" s="197" customFormat="1" ht="12.75" x14ac:dyDescent="0.2"/>
    <row r="56896" s="197" customFormat="1" ht="12.75" x14ac:dyDescent="0.2"/>
    <row r="56897" s="197" customFormat="1" ht="12.75" x14ac:dyDescent="0.2"/>
    <row r="56898" s="197" customFormat="1" ht="12.75" x14ac:dyDescent="0.2"/>
    <row r="56899" s="197" customFormat="1" ht="12.75" x14ac:dyDescent="0.2"/>
    <row r="56900" s="197" customFormat="1" ht="12.75" x14ac:dyDescent="0.2"/>
    <row r="56901" s="197" customFormat="1" ht="12.75" x14ac:dyDescent="0.2"/>
    <row r="56902" s="197" customFormat="1" ht="12.75" x14ac:dyDescent="0.2"/>
    <row r="56903" s="197" customFormat="1" ht="12.75" x14ac:dyDescent="0.2"/>
    <row r="56904" s="197" customFormat="1" ht="12.75" x14ac:dyDescent="0.2"/>
    <row r="56905" s="197" customFormat="1" ht="12.75" x14ac:dyDescent="0.2"/>
    <row r="56906" s="197" customFormat="1" ht="12.75" x14ac:dyDescent="0.2"/>
    <row r="56907" s="197" customFormat="1" ht="12.75" x14ac:dyDescent="0.2"/>
    <row r="56908" s="197" customFormat="1" ht="12.75" x14ac:dyDescent="0.2"/>
    <row r="56909" s="197" customFormat="1" ht="12.75" x14ac:dyDescent="0.2"/>
    <row r="56910" s="197" customFormat="1" ht="12.75" x14ac:dyDescent="0.2"/>
    <row r="56911" s="197" customFormat="1" ht="12.75" x14ac:dyDescent="0.2"/>
    <row r="56912" s="197" customFormat="1" ht="12.75" x14ac:dyDescent="0.2"/>
    <row r="56913" s="197" customFormat="1" ht="12.75" x14ac:dyDescent="0.2"/>
    <row r="56914" s="197" customFormat="1" ht="12.75" x14ac:dyDescent="0.2"/>
    <row r="56915" s="197" customFormat="1" ht="12.75" x14ac:dyDescent="0.2"/>
    <row r="56916" s="197" customFormat="1" ht="12.75" x14ac:dyDescent="0.2"/>
    <row r="56917" s="197" customFormat="1" ht="12.75" x14ac:dyDescent="0.2"/>
    <row r="56918" s="197" customFormat="1" ht="12.75" x14ac:dyDescent="0.2"/>
    <row r="56919" s="197" customFormat="1" ht="12.75" x14ac:dyDescent="0.2"/>
    <row r="56920" s="197" customFormat="1" ht="12.75" x14ac:dyDescent="0.2"/>
    <row r="56921" s="197" customFormat="1" ht="12.75" x14ac:dyDescent="0.2"/>
    <row r="56922" s="197" customFormat="1" ht="12.75" x14ac:dyDescent="0.2"/>
    <row r="56923" s="197" customFormat="1" ht="12.75" x14ac:dyDescent="0.2"/>
    <row r="56924" s="197" customFormat="1" ht="12.75" x14ac:dyDescent="0.2"/>
    <row r="56925" s="197" customFormat="1" ht="12.75" x14ac:dyDescent="0.2"/>
    <row r="56926" s="197" customFormat="1" ht="12.75" x14ac:dyDescent="0.2"/>
    <row r="56927" s="197" customFormat="1" ht="12.75" x14ac:dyDescent="0.2"/>
    <row r="56928" s="197" customFormat="1" ht="12.75" x14ac:dyDescent="0.2"/>
    <row r="56929" s="197" customFormat="1" ht="12.75" x14ac:dyDescent="0.2"/>
    <row r="56930" s="197" customFormat="1" ht="12.75" x14ac:dyDescent="0.2"/>
    <row r="56931" s="197" customFormat="1" ht="12.75" x14ac:dyDescent="0.2"/>
    <row r="56932" s="197" customFormat="1" ht="12.75" x14ac:dyDescent="0.2"/>
    <row r="56933" s="197" customFormat="1" ht="12.75" x14ac:dyDescent="0.2"/>
    <row r="56934" s="197" customFormat="1" ht="12.75" x14ac:dyDescent="0.2"/>
    <row r="56935" s="197" customFormat="1" ht="12.75" x14ac:dyDescent="0.2"/>
    <row r="56936" s="197" customFormat="1" ht="12.75" x14ac:dyDescent="0.2"/>
    <row r="56937" s="197" customFormat="1" ht="12.75" x14ac:dyDescent="0.2"/>
    <row r="56938" s="197" customFormat="1" ht="12.75" x14ac:dyDescent="0.2"/>
    <row r="56939" s="197" customFormat="1" ht="12.75" x14ac:dyDescent="0.2"/>
    <row r="56940" s="197" customFormat="1" ht="12.75" x14ac:dyDescent="0.2"/>
    <row r="56941" s="197" customFormat="1" ht="12.75" x14ac:dyDescent="0.2"/>
    <row r="56942" s="197" customFormat="1" ht="12.75" x14ac:dyDescent="0.2"/>
    <row r="56943" s="197" customFormat="1" ht="12.75" x14ac:dyDescent="0.2"/>
    <row r="56944" s="197" customFormat="1" ht="12.75" x14ac:dyDescent="0.2"/>
    <row r="56945" s="197" customFormat="1" ht="12.75" x14ac:dyDescent="0.2"/>
    <row r="56946" s="197" customFormat="1" ht="12.75" x14ac:dyDescent="0.2"/>
    <row r="56947" s="197" customFormat="1" ht="12.75" x14ac:dyDescent="0.2"/>
    <row r="56948" s="197" customFormat="1" ht="12.75" x14ac:dyDescent="0.2"/>
    <row r="56949" s="197" customFormat="1" ht="12.75" x14ac:dyDescent="0.2"/>
    <row r="56950" s="197" customFormat="1" ht="12.75" x14ac:dyDescent="0.2"/>
    <row r="56951" s="197" customFormat="1" ht="12.75" x14ac:dyDescent="0.2"/>
    <row r="56952" s="197" customFormat="1" ht="12.75" x14ac:dyDescent="0.2"/>
    <row r="56953" s="197" customFormat="1" ht="12.75" x14ac:dyDescent="0.2"/>
    <row r="56954" s="197" customFormat="1" ht="12.75" x14ac:dyDescent="0.2"/>
    <row r="56955" s="197" customFormat="1" ht="12.75" x14ac:dyDescent="0.2"/>
    <row r="56956" s="197" customFormat="1" ht="12.75" x14ac:dyDescent="0.2"/>
    <row r="56957" s="197" customFormat="1" ht="12.75" x14ac:dyDescent="0.2"/>
    <row r="56958" s="197" customFormat="1" ht="12.75" x14ac:dyDescent="0.2"/>
    <row r="56959" s="197" customFormat="1" ht="12.75" x14ac:dyDescent="0.2"/>
    <row r="56960" s="197" customFormat="1" ht="12.75" x14ac:dyDescent="0.2"/>
    <row r="56961" s="197" customFormat="1" ht="12.75" x14ac:dyDescent="0.2"/>
    <row r="56962" s="197" customFormat="1" ht="12.75" x14ac:dyDescent="0.2"/>
    <row r="56963" s="197" customFormat="1" ht="12.75" x14ac:dyDescent="0.2"/>
    <row r="56964" s="197" customFormat="1" ht="12.75" x14ac:dyDescent="0.2"/>
    <row r="56965" s="197" customFormat="1" ht="12.75" x14ac:dyDescent="0.2"/>
    <row r="56966" s="197" customFormat="1" ht="12.75" x14ac:dyDescent="0.2"/>
    <row r="56967" s="197" customFormat="1" ht="12.75" x14ac:dyDescent="0.2"/>
    <row r="56968" s="197" customFormat="1" ht="12.75" x14ac:dyDescent="0.2"/>
    <row r="56969" s="197" customFormat="1" ht="12.75" x14ac:dyDescent="0.2"/>
    <row r="56970" s="197" customFormat="1" ht="12.75" x14ac:dyDescent="0.2"/>
    <row r="56971" s="197" customFormat="1" ht="12.75" x14ac:dyDescent="0.2"/>
    <row r="56972" s="197" customFormat="1" ht="12.75" x14ac:dyDescent="0.2"/>
    <row r="56973" s="197" customFormat="1" ht="12.75" x14ac:dyDescent="0.2"/>
    <row r="56974" s="197" customFormat="1" ht="12.75" x14ac:dyDescent="0.2"/>
    <row r="56975" s="197" customFormat="1" ht="12.75" x14ac:dyDescent="0.2"/>
    <row r="56976" s="197" customFormat="1" ht="12.75" x14ac:dyDescent="0.2"/>
    <row r="56977" s="197" customFormat="1" ht="12.75" x14ac:dyDescent="0.2"/>
    <row r="56978" s="197" customFormat="1" ht="12.75" x14ac:dyDescent="0.2"/>
    <row r="56979" s="197" customFormat="1" ht="12.75" x14ac:dyDescent="0.2"/>
    <row r="56980" s="197" customFormat="1" ht="12.75" x14ac:dyDescent="0.2"/>
    <row r="56981" s="197" customFormat="1" ht="12.75" x14ac:dyDescent="0.2"/>
    <row r="56982" s="197" customFormat="1" ht="12.75" x14ac:dyDescent="0.2"/>
    <row r="56983" s="197" customFormat="1" ht="12.75" x14ac:dyDescent="0.2"/>
    <row r="56984" s="197" customFormat="1" ht="12.75" x14ac:dyDescent="0.2"/>
    <row r="56985" s="197" customFormat="1" ht="12.75" x14ac:dyDescent="0.2"/>
    <row r="56986" s="197" customFormat="1" ht="12.75" x14ac:dyDescent="0.2"/>
    <row r="56987" s="197" customFormat="1" ht="12.75" x14ac:dyDescent="0.2"/>
    <row r="56988" s="197" customFormat="1" ht="12.75" x14ac:dyDescent="0.2"/>
    <row r="56989" s="197" customFormat="1" ht="12.75" x14ac:dyDescent="0.2"/>
    <row r="56990" s="197" customFormat="1" ht="12.75" x14ac:dyDescent="0.2"/>
    <row r="56991" s="197" customFormat="1" ht="12.75" x14ac:dyDescent="0.2"/>
    <row r="56992" s="197" customFormat="1" ht="12.75" x14ac:dyDescent="0.2"/>
    <row r="56993" s="197" customFormat="1" ht="12.75" x14ac:dyDescent="0.2"/>
    <row r="56994" s="197" customFormat="1" ht="12.75" x14ac:dyDescent="0.2"/>
    <row r="56995" s="197" customFormat="1" ht="12.75" x14ac:dyDescent="0.2"/>
    <row r="56996" s="197" customFormat="1" ht="12.75" x14ac:dyDescent="0.2"/>
    <row r="56997" s="197" customFormat="1" ht="12.75" x14ac:dyDescent="0.2"/>
    <row r="56998" s="197" customFormat="1" ht="12.75" x14ac:dyDescent="0.2"/>
    <row r="56999" s="197" customFormat="1" ht="12.75" x14ac:dyDescent="0.2"/>
    <row r="57000" s="197" customFormat="1" ht="12.75" x14ac:dyDescent="0.2"/>
    <row r="57001" s="197" customFormat="1" ht="12.75" x14ac:dyDescent="0.2"/>
    <row r="57002" s="197" customFormat="1" ht="12.75" x14ac:dyDescent="0.2"/>
    <row r="57003" s="197" customFormat="1" ht="12.75" x14ac:dyDescent="0.2"/>
    <row r="57004" s="197" customFormat="1" ht="12.75" x14ac:dyDescent="0.2"/>
    <row r="57005" s="197" customFormat="1" ht="12.75" x14ac:dyDescent="0.2"/>
    <row r="57006" s="197" customFormat="1" ht="12.75" x14ac:dyDescent="0.2"/>
    <row r="57007" s="197" customFormat="1" ht="12.75" x14ac:dyDescent="0.2"/>
    <row r="57008" s="197" customFormat="1" ht="12.75" x14ac:dyDescent="0.2"/>
    <row r="57009" s="197" customFormat="1" ht="12.75" x14ac:dyDescent="0.2"/>
    <row r="57010" s="197" customFormat="1" ht="12.75" x14ac:dyDescent="0.2"/>
    <row r="57011" s="197" customFormat="1" ht="12.75" x14ac:dyDescent="0.2"/>
    <row r="57012" s="197" customFormat="1" ht="12.75" x14ac:dyDescent="0.2"/>
    <row r="57013" s="197" customFormat="1" ht="12.75" x14ac:dyDescent="0.2"/>
    <row r="57014" s="197" customFormat="1" ht="12.75" x14ac:dyDescent="0.2"/>
    <row r="57015" s="197" customFormat="1" ht="12.75" x14ac:dyDescent="0.2"/>
    <row r="57016" s="197" customFormat="1" ht="12.75" x14ac:dyDescent="0.2"/>
    <row r="57017" s="197" customFormat="1" ht="12.75" x14ac:dyDescent="0.2"/>
    <row r="57018" s="197" customFormat="1" ht="12.75" x14ac:dyDescent="0.2"/>
    <row r="57019" s="197" customFormat="1" ht="12.75" x14ac:dyDescent="0.2"/>
    <row r="57020" s="197" customFormat="1" ht="12.75" x14ac:dyDescent="0.2"/>
    <row r="57021" s="197" customFormat="1" ht="12.75" x14ac:dyDescent="0.2"/>
    <row r="57022" s="197" customFormat="1" ht="12.75" x14ac:dyDescent="0.2"/>
    <row r="57023" s="197" customFormat="1" ht="12.75" x14ac:dyDescent="0.2"/>
    <row r="57024" s="197" customFormat="1" ht="12.75" x14ac:dyDescent="0.2"/>
    <row r="57025" s="197" customFormat="1" ht="12.75" x14ac:dyDescent="0.2"/>
    <row r="57026" s="197" customFormat="1" ht="12.75" x14ac:dyDescent="0.2"/>
    <row r="57027" s="197" customFormat="1" ht="12.75" x14ac:dyDescent="0.2"/>
    <row r="57028" s="197" customFormat="1" ht="12.75" x14ac:dyDescent="0.2"/>
    <row r="57029" s="197" customFormat="1" ht="12.75" x14ac:dyDescent="0.2"/>
    <row r="57030" s="197" customFormat="1" ht="12.75" x14ac:dyDescent="0.2"/>
    <row r="57031" s="197" customFormat="1" ht="12.75" x14ac:dyDescent="0.2"/>
    <row r="57032" s="197" customFormat="1" ht="12.75" x14ac:dyDescent="0.2"/>
    <row r="57033" s="197" customFormat="1" ht="12.75" x14ac:dyDescent="0.2"/>
    <row r="57034" s="197" customFormat="1" ht="12.75" x14ac:dyDescent="0.2"/>
    <row r="57035" s="197" customFormat="1" ht="12.75" x14ac:dyDescent="0.2"/>
    <row r="57036" s="197" customFormat="1" ht="12.75" x14ac:dyDescent="0.2"/>
    <row r="57037" s="197" customFormat="1" ht="12.75" x14ac:dyDescent="0.2"/>
    <row r="57038" s="197" customFormat="1" ht="12.75" x14ac:dyDescent="0.2"/>
    <row r="57039" s="197" customFormat="1" ht="12.75" x14ac:dyDescent="0.2"/>
    <row r="57040" s="197" customFormat="1" ht="12.75" x14ac:dyDescent="0.2"/>
    <row r="57041" s="197" customFormat="1" ht="12.75" x14ac:dyDescent="0.2"/>
    <row r="57042" s="197" customFormat="1" ht="12.75" x14ac:dyDescent="0.2"/>
    <row r="57043" s="197" customFormat="1" ht="12.75" x14ac:dyDescent="0.2"/>
    <row r="57044" s="197" customFormat="1" ht="12.75" x14ac:dyDescent="0.2"/>
    <row r="57045" s="197" customFormat="1" ht="12.75" x14ac:dyDescent="0.2"/>
    <row r="57046" s="197" customFormat="1" ht="12.75" x14ac:dyDescent="0.2"/>
    <row r="57047" s="197" customFormat="1" ht="12.75" x14ac:dyDescent="0.2"/>
    <row r="57048" s="197" customFormat="1" ht="12.75" x14ac:dyDescent="0.2"/>
    <row r="57049" s="197" customFormat="1" ht="12.75" x14ac:dyDescent="0.2"/>
    <row r="57050" s="197" customFormat="1" ht="12.75" x14ac:dyDescent="0.2"/>
    <row r="57051" s="197" customFormat="1" ht="12.75" x14ac:dyDescent="0.2"/>
    <row r="57052" s="197" customFormat="1" ht="12.75" x14ac:dyDescent="0.2"/>
    <row r="57053" s="197" customFormat="1" ht="12.75" x14ac:dyDescent="0.2"/>
    <row r="57054" s="197" customFormat="1" ht="12.75" x14ac:dyDescent="0.2"/>
    <row r="57055" s="197" customFormat="1" ht="12.75" x14ac:dyDescent="0.2"/>
    <row r="57056" s="197" customFormat="1" ht="12.75" x14ac:dyDescent="0.2"/>
    <row r="57057" s="197" customFormat="1" ht="12.75" x14ac:dyDescent="0.2"/>
    <row r="57058" s="197" customFormat="1" ht="12.75" x14ac:dyDescent="0.2"/>
    <row r="57059" s="197" customFormat="1" ht="12.75" x14ac:dyDescent="0.2"/>
    <row r="57060" s="197" customFormat="1" ht="12.75" x14ac:dyDescent="0.2"/>
    <row r="57061" s="197" customFormat="1" ht="12.75" x14ac:dyDescent="0.2"/>
    <row r="57062" s="197" customFormat="1" ht="12.75" x14ac:dyDescent="0.2"/>
    <row r="57063" s="197" customFormat="1" ht="12.75" x14ac:dyDescent="0.2"/>
    <row r="57064" s="197" customFormat="1" ht="12.75" x14ac:dyDescent="0.2"/>
    <row r="57065" s="197" customFormat="1" ht="12.75" x14ac:dyDescent="0.2"/>
    <row r="57066" s="197" customFormat="1" ht="12.75" x14ac:dyDescent="0.2"/>
    <row r="57067" s="197" customFormat="1" ht="12.75" x14ac:dyDescent="0.2"/>
    <row r="57068" s="197" customFormat="1" ht="12.75" x14ac:dyDescent="0.2"/>
    <row r="57069" s="197" customFormat="1" ht="12.75" x14ac:dyDescent="0.2"/>
    <row r="57070" s="197" customFormat="1" ht="12.75" x14ac:dyDescent="0.2"/>
    <row r="57071" s="197" customFormat="1" ht="12.75" x14ac:dyDescent="0.2"/>
    <row r="57072" s="197" customFormat="1" ht="12.75" x14ac:dyDescent="0.2"/>
    <row r="57073" s="197" customFormat="1" ht="12.75" x14ac:dyDescent="0.2"/>
    <row r="57074" s="197" customFormat="1" ht="12.75" x14ac:dyDescent="0.2"/>
    <row r="57075" s="197" customFormat="1" ht="12.75" x14ac:dyDescent="0.2"/>
    <row r="57076" s="197" customFormat="1" ht="12.75" x14ac:dyDescent="0.2"/>
    <row r="57077" s="197" customFormat="1" ht="12.75" x14ac:dyDescent="0.2"/>
    <row r="57078" s="197" customFormat="1" ht="12.75" x14ac:dyDescent="0.2"/>
    <row r="57079" s="197" customFormat="1" ht="12.75" x14ac:dyDescent="0.2"/>
    <row r="57080" s="197" customFormat="1" ht="12.75" x14ac:dyDescent="0.2"/>
    <row r="57081" s="197" customFormat="1" ht="12.75" x14ac:dyDescent="0.2"/>
    <row r="57082" s="197" customFormat="1" ht="12.75" x14ac:dyDescent="0.2"/>
    <row r="57083" s="197" customFormat="1" ht="12.75" x14ac:dyDescent="0.2"/>
    <row r="57084" s="197" customFormat="1" ht="12.75" x14ac:dyDescent="0.2"/>
    <row r="57085" s="197" customFormat="1" ht="12.75" x14ac:dyDescent="0.2"/>
    <row r="57086" s="197" customFormat="1" ht="12.75" x14ac:dyDescent="0.2"/>
    <row r="57087" s="197" customFormat="1" ht="12.75" x14ac:dyDescent="0.2"/>
    <row r="57088" s="197" customFormat="1" ht="12.75" x14ac:dyDescent="0.2"/>
    <row r="57089" s="197" customFormat="1" ht="12.75" x14ac:dyDescent="0.2"/>
    <row r="57090" s="197" customFormat="1" ht="12.75" x14ac:dyDescent="0.2"/>
    <row r="57091" s="197" customFormat="1" ht="12.75" x14ac:dyDescent="0.2"/>
    <row r="57092" s="197" customFormat="1" ht="12.75" x14ac:dyDescent="0.2"/>
    <row r="57093" s="197" customFormat="1" ht="12.75" x14ac:dyDescent="0.2"/>
    <row r="57094" s="197" customFormat="1" ht="12.75" x14ac:dyDescent="0.2"/>
    <row r="57095" s="197" customFormat="1" ht="12.75" x14ac:dyDescent="0.2"/>
    <row r="57096" s="197" customFormat="1" ht="12.75" x14ac:dyDescent="0.2"/>
    <row r="57097" s="197" customFormat="1" ht="12.75" x14ac:dyDescent="0.2"/>
    <row r="57098" s="197" customFormat="1" ht="12.75" x14ac:dyDescent="0.2"/>
    <row r="57099" s="197" customFormat="1" ht="12.75" x14ac:dyDescent="0.2"/>
    <row r="57100" s="197" customFormat="1" ht="12.75" x14ac:dyDescent="0.2"/>
    <row r="57101" s="197" customFormat="1" ht="12.75" x14ac:dyDescent="0.2"/>
    <row r="57102" s="197" customFormat="1" ht="12.75" x14ac:dyDescent="0.2"/>
    <row r="57103" s="197" customFormat="1" ht="12.75" x14ac:dyDescent="0.2"/>
    <row r="57104" s="197" customFormat="1" ht="12.75" x14ac:dyDescent="0.2"/>
    <row r="57105" s="197" customFormat="1" ht="12.75" x14ac:dyDescent="0.2"/>
    <row r="57106" s="197" customFormat="1" ht="12.75" x14ac:dyDescent="0.2"/>
    <row r="57107" s="197" customFormat="1" ht="12.75" x14ac:dyDescent="0.2"/>
    <row r="57108" s="197" customFormat="1" ht="12.75" x14ac:dyDescent="0.2"/>
    <row r="57109" s="197" customFormat="1" ht="12.75" x14ac:dyDescent="0.2"/>
    <row r="57110" s="197" customFormat="1" ht="12.75" x14ac:dyDescent="0.2"/>
    <row r="57111" s="197" customFormat="1" ht="12.75" x14ac:dyDescent="0.2"/>
    <row r="57112" s="197" customFormat="1" ht="12.75" x14ac:dyDescent="0.2"/>
    <row r="57113" s="197" customFormat="1" ht="12.75" x14ac:dyDescent="0.2"/>
    <row r="57114" s="197" customFormat="1" ht="12.75" x14ac:dyDescent="0.2"/>
    <row r="57115" s="197" customFormat="1" ht="12.75" x14ac:dyDescent="0.2"/>
    <row r="57116" s="197" customFormat="1" ht="12.75" x14ac:dyDescent="0.2"/>
    <row r="57117" s="197" customFormat="1" ht="12.75" x14ac:dyDescent="0.2"/>
    <row r="57118" s="197" customFormat="1" ht="12.75" x14ac:dyDescent="0.2"/>
    <row r="57119" s="197" customFormat="1" ht="12.75" x14ac:dyDescent="0.2"/>
    <row r="57120" s="197" customFormat="1" ht="12.75" x14ac:dyDescent="0.2"/>
    <row r="57121" s="197" customFormat="1" ht="12.75" x14ac:dyDescent="0.2"/>
    <row r="57122" s="197" customFormat="1" ht="12.75" x14ac:dyDescent="0.2"/>
    <row r="57123" s="197" customFormat="1" ht="12.75" x14ac:dyDescent="0.2"/>
    <row r="57124" s="197" customFormat="1" ht="12.75" x14ac:dyDescent="0.2"/>
    <row r="57125" s="197" customFormat="1" ht="12.75" x14ac:dyDescent="0.2"/>
    <row r="57126" s="197" customFormat="1" ht="12.75" x14ac:dyDescent="0.2"/>
    <row r="57127" s="197" customFormat="1" ht="12.75" x14ac:dyDescent="0.2"/>
    <row r="57128" s="197" customFormat="1" ht="12.75" x14ac:dyDescent="0.2"/>
    <row r="57129" s="197" customFormat="1" ht="12.75" x14ac:dyDescent="0.2"/>
    <row r="57130" s="197" customFormat="1" ht="12.75" x14ac:dyDescent="0.2"/>
    <row r="57131" s="197" customFormat="1" ht="12.75" x14ac:dyDescent="0.2"/>
    <row r="57132" s="197" customFormat="1" ht="12.75" x14ac:dyDescent="0.2"/>
    <row r="57133" s="197" customFormat="1" ht="12.75" x14ac:dyDescent="0.2"/>
    <row r="57134" s="197" customFormat="1" ht="12.75" x14ac:dyDescent="0.2"/>
    <row r="57135" s="197" customFormat="1" ht="12.75" x14ac:dyDescent="0.2"/>
    <row r="57136" s="197" customFormat="1" ht="12.75" x14ac:dyDescent="0.2"/>
    <row r="57137" s="197" customFormat="1" ht="12.75" x14ac:dyDescent="0.2"/>
    <row r="57138" s="197" customFormat="1" ht="12.75" x14ac:dyDescent="0.2"/>
    <row r="57139" s="197" customFormat="1" ht="12.75" x14ac:dyDescent="0.2"/>
    <row r="57140" s="197" customFormat="1" ht="12.75" x14ac:dyDescent="0.2"/>
    <row r="57141" s="197" customFormat="1" ht="12.75" x14ac:dyDescent="0.2"/>
    <row r="57142" s="197" customFormat="1" ht="12.75" x14ac:dyDescent="0.2"/>
    <row r="57143" s="197" customFormat="1" ht="12.75" x14ac:dyDescent="0.2"/>
    <row r="57144" s="197" customFormat="1" ht="12.75" x14ac:dyDescent="0.2"/>
    <row r="57145" s="197" customFormat="1" ht="12.75" x14ac:dyDescent="0.2"/>
    <row r="57146" s="197" customFormat="1" ht="12.75" x14ac:dyDescent="0.2"/>
    <row r="57147" s="197" customFormat="1" ht="12.75" x14ac:dyDescent="0.2"/>
    <row r="57148" s="197" customFormat="1" ht="12.75" x14ac:dyDescent="0.2"/>
    <row r="57149" s="197" customFormat="1" ht="12.75" x14ac:dyDescent="0.2"/>
    <row r="57150" s="197" customFormat="1" ht="12.75" x14ac:dyDescent="0.2"/>
    <row r="57151" s="197" customFormat="1" ht="12.75" x14ac:dyDescent="0.2"/>
    <row r="57152" s="197" customFormat="1" ht="12.75" x14ac:dyDescent="0.2"/>
    <row r="57153" s="197" customFormat="1" ht="12.75" x14ac:dyDescent="0.2"/>
    <row r="57154" s="197" customFormat="1" ht="12.75" x14ac:dyDescent="0.2"/>
    <row r="57155" s="197" customFormat="1" ht="12.75" x14ac:dyDescent="0.2"/>
    <row r="57156" s="197" customFormat="1" ht="12.75" x14ac:dyDescent="0.2"/>
    <row r="57157" s="197" customFormat="1" ht="12.75" x14ac:dyDescent="0.2"/>
    <row r="57158" s="197" customFormat="1" ht="12.75" x14ac:dyDescent="0.2"/>
    <row r="57159" s="197" customFormat="1" ht="12.75" x14ac:dyDescent="0.2"/>
    <row r="57160" s="197" customFormat="1" ht="12.75" x14ac:dyDescent="0.2"/>
    <row r="57161" s="197" customFormat="1" ht="12.75" x14ac:dyDescent="0.2"/>
    <row r="57162" s="197" customFormat="1" ht="12.75" x14ac:dyDescent="0.2"/>
    <row r="57163" s="197" customFormat="1" ht="12.75" x14ac:dyDescent="0.2"/>
    <row r="57164" s="197" customFormat="1" ht="12.75" x14ac:dyDescent="0.2"/>
    <row r="57165" s="197" customFormat="1" ht="12.75" x14ac:dyDescent="0.2"/>
    <row r="57166" s="197" customFormat="1" ht="12.75" x14ac:dyDescent="0.2"/>
    <row r="57167" s="197" customFormat="1" ht="12.75" x14ac:dyDescent="0.2"/>
    <row r="57168" s="197" customFormat="1" ht="12.75" x14ac:dyDescent="0.2"/>
    <row r="57169" s="197" customFormat="1" ht="12.75" x14ac:dyDescent="0.2"/>
    <row r="57170" s="197" customFormat="1" ht="12.75" x14ac:dyDescent="0.2"/>
    <row r="57171" s="197" customFormat="1" ht="12.75" x14ac:dyDescent="0.2"/>
    <row r="57172" s="197" customFormat="1" ht="12.75" x14ac:dyDescent="0.2"/>
    <row r="57173" s="197" customFormat="1" ht="12.75" x14ac:dyDescent="0.2"/>
    <row r="57174" s="197" customFormat="1" ht="12.75" x14ac:dyDescent="0.2"/>
    <row r="57175" s="197" customFormat="1" ht="12.75" x14ac:dyDescent="0.2"/>
    <row r="57176" s="197" customFormat="1" ht="12.75" x14ac:dyDescent="0.2"/>
    <row r="57177" s="197" customFormat="1" ht="12.75" x14ac:dyDescent="0.2"/>
    <row r="57178" s="197" customFormat="1" ht="12.75" x14ac:dyDescent="0.2"/>
    <row r="57179" s="197" customFormat="1" ht="12.75" x14ac:dyDescent="0.2"/>
    <row r="57180" s="197" customFormat="1" ht="12.75" x14ac:dyDescent="0.2"/>
    <row r="57181" s="197" customFormat="1" ht="12.75" x14ac:dyDescent="0.2"/>
    <row r="57182" s="197" customFormat="1" ht="12.75" x14ac:dyDescent="0.2"/>
    <row r="57183" s="197" customFormat="1" ht="12.75" x14ac:dyDescent="0.2"/>
    <row r="57184" s="197" customFormat="1" ht="12.75" x14ac:dyDescent="0.2"/>
    <row r="57185" s="197" customFormat="1" ht="12.75" x14ac:dyDescent="0.2"/>
    <row r="57186" s="197" customFormat="1" ht="12.75" x14ac:dyDescent="0.2"/>
    <row r="57187" s="197" customFormat="1" ht="12.75" x14ac:dyDescent="0.2"/>
    <row r="57188" s="197" customFormat="1" ht="12.75" x14ac:dyDescent="0.2"/>
    <row r="57189" s="197" customFormat="1" ht="12.75" x14ac:dyDescent="0.2"/>
    <row r="57190" s="197" customFormat="1" ht="12.75" x14ac:dyDescent="0.2"/>
    <row r="57191" s="197" customFormat="1" ht="12.75" x14ac:dyDescent="0.2"/>
    <row r="57192" s="197" customFormat="1" ht="12.75" x14ac:dyDescent="0.2"/>
    <row r="57193" s="197" customFormat="1" ht="12.75" x14ac:dyDescent="0.2"/>
    <row r="57194" s="197" customFormat="1" ht="12.75" x14ac:dyDescent="0.2"/>
    <row r="57195" s="197" customFormat="1" ht="12.75" x14ac:dyDescent="0.2"/>
    <row r="57196" s="197" customFormat="1" ht="12.75" x14ac:dyDescent="0.2"/>
    <row r="57197" s="197" customFormat="1" ht="12.75" x14ac:dyDescent="0.2"/>
    <row r="57198" s="197" customFormat="1" ht="12.75" x14ac:dyDescent="0.2"/>
    <row r="57199" s="197" customFormat="1" ht="12.75" x14ac:dyDescent="0.2"/>
    <row r="57200" s="197" customFormat="1" ht="12.75" x14ac:dyDescent="0.2"/>
    <row r="57201" s="197" customFormat="1" ht="12.75" x14ac:dyDescent="0.2"/>
    <row r="57202" s="197" customFormat="1" ht="12.75" x14ac:dyDescent="0.2"/>
    <row r="57203" s="197" customFormat="1" ht="12.75" x14ac:dyDescent="0.2"/>
    <row r="57204" s="197" customFormat="1" ht="12.75" x14ac:dyDescent="0.2"/>
    <row r="57205" s="197" customFormat="1" ht="12.75" x14ac:dyDescent="0.2"/>
    <row r="57206" s="197" customFormat="1" ht="12.75" x14ac:dyDescent="0.2"/>
    <row r="57207" s="197" customFormat="1" ht="12.75" x14ac:dyDescent="0.2"/>
    <row r="57208" s="197" customFormat="1" ht="12.75" x14ac:dyDescent="0.2"/>
    <row r="57209" s="197" customFormat="1" ht="12.75" x14ac:dyDescent="0.2"/>
    <row r="57210" s="197" customFormat="1" ht="12.75" x14ac:dyDescent="0.2"/>
    <row r="57211" s="197" customFormat="1" ht="12.75" x14ac:dyDescent="0.2"/>
    <row r="57212" s="197" customFormat="1" ht="12.75" x14ac:dyDescent="0.2"/>
    <row r="57213" s="197" customFormat="1" ht="12.75" x14ac:dyDescent="0.2"/>
    <row r="57214" s="197" customFormat="1" ht="12.75" x14ac:dyDescent="0.2"/>
    <row r="57215" s="197" customFormat="1" ht="12.75" x14ac:dyDescent="0.2"/>
    <row r="57216" s="197" customFormat="1" ht="12.75" x14ac:dyDescent="0.2"/>
    <row r="57217" s="197" customFormat="1" ht="12.75" x14ac:dyDescent="0.2"/>
    <row r="57218" s="197" customFormat="1" ht="12.75" x14ac:dyDescent="0.2"/>
    <row r="57219" s="197" customFormat="1" ht="12.75" x14ac:dyDescent="0.2"/>
    <row r="57220" s="197" customFormat="1" ht="12.75" x14ac:dyDescent="0.2"/>
    <row r="57221" s="197" customFormat="1" ht="12.75" x14ac:dyDescent="0.2"/>
    <row r="57222" s="197" customFormat="1" ht="12.75" x14ac:dyDescent="0.2"/>
    <row r="57223" s="197" customFormat="1" ht="12.75" x14ac:dyDescent="0.2"/>
    <row r="57224" s="197" customFormat="1" ht="12.75" x14ac:dyDescent="0.2"/>
    <row r="57225" s="197" customFormat="1" ht="12.75" x14ac:dyDescent="0.2"/>
    <row r="57226" s="197" customFormat="1" ht="12.75" x14ac:dyDescent="0.2"/>
    <row r="57227" s="197" customFormat="1" ht="12.75" x14ac:dyDescent="0.2"/>
    <row r="57228" s="197" customFormat="1" ht="12.75" x14ac:dyDescent="0.2"/>
    <row r="57229" s="197" customFormat="1" ht="12.75" x14ac:dyDescent="0.2"/>
    <row r="57230" s="197" customFormat="1" ht="12.75" x14ac:dyDescent="0.2"/>
    <row r="57231" s="197" customFormat="1" ht="12.75" x14ac:dyDescent="0.2"/>
    <row r="57232" s="197" customFormat="1" ht="12.75" x14ac:dyDescent="0.2"/>
    <row r="57233" s="197" customFormat="1" ht="12.75" x14ac:dyDescent="0.2"/>
    <row r="57234" s="197" customFormat="1" ht="12.75" x14ac:dyDescent="0.2"/>
    <row r="57235" s="197" customFormat="1" ht="12.75" x14ac:dyDescent="0.2"/>
    <row r="57236" s="197" customFormat="1" ht="12.75" x14ac:dyDescent="0.2"/>
    <row r="57237" s="197" customFormat="1" ht="12.75" x14ac:dyDescent="0.2"/>
    <row r="57238" s="197" customFormat="1" ht="12.75" x14ac:dyDescent="0.2"/>
    <row r="57239" s="197" customFormat="1" ht="12.75" x14ac:dyDescent="0.2"/>
    <row r="57240" s="197" customFormat="1" ht="12.75" x14ac:dyDescent="0.2"/>
    <row r="57241" s="197" customFormat="1" ht="12.75" x14ac:dyDescent="0.2"/>
    <row r="57242" s="197" customFormat="1" ht="12.75" x14ac:dyDescent="0.2"/>
    <row r="57243" s="197" customFormat="1" ht="12.75" x14ac:dyDescent="0.2"/>
    <row r="57244" s="197" customFormat="1" ht="12.75" x14ac:dyDescent="0.2"/>
    <row r="57245" s="197" customFormat="1" ht="12.75" x14ac:dyDescent="0.2"/>
    <row r="57246" s="197" customFormat="1" ht="12.75" x14ac:dyDescent="0.2"/>
    <row r="57247" s="197" customFormat="1" ht="12.75" x14ac:dyDescent="0.2"/>
    <row r="57248" s="197" customFormat="1" ht="12.75" x14ac:dyDescent="0.2"/>
    <row r="57249" s="197" customFormat="1" ht="12.75" x14ac:dyDescent="0.2"/>
    <row r="57250" s="197" customFormat="1" ht="12.75" x14ac:dyDescent="0.2"/>
    <row r="57251" s="197" customFormat="1" ht="12.75" x14ac:dyDescent="0.2"/>
    <row r="57252" s="197" customFormat="1" ht="12.75" x14ac:dyDescent="0.2"/>
    <row r="57253" s="197" customFormat="1" ht="12.75" x14ac:dyDescent="0.2"/>
    <row r="57254" s="197" customFormat="1" ht="12.75" x14ac:dyDescent="0.2"/>
    <row r="57255" s="197" customFormat="1" ht="12.75" x14ac:dyDescent="0.2"/>
    <row r="57256" s="197" customFormat="1" ht="12.75" x14ac:dyDescent="0.2"/>
    <row r="57257" s="197" customFormat="1" ht="12.75" x14ac:dyDescent="0.2"/>
    <row r="57258" s="197" customFormat="1" ht="12.75" x14ac:dyDescent="0.2"/>
    <row r="57259" s="197" customFormat="1" ht="12.75" x14ac:dyDescent="0.2"/>
    <row r="57260" s="197" customFormat="1" ht="12.75" x14ac:dyDescent="0.2"/>
    <row r="57261" s="197" customFormat="1" ht="12.75" x14ac:dyDescent="0.2"/>
    <row r="57262" s="197" customFormat="1" ht="12.75" x14ac:dyDescent="0.2"/>
    <row r="57263" s="197" customFormat="1" ht="12.75" x14ac:dyDescent="0.2"/>
    <row r="57264" s="197" customFormat="1" ht="12.75" x14ac:dyDescent="0.2"/>
    <row r="57265" s="197" customFormat="1" ht="12.75" x14ac:dyDescent="0.2"/>
    <row r="57266" s="197" customFormat="1" ht="12.75" x14ac:dyDescent="0.2"/>
    <row r="57267" s="197" customFormat="1" ht="12.75" x14ac:dyDescent="0.2"/>
    <row r="57268" s="197" customFormat="1" ht="12.75" x14ac:dyDescent="0.2"/>
    <row r="57269" s="197" customFormat="1" ht="12.75" x14ac:dyDescent="0.2"/>
    <row r="57270" s="197" customFormat="1" ht="12.75" x14ac:dyDescent="0.2"/>
    <row r="57271" s="197" customFormat="1" ht="12.75" x14ac:dyDescent="0.2"/>
    <row r="57272" s="197" customFormat="1" ht="12.75" x14ac:dyDescent="0.2"/>
    <row r="57273" s="197" customFormat="1" ht="12.75" x14ac:dyDescent="0.2"/>
    <row r="57274" s="197" customFormat="1" ht="12.75" x14ac:dyDescent="0.2"/>
    <row r="57275" s="197" customFormat="1" ht="12.75" x14ac:dyDescent="0.2"/>
    <row r="57276" s="197" customFormat="1" ht="12.75" x14ac:dyDescent="0.2"/>
    <row r="57277" s="197" customFormat="1" ht="12.75" x14ac:dyDescent="0.2"/>
    <row r="57278" s="197" customFormat="1" ht="12.75" x14ac:dyDescent="0.2"/>
    <row r="57279" s="197" customFormat="1" ht="12.75" x14ac:dyDescent="0.2"/>
    <row r="57280" s="197" customFormat="1" ht="12.75" x14ac:dyDescent="0.2"/>
    <row r="57281" s="197" customFormat="1" ht="12.75" x14ac:dyDescent="0.2"/>
    <row r="57282" s="197" customFormat="1" ht="12.75" x14ac:dyDescent="0.2"/>
    <row r="57283" s="197" customFormat="1" ht="12.75" x14ac:dyDescent="0.2"/>
    <row r="57284" s="197" customFormat="1" ht="12.75" x14ac:dyDescent="0.2"/>
    <row r="57285" s="197" customFormat="1" ht="12.75" x14ac:dyDescent="0.2"/>
    <row r="57286" s="197" customFormat="1" ht="12.75" x14ac:dyDescent="0.2"/>
    <row r="57287" s="197" customFormat="1" ht="12.75" x14ac:dyDescent="0.2"/>
    <row r="57288" s="197" customFormat="1" ht="12.75" x14ac:dyDescent="0.2"/>
    <row r="57289" s="197" customFormat="1" ht="12.75" x14ac:dyDescent="0.2"/>
    <row r="57290" s="197" customFormat="1" ht="12.75" x14ac:dyDescent="0.2"/>
    <row r="57291" s="197" customFormat="1" ht="12.75" x14ac:dyDescent="0.2"/>
    <row r="57292" s="197" customFormat="1" ht="12.75" x14ac:dyDescent="0.2"/>
    <row r="57293" s="197" customFormat="1" ht="12.75" x14ac:dyDescent="0.2"/>
    <row r="57294" s="197" customFormat="1" ht="12.75" x14ac:dyDescent="0.2"/>
    <row r="57295" s="197" customFormat="1" ht="12.75" x14ac:dyDescent="0.2"/>
    <row r="57296" s="197" customFormat="1" ht="12.75" x14ac:dyDescent="0.2"/>
    <row r="57297" s="197" customFormat="1" ht="12.75" x14ac:dyDescent="0.2"/>
    <row r="57298" s="197" customFormat="1" ht="12.75" x14ac:dyDescent="0.2"/>
    <row r="57299" s="197" customFormat="1" ht="12.75" x14ac:dyDescent="0.2"/>
    <row r="57300" s="197" customFormat="1" ht="12.75" x14ac:dyDescent="0.2"/>
    <row r="57301" s="197" customFormat="1" ht="12.75" x14ac:dyDescent="0.2"/>
    <row r="57302" s="197" customFormat="1" ht="12.75" x14ac:dyDescent="0.2"/>
    <row r="57303" s="197" customFormat="1" ht="12.75" x14ac:dyDescent="0.2"/>
    <row r="57304" s="197" customFormat="1" ht="12.75" x14ac:dyDescent="0.2"/>
    <row r="57305" s="197" customFormat="1" ht="12.75" x14ac:dyDescent="0.2"/>
    <row r="57306" s="197" customFormat="1" ht="12.75" x14ac:dyDescent="0.2"/>
    <row r="57307" s="197" customFormat="1" ht="12.75" x14ac:dyDescent="0.2"/>
    <row r="57308" s="197" customFormat="1" ht="12.75" x14ac:dyDescent="0.2"/>
    <row r="57309" s="197" customFormat="1" ht="12.75" x14ac:dyDescent="0.2"/>
    <row r="57310" s="197" customFormat="1" ht="12.75" x14ac:dyDescent="0.2"/>
    <row r="57311" s="197" customFormat="1" ht="12.75" x14ac:dyDescent="0.2"/>
    <row r="57312" s="197" customFormat="1" ht="12.75" x14ac:dyDescent="0.2"/>
    <row r="57313" s="197" customFormat="1" ht="12.75" x14ac:dyDescent="0.2"/>
    <row r="57314" s="197" customFormat="1" ht="12.75" x14ac:dyDescent="0.2"/>
    <row r="57315" s="197" customFormat="1" ht="12.75" x14ac:dyDescent="0.2"/>
    <row r="57316" s="197" customFormat="1" ht="12.75" x14ac:dyDescent="0.2"/>
    <row r="57317" s="197" customFormat="1" ht="12.75" x14ac:dyDescent="0.2"/>
    <row r="57318" s="197" customFormat="1" ht="12.75" x14ac:dyDescent="0.2"/>
    <row r="57319" s="197" customFormat="1" ht="12.75" x14ac:dyDescent="0.2"/>
    <row r="57320" s="197" customFormat="1" ht="12.75" x14ac:dyDescent="0.2"/>
    <row r="57321" s="197" customFormat="1" ht="12.75" x14ac:dyDescent="0.2"/>
    <row r="57322" s="197" customFormat="1" ht="12.75" x14ac:dyDescent="0.2"/>
    <row r="57323" s="197" customFormat="1" ht="12.75" x14ac:dyDescent="0.2"/>
    <row r="57324" s="197" customFormat="1" ht="12.75" x14ac:dyDescent="0.2"/>
    <row r="57325" s="197" customFormat="1" ht="12.75" x14ac:dyDescent="0.2"/>
    <row r="57326" s="197" customFormat="1" ht="12.75" x14ac:dyDescent="0.2"/>
    <row r="57327" s="197" customFormat="1" ht="12.75" x14ac:dyDescent="0.2"/>
    <row r="57328" s="197" customFormat="1" ht="12.75" x14ac:dyDescent="0.2"/>
    <row r="57329" s="197" customFormat="1" ht="12.75" x14ac:dyDescent="0.2"/>
    <row r="57330" s="197" customFormat="1" ht="12.75" x14ac:dyDescent="0.2"/>
    <row r="57331" s="197" customFormat="1" ht="12.75" x14ac:dyDescent="0.2"/>
    <row r="57332" s="197" customFormat="1" ht="12.75" x14ac:dyDescent="0.2"/>
    <row r="57333" s="197" customFormat="1" ht="12.75" x14ac:dyDescent="0.2"/>
    <row r="57334" s="197" customFormat="1" ht="12.75" x14ac:dyDescent="0.2"/>
    <row r="57335" s="197" customFormat="1" ht="12.75" x14ac:dyDescent="0.2"/>
    <row r="57336" s="197" customFormat="1" ht="12.75" x14ac:dyDescent="0.2"/>
    <row r="57337" s="197" customFormat="1" ht="12.75" x14ac:dyDescent="0.2"/>
    <row r="57338" s="197" customFormat="1" ht="12.75" x14ac:dyDescent="0.2"/>
    <row r="57339" s="197" customFormat="1" ht="12.75" x14ac:dyDescent="0.2"/>
    <row r="57340" s="197" customFormat="1" ht="12.75" x14ac:dyDescent="0.2"/>
    <row r="57341" s="197" customFormat="1" ht="12.75" x14ac:dyDescent="0.2"/>
    <row r="57342" s="197" customFormat="1" ht="12.75" x14ac:dyDescent="0.2"/>
    <row r="57343" s="197" customFormat="1" ht="12.75" x14ac:dyDescent="0.2"/>
    <row r="57344" s="197" customFormat="1" ht="12.75" x14ac:dyDescent="0.2"/>
    <row r="57345" s="197" customFormat="1" ht="12.75" x14ac:dyDescent="0.2"/>
    <row r="57346" s="197" customFormat="1" ht="12.75" x14ac:dyDescent="0.2"/>
    <row r="57347" s="197" customFormat="1" ht="12.75" x14ac:dyDescent="0.2"/>
    <row r="57348" s="197" customFormat="1" ht="12.75" x14ac:dyDescent="0.2"/>
    <row r="57349" s="197" customFormat="1" ht="12.75" x14ac:dyDescent="0.2"/>
    <row r="57350" s="197" customFormat="1" ht="12.75" x14ac:dyDescent="0.2"/>
    <row r="57351" s="197" customFormat="1" ht="12.75" x14ac:dyDescent="0.2"/>
    <row r="57352" s="197" customFormat="1" ht="12.75" x14ac:dyDescent="0.2"/>
    <row r="57353" s="197" customFormat="1" ht="12.75" x14ac:dyDescent="0.2"/>
    <row r="57354" s="197" customFormat="1" ht="12.75" x14ac:dyDescent="0.2"/>
    <row r="57355" s="197" customFormat="1" ht="12.75" x14ac:dyDescent="0.2"/>
    <row r="57356" s="197" customFormat="1" ht="12.75" x14ac:dyDescent="0.2"/>
    <row r="57357" s="197" customFormat="1" ht="12.75" x14ac:dyDescent="0.2"/>
    <row r="57358" s="197" customFormat="1" ht="12.75" x14ac:dyDescent="0.2"/>
    <row r="57359" s="197" customFormat="1" ht="12.75" x14ac:dyDescent="0.2"/>
    <row r="57360" s="197" customFormat="1" ht="12.75" x14ac:dyDescent="0.2"/>
    <row r="57361" s="197" customFormat="1" ht="12.75" x14ac:dyDescent="0.2"/>
    <row r="57362" s="197" customFormat="1" ht="12.75" x14ac:dyDescent="0.2"/>
    <row r="57363" s="197" customFormat="1" ht="12.75" x14ac:dyDescent="0.2"/>
    <row r="57364" s="197" customFormat="1" ht="12.75" x14ac:dyDescent="0.2"/>
    <row r="57365" s="197" customFormat="1" ht="12.75" x14ac:dyDescent="0.2"/>
    <row r="57366" s="197" customFormat="1" ht="12.75" x14ac:dyDescent="0.2"/>
    <row r="57367" s="197" customFormat="1" ht="12.75" x14ac:dyDescent="0.2"/>
    <row r="57368" s="197" customFormat="1" ht="12.75" x14ac:dyDescent="0.2"/>
    <row r="57369" s="197" customFormat="1" ht="12.75" x14ac:dyDescent="0.2"/>
    <row r="57370" s="197" customFormat="1" ht="12.75" x14ac:dyDescent="0.2"/>
    <row r="57371" s="197" customFormat="1" ht="12.75" x14ac:dyDescent="0.2"/>
    <row r="57372" s="197" customFormat="1" ht="12.75" x14ac:dyDescent="0.2"/>
    <row r="57373" s="197" customFormat="1" ht="12.75" x14ac:dyDescent="0.2"/>
    <row r="57374" s="197" customFormat="1" ht="12.75" x14ac:dyDescent="0.2"/>
    <row r="57375" s="197" customFormat="1" ht="12.75" x14ac:dyDescent="0.2"/>
    <row r="57376" s="197" customFormat="1" ht="12.75" x14ac:dyDescent="0.2"/>
    <row r="57377" s="197" customFormat="1" ht="12.75" x14ac:dyDescent="0.2"/>
    <row r="57378" s="197" customFormat="1" ht="12.75" x14ac:dyDescent="0.2"/>
    <row r="57379" s="197" customFormat="1" ht="12.75" x14ac:dyDescent="0.2"/>
    <row r="57380" s="197" customFormat="1" ht="12.75" x14ac:dyDescent="0.2"/>
    <row r="57381" s="197" customFormat="1" ht="12.75" x14ac:dyDescent="0.2"/>
    <row r="57382" s="197" customFormat="1" ht="12.75" x14ac:dyDescent="0.2"/>
    <row r="57383" s="197" customFormat="1" ht="12.75" x14ac:dyDescent="0.2"/>
    <row r="57384" s="197" customFormat="1" ht="12.75" x14ac:dyDescent="0.2"/>
    <row r="57385" s="197" customFormat="1" ht="12.75" x14ac:dyDescent="0.2"/>
    <row r="57386" s="197" customFormat="1" ht="12.75" x14ac:dyDescent="0.2"/>
    <row r="57387" s="197" customFormat="1" ht="12.75" x14ac:dyDescent="0.2"/>
    <row r="57388" s="197" customFormat="1" ht="12.75" x14ac:dyDescent="0.2"/>
    <row r="57389" s="197" customFormat="1" ht="12.75" x14ac:dyDescent="0.2"/>
    <row r="57390" s="197" customFormat="1" ht="12.75" x14ac:dyDescent="0.2"/>
    <row r="57391" s="197" customFormat="1" ht="12.75" x14ac:dyDescent="0.2"/>
    <row r="57392" s="197" customFormat="1" ht="12.75" x14ac:dyDescent="0.2"/>
    <row r="57393" s="197" customFormat="1" ht="12.75" x14ac:dyDescent="0.2"/>
    <row r="57394" s="197" customFormat="1" ht="12.75" x14ac:dyDescent="0.2"/>
    <row r="57395" s="197" customFormat="1" ht="12.75" x14ac:dyDescent="0.2"/>
    <row r="57396" s="197" customFormat="1" ht="12.75" x14ac:dyDescent="0.2"/>
    <row r="57397" s="197" customFormat="1" ht="12.75" x14ac:dyDescent="0.2"/>
    <row r="57398" s="197" customFormat="1" ht="12.75" x14ac:dyDescent="0.2"/>
    <row r="57399" s="197" customFormat="1" ht="12.75" x14ac:dyDescent="0.2"/>
    <row r="57400" s="197" customFormat="1" ht="12.75" x14ac:dyDescent="0.2"/>
    <row r="57401" s="197" customFormat="1" ht="12.75" x14ac:dyDescent="0.2"/>
    <row r="57402" s="197" customFormat="1" ht="12.75" x14ac:dyDescent="0.2"/>
    <row r="57403" s="197" customFormat="1" ht="12.75" x14ac:dyDescent="0.2"/>
    <row r="57404" s="197" customFormat="1" ht="12.75" x14ac:dyDescent="0.2"/>
    <row r="57405" s="197" customFormat="1" ht="12.75" x14ac:dyDescent="0.2"/>
    <row r="57406" s="197" customFormat="1" ht="12.75" x14ac:dyDescent="0.2"/>
    <row r="57407" s="197" customFormat="1" ht="12.75" x14ac:dyDescent="0.2"/>
    <row r="57408" s="197" customFormat="1" ht="12.75" x14ac:dyDescent="0.2"/>
    <row r="57409" s="197" customFormat="1" ht="12.75" x14ac:dyDescent="0.2"/>
    <row r="57410" s="197" customFormat="1" ht="12.75" x14ac:dyDescent="0.2"/>
    <row r="57411" s="197" customFormat="1" ht="12.75" x14ac:dyDescent="0.2"/>
    <row r="57412" s="197" customFormat="1" ht="12.75" x14ac:dyDescent="0.2"/>
    <row r="57413" s="197" customFormat="1" ht="12.75" x14ac:dyDescent="0.2"/>
    <row r="57414" s="197" customFormat="1" ht="12.75" x14ac:dyDescent="0.2"/>
    <row r="57415" s="197" customFormat="1" ht="12.75" x14ac:dyDescent="0.2"/>
    <row r="57416" s="197" customFormat="1" ht="12.75" x14ac:dyDescent="0.2"/>
    <row r="57417" s="197" customFormat="1" ht="12.75" x14ac:dyDescent="0.2"/>
    <row r="57418" s="197" customFormat="1" ht="12.75" x14ac:dyDescent="0.2"/>
    <row r="57419" s="197" customFormat="1" ht="12.75" x14ac:dyDescent="0.2"/>
    <row r="57420" s="197" customFormat="1" ht="12.75" x14ac:dyDescent="0.2"/>
    <row r="57421" s="197" customFormat="1" ht="12.75" x14ac:dyDescent="0.2"/>
    <row r="57422" s="197" customFormat="1" ht="12.75" x14ac:dyDescent="0.2"/>
    <row r="57423" s="197" customFormat="1" ht="12.75" x14ac:dyDescent="0.2"/>
    <row r="57424" s="197" customFormat="1" ht="12.75" x14ac:dyDescent="0.2"/>
    <row r="57425" s="197" customFormat="1" ht="12.75" x14ac:dyDescent="0.2"/>
    <row r="57426" s="197" customFormat="1" ht="12.75" x14ac:dyDescent="0.2"/>
    <row r="57427" s="197" customFormat="1" ht="12.75" x14ac:dyDescent="0.2"/>
    <row r="57428" s="197" customFormat="1" ht="12.75" x14ac:dyDescent="0.2"/>
    <row r="57429" s="197" customFormat="1" ht="12.75" x14ac:dyDescent="0.2"/>
    <row r="57430" s="197" customFormat="1" ht="12.75" x14ac:dyDescent="0.2"/>
    <row r="57431" s="197" customFormat="1" ht="12.75" x14ac:dyDescent="0.2"/>
    <row r="57432" s="197" customFormat="1" ht="12.75" x14ac:dyDescent="0.2"/>
    <row r="57433" s="197" customFormat="1" ht="12.75" x14ac:dyDescent="0.2"/>
    <row r="57434" s="197" customFormat="1" ht="12.75" x14ac:dyDescent="0.2"/>
    <row r="57435" s="197" customFormat="1" ht="12.75" x14ac:dyDescent="0.2"/>
    <row r="57436" s="197" customFormat="1" ht="12.75" x14ac:dyDescent="0.2"/>
    <row r="57437" s="197" customFormat="1" ht="12.75" x14ac:dyDescent="0.2"/>
    <row r="57438" s="197" customFormat="1" ht="12.75" x14ac:dyDescent="0.2"/>
    <row r="57439" s="197" customFormat="1" ht="12.75" x14ac:dyDescent="0.2"/>
    <row r="57440" s="197" customFormat="1" ht="12.75" x14ac:dyDescent="0.2"/>
    <row r="57441" s="197" customFormat="1" ht="12.75" x14ac:dyDescent="0.2"/>
    <row r="57442" s="197" customFormat="1" ht="12.75" x14ac:dyDescent="0.2"/>
    <row r="57443" s="197" customFormat="1" ht="12.75" x14ac:dyDescent="0.2"/>
    <row r="57444" s="197" customFormat="1" ht="12.75" x14ac:dyDescent="0.2"/>
    <row r="57445" s="197" customFormat="1" ht="12.75" x14ac:dyDescent="0.2"/>
    <row r="57446" s="197" customFormat="1" ht="12.75" x14ac:dyDescent="0.2"/>
    <row r="57447" s="197" customFormat="1" ht="12.75" x14ac:dyDescent="0.2"/>
    <row r="57448" s="197" customFormat="1" ht="12.75" x14ac:dyDescent="0.2"/>
    <row r="57449" s="197" customFormat="1" ht="12.75" x14ac:dyDescent="0.2"/>
    <row r="57450" s="197" customFormat="1" ht="12.75" x14ac:dyDescent="0.2"/>
    <row r="57451" s="197" customFormat="1" ht="12.75" x14ac:dyDescent="0.2"/>
    <row r="57452" s="197" customFormat="1" ht="12.75" x14ac:dyDescent="0.2"/>
    <row r="57453" s="197" customFormat="1" ht="12.75" x14ac:dyDescent="0.2"/>
    <row r="57454" s="197" customFormat="1" ht="12.75" x14ac:dyDescent="0.2"/>
    <row r="57455" s="197" customFormat="1" ht="12.75" x14ac:dyDescent="0.2"/>
    <row r="57456" s="197" customFormat="1" ht="12.75" x14ac:dyDescent="0.2"/>
    <row r="57457" s="197" customFormat="1" ht="12.75" x14ac:dyDescent="0.2"/>
    <row r="57458" s="197" customFormat="1" ht="12.75" x14ac:dyDescent="0.2"/>
    <row r="57459" s="197" customFormat="1" ht="12.75" x14ac:dyDescent="0.2"/>
    <row r="57460" s="197" customFormat="1" ht="12.75" x14ac:dyDescent="0.2"/>
    <row r="57461" s="197" customFormat="1" ht="12.75" x14ac:dyDescent="0.2"/>
    <row r="57462" s="197" customFormat="1" ht="12.75" x14ac:dyDescent="0.2"/>
    <row r="57463" s="197" customFormat="1" ht="12.75" x14ac:dyDescent="0.2"/>
    <row r="57464" s="197" customFormat="1" ht="12.75" x14ac:dyDescent="0.2"/>
    <row r="57465" s="197" customFormat="1" ht="12.75" x14ac:dyDescent="0.2"/>
    <row r="57466" s="197" customFormat="1" ht="12.75" x14ac:dyDescent="0.2"/>
    <row r="57467" s="197" customFormat="1" ht="12.75" x14ac:dyDescent="0.2"/>
    <row r="57468" s="197" customFormat="1" ht="12.75" x14ac:dyDescent="0.2"/>
    <row r="57469" s="197" customFormat="1" ht="12.75" x14ac:dyDescent="0.2"/>
    <row r="57470" s="197" customFormat="1" ht="12.75" x14ac:dyDescent="0.2"/>
    <row r="57471" s="197" customFormat="1" ht="12.75" x14ac:dyDescent="0.2"/>
    <row r="57472" s="197" customFormat="1" ht="12.75" x14ac:dyDescent="0.2"/>
    <row r="57473" s="197" customFormat="1" ht="12.75" x14ac:dyDescent="0.2"/>
    <row r="57474" s="197" customFormat="1" ht="12.75" x14ac:dyDescent="0.2"/>
    <row r="57475" s="197" customFormat="1" ht="12.75" x14ac:dyDescent="0.2"/>
    <row r="57476" s="197" customFormat="1" ht="12.75" x14ac:dyDescent="0.2"/>
    <row r="57477" s="197" customFormat="1" ht="12.75" x14ac:dyDescent="0.2"/>
    <row r="57478" s="197" customFormat="1" ht="12.75" x14ac:dyDescent="0.2"/>
    <row r="57479" s="197" customFormat="1" ht="12.75" x14ac:dyDescent="0.2"/>
    <row r="57480" s="197" customFormat="1" ht="12.75" x14ac:dyDescent="0.2"/>
    <row r="57481" s="197" customFormat="1" ht="12.75" x14ac:dyDescent="0.2"/>
    <row r="57482" s="197" customFormat="1" ht="12.75" x14ac:dyDescent="0.2"/>
    <row r="57483" s="197" customFormat="1" ht="12.75" x14ac:dyDescent="0.2"/>
    <row r="57484" s="197" customFormat="1" ht="12.75" x14ac:dyDescent="0.2"/>
    <row r="57485" s="197" customFormat="1" ht="12.75" x14ac:dyDescent="0.2"/>
    <row r="57486" s="197" customFormat="1" ht="12.75" x14ac:dyDescent="0.2"/>
    <row r="57487" s="197" customFormat="1" ht="12.75" x14ac:dyDescent="0.2"/>
    <row r="57488" s="197" customFormat="1" ht="12.75" x14ac:dyDescent="0.2"/>
    <row r="57489" s="197" customFormat="1" ht="12.75" x14ac:dyDescent="0.2"/>
    <row r="57490" s="197" customFormat="1" ht="12.75" x14ac:dyDescent="0.2"/>
    <row r="57491" s="197" customFormat="1" ht="12.75" x14ac:dyDescent="0.2"/>
    <row r="57492" s="197" customFormat="1" ht="12.75" x14ac:dyDescent="0.2"/>
    <row r="57493" s="197" customFormat="1" ht="12.75" x14ac:dyDescent="0.2"/>
    <row r="57494" s="197" customFormat="1" ht="12.75" x14ac:dyDescent="0.2"/>
    <row r="57495" s="197" customFormat="1" ht="12.75" x14ac:dyDescent="0.2"/>
    <row r="57496" s="197" customFormat="1" ht="12.75" x14ac:dyDescent="0.2"/>
    <row r="57497" s="197" customFormat="1" ht="12.75" x14ac:dyDescent="0.2"/>
    <row r="57498" s="197" customFormat="1" ht="12.75" x14ac:dyDescent="0.2"/>
    <row r="57499" s="197" customFormat="1" ht="12.75" x14ac:dyDescent="0.2"/>
    <row r="57500" s="197" customFormat="1" ht="12.75" x14ac:dyDescent="0.2"/>
    <row r="57501" s="197" customFormat="1" ht="12.75" x14ac:dyDescent="0.2"/>
    <row r="57502" s="197" customFormat="1" ht="12.75" x14ac:dyDescent="0.2"/>
    <row r="57503" s="197" customFormat="1" ht="12.75" x14ac:dyDescent="0.2"/>
    <row r="57504" s="197" customFormat="1" ht="12.75" x14ac:dyDescent="0.2"/>
    <row r="57505" s="197" customFormat="1" ht="12.75" x14ac:dyDescent="0.2"/>
    <row r="57506" s="197" customFormat="1" ht="12.75" x14ac:dyDescent="0.2"/>
    <row r="57507" s="197" customFormat="1" ht="12.75" x14ac:dyDescent="0.2"/>
    <row r="57508" s="197" customFormat="1" ht="12.75" x14ac:dyDescent="0.2"/>
    <row r="57509" s="197" customFormat="1" ht="12.75" x14ac:dyDescent="0.2"/>
    <row r="57510" s="197" customFormat="1" ht="12.75" x14ac:dyDescent="0.2"/>
    <row r="57511" s="197" customFormat="1" ht="12.75" x14ac:dyDescent="0.2"/>
    <row r="57512" s="197" customFormat="1" ht="12.75" x14ac:dyDescent="0.2"/>
    <row r="57513" s="197" customFormat="1" ht="12.75" x14ac:dyDescent="0.2"/>
    <row r="57514" s="197" customFormat="1" ht="12.75" x14ac:dyDescent="0.2"/>
    <row r="57515" s="197" customFormat="1" ht="12.75" x14ac:dyDescent="0.2"/>
    <row r="57516" s="197" customFormat="1" ht="12.75" x14ac:dyDescent="0.2"/>
    <row r="57517" s="197" customFormat="1" ht="12.75" x14ac:dyDescent="0.2"/>
    <row r="57518" s="197" customFormat="1" ht="12.75" x14ac:dyDescent="0.2"/>
    <row r="57519" s="197" customFormat="1" ht="12.75" x14ac:dyDescent="0.2"/>
    <row r="57520" s="197" customFormat="1" ht="12.75" x14ac:dyDescent="0.2"/>
    <row r="57521" s="197" customFormat="1" ht="12.75" x14ac:dyDescent="0.2"/>
    <row r="57522" s="197" customFormat="1" ht="12.75" x14ac:dyDescent="0.2"/>
    <row r="57523" s="197" customFormat="1" ht="12.75" x14ac:dyDescent="0.2"/>
    <row r="57524" s="197" customFormat="1" ht="12.75" x14ac:dyDescent="0.2"/>
    <row r="57525" s="197" customFormat="1" ht="12.75" x14ac:dyDescent="0.2"/>
    <row r="57526" s="197" customFormat="1" ht="12.75" x14ac:dyDescent="0.2"/>
    <row r="57527" s="197" customFormat="1" ht="12.75" x14ac:dyDescent="0.2"/>
    <row r="57528" s="197" customFormat="1" ht="12.75" x14ac:dyDescent="0.2"/>
    <row r="57529" s="197" customFormat="1" ht="12.75" x14ac:dyDescent="0.2"/>
    <row r="57530" s="197" customFormat="1" ht="12.75" x14ac:dyDescent="0.2"/>
    <row r="57531" s="197" customFormat="1" ht="12.75" x14ac:dyDescent="0.2"/>
    <row r="57532" s="197" customFormat="1" ht="12.75" x14ac:dyDescent="0.2"/>
    <row r="57533" s="197" customFormat="1" ht="12.75" x14ac:dyDescent="0.2"/>
    <row r="57534" s="197" customFormat="1" ht="12.75" x14ac:dyDescent="0.2"/>
    <row r="57535" s="197" customFormat="1" ht="12.75" x14ac:dyDescent="0.2"/>
    <row r="57536" s="197" customFormat="1" ht="12.75" x14ac:dyDescent="0.2"/>
    <row r="57537" s="197" customFormat="1" ht="12.75" x14ac:dyDescent="0.2"/>
    <row r="57538" s="197" customFormat="1" ht="12.75" x14ac:dyDescent="0.2"/>
    <row r="57539" s="197" customFormat="1" ht="12.75" x14ac:dyDescent="0.2"/>
    <row r="57540" s="197" customFormat="1" ht="12.75" x14ac:dyDescent="0.2"/>
    <row r="57541" s="197" customFormat="1" ht="12.75" x14ac:dyDescent="0.2"/>
    <row r="57542" s="197" customFormat="1" ht="12.75" x14ac:dyDescent="0.2"/>
    <row r="57543" s="197" customFormat="1" ht="12.75" x14ac:dyDescent="0.2"/>
    <row r="57544" s="197" customFormat="1" ht="12.75" x14ac:dyDescent="0.2"/>
    <row r="57545" s="197" customFormat="1" ht="12.75" x14ac:dyDescent="0.2"/>
    <row r="57546" s="197" customFormat="1" ht="12.75" x14ac:dyDescent="0.2"/>
    <row r="57547" s="197" customFormat="1" ht="12.75" x14ac:dyDescent="0.2"/>
    <row r="57548" s="197" customFormat="1" ht="12.75" x14ac:dyDescent="0.2"/>
    <row r="57549" s="197" customFormat="1" ht="12.75" x14ac:dyDescent="0.2"/>
    <row r="57550" s="197" customFormat="1" ht="12.75" x14ac:dyDescent="0.2"/>
    <row r="57551" s="197" customFormat="1" ht="12.75" x14ac:dyDescent="0.2"/>
    <row r="57552" s="197" customFormat="1" ht="12.75" x14ac:dyDescent="0.2"/>
    <row r="57553" s="197" customFormat="1" ht="12.75" x14ac:dyDescent="0.2"/>
    <row r="57554" s="197" customFormat="1" ht="12.75" x14ac:dyDescent="0.2"/>
    <row r="57555" s="197" customFormat="1" ht="12.75" x14ac:dyDescent="0.2"/>
    <row r="57556" s="197" customFormat="1" ht="12.75" x14ac:dyDescent="0.2"/>
    <row r="57557" s="197" customFormat="1" ht="12.75" x14ac:dyDescent="0.2"/>
    <row r="57558" s="197" customFormat="1" ht="12.75" x14ac:dyDescent="0.2"/>
    <row r="57559" s="197" customFormat="1" ht="12.75" x14ac:dyDescent="0.2"/>
    <row r="57560" s="197" customFormat="1" ht="12.75" x14ac:dyDescent="0.2"/>
    <row r="57561" s="197" customFormat="1" ht="12.75" x14ac:dyDescent="0.2"/>
    <row r="57562" s="197" customFormat="1" ht="12.75" x14ac:dyDescent="0.2"/>
    <row r="57563" s="197" customFormat="1" ht="12.75" x14ac:dyDescent="0.2"/>
    <row r="57564" s="197" customFormat="1" ht="12.75" x14ac:dyDescent="0.2"/>
    <row r="57565" s="197" customFormat="1" ht="12.75" x14ac:dyDescent="0.2"/>
    <row r="57566" s="197" customFormat="1" ht="12.75" x14ac:dyDescent="0.2"/>
    <row r="57567" s="197" customFormat="1" ht="12.75" x14ac:dyDescent="0.2"/>
    <row r="57568" s="197" customFormat="1" ht="12.75" x14ac:dyDescent="0.2"/>
    <row r="57569" s="197" customFormat="1" ht="12.75" x14ac:dyDescent="0.2"/>
    <row r="57570" s="197" customFormat="1" ht="12.75" x14ac:dyDescent="0.2"/>
    <row r="57571" s="197" customFormat="1" ht="12.75" x14ac:dyDescent="0.2"/>
    <row r="57572" s="197" customFormat="1" ht="12.75" x14ac:dyDescent="0.2"/>
    <row r="57573" s="197" customFormat="1" ht="12.75" x14ac:dyDescent="0.2"/>
    <row r="57574" s="197" customFormat="1" ht="12.75" x14ac:dyDescent="0.2"/>
    <row r="57575" s="197" customFormat="1" ht="12.75" x14ac:dyDescent="0.2"/>
    <row r="57576" s="197" customFormat="1" ht="12.75" x14ac:dyDescent="0.2"/>
    <row r="57577" s="197" customFormat="1" ht="12.75" x14ac:dyDescent="0.2"/>
    <row r="57578" s="197" customFormat="1" ht="12.75" x14ac:dyDescent="0.2"/>
    <row r="57579" s="197" customFormat="1" ht="12.75" x14ac:dyDescent="0.2"/>
    <row r="57580" s="197" customFormat="1" ht="12.75" x14ac:dyDescent="0.2"/>
    <row r="57581" s="197" customFormat="1" ht="12.75" x14ac:dyDescent="0.2"/>
    <row r="57582" s="197" customFormat="1" ht="12.75" x14ac:dyDescent="0.2"/>
    <row r="57583" s="197" customFormat="1" ht="12.75" x14ac:dyDescent="0.2"/>
    <row r="57584" s="197" customFormat="1" ht="12.75" x14ac:dyDescent="0.2"/>
    <row r="57585" s="197" customFormat="1" ht="12.75" x14ac:dyDescent="0.2"/>
    <row r="57586" s="197" customFormat="1" ht="12.75" x14ac:dyDescent="0.2"/>
    <row r="57587" s="197" customFormat="1" ht="12.75" x14ac:dyDescent="0.2"/>
    <row r="57588" s="197" customFormat="1" ht="12.75" x14ac:dyDescent="0.2"/>
    <row r="57589" s="197" customFormat="1" ht="12.75" x14ac:dyDescent="0.2"/>
    <row r="57590" s="197" customFormat="1" ht="12.75" x14ac:dyDescent="0.2"/>
    <row r="57591" s="197" customFormat="1" ht="12.75" x14ac:dyDescent="0.2"/>
    <row r="57592" s="197" customFormat="1" ht="12.75" x14ac:dyDescent="0.2"/>
    <row r="57593" s="197" customFormat="1" ht="12.75" x14ac:dyDescent="0.2"/>
    <row r="57594" s="197" customFormat="1" ht="12.75" x14ac:dyDescent="0.2"/>
    <row r="57595" s="197" customFormat="1" ht="12.75" x14ac:dyDescent="0.2"/>
    <row r="57596" s="197" customFormat="1" ht="12.75" x14ac:dyDescent="0.2"/>
    <row r="57597" s="197" customFormat="1" ht="12.75" x14ac:dyDescent="0.2"/>
    <row r="57598" s="197" customFormat="1" ht="12.75" x14ac:dyDescent="0.2"/>
    <row r="57599" s="197" customFormat="1" ht="12.75" x14ac:dyDescent="0.2"/>
    <row r="57600" s="197" customFormat="1" ht="12.75" x14ac:dyDescent="0.2"/>
    <row r="57601" s="197" customFormat="1" ht="12.75" x14ac:dyDescent="0.2"/>
    <row r="57602" s="197" customFormat="1" ht="12.75" x14ac:dyDescent="0.2"/>
    <row r="57603" s="197" customFormat="1" ht="12.75" x14ac:dyDescent="0.2"/>
    <row r="57604" s="197" customFormat="1" ht="12.75" x14ac:dyDescent="0.2"/>
    <row r="57605" s="197" customFormat="1" ht="12.75" x14ac:dyDescent="0.2"/>
    <row r="57606" s="197" customFormat="1" ht="12.75" x14ac:dyDescent="0.2"/>
    <row r="57607" s="197" customFormat="1" ht="12.75" x14ac:dyDescent="0.2"/>
    <row r="57608" s="197" customFormat="1" ht="12.75" x14ac:dyDescent="0.2"/>
    <row r="57609" s="197" customFormat="1" ht="12.75" x14ac:dyDescent="0.2"/>
    <row r="57610" s="197" customFormat="1" ht="12.75" x14ac:dyDescent="0.2"/>
    <row r="57611" s="197" customFormat="1" ht="12.75" x14ac:dyDescent="0.2"/>
    <row r="57612" s="197" customFormat="1" ht="12.75" x14ac:dyDescent="0.2"/>
    <row r="57613" s="197" customFormat="1" ht="12.75" x14ac:dyDescent="0.2"/>
    <row r="57614" s="197" customFormat="1" ht="12.75" x14ac:dyDescent="0.2"/>
    <row r="57615" s="197" customFormat="1" ht="12.75" x14ac:dyDescent="0.2"/>
    <row r="57616" s="197" customFormat="1" ht="12.75" x14ac:dyDescent="0.2"/>
    <row r="57617" s="197" customFormat="1" ht="12.75" x14ac:dyDescent="0.2"/>
    <row r="57618" s="197" customFormat="1" ht="12.75" x14ac:dyDescent="0.2"/>
    <row r="57619" s="197" customFormat="1" ht="12.75" x14ac:dyDescent="0.2"/>
    <row r="57620" s="197" customFormat="1" ht="12.75" x14ac:dyDescent="0.2"/>
    <row r="57621" s="197" customFormat="1" ht="12.75" x14ac:dyDescent="0.2"/>
    <row r="57622" s="197" customFormat="1" ht="12.75" x14ac:dyDescent="0.2"/>
    <row r="57623" s="197" customFormat="1" ht="12.75" x14ac:dyDescent="0.2"/>
    <row r="57624" s="197" customFormat="1" ht="12.75" x14ac:dyDescent="0.2"/>
    <row r="57625" s="197" customFormat="1" ht="12.75" x14ac:dyDescent="0.2"/>
    <row r="57626" s="197" customFormat="1" ht="12.75" x14ac:dyDescent="0.2"/>
    <row r="57627" s="197" customFormat="1" ht="12.75" x14ac:dyDescent="0.2"/>
    <row r="57628" s="197" customFormat="1" ht="12.75" x14ac:dyDescent="0.2"/>
    <row r="57629" s="197" customFormat="1" ht="12.75" x14ac:dyDescent="0.2"/>
    <row r="57630" s="197" customFormat="1" ht="12.75" x14ac:dyDescent="0.2"/>
    <row r="57631" s="197" customFormat="1" ht="12.75" x14ac:dyDescent="0.2"/>
    <row r="57632" s="197" customFormat="1" ht="12.75" x14ac:dyDescent="0.2"/>
    <row r="57633" s="197" customFormat="1" ht="12.75" x14ac:dyDescent="0.2"/>
    <row r="57634" s="197" customFormat="1" ht="12.75" x14ac:dyDescent="0.2"/>
    <row r="57635" s="197" customFormat="1" ht="12.75" x14ac:dyDescent="0.2"/>
    <row r="57636" s="197" customFormat="1" ht="12.75" x14ac:dyDescent="0.2"/>
    <row r="57637" s="197" customFormat="1" ht="12.75" x14ac:dyDescent="0.2"/>
    <row r="57638" s="197" customFormat="1" ht="12.75" x14ac:dyDescent="0.2"/>
    <row r="57639" s="197" customFormat="1" ht="12.75" x14ac:dyDescent="0.2"/>
    <row r="57640" s="197" customFormat="1" ht="12.75" x14ac:dyDescent="0.2"/>
    <row r="57641" s="197" customFormat="1" ht="12.75" x14ac:dyDescent="0.2"/>
    <row r="57642" s="197" customFormat="1" ht="12.75" x14ac:dyDescent="0.2"/>
    <row r="57643" s="197" customFormat="1" ht="12.75" x14ac:dyDescent="0.2"/>
    <row r="57644" s="197" customFormat="1" ht="12.75" x14ac:dyDescent="0.2"/>
    <row r="57645" s="197" customFormat="1" ht="12.75" x14ac:dyDescent="0.2"/>
    <row r="57646" s="197" customFormat="1" ht="12.75" x14ac:dyDescent="0.2"/>
    <row r="57647" s="197" customFormat="1" ht="12.75" x14ac:dyDescent="0.2"/>
    <row r="57648" s="197" customFormat="1" ht="12.75" x14ac:dyDescent="0.2"/>
    <row r="57649" s="197" customFormat="1" ht="12.75" x14ac:dyDescent="0.2"/>
    <row r="57650" s="197" customFormat="1" ht="12.75" x14ac:dyDescent="0.2"/>
    <row r="57651" s="197" customFormat="1" ht="12.75" x14ac:dyDescent="0.2"/>
    <row r="57652" s="197" customFormat="1" ht="12.75" x14ac:dyDescent="0.2"/>
    <row r="57653" s="197" customFormat="1" ht="12.75" x14ac:dyDescent="0.2"/>
    <row r="57654" s="197" customFormat="1" ht="12.75" x14ac:dyDescent="0.2"/>
    <row r="57655" s="197" customFormat="1" ht="12.75" x14ac:dyDescent="0.2"/>
    <row r="57656" s="197" customFormat="1" ht="12.75" x14ac:dyDescent="0.2"/>
    <row r="57657" s="197" customFormat="1" ht="12.75" x14ac:dyDescent="0.2"/>
    <row r="57658" s="197" customFormat="1" ht="12.75" x14ac:dyDescent="0.2"/>
    <row r="57659" s="197" customFormat="1" ht="12.75" x14ac:dyDescent="0.2"/>
    <row r="57660" s="197" customFormat="1" ht="12.75" x14ac:dyDescent="0.2"/>
    <row r="57661" s="197" customFormat="1" ht="12.75" x14ac:dyDescent="0.2"/>
    <row r="57662" s="197" customFormat="1" ht="12.75" x14ac:dyDescent="0.2"/>
    <row r="57663" s="197" customFormat="1" ht="12.75" x14ac:dyDescent="0.2"/>
    <row r="57664" s="197" customFormat="1" ht="12.75" x14ac:dyDescent="0.2"/>
    <row r="57665" s="197" customFormat="1" ht="12.75" x14ac:dyDescent="0.2"/>
    <row r="57666" s="197" customFormat="1" ht="12.75" x14ac:dyDescent="0.2"/>
    <row r="57667" s="197" customFormat="1" ht="12.75" x14ac:dyDescent="0.2"/>
    <row r="57668" s="197" customFormat="1" ht="12.75" x14ac:dyDescent="0.2"/>
    <row r="57669" s="197" customFormat="1" ht="12.75" x14ac:dyDescent="0.2"/>
    <row r="57670" s="197" customFormat="1" ht="12.75" x14ac:dyDescent="0.2"/>
    <row r="57671" s="197" customFormat="1" ht="12.75" x14ac:dyDescent="0.2"/>
    <row r="57672" s="197" customFormat="1" ht="12.75" x14ac:dyDescent="0.2"/>
    <row r="57673" s="197" customFormat="1" ht="12.75" x14ac:dyDescent="0.2"/>
    <row r="57674" s="197" customFormat="1" ht="12.75" x14ac:dyDescent="0.2"/>
    <row r="57675" s="197" customFormat="1" ht="12.75" x14ac:dyDescent="0.2"/>
    <row r="57676" s="197" customFormat="1" ht="12.75" x14ac:dyDescent="0.2"/>
    <row r="57677" s="197" customFormat="1" ht="12.75" x14ac:dyDescent="0.2"/>
    <row r="57678" s="197" customFormat="1" ht="12.75" x14ac:dyDescent="0.2"/>
    <row r="57679" s="197" customFormat="1" ht="12.75" x14ac:dyDescent="0.2"/>
    <row r="57680" s="197" customFormat="1" ht="12.75" x14ac:dyDescent="0.2"/>
    <row r="57681" s="197" customFormat="1" ht="12.75" x14ac:dyDescent="0.2"/>
    <row r="57682" s="197" customFormat="1" ht="12.75" x14ac:dyDescent="0.2"/>
    <row r="57683" s="197" customFormat="1" ht="12.75" x14ac:dyDescent="0.2"/>
    <row r="57684" s="197" customFormat="1" ht="12.75" x14ac:dyDescent="0.2"/>
    <row r="57685" s="197" customFormat="1" ht="12.75" x14ac:dyDescent="0.2"/>
    <row r="57686" s="197" customFormat="1" ht="12.75" x14ac:dyDescent="0.2"/>
    <row r="57687" s="197" customFormat="1" ht="12.75" x14ac:dyDescent="0.2"/>
    <row r="57688" s="197" customFormat="1" ht="12.75" x14ac:dyDescent="0.2"/>
    <row r="57689" s="197" customFormat="1" ht="12.75" x14ac:dyDescent="0.2"/>
    <row r="57690" s="197" customFormat="1" ht="12.75" x14ac:dyDescent="0.2"/>
    <row r="57691" s="197" customFormat="1" ht="12.75" x14ac:dyDescent="0.2"/>
    <row r="57692" s="197" customFormat="1" ht="12.75" x14ac:dyDescent="0.2"/>
    <row r="57693" s="197" customFormat="1" ht="12.75" x14ac:dyDescent="0.2"/>
    <row r="57694" s="197" customFormat="1" ht="12.75" x14ac:dyDescent="0.2"/>
    <row r="57695" s="197" customFormat="1" ht="12.75" x14ac:dyDescent="0.2"/>
    <row r="57696" s="197" customFormat="1" ht="12.75" x14ac:dyDescent="0.2"/>
    <row r="57697" s="197" customFormat="1" ht="12.75" x14ac:dyDescent="0.2"/>
    <row r="57698" s="197" customFormat="1" ht="12.75" x14ac:dyDescent="0.2"/>
    <row r="57699" s="197" customFormat="1" ht="12.75" x14ac:dyDescent="0.2"/>
    <row r="57700" s="197" customFormat="1" ht="12.75" x14ac:dyDescent="0.2"/>
    <row r="57701" s="197" customFormat="1" ht="12.75" x14ac:dyDescent="0.2"/>
    <row r="57702" s="197" customFormat="1" ht="12.75" x14ac:dyDescent="0.2"/>
    <row r="57703" s="197" customFormat="1" ht="12.75" x14ac:dyDescent="0.2"/>
    <row r="57704" s="197" customFormat="1" ht="12.75" x14ac:dyDescent="0.2"/>
    <row r="57705" s="197" customFormat="1" ht="12.75" x14ac:dyDescent="0.2"/>
    <row r="57706" s="197" customFormat="1" ht="12.75" x14ac:dyDescent="0.2"/>
    <row r="57707" s="197" customFormat="1" ht="12.75" x14ac:dyDescent="0.2"/>
    <row r="57708" s="197" customFormat="1" ht="12.75" x14ac:dyDescent="0.2"/>
    <row r="57709" s="197" customFormat="1" ht="12.75" x14ac:dyDescent="0.2"/>
    <row r="57710" s="197" customFormat="1" ht="12.75" x14ac:dyDescent="0.2"/>
    <row r="57711" s="197" customFormat="1" ht="12.75" x14ac:dyDescent="0.2"/>
    <row r="57712" s="197" customFormat="1" ht="12.75" x14ac:dyDescent="0.2"/>
    <row r="57713" s="197" customFormat="1" ht="12.75" x14ac:dyDescent="0.2"/>
    <row r="57714" s="197" customFormat="1" ht="12.75" x14ac:dyDescent="0.2"/>
    <row r="57715" s="197" customFormat="1" ht="12.75" x14ac:dyDescent="0.2"/>
    <row r="57716" s="197" customFormat="1" ht="12.75" x14ac:dyDescent="0.2"/>
    <row r="57717" s="197" customFormat="1" ht="12.75" x14ac:dyDescent="0.2"/>
    <row r="57718" s="197" customFormat="1" ht="12.75" x14ac:dyDescent="0.2"/>
    <row r="57719" s="197" customFormat="1" ht="12.75" x14ac:dyDescent="0.2"/>
    <row r="57720" s="197" customFormat="1" ht="12.75" x14ac:dyDescent="0.2"/>
    <row r="57721" s="197" customFormat="1" ht="12.75" x14ac:dyDescent="0.2"/>
    <row r="57722" s="197" customFormat="1" ht="12.75" x14ac:dyDescent="0.2"/>
    <row r="57723" s="197" customFormat="1" ht="12.75" x14ac:dyDescent="0.2"/>
    <row r="57724" s="197" customFormat="1" ht="12.75" x14ac:dyDescent="0.2"/>
    <row r="57725" s="197" customFormat="1" ht="12.75" x14ac:dyDescent="0.2"/>
    <row r="57726" s="197" customFormat="1" ht="12.75" x14ac:dyDescent="0.2"/>
    <row r="57727" s="197" customFormat="1" ht="12.75" x14ac:dyDescent="0.2"/>
    <row r="57728" s="197" customFormat="1" ht="12.75" x14ac:dyDescent="0.2"/>
    <row r="57729" s="197" customFormat="1" ht="12.75" x14ac:dyDescent="0.2"/>
    <row r="57730" s="197" customFormat="1" ht="12.75" x14ac:dyDescent="0.2"/>
    <row r="57731" s="197" customFormat="1" ht="12.75" x14ac:dyDescent="0.2"/>
    <row r="57732" s="197" customFormat="1" ht="12.75" x14ac:dyDescent="0.2"/>
    <row r="57733" s="197" customFormat="1" ht="12.75" x14ac:dyDescent="0.2"/>
    <row r="57734" s="197" customFormat="1" ht="12.75" x14ac:dyDescent="0.2"/>
    <row r="57735" s="197" customFormat="1" ht="12.75" x14ac:dyDescent="0.2"/>
    <row r="57736" s="197" customFormat="1" ht="12.75" x14ac:dyDescent="0.2"/>
    <row r="57737" s="197" customFormat="1" ht="12.75" x14ac:dyDescent="0.2"/>
    <row r="57738" s="197" customFormat="1" ht="12.75" x14ac:dyDescent="0.2"/>
    <row r="57739" s="197" customFormat="1" ht="12.75" x14ac:dyDescent="0.2"/>
    <row r="57740" s="197" customFormat="1" ht="12.75" x14ac:dyDescent="0.2"/>
    <row r="57741" s="197" customFormat="1" ht="12.75" x14ac:dyDescent="0.2"/>
    <row r="57742" s="197" customFormat="1" ht="12.75" x14ac:dyDescent="0.2"/>
    <row r="57743" s="197" customFormat="1" ht="12.75" x14ac:dyDescent="0.2"/>
    <row r="57744" s="197" customFormat="1" ht="12.75" x14ac:dyDescent="0.2"/>
    <row r="57745" s="197" customFormat="1" ht="12.75" x14ac:dyDescent="0.2"/>
    <row r="57746" s="197" customFormat="1" ht="12.75" x14ac:dyDescent="0.2"/>
    <row r="57747" s="197" customFormat="1" ht="12.75" x14ac:dyDescent="0.2"/>
    <row r="57748" s="197" customFormat="1" ht="12.75" x14ac:dyDescent="0.2"/>
    <row r="57749" s="197" customFormat="1" ht="12.75" x14ac:dyDescent="0.2"/>
    <row r="57750" s="197" customFormat="1" ht="12.75" x14ac:dyDescent="0.2"/>
    <row r="57751" s="197" customFormat="1" ht="12.75" x14ac:dyDescent="0.2"/>
    <row r="57752" s="197" customFormat="1" ht="12.75" x14ac:dyDescent="0.2"/>
    <row r="57753" s="197" customFormat="1" ht="12.75" x14ac:dyDescent="0.2"/>
    <row r="57754" s="197" customFormat="1" ht="12.75" x14ac:dyDescent="0.2"/>
    <row r="57755" s="197" customFormat="1" ht="12.75" x14ac:dyDescent="0.2"/>
    <row r="57756" s="197" customFormat="1" ht="12.75" x14ac:dyDescent="0.2"/>
    <row r="57757" s="197" customFormat="1" ht="12.75" x14ac:dyDescent="0.2"/>
    <row r="57758" s="197" customFormat="1" ht="12.75" x14ac:dyDescent="0.2"/>
    <row r="57759" s="197" customFormat="1" ht="12.75" x14ac:dyDescent="0.2"/>
    <row r="57760" s="197" customFormat="1" ht="12.75" x14ac:dyDescent="0.2"/>
    <row r="57761" s="197" customFormat="1" ht="12.75" x14ac:dyDescent="0.2"/>
    <row r="57762" s="197" customFormat="1" ht="12.75" x14ac:dyDescent="0.2"/>
    <row r="57763" s="197" customFormat="1" ht="12.75" x14ac:dyDescent="0.2"/>
    <row r="57764" s="197" customFormat="1" ht="12.75" x14ac:dyDescent="0.2"/>
    <row r="57765" s="197" customFormat="1" ht="12.75" x14ac:dyDescent="0.2"/>
    <row r="57766" s="197" customFormat="1" ht="12.75" x14ac:dyDescent="0.2"/>
    <row r="57767" s="197" customFormat="1" ht="12.75" x14ac:dyDescent="0.2"/>
    <row r="57768" s="197" customFormat="1" ht="12.75" x14ac:dyDescent="0.2"/>
    <row r="57769" s="197" customFormat="1" ht="12.75" x14ac:dyDescent="0.2"/>
    <row r="57770" s="197" customFormat="1" ht="12.75" x14ac:dyDescent="0.2"/>
    <row r="57771" s="197" customFormat="1" ht="12.75" x14ac:dyDescent="0.2"/>
    <row r="57772" s="197" customFormat="1" ht="12.75" x14ac:dyDescent="0.2"/>
    <row r="57773" s="197" customFormat="1" ht="12.75" x14ac:dyDescent="0.2"/>
    <row r="57774" s="197" customFormat="1" ht="12.75" x14ac:dyDescent="0.2"/>
    <row r="57775" s="197" customFormat="1" ht="12.75" x14ac:dyDescent="0.2"/>
    <row r="57776" s="197" customFormat="1" ht="12.75" x14ac:dyDescent="0.2"/>
    <row r="57777" s="197" customFormat="1" ht="12.75" x14ac:dyDescent="0.2"/>
    <row r="57778" s="197" customFormat="1" ht="12.75" x14ac:dyDescent="0.2"/>
    <row r="57779" s="197" customFormat="1" ht="12.75" x14ac:dyDescent="0.2"/>
    <row r="57780" s="197" customFormat="1" ht="12.75" x14ac:dyDescent="0.2"/>
    <row r="57781" s="197" customFormat="1" ht="12.75" x14ac:dyDescent="0.2"/>
    <row r="57782" s="197" customFormat="1" ht="12.75" x14ac:dyDescent="0.2"/>
    <row r="57783" s="197" customFormat="1" ht="12.75" x14ac:dyDescent="0.2"/>
    <row r="57784" s="197" customFormat="1" ht="12.75" x14ac:dyDescent="0.2"/>
    <row r="57785" s="197" customFormat="1" ht="12.75" x14ac:dyDescent="0.2"/>
    <row r="57786" s="197" customFormat="1" ht="12.75" x14ac:dyDescent="0.2"/>
    <row r="57787" s="197" customFormat="1" ht="12.75" x14ac:dyDescent="0.2"/>
    <row r="57788" s="197" customFormat="1" ht="12.75" x14ac:dyDescent="0.2"/>
    <row r="57789" s="197" customFormat="1" ht="12.75" x14ac:dyDescent="0.2"/>
    <row r="57790" s="197" customFormat="1" ht="12.75" x14ac:dyDescent="0.2"/>
    <row r="57791" s="197" customFormat="1" ht="12.75" x14ac:dyDescent="0.2"/>
    <row r="57792" s="197" customFormat="1" ht="12.75" x14ac:dyDescent="0.2"/>
    <row r="57793" s="197" customFormat="1" ht="12.75" x14ac:dyDescent="0.2"/>
    <row r="57794" s="197" customFormat="1" ht="12.75" x14ac:dyDescent="0.2"/>
    <row r="57795" s="197" customFormat="1" ht="12.75" x14ac:dyDescent="0.2"/>
    <row r="57796" s="197" customFormat="1" ht="12.75" x14ac:dyDescent="0.2"/>
    <row r="57797" s="197" customFormat="1" ht="12.75" x14ac:dyDescent="0.2"/>
    <row r="57798" s="197" customFormat="1" ht="12.75" x14ac:dyDescent="0.2"/>
    <row r="57799" s="197" customFormat="1" ht="12.75" x14ac:dyDescent="0.2"/>
    <row r="57800" s="197" customFormat="1" ht="12.75" x14ac:dyDescent="0.2"/>
    <row r="57801" s="197" customFormat="1" ht="12.75" x14ac:dyDescent="0.2"/>
    <row r="57802" s="197" customFormat="1" ht="12.75" x14ac:dyDescent="0.2"/>
    <row r="57803" s="197" customFormat="1" ht="12.75" x14ac:dyDescent="0.2"/>
    <row r="57804" s="197" customFormat="1" ht="12.75" x14ac:dyDescent="0.2"/>
    <row r="57805" s="197" customFormat="1" ht="12.75" x14ac:dyDescent="0.2"/>
    <row r="57806" s="197" customFormat="1" ht="12.75" x14ac:dyDescent="0.2"/>
    <row r="57807" s="197" customFormat="1" ht="12.75" x14ac:dyDescent="0.2"/>
    <row r="57808" s="197" customFormat="1" ht="12.75" x14ac:dyDescent="0.2"/>
    <row r="57809" s="197" customFormat="1" ht="12.75" x14ac:dyDescent="0.2"/>
    <row r="57810" s="197" customFormat="1" ht="12.75" x14ac:dyDescent="0.2"/>
    <row r="57811" s="197" customFormat="1" ht="12.75" x14ac:dyDescent="0.2"/>
    <row r="57812" s="197" customFormat="1" ht="12.75" x14ac:dyDescent="0.2"/>
    <row r="57813" s="197" customFormat="1" ht="12.75" x14ac:dyDescent="0.2"/>
    <row r="57814" s="197" customFormat="1" ht="12.75" x14ac:dyDescent="0.2"/>
    <row r="57815" s="197" customFormat="1" ht="12.75" x14ac:dyDescent="0.2"/>
    <row r="57816" s="197" customFormat="1" ht="12.75" x14ac:dyDescent="0.2"/>
    <row r="57817" s="197" customFormat="1" ht="12.75" x14ac:dyDescent="0.2"/>
    <row r="57818" s="197" customFormat="1" ht="12.75" x14ac:dyDescent="0.2"/>
    <row r="57819" s="197" customFormat="1" ht="12.75" x14ac:dyDescent="0.2"/>
    <row r="57820" s="197" customFormat="1" ht="12.75" x14ac:dyDescent="0.2"/>
    <row r="57821" s="197" customFormat="1" ht="12.75" x14ac:dyDescent="0.2"/>
    <row r="57822" s="197" customFormat="1" ht="12.75" x14ac:dyDescent="0.2"/>
    <row r="57823" s="197" customFormat="1" ht="12.75" x14ac:dyDescent="0.2"/>
    <row r="57824" s="197" customFormat="1" ht="12.75" x14ac:dyDescent="0.2"/>
    <row r="57825" s="197" customFormat="1" ht="12.75" x14ac:dyDescent="0.2"/>
    <row r="57826" s="197" customFormat="1" ht="12.75" x14ac:dyDescent="0.2"/>
    <row r="57827" s="197" customFormat="1" ht="12.75" x14ac:dyDescent="0.2"/>
    <row r="57828" s="197" customFormat="1" ht="12.75" x14ac:dyDescent="0.2"/>
    <row r="57829" s="197" customFormat="1" ht="12.75" x14ac:dyDescent="0.2"/>
    <row r="57830" s="197" customFormat="1" ht="12.75" x14ac:dyDescent="0.2"/>
    <row r="57831" s="197" customFormat="1" ht="12.75" x14ac:dyDescent="0.2"/>
    <row r="57832" s="197" customFormat="1" ht="12.75" x14ac:dyDescent="0.2"/>
    <row r="57833" s="197" customFormat="1" ht="12.75" x14ac:dyDescent="0.2"/>
    <row r="57834" s="197" customFormat="1" ht="12.75" x14ac:dyDescent="0.2"/>
    <row r="57835" s="197" customFormat="1" ht="12.75" x14ac:dyDescent="0.2"/>
    <row r="57836" s="197" customFormat="1" ht="12.75" x14ac:dyDescent="0.2"/>
    <row r="57837" s="197" customFormat="1" ht="12.75" x14ac:dyDescent="0.2"/>
    <row r="57838" s="197" customFormat="1" ht="12.75" x14ac:dyDescent="0.2"/>
    <row r="57839" s="197" customFormat="1" ht="12.75" x14ac:dyDescent="0.2"/>
    <row r="57840" s="197" customFormat="1" ht="12.75" x14ac:dyDescent="0.2"/>
    <row r="57841" s="197" customFormat="1" ht="12.75" x14ac:dyDescent="0.2"/>
    <row r="57842" s="197" customFormat="1" ht="12.75" x14ac:dyDescent="0.2"/>
    <row r="57843" s="197" customFormat="1" ht="12.75" x14ac:dyDescent="0.2"/>
    <row r="57844" s="197" customFormat="1" ht="12.75" x14ac:dyDescent="0.2"/>
    <row r="57845" s="197" customFormat="1" ht="12.75" x14ac:dyDescent="0.2"/>
    <row r="57846" s="197" customFormat="1" ht="12.75" x14ac:dyDescent="0.2"/>
    <row r="57847" s="197" customFormat="1" ht="12.75" x14ac:dyDescent="0.2"/>
    <row r="57848" s="197" customFormat="1" ht="12.75" x14ac:dyDescent="0.2"/>
    <row r="57849" s="197" customFormat="1" ht="12.75" x14ac:dyDescent="0.2"/>
    <row r="57850" s="197" customFormat="1" ht="12.75" x14ac:dyDescent="0.2"/>
    <row r="57851" s="197" customFormat="1" ht="12.75" x14ac:dyDescent="0.2"/>
    <row r="57852" s="197" customFormat="1" ht="12.75" x14ac:dyDescent="0.2"/>
    <row r="57853" s="197" customFormat="1" ht="12.75" x14ac:dyDescent="0.2"/>
    <row r="57854" s="197" customFormat="1" ht="12.75" x14ac:dyDescent="0.2"/>
    <row r="57855" s="197" customFormat="1" ht="12.75" x14ac:dyDescent="0.2"/>
    <row r="57856" s="197" customFormat="1" ht="12.75" x14ac:dyDescent="0.2"/>
    <row r="57857" s="197" customFormat="1" ht="12.75" x14ac:dyDescent="0.2"/>
    <row r="57858" s="197" customFormat="1" ht="12.75" x14ac:dyDescent="0.2"/>
    <row r="57859" s="197" customFormat="1" ht="12.75" x14ac:dyDescent="0.2"/>
    <row r="57860" s="197" customFormat="1" ht="12.75" x14ac:dyDescent="0.2"/>
    <row r="57861" s="197" customFormat="1" ht="12.75" x14ac:dyDescent="0.2"/>
    <row r="57862" s="197" customFormat="1" ht="12.75" x14ac:dyDescent="0.2"/>
    <row r="57863" s="197" customFormat="1" ht="12.75" x14ac:dyDescent="0.2"/>
    <row r="57864" s="197" customFormat="1" ht="12.75" x14ac:dyDescent="0.2"/>
    <row r="57865" s="197" customFormat="1" ht="12.75" x14ac:dyDescent="0.2"/>
    <row r="57866" s="197" customFormat="1" ht="12.75" x14ac:dyDescent="0.2"/>
    <row r="57867" s="197" customFormat="1" ht="12.75" x14ac:dyDescent="0.2"/>
    <row r="57868" s="197" customFormat="1" ht="12.75" x14ac:dyDescent="0.2"/>
    <row r="57869" s="197" customFormat="1" ht="12.75" x14ac:dyDescent="0.2"/>
    <row r="57870" s="197" customFormat="1" ht="12.75" x14ac:dyDescent="0.2"/>
    <row r="57871" s="197" customFormat="1" ht="12.75" x14ac:dyDescent="0.2"/>
    <row r="57872" s="197" customFormat="1" ht="12.75" x14ac:dyDescent="0.2"/>
    <row r="57873" s="197" customFormat="1" ht="12.75" x14ac:dyDescent="0.2"/>
    <row r="57874" s="197" customFormat="1" ht="12.75" x14ac:dyDescent="0.2"/>
    <row r="57875" s="197" customFormat="1" ht="12.75" x14ac:dyDescent="0.2"/>
    <row r="57876" s="197" customFormat="1" ht="12.75" x14ac:dyDescent="0.2"/>
    <row r="57877" s="197" customFormat="1" ht="12.75" x14ac:dyDescent="0.2"/>
    <row r="57878" s="197" customFormat="1" ht="12.75" x14ac:dyDescent="0.2"/>
    <row r="57879" s="197" customFormat="1" ht="12.75" x14ac:dyDescent="0.2"/>
    <row r="57880" s="197" customFormat="1" ht="12.75" x14ac:dyDescent="0.2"/>
    <row r="57881" s="197" customFormat="1" ht="12.75" x14ac:dyDescent="0.2"/>
    <row r="57882" s="197" customFormat="1" ht="12.75" x14ac:dyDescent="0.2"/>
    <row r="57883" s="197" customFormat="1" ht="12.75" x14ac:dyDescent="0.2"/>
    <row r="57884" s="197" customFormat="1" ht="12.75" x14ac:dyDescent="0.2"/>
    <row r="57885" s="197" customFormat="1" ht="12.75" x14ac:dyDescent="0.2"/>
    <row r="57886" s="197" customFormat="1" ht="12.75" x14ac:dyDescent="0.2"/>
    <row r="57887" s="197" customFormat="1" ht="12.75" x14ac:dyDescent="0.2"/>
    <row r="57888" s="197" customFormat="1" ht="12.75" x14ac:dyDescent="0.2"/>
    <row r="57889" s="197" customFormat="1" ht="12.75" x14ac:dyDescent="0.2"/>
    <row r="57890" s="197" customFormat="1" ht="12.75" x14ac:dyDescent="0.2"/>
    <row r="57891" s="197" customFormat="1" ht="12.75" x14ac:dyDescent="0.2"/>
    <row r="57892" s="197" customFormat="1" ht="12.75" x14ac:dyDescent="0.2"/>
    <row r="57893" s="197" customFormat="1" ht="12.75" x14ac:dyDescent="0.2"/>
    <row r="57894" s="197" customFormat="1" ht="12.75" x14ac:dyDescent="0.2"/>
    <row r="57895" s="197" customFormat="1" ht="12.75" x14ac:dyDescent="0.2"/>
    <row r="57896" s="197" customFormat="1" ht="12.75" x14ac:dyDescent="0.2"/>
    <row r="57897" s="197" customFormat="1" ht="12.75" x14ac:dyDescent="0.2"/>
    <row r="57898" s="197" customFormat="1" ht="12.75" x14ac:dyDescent="0.2"/>
    <row r="57899" s="197" customFormat="1" ht="12.75" x14ac:dyDescent="0.2"/>
    <row r="57900" s="197" customFormat="1" ht="12.75" x14ac:dyDescent="0.2"/>
    <row r="57901" s="197" customFormat="1" ht="12.75" x14ac:dyDescent="0.2"/>
    <row r="57902" s="197" customFormat="1" ht="12.75" x14ac:dyDescent="0.2"/>
    <row r="57903" s="197" customFormat="1" ht="12.75" x14ac:dyDescent="0.2"/>
    <row r="57904" s="197" customFormat="1" ht="12.75" x14ac:dyDescent="0.2"/>
    <row r="57905" s="197" customFormat="1" ht="12.75" x14ac:dyDescent="0.2"/>
    <row r="57906" s="197" customFormat="1" ht="12.75" x14ac:dyDescent="0.2"/>
    <row r="57907" s="197" customFormat="1" ht="12.75" x14ac:dyDescent="0.2"/>
    <row r="57908" s="197" customFormat="1" ht="12.75" x14ac:dyDescent="0.2"/>
    <row r="57909" s="197" customFormat="1" ht="12.75" x14ac:dyDescent="0.2"/>
    <row r="57910" s="197" customFormat="1" ht="12.75" x14ac:dyDescent="0.2"/>
    <row r="57911" s="197" customFormat="1" ht="12.75" x14ac:dyDescent="0.2"/>
    <row r="57912" s="197" customFormat="1" ht="12.75" x14ac:dyDescent="0.2"/>
    <row r="57913" s="197" customFormat="1" ht="12.75" x14ac:dyDescent="0.2"/>
    <row r="57914" s="197" customFormat="1" ht="12.75" x14ac:dyDescent="0.2"/>
    <row r="57915" s="197" customFormat="1" ht="12.75" x14ac:dyDescent="0.2"/>
    <row r="57916" s="197" customFormat="1" ht="12.75" x14ac:dyDescent="0.2"/>
    <row r="57917" s="197" customFormat="1" ht="12.75" x14ac:dyDescent="0.2"/>
    <row r="57918" s="197" customFormat="1" ht="12.75" x14ac:dyDescent="0.2"/>
    <row r="57919" s="197" customFormat="1" ht="12.75" x14ac:dyDescent="0.2"/>
    <row r="57920" s="197" customFormat="1" ht="12.75" x14ac:dyDescent="0.2"/>
    <row r="57921" s="197" customFormat="1" ht="12.75" x14ac:dyDescent="0.2"/>
    <row r="57922" s="197" customFormat="1" ht="12.75" x14ac:dyDescent="0.2"/>
    <row r="57923" s="197" customFormat="1" ht="12.75" x14ac:dyDescent="0.2"/>
    <row r="57924" s="197" customFormat="1" ht="12.75" x14ac:dyDescent="0.2"/>
    <row r="57925" s="197" customFormat="1" ht="12.75" x14ac:dyDescent="0.2"/>
    <row r="57926" s="197" customFormat="1" ht="12.75" x14ac:dyDescent="0.2"/>
    <row r="57927" s="197" customFormat="1" ht="12.75" x14ac:dyDescent="0.2"/>
    <row r="57928" s="197" customFormat="1" ht="12.75" x14ac:dyDescent="0.2"/>
    <row r="57929" s="197" customFormat="1" ht="12.75" x14ac:dyDescent="0.2"/>
    <row r="57930" s="197" customFormat="1" ht="12.75" x14ac:dyDescent="0.2"/>
    <row r="57931" s="197" customFormat="1" ht="12.75" x14ac:dyDescent="0.2"/>
    <row r="57932" s="197" customFormat="1" ht="12.75" x14ac:dyDescent="0.2"/>
    <row r="57933" s="197" customFormat="1" ht="12.75" x14ac:dyDescent="0.2"/>
    <row r="57934" s="197" customFormat="1" ht="12.75" x14ac:dyDescent="0.2"/>
    <row r="57935" s="197" customFormat="1" ht="12.75" x14ac:dyDescent="0.2"/>
    <row r="57936" s="197" customFormat="1" ht="12.75" x14ac:dyDescent="0.2"/>
    <row r="57937" s="197" customFormat="1" ht="12.75" x14ac:dyDescent="0.2"/>
    <row r="57938" s="197" customFormat="1" ht="12.75" x14ac:dyDescent="0.2"/>
    <row r="57939" s="197" customFormat="1" ht="12.75" x14ac:dyDescent="0.2"/>
    <row r="57940" s="197" customFormat="1" ht="12.75" x14ac:dyDescent="0.2"/>
    <row r="57941" s="197" customFormat="1" ht="12.75" x14ac:dyDescent="0.2"/>
    <row r="57942" s="197" customFormat="1" ht="12.75" x14ac:dyDescent="0.2"/>
    <row r="57943" s="197" customFormat="1" ht="12.75" x14ac:dyDescent="0.2"/>
    <row r="57944" s="197" customFormat="1" ht="12.75" x14ac:dyDescent="0.2"/>
    <row r="57945" s="197" customFormat="1" ht="12.75" x14ac:dyDescent="0.2"/>
    <row r="57946" s="197" customFormat="1" ht="12.75" x14ac:dyDescent="0.2"/>
    <row r="57947" s="197" customFormat="1" ht="12.75" x14ac:dyDescent="0.2"/>
    <row r="57948" s="197" customFormat="1" ht="12.75" x14ac:dyDescent="0.2"/>
    <row r="57949" s="197" customFormat="1" ht="12.75" x14ac:dyDescent="0.2"/>
    <row r="57950" s="197" customFormat="1" ht="12.75" x14ac:dyDescent="0.2"/>
    <row r="57951" s="197" customFormat="1" ht="12.75" x14ac:dyDescent="0.2"/>
    <row r="57952" s="197" customFormat="1" ht="12.75" x14ac:dyDescent="0.2"/>
    <row r="57953" s="197" customFormat="1" ht="12.75" x14ac:dyDescent="0.2"/>
    <row r="57954" s="197" customFormat="1" ht="12.75" x14ac:dyDescent="0.2"/>
    <row r="57955" s="197" customFormat="1" ht="12.75" x14ac:dyDescent="0.2"/>
    <row r="57956" s="197" customFormat="1" ht="12.75" x14ac:dyDescent="0.2"/>
    <row r="57957" s="197" customFormat="1" ht="12.75" x14ac:dyDescent="0.2"/>
    <row r="57958" s="197" customFormat="1" ht="12.75" x14ac:dyDescent="0.2"/>
    <row r="57959" s="197" customFormat="1" ht="12.75" x14ac:dyDescent="0.2"/>
    <row r="57960" s="197" customFormat="1" ht="12.75" x14ac:dyDescent="0.2"/>
    <row r="57961" s="197" customFormat="1" ht="12.75" x14ac:dyDescent="0.2"/>
    <row r="57962" s="197" customFormat="1" ht="12.75" x14ac:dyDescent="0.2"/>
    <row r="57963" s="197" customFormat="1" ht="12.75" x14ac:dyDescent="0.2"/>
    <row r="57964" s="197" customFormat="1" ht="12.75" x14ac:dyDescent="0.2"/>
    <row r="57965" s="197" customFormat="1" ht="12.75" x14ac:dyDescent="0.2"/>
    <row r="57966" s="197" customFormat="1" ht="12.75" x14ac:dyDescent="0.2"/>
    <row r="57967" s="197" customFormat="1" ht="12.75" x14ac:dyDescent="0.2"/>
    <row r="57968" s="197" customFormat="1" ht="12.75" x14ac:dyDescent="0.2"/>
    <row r="57969" s="197" customFormat="1" ht="12.75" x14ac:dyDescent="0.2"/>
    <row r="57970" s="197" customFormat="1" ht="12.75" x14ac:dyDescent="0.2"/>
    <row r="57971" s="197" customFormat="1" ht="12.75" x14ac:dyDescent="0.2"/>
    <row r="57972" s="197" customFormat="1" ht="12.75" x14ac:dyDescent="0.2"/>
    <row r="57973" s="197" customFormat="1" ht="12.75" x14ac:dyDescent="0.2"/>
    <row r="57974" s="197" customFormat="1" ht="12.75" x14ac:dyDescent="0.2"/>
    <row r="57975" s="197" customFormat="1" ht="12.75" x14ac:dyDescent="0.2"/>
    <row r="57976" s="197" customFormat="1" ht="12.75" x14ac:dyDescent="0.2"/>
    <row r="57977" s="197" customFormat="1" ht="12.75" x14ac:dyDescent="0.2"/>
    <row r="57978" s="197" customFormat="1" ht="12.75" x14ac:dyDescent="0.2"/>
    <row r="57979" s="197" customFormat="1" ht="12.75" x14ac:dyDescent="0.2"/>
    <row r="57980" s="197" customFormat="1" ht="12.75" x14ac:dyDescent="0.2"/>
    <row r="57981" s="197" customFormat="1" ht="12.75" x14ac:dyDescent="0.2"/>
    <row r="57982" s="197" customFormat="1" ht="12.75" x14ac:dyDescent="0.2"/>
    <row r="57983" s="197" customFormat="1" ht="12.75" x14ac:dyDescent="0.2"/>
    <row r="57984" s="197" customFormat="1" ht="12.75" x14ac:dyDescent="0.2"/>
    <row r="57985" s="197" customFormat="1" ht="12.75" x14ac:dyDescent="0.2"/>
    <row r="57986" s="197" customFormat="1" ht="12.75" x14ac:dyDescent="0.2"/>
    <row r="57987" s="197" customFormat="1" ht="12.75" x14ac:dyDescent="0.2"/>
    <row r="57988" s="197" customFormat="1" ht="12.75" x14ac:dyDescent="0.2"/>
    <row r="57989" s="197" customFormat="1" ht="12.75" x14ac:dyDescent="0.2"/>
    <row r="57990" s="197" customFormat="1" ht="12.75" x14ac:dyDescent="0.2"/>
    <row r="57991" s="197" customFormat="1" ht="12.75" x14ac:dyDescent="0.2"/>
    <row r="57992" s="197" customFormat="1" ht="12.75" x14ac:dyDescent="0.2"/>
    <row r="57993" s="197" customFormat="1" ht="12.75" x14ac:dyDescent="0.2"/>
    <row r="57994" s="197" customFormat="1" ht="12.75" x14ac:dyDescent="0.2"/>
    <row r="57995" s="197" customFormat="1" ht="12.75" x14ac:dyDescent="0.2"/>
    <row r="57996" s="197" customFormat="1" ht="12.75" x14ac:dyDescent="0.2"/>
    <row r="57997" s="197" customFormat="1" ht="12.75" x14ac:dyDescent="0.2"/>
    <row r="57998" s="197" customFormat="1" ht="12.75" x14ac:dyDescent="0.2"/>
    <row r="57999" s="197" customFormat="1" ht="12.75" x14ac:dyDescent="0.2"/>
    <row r="58000" s="197" customFormat="1" ht="12.75" x14ac:dyDescent="0.2"/>
    <row r="58001" s="197" customFormat="1" ht="12.75" x14ac:dyDescent="0.2"/>
    <row r="58002" s="197" customFormat="1" ht="12.75" x14ac:dyDescent="0.2"/>
    <row r="58003" s="197" customFormat="1" ht="12.75" x14ac:dyDescent="0.2"/>
    <row r="58004" s="197" customFormat="1" ht="12.75" x14ac:dyDescent="0.2"/>
    <row r="58005" s="197" customFormat="1" ht="12.75" x14ac:dyDescent="0.2"/>
    <row r="58006" s="197" customFormat="1" ht="12.75" x14ac:dyDescent="0.2"/>
    <row r="58007" s="197" customFormat="1" ht="12.75" x14ac:dyDescent="0.2"/>
    <row r="58008" s="197" customFormat="1" ht="12.75" x14ac:dyDescent="0.2"/>
    <row r="58009" s="197" customFormat="1" ht="12.75" x14ac:dyDescent="0.2"/>
    <row r="58010" s="197" customFormat="1" ht="12.75" x14ac:dyDescent="0.2"/>
    <row r="58011" s="197" customFormat="1" ht="12.75" x14ac:dyDescent="0.2"/>
    <row r="58012" s="197" customFormat="1" ht="12.75" x14ac:dyDescent="0.2"/>
    <row r="58013" s="197" customFormat="1" ht="12.75" x14ac:dyDescent="0.2"/>
    <row r="58014" s="197" customFormat="1" ht="12.75" x14ac:dyDescent="0.2"/>
    <row r="58015" s="197" customFormat="1" ht="12.75" x14ac:dyDescent="0.2"/>
    <row r="58016" s="197" customFormat="1" ht="12.75" x14ac:dyDescent="0.2"/>
    <row r="58017" s="197" customFormat="1" ht="12.75" x14ac:dyDescent="0.2"/>
    <row r="58018" s="197" customFormat="1" ht="12.75" x14ac:dyDescent="0.2"/>
    <row r="58019" s="197" customFormat="1" ht="12.75" x14ac:dyDescent="0.2"/>
    <row r="58020" s="197" customFormat="1" ht="12.75" x14ac:dyDescent="0.2"/>
    <row r="58021" s="197" customFormat="1" ht="12.75" x14ac:dyDescent="0.2"/>
    <row r="58022" s="197" customFormat="1" ht="12.75" x14ac:dyDescent="0.2"/>
    <row r="58023" s="197" customFormat="1" ht="12.75" x14ac:dyDescent="0.2"/>
    <row r="58024" s="197" customFormat="1" ht="12.75" x14ac:dyDescent="0.2"/>
    <row r="58025" s="197" customFormat="1" ht="12.75" x14ac:dyDescent="0.2"/>
    <row r="58026" s="197" customFormat="1" ht="12.75" x14ac:dyDescent="0.2"/>
    <row r="58027" s="197" customFormat="1" ht="12.75" x14ac:dyDescent="0.2"/>
    <row r="58028" s="197" customFormat="1" ht="12.75" x14ac:dyDescent="0.2"/>
    <row r="58029" s="197" customFormat="1" ht="12.75" x14ac:dyDescent="0.2"/>
    <row r="58030" s="197" customFormat="1" ht="12.75" x14ac:dyDescent="0.2"/>
    <row r="58031" s="197" customFormat="1" ht="12.75" x14ac:dyDescent="0.2"/>
    <row r="58032" s="197" customFormat="1" ht="12.75" x14ac:dyDescent="0.2"/>
    <row r="58033" s="197" customFormat="1" ht="12.75" x14ac:dyDescent="0.2"/>
    <row r="58034" s="197" customFormat="1" ht="12.75" x14ac:dyDescent="0.2"/>
    <row r="58035" s="197" customFormat="1" ht="12.75" x14ac:dyDescent="0.2"/>
    <row r="58036" s="197" customFormat="1" ht="12.75" x14ac:dyDescent="0.2"/>
    <row r="58037" s="197" customFormat="1" ht="12.75" x14ac:dyDescent="0.2"/>
    <row r="58038" s="197" customFormat="1" ht="12.75" x14ac:dyDescent="0.2"/>
    <row r="58039" s="197" customFormat="1" ht="12.75" x14ac:dyDescent="0.2"/>
    <row r="58040" s="197" customFormat="1" ht="12.75" x14ac:dyDescent="0.2"/>
    <row r="58041" s="197" customFormat="1" ht="12.75" x14ac:dyDescent="0.2"/>
    <row r="58042" s="197" customFormat="1" ht="12.75" x14ac:dyDescent="0.2"/>
    <row r="58043" s="197" customFormat="1" ht="12.75" x14ac:dyDescent="0.2"/>
    <row r="58044" s="197" customFormat="1" ht="12.75" x14ac:dyDescent="0.2"/>
    <row r="58045" s="197" customFormat="1" ht="12.75" x14ac:dyDescent="0.2"/>
    <row r="58046" s="197" customFormat="1" ht="12.75" x14ac:dyDescent="0.2"/>
    <row r="58047" s="197" customFormat="1" ht="12.75" x14ac:dyDescent="0.2"/>
    <row r="58048" s="197" customFormat="1" ht="12.75" x14ac:dyDescent="0.2"/>
    <row r="58049" s="197" customFormat="1" ht="12.75" x14ac:dyDescent="0.2"/>
    <row r="58050" s="197" customFormat="1" ht="12.75" x14ac:dyDescent="0.2"/>
    <row r="58051" s="197" customFormat="1" ht="12.75" x14ac:dyDescent="0.2"/>
    <row r="58052" s="197" customFormat="1" ht="12.75" x14ac:dyDescent="0.2"/>
    <row r="58053" s="197" customFormat="1" ht="12.75" x14ac:dyDescent="0.2"/>
    <row r="58054" s="197" customFormat="1" ht="12.75" x14ac:dyDescent="0.2"/>
    <row r="58055" s="197" customFormat="1" ht="12.75" x14ac:dyDescent="0.2"/>
    <row r="58056" s="197" customFormat="1" ht="12.75" x14ac:dyDescent="0.2"/>
    <row r="58057" s="197" customFormat="1" ht="12.75" x14ac:dyDescent="0.2"/>
    <row r="58058" s="197" customFormat="1" ht="12.75" x14ac:dyDescent="0.2"/>
    <row r="58059" s="197" customFormat="1" ht="12.75" x14ac:dyDescent="0.2"/>
    <row r="58060" s="197" customFormat="1" ht="12.75" x14ac:dyDescent="0.2"/>
    <row r="58061" s="197" customFormat="1" ht="12.75" x14ac:dyDescent="0.2"/>
    <row r="58062" s="197" customFormat="1" ht="12.75" x14ac:dyDescent="0.2"/>
    <row r="58063" s="197" customFormat="1" ht="12.75" x14ac:dyDescent="0.2"/>
    <row r="58064" s="197" customFormat="1" ht="12.75" x14ac:dyDescent="0.2"/>
    <row r="58065" s="197" customFormat="1" ht="12.75" x14ac:dyDescent="0.2"/>
    <row r="58066" s="197" customFormat="1" ht="12.75" x14ac:dyDescent="0.2"/>
    <row r="58067" s="197" customFormat="1" ht="12.75" x14ac:dyDescent="0.2"/>
    <row r="58068" s="197" customFormat="1" ht="12.75" x14ac:dyDescent="0.2"/>
    <row r="58069" s="197" customFormat="1" ht="12.75" x14ac:dyDescent="0.2"/>
    <row r="58070" s="197" customFormat="1" ht="12.75" x14ac:dyDescent="0.2"/>
    <row r="58071" s="197" customFormat="1" ht="12.75" x14ac:dyDescent="0.2"/>
    <row r="58072" s="197" customFormat="1" ht="12.75" x14ac:dyDescent="0.2"/>
    <row r="58073" s="197" customFormat="1" ht="12.75" x14ac:dyDescent="0.2"/>
    <row r="58074" s="197" customFormat="1" ht="12.75" x14ac:dyDescent="0.2"/>
    <row r="58075" s="197" customFormat="1" ht="12.75" x14ac:dyDescent="0.2"/>
    <row r="58076" s="197" customFormat="1" ht="12.75" x14ac:dyDescent="0.2"/>
    <row r="58077" s="197" customFormat="1" ht="12.75" x14ac:dyDescent="0.2"/>
    <row r="58078" s="197" customFormat="1" ht="12.75" x14ac:dyDescent="0.2"/>
    <row r="58079" s="197" customFormat="1" ht="12.75" x14ac:dyDescent="0.2"/>
    <row r="58080" s="197" customFormat="1" ht="12.75" x14ac:dyDescent="0.2"/>
    <row r="58081" s="197" customFormat="1" ht="12.75" x14ac:dyDescent="0.2"/>
    <row r="58082" s="197" customFormat="1" ht="12.75" x14ac:dyDescent="0.2"/>
    <row r="58083" s="197" customFormat="1" ht="12.75" x14ac:dyDescent="0.2"/>
    <row r="58084" s="197" customFormat="1" ht="12.75" x14ac:dyDescent="0.2"/>
    <row r="58085" s="197" customFormat="1" ht="12.75" x14ac:dyDescent="0.2"/>
    <row r="58086" s="197" customFormat="1" ht="12.75" x14ac:dyDescent="0.2"/>
    <row r="58087" s="197" customFormat="1" ht="12.75" x14ac:dyDescent="0.2"/>
    <row r="58088" s="197" customFormat="1" ht="12.75" x14ac:dyDescent="0.2"/>
    <row r="58089" s="197" customFormat="1" ht="12.75" x14ac:dyDescent="0.2"/>
    <row r="58090" s="197" customFormat="1" ht="12.75" x14ac:dyDescent="0.2"/>
    <row r="58091" s="197" customFormat="1" ht="12.75" x14ac:dyDescent="0.2"/>
    <row r="58092" s="197" customFormat="1" ht="12.75" x14ac:dyDescent="0.2"/>
    <row r="58093" s="197" customFormat="1" ht="12.75" x14ac:dyDescent="0.2"/>
    <row r="58094" s="197" customFormat="1" ht="12.75" x14ac:dyDescent="0.2"/>
    <row r="58095" s="197" customFormat="1" ht="12.75" x14ac:dyDescent="0.2"/>
    <row r="58096" s="197" customFormat="1" ht="12.75" x14ac:dyDescent="0.2"/>
    <row r="58097" s="197" customFormat="1" ht="12.75" x14ac:dyDescent="0.2"/>
    <row r="58098" s="197" customFormat="1" ht="12.75" x14ac:dyDescent="0.2"/>
    <row r="58099" s="197" customFormat="1" ht="12.75" x14ac:dyDescent="0.2"/>
    <row r="58100" s="197" customFormat="1" ht="12.75" x14ac:dyDescent="0.2"/>
    <row r="58101" s="197" customFormat="1" ht="12.75" x14ac:dyDescent="0.2"/>
    <row r="58102" s="197" customFormat="1" ht="12.75" x14ac:dyDescent="0.2"/>
    <row r="58103" s="197" customFormat="1" ht="12.75" x14ac:dyDescent="0.2"/>
    <row r="58104" s="197" customFormat="1" ht="12.75" x14ac:dyDescent="0.2"/>
    <row r="58105" s="197" customFormat="1" ht="12.75" x14ac:dyDescent="0.2"/>
    <row r="58106" s="197" customFormat="1" ht="12.75" x14ac:dyDescent="0.2"/>
    <row r="58107" s="197" customFormat="1" ht="12.75" x14ac:dyDescent="0.2"/>
    <row r="58108" s="197" customFormat="1" ht="12.75" x14ac:dyDescent="0.2"/>
    <row r="58109" s="197" customFormat="1" ht="12.75" x14ac:dyDescent="0.2"/>
    <row r="58110" s="197" customFormat="1" ht="12.75" x14ac:dyDescent="0.2"/>
    <row r="58111" s="197" customFormat="1" ht="12.75" x14ac:dyDescent="0.2"/>
    <row r="58112" s="197" customFormat="1" ht="12.75" x14ac:dyDescent="0.2"/>
    <row r="58113" s="197" customFormat="1" ht="12.75" x14ac:dyDescent="0.2"/>
    <row r="58114" s="197" customFormat="1" ht="12.75" x14ac:dyDescent="0.2"/>
    <row r="58115" s="197" customFormat="1" ht="12.75" x14ac:dyDescent="0.2"/>
    <row r="58116" s="197" customFormat="1" ht="12.75" x14ac:dyDescent="0.2"/>
    <row r="58117" s="197" customFormat="1" ht="12.75" x14ac:dyDescent="0.2"/>
    <row r="58118" s="197" customFormat="1" ht="12.75" x14ac:dyDescent="0.2"/>
    <row r="58119" s="197" customFormat="1" ht="12.75" x14ac:dyDescent="0.2"/>
    <row r="58120" s="197" customFormat="1" ht="12.75" x14ac:dyDescent="0.2"/>
    <row r="58121" s="197" customFormat="1" ht="12.75" x14ac:dyDescent="0.2"/>
    <row r="58122" s="197" customFormat="1" ht="12.75" x14ac:dyDescent="0.2"/>
    <row r="58123" s="197" customFormat="1" ht="12.75" x14ac:dyDescent="0.2"/>
    <row r="58124" s="197" customFormat="1" ht="12.75" x14ac:dyDescent="0.2"/>
    <row r="58125" s="197" customFormat="1" ht="12.75" x14ac:dyDescent="0.2"/>
    <row r="58126" s="197" customFormat="1" ht="12.75" x14ac:dyDescent="0.2"/>
    <row r="58127" s="197" customFormat="1" ht="12.75" x14ac:dyDescent="0.2"/>
    <row r="58128" s="197" customFormat="1" ht="12.75" x14ac:dyDescent="0.2"/>
    <row r="58129" s="197" customFormat="1" ht="12.75" x14ac:dyDescent="0.2"/>
    <row r="58130" s="197" customFormat="1" ht="12.75" x14ac:dyDescent="0.2"/>
    <row r="58131" s="197" customFormat="1" ht="12.75" x14ac:dyDescent="0.2"/>
    <row r="58132" s="197" customFormat="1" ht="12.75" x14ac:dyDescent="0.2"/>
    <row r="58133" s="197" customFormat="1" ht="12.75" x14ac:dyDescent="0.2"/>
    <row r="58134" s="197" customFormat="1" ht="12.75" x14ac:dyDescent="0.2"/>
    <row r="58135" s="197" customFormat="1" ht="12.75" x14ac:dyDescent="0.2"/>
    <row r="58136" s="197" customFormat="1" ht="12.75" x14ac:dyDescent="0.2"/>
    <row r="58137" s="197" customFormat="1" ht="12.75" x14ac:dyDescent="0.2"/>
    <row r="58138" s="197" customFormat="1" ht="12.75" x14ac:dyDescent="0.2"/>
    <row r="58139" s="197" customFormat="1" ht="12.75" x14ac:dyDescent="0.2"/>
    <row r="58140" s="197" customFormat="1" ht="12.75" x14ac:dyDescent="0.2"/>
    <row r="58141" s="197" customFormat="1" ht="12.75" x14ac:dyDescent="0.2"/>
    <row r="58142" s="197" customFormat="1" ht="12.75" x14ac:dyDescent="0.2"/>
    <row r="58143" s="197" customFormat="1" ht="12.75" x14ac:dyDescent="0.2"/>
    <row r="58144" s="197" customFormat="1" ht="12.75" x14ac:dyDescent="0.2"/>
    <row r="58145" s="197" customFormat="1" ht="12.75" x14ac:dyDescent="0.2"/>
    <row r="58146" s="197" customFormat="1" ht="12.75" x14ac:dyDescent="0.2"/>
    <row r="58147" s="197" customFormat="1" ht="12.75" x14ac:dyDescent="0.2"/>
    <row r="58148" s="197" customFormat="1" ht="12.75" x14ac:dyDescent="0.2"/>
    <row r="58149" s="197" customFormat="1" ht="12.75" x14ac:dyDescent="0.2"/>
    <row r="58150" s="197" customFormat="1" ht="12.75" x14ac:dyDescent="0.2"/>
    <row r="58151" s="197" customFormat="1" ht="12.75" x14ac:dyDescent="0.2"/>
    <row r="58152" s="197" customFormat="1" ht="12.75" x14ac:dyDescent="0.2"/>
    <row r="58153" s="197" customFormat="1" ht="12.75" x14ac:dyDescent="0.2"/>
    <row r="58154" s="197" customFormat="1" ht="12.75" x14ac:dyDescent="0.2"/>
    <row r="58155" s="197" customFormat="1" ht="12.75" x14ac:dyDescent="0.2"/>
    <row r="58156" s="197" customFormat="1" ht="12.75" x14ac:dyDescent="0.2"/>
    <row r="58157" s="197" customFormat="1" ht="12.75" x14ac:dyDescent="0.2"/>
    <row r="58158" s="197" customFormat="1" ht="12.75" x14ac:dyDescent="0.2"/>
    <row r="58159" s="197" customFormat="1" ht="12.75" x14ac:dyDescent="0.2"/>
    <row r="58160" s="197" customFormat="1" ht="12.75" x14ac:dyDescent="0.2"/>
    <row r="58161" s="197" customFormat="1" ht="12.75" x14ac:dyDescent="0.2"/>
    <row r="58162" s="197" customFormat="1" ht="12.75" x14ac:dyDescent="0.2"/>
    <row r="58163" s="197" customFormat="1" ht="12.75" x14ac:dyDescent="0.2"/>
    <row r="58164" s="197" customFormat="1" ht="12.75" x14ac:dyDescent="0.2"/>
    <row r="58165" s="197" customFormat="1" ht="12.75" x14ac:dyDescent="0.2"/>
    <row r="58166" s="197" customFormat="1" ht="12.75" x14ac:dyDescent="0.2"/>
    <row r="58167" s="197" customFormat="1" ht="12.75" x14ac:dyDescent="0.2"/>
    <row r="58168" s="197" customFormat="1" ht="12.75" x14ac:dyDescent="0.2"/>
    <row r="58169" s="197" customFormat="1" ht="12.75" x14ac:dyDescent="0.2"/>
    <row r="58170" s="197" customFormat="1" ht="12.75" x14ac:dyDescent="0.2"/>
    <row r="58171" s="197" customFormat="1" ht="12.75" x14ac:dyDescent="0.2"/>
    <row r="58172" s="197" customFormat="1" ht="12.75" x14ac:dyDescent="0.2"/>
    <row r="58173" s="197" customFormat="1" ht="12.75" x14ac:dyDescent="0.2"/>
    <row r="58174" s="197" customFormat="1" ht="12.75" x14ac:dyDescent="0.2"/>
    <row r="58175" s="197" customFormat="1" ht="12.75" x14ac:dyDescent="0.2"/>
    <row r="58176" s="197" customFormat="1" ht="12.75" x14ac:dyDescent="0.2"/>
    <row r="58177" s="197" customFormat="1" ht="12.75" x14ac:dyDescent="0.2"/>
    <row r="58178" s="197" customFormat="1" ht="12.75" x14ac:dyDescent="0.2"/>
    <row r="58179" s="197" customFormat="1" ht="12.75" x14ac:dyDescent="0.2"/>
    <row r="58180" s="197" customFormat="1" ht="12.75" x14ac:dyDescent="0.2"/>
    <row r="58181" s="197" customFormat="1" ht="12.75" x14ac:dyDescent="0.2"/>
    <row r="58182" s="197" customFormat="1" ht="12.75" x14ac:dyDescent="0.2"/>
    <row r="58183" s="197" customFormat="1" ht="12.75" x14ac:dyDescent="0.2"/>
    <row r="58184" s="197" customFormat="1" ht="12.75" x14ac:dyDescent="0.2"/>
    <row r="58185" s="197" customFormat="1" ht="12.75" x14ac:dyDescent="0.2"/>
    <row r="58186" s="197" customFormat="1" ht="12.75" x14ac:dyDescent="0.2"/>
    <row r="58187" s="197" customFormat="1" ht="12.75" x14ac:dyDescent="0.2"/>
    <row r="58188" s="197" customFormat="1" ht="12.75" x14ac:dyDescent="0.2"/>
    <row r="58189" s="197" customFormat="1" ht="12.75" x14ac:dyDescent="0.2"/>
    <row r="58190" s="197" customFormat="1" ht="12.75" x14ac:dyDescent="0.2"/>
    <row r="58191" s="197" customFormat="1" ht="12.75" x14ac:dyDescent="0.2"/>
    <row r="58192" s="197" customFormat="1" ht="12.75" x14ac:dyDescent="0.2"/>
    <row r="58193" s="197" customFormat="1" ht="12.75" x14ac:dyDescent="0.2"/>
    <row r="58194" s="197" customFormat="1" ht="12.75" x14ac:dyDescent="0.2"/>
    <row r="58195" s="197" customFormat="1" ht="12.75" x14ac:dyDescent="0.2"/>
    <row r="58196" s="197" customFormat="1" ht="12.75" x14ac:dyDescent="0.2"/>
    <row r="58197" s="197" customFormat="1" ht="12.75" x14ac:dyDescent="0.2"/>
    <row r="58198" s="197" customFormat="1" ht="12.75" x14ac:dyDescent="0.2"/>
    <row r="58199" s="197" customFormat="1" ht="12.75" x14ac:dyDescent="0.2"/>
    <row r="58200" s="197" customFormat="1" ht="12.75" x14ac:dyDescent="0.2"/>
    <row r="58201" s="197" customFormat="1" ht="12.75" x14ac:dyDescent="0.2"/>
    <row r="58202" s="197" customFormat="1" ht="12.75" x14ac:dyDescent="0.2"/>
    <row r="58203" s="197" customFormat="1" ht="12.75" x14ac:dyDescent="0.2"/>
    <row r="58204" s="197" customFormat="1" ht="12.75" x14ac:dyDescent="0.2"/>
    <row r="58205" s="197" customFormat="1" ht="12.75" x14ac:dyDescent="0.2"/>
    <row r="58206" s="197" customFormat="1" ht="12.75" x14ac:dyDescent="0.2"/>
    <row r="58207" s="197" customFormat="1" ht="12.75" x14ac:dyDescent="0.2"/>
    <row r="58208" s="197" customFormat="1" ht="12.75" x14ac:dyDescent="0.2"/>
    <row r="58209" s="197" customFormat="1" ht="12.75" x14ac:dyDescent="0.2"/>
    <row r="58210" s="197" customFormat="1" ht="12.75" x14ac:dyDescent="0.2"/>
    <row r="58211" s="197" customFormat="1" ht="12.75" x14ac:dyDescent="0.2"/>
    <row r="58212" s="197" customFormat="1" ht="12.75" x14ac:dyDescent="0.2"/>
    <row r="58213" s="197" customFormat="1" ht="12.75" x14ac:dyDescent="0.2"/>
    <row r="58214" s="197" customFormat="1" ht="12.75" x14ac:dyDescent="0.2"/>
    <row r="58215" s="197" customFormat="1" ht="12.75" x14ac:dyDescent="0.2"/>
    <row r="58216" s="197" customFormat="1" ht="12.75" x14ac:dyDescent="0.2"/>
    <row r="58217" s="197" customFormat="1" ht="12.75" x14ac:dyDescent="0.2"/>
    <row r="58218" s="197" customFormat="1" ht="12.75" x14ac:dyDescent="0.2"/>
    <row r="58219" s="197" customFormat="1" ht="12.75" x14ac:dyDescent="0.2"/>
    <row r="58220" s="197" customFormat="1" ht="12.75" x14ac:dyDescent="0.2"/>
    <row r="58221" s="197" customFormat="1" ht="12.75" x14ac:dyDescent="0.2"/>
    <row r="58222" s="197" customFormat="1" ht="12.75" x14ac:dyDescent="0.2"/>
    <row r="58223" s="197" customFormat="1" ht="12.75" x14ac:dyDescent="0.2"/>
    <row r="58224" s="197" customFormat="1" ht="12.75" x14ac:dyDescent="0.2"/>
    <row r="58225" s="197" customFormat="1" ht="12.75" x14ac:dyDescent="0.2"/>
    <row r="58226" s="197" customFormat="1" ht="12.75" x14ac:dyDescent="0.2"/>
    <row r="58227" s="197" customFormat="1" ht="12.75" x14ac:dyDescent="0.2"/>
    <row r="58228" s="197" customFormat="1" ht="12.75" x14ac:dyDescent="0.2"/>
    <row r="58229" s="197" customFormat="1" ht="12.75" x14ac:dyDescent="0.2"/>
    <row r="58230" s="197" customFormat="1" ht="12.75" x14ac:dyDescent="0.2"/>
    <row r="58231" s="197" customFormat="1" ht="12.75" x14ac:dyDescent="0.2"/>
    <row r="58232" s="197" customFormat="1" ht="12.75" x14ac:dyDescent="0.2"/>
    <row r="58233" s="197" customFormat="1" ht="12.75" x14ac:dyDescent="0.2"/>
    <row r="58234" s="197" customFormat="1" ht="12.75" x14ac:dyDescent="0.2"/>
    <row r="58235" s="197" customFormat="1" ht="12.75" x14ac:dyDescent="0.2"/>
    <row r="58236" s="197" customFormat="1" ht="12.75" x14ac:dyDescent="0.2"/>
    <row r="58237" s="197" customFormat="1" ht="12.75" x14ac:dyDescent="0.2"/>
    <row r="58238" s="197" customFormat="1" ht="12.75" x14ac:dyDescent="0.2"/>
    <row r="58239" s="197" customFormat="1" ht="12.75" x14ac:dyDescent="0.2"/>
    <row r="58240" s="197" customFormat="1" ht="12.75" x14ac:dyDescent="0.2"/>
    <row r="58241" s="197" customFormat="1" ht="12.75" x14ac:dyDescent="0.2"/>
    <row r="58242" s="197" customFormat="1" ht="12.75" x14ac:dyDescent="0.2"/>
    <row r="58243" s="197" customFormat="1" ht="12.75" x14ac:dyDescent="0.2"/>
    <row r="58244" s="197" customFormat="1" ht="12.75" x14ac:dyDescent="0.2"/>
    <row r="58245" s="197" customFormat="1" ht="12.75" x14ac:dyDescent="0.2"/>
    <row r="58246" s="197" customFormat="1" ht="12.75" x14ac:dyDescent="0.2"/>
    <row r="58247" s="197" customFormat="1" ht="12.75" x14ac:dyDescent="0.2"/>
    <row r="58248" s="197" customFormat="1" ht="12.75" x14ac:dyDescent="0.2"/>
    <row r="58249" s="197" customFormat="1" ht="12.75" x14ac:dyDescent="0.2"/>
    <row r="58250" s="197" customFormat="1" ht="12.75" x14ac:dyDescent="0.2"/>
    <row r="58251" s="197" customFormat="1" ht="12.75" x14ac:dyDescent="0.2"/>
    <row r="58252" s="197" customFormat="1" ht="12.75" x14ac:dyDescent="0.2"/>
    <row r="58253" s="197" customFormat="1" ht="12.75" x14ac:dyDescent="0.2"/>
    <row r="58254" s="197" customFormat="1" ht="12.75" x14ac:dyDescent="0.2"/>
    <row r="58255" s="197" customFormat="1" ht="12.75" x14ac:dyDescent="0.2"/>
    <row r="58256" s="197" customFormat="1" ht="12.75" x14ac:dyDescent="0.2"/>
    <row r="58257" s="197" customFormat="1" ht="12.75" x14ac:dyDescent="0.2"/>
    <row r="58258" s="197" customFormat="1" ht="12.75" x14ac:dyDescent="0.2"/>
    <row r="58259" s="197" customFormat="1" ht="12.75" x14ac:dyDescent="0.2"/>
    <row r="58260" s="197" customFormat="1" ht="12.75" x14ac:dyDescent="0.2"/>
    <row r="58261" s="197" customFormat="1" ht="12.75" x14ac:dyDescent="0.2"/>
    <row r="58262" s="197" customFormat="1" ht="12.75" x14ac:dyDescent="0.2"/>
    <row r="58263" s="197" customFormat="1" ht="12.75" x14ac:dyDescent="0.2"/>
    <row r="58264" s="197" customFormat="1" ht="12.75" x14ac:dyDescent="0.2"/>
    <row r="58265" s="197" customFormat="1" ht="12.75" x14ac:dyDescent="0.2"/>
    <row r="58266" s="197" customFormat="1" ht="12.75" x14ac:dyDescent="0.2"/>
    <row r="58267" s="197" customFormat="1" ht="12.75" x14ac:dyDescent="0.2"/>
    <row r="58268" s="197" customFormat="1" ht="12.75" x14ac:dyDescent="0.2"/>
    <row r="58269" s="197" customFormat="1" ht="12.75" x14ac:dyDescent="0.2"/>
    <row r="58270" s="197" customFormat="1" ht="12.75" x14ac:dyDescent="0.2"/>
    <row r="58271" s="197" customFormat="1" ht="12.75" x14ac:dyDescent="0.2"/>
    <row r="58272" s="197" customFormat="1" ht="12.75" x14ac:dyDescent="0.2"/>
    <row r="58273" s="197" customFormat="1" ht="12.75" x14ac:dyDescent="0.2"/>
    <row r="58274" s="197" customFormat="1" ht="12.75" x14ac:dyDescent="0.2"/>
    <row r="58275" s="197" customFormat="1" ht="12.75" x14ac:dyDescent="0.2"/>
    <row r="58276" s="197" customFormat="1" ht="12.75" x14ac:dyDescent="0.2"/>
    <row r="58277" s="197" customFormat="1" ht="12.75" x14ac:dyDescent="0.2"/>
    <row r="58278" s="197" customFormat="1" ht="12.75" x14ac:dyDescent="0.2"/>
    <row r="58279" s="197" customFormat="1" ht="12.75" x14ac:dyDescent="0.2"/>
    <row r="58280" s="197" customFormat="1" ht="12.75" x14ac:dyDescent="0.2"/>
    <row r="58281" s="197" customFormat="1" ht="12.75" x14ac:dyDescent="0.2"/>
    <row r="58282" s="197" customFormat="1" ht="12.75" x14ac:dyDescent="0.2"/>
    <row r="58283" s="197" customFormat="1" ht="12.75" x14ac:dyDescent="0.2"/>
    <row r="58284" s="197" customFormat="1" ht="12.75" x14ac:dyDescent="0.2"/>
    <row r="58285" s="197" customFormat="1" ht="12.75" x14ac:dyDescent="0.2"/>
    <row r="58286" s="197" customFormat="1" ht="12.75" x14ac:dyDescent="0.2"/>
    <row r="58287" s="197" customFormat="1" ht="12.75" x14ac:dyDescent="0.2"/>
    <row r="58288" s="197" customFormat="1" ht="12.75" x14ac:dyDescent="0.2"/>
    <row r="58289" s="197" customFormat="1" ht="12.75" x14ac:dyDescent="0.2"/>
    <row r="58290" s="197" customFormat="1" ht="12.75" x14ac:dyDescent="0.2"/>
    <row r="58291" s="197" customFormat="1" ht="12.75" x14ac:dyDescent="0.2"/>
    <row r="58292" s="197" customFormat="1" ht="12.75" x14ac:dyDescent="0.2"/>
    <row r="58293" s="197" customFormat="1" ht="12.75" x14ac:dyDescent="0.2"/>
    <row r="58294" s="197" customFormat="1" ht="12.75" x14ac:dyDescent="0.2"/>
    <row r="58295" s="197" customFormat="1" ht="12.75" x14ac:dyDescent="0.2"/>
    <row r="58296" s="197" customFormat="1" ht="12.75" x14ac:dyDescent="0.2"/>
    <row r="58297" s="197" customFormat="1" ht="12.75" x14ac:dyDescent="0.2"/>
    <row r="58298" s="197" customFormat="1" ht="12.75" x14ac:dyDescent="0.2"/>
    <row r="58299" s="197" customFormat="1" ht="12.75" x14ac:dyDescent="0.2"/>
    <row r="58300" s="197" customFormat="1" ht="12.75" x14ac:dyDescent="0.2"/>
    <row r="58301" s="197" customFormat="1" ht="12.75" x14ac:dyDescent="0.2"/>
    <row r="58302" s="197" customFormat="1" ht="12.75" x14ac:dyDescent="0.2"/>
    <row r="58303" s="197" customFormat="1" ht="12.75" x14ac:dyDescent="0.2"/>
    <row r="58304" s="197" customFormat="1" ht="12.75" x14ac:dyDescent="0.2"/>
    <row r="58305" s="197" customFormat="1" ht="12.75" x14ac:dyDescent="0.2"/>
    <row r="58306" s="197" customFormat="1" ht="12.75" x14ac:dyDescent="0.2"/>
    <row r="58307" s="197" customFormat="1" ht="12.75" x14ac:dyDescent="0.2"/>
    <row r="58308" s="197" customFormat="1" ht="12.75" x14ac:dyDescent="0.2"/>
    <row r="58309" s="197" customFormat="1" ht="12.75" x14ac:dyDescent="0.2"/>
    <row r="58310" s="197" customFormat="1" ht="12.75" x14ac:dyDescent="0.2"/>
    <row r="58311" s="197" customFormat="1" ht="12.75" x14ac:dyDescent="0.2"/>
    <row r="58312" s="197" customFormat="1" ht="12.75" x14ac:dyDescent="0.2"/>
    <row r="58313" s="197" customFormat="1" ht="12.75" x14ac:dyDescent="0.2"/>
    <row r="58314" s="197" customFormat="1" ht="12.75" x14ac:dyDescent="0.2"/>
    <row r="58315" s="197" customFormat="1" ht="12.75" x14ac:dyDescent="0.2"/>
    <row r="58316" s="197" customFormat="1" ht="12.75" x14ac:dyDescent="0.2"/>
    <row r="58317" s="197" customFormat="1" ht="12.75" x14ac:dyDescent="0.2"/>
    <row r="58318" s="197" customFormat="1" ht="12.75" x14ac:dyDescent="0.2"/>
    <row r="58319" s="197" customFormat="1" ht="12.75" x14ac:dyDescent="0.2"/>
    <row r="58320" s="197" customFormat="1" ht="12.75" x14ac:dyDescent="0.2"/>
    <row r="58321" s="197" customFormat="1" ht="12.75" x14ac:dyDescent="0.2"/>
    <row r="58322" s="197" customFormat="1" ht="12.75" x14ac:dyDescent="0.2"/>
    <row r="58323" s="197" customFormat="1" ht="12.75" x14ac:dyDescent="0.2"/>
    <row r="58324" s="197" customFormat="1" ht="12.75" x14ac:dyDescent="0.2"/>
    <row r="58325" s="197" customFormat="1" ht="12.75" x14ac:dyDescent="0.2"/>
    <row r="58326" s="197" customFormat="1" ht="12.75" x14ac:dyDescent="0.2"/>
    <row r="58327" s="197" customFormat="1" ht="12.75" x14ac:dyDescent="0.2"/>
    <row r="58328" s="197" customFormat="1" ht="12.75" x14ac:dyDescent="0.2"/>
    <row r="58329" s="197" customFormat="1" ht="12.75" x14ac:dyDescent="0.2"/>
    <row r="58330" s="197" customFormat="1" ht="12.75" x14ac:dyDescent="0.2"/>
    <row r="58331" s="197" customFormat="1" ht="12.75" x14ac:dyDescent="0.2"/>
    <row r="58332" s="197" customFormat="1" ht="12.75" x14ac:dyDescent="0.2"/>
    <row r="58333" s="197" customFormat="1" ht="12.75" x14ac:dyDescent="0.2"/>
    <row r="58334" s="197" customFormat="1" ht="12.75" x14ac:dyDescent="0.2"/>
    <row r="58335" s="197" customFormat="1" ht="12.75" x14ac:dyDescent="0.2"/>
    <row r="58336" s="197" customFormat="1" ht="12.75" x14ac:dyDescent="0.2"/>
    <row r="58337" s="197" customFormat="1" ht="12.75" x14ac:dyDescent="0.2"/>
    <row r="58338" s="197" customFormat="1" ht="12.75" x14ac:dyDescent="0.2"/>
    <row r="58339" s="197" customFormat="1" ht="12.75" x14ac:dyDescent="0.2"/>
    <row r="58340" s="197" customFormat="1" ht="12.75" x14ac:dyDescent="0.2"/>
    <row r="58341" s="197" customFormat="1" ht="12.75" x14ac:dyDescent="0.2"/>
    <row r="58342" s="197" customFormat="1" ht="12.75" x14ac:dyDescent="0.2"/>
    <row r="58343" s="197" customFormat="1" ht="12.75" x14ac:dyDescent="0.2"/>
    <row r="58344" s="197" customFormat="1" ht="12.75" x14ac:dyDescent="0.2"/>
    <row r="58345" s="197" customFormat="1" ht="12.75" x14ac:dyDescent="0.2"/>
    <row r="58346" s="197" customFormat="1" ht="12.75" x14ac:dyDescent="0.2"/>
    <row r="58347" s="197" customFormat="1" ht="12.75" x14ac:dyDescent="0.2"/>
    <row r="58348" s="197" customFormat="1" ht="12.75" x14ac:dyDescent="0.2"/>
    <row r="58349" s="197" customFormat="1" ht="12.75" x14ac:dyDescent="0.2"/>
    <row r="58350" s="197" customFormat="1" ht="12.75" x14ac:dyDescent="0.2"/>
    <row r="58351" s="197" customFormat="1" ht="12.75" x14ac:dyDescent="0.2"/>
    <row r="58352" s="197" customFormat="1" ht="12.75" x14ac:dyDescent="0.2"/>
    <row r="58353" s="197" customFormat="1" ht="12.75" x14ac:dyDescent="0.2"/>
    <row r="58354" s="197" customFormat="1" ht="12.75" x14ac:dyDescent="0.2"/>
    <row r="58355" s="197" customFormat="1" ht="12.75" x14ac:dyDescent="0.2"/>
    <row r="58356" s="197" customFormat="1" ht="12.75" x14ac:dyDescent="0.2"/>
    <row r="58357" s="197" customFormat="1" ht="12.75" x14ac:dyDescent="0.2"/>
    <row r="58358" s="197" customFormat="1" ht="12.75" x14ac:dyDescent="0.2"/>
    <row r="58359" s="197" customFormat="1" ht="12.75" x14ac:dyDescent="0.2"/>
    <row r="58360" s="197" customFormat="1" ht="12.75" x14ac:dyDescent="0.2"/>
    <row r="58361" s="197" customFormat="1" ht="12.75" x14ac:dyDescent="0.2"/>
    <row r="58362" s="197" customFormat="1" ht="12.75" x14ac:dyDescent="0.2"/>
    <row r="58363" s="197" customFormat="1" ht="12.75" x14ac:dyDescent="0.2"/>
    <row r="58364" s="197" customFormat="1" ht="12.75" x14ac:dyDescent="0.2"/>
    <row r="58365" s="197" customFormat="1" ht="12.75" x14ac:dyDescent="0.2"/>
    <row r="58366" s="197" customFormat="1" ht="12.75" x14ac:dyDescent="0.2"/>
    <row r="58367" s="197" customFormat="1" ht="12.75" x14ac:dyDescent="0.2"/>
    <row r="58368" s="197" customFormat="1" ht="12.75" x14ac:dyDescent="0.2"/>
    <row r="58369" s="197" customFormat="1" ht="12.75" x14ac:dyDescent="0.2"/>
    <row r="58370" s="197" customFormat="1" ht="12.75" x14ac:dyDescent="0.2"/>
    <row r="58371" s="197" customFormat="1" ht="12.75" x14ac:dyDescent="0.2"/>
    <row r="58372" s="197" customFormat="1" ht="12.75" x14ac:dyDescent="0.2"/>
    <row r="58373" s="197" customFormat="1" ht="12.75" x14ac:dyDescent="0.2"/>
    <row r="58374" s="197" customFormat="1" ht="12.75" x14ac:dyDescent="0.2"/>
    <row r="58375" s="197" customFormat="1" ht="12.75" x14ac:dyDescent="0.2"/>
    <row r="58376" s="197" customFormat="1" ht="12.75" x14ac:dyDescent="0.2"/>
    <row r="58377" s="197" customFormat="1" ht="12.75" x14ac:dyDescent="0.2"/>
    <row r="58378" s="197" customFormat="1" ht="12.75" x14ac:dyDescent="0.2"/>
    <row r="58379" s="197" customFormat="1" ht="12.75" x14ac:dyDescent="0.2"/>
    <row r="58380" s="197" customFormat="1" ht="12.75" x14ac:dyDescent="0.2"/>
    <row r="58381" s="197" customFormat="1" ht="12.75" x14ac:dyDescent="0.2"/>
    <row r="58382" s="197" customFormat="1" ht="12.75" x14ac:dyDescent="0.2"/>
    <row r="58383" s="197" customFormat="1" ht="12.75" x14ac:dyDescent="0.2"/>
    <row r="58384" s="197" customFormat="1" ht="12.75" x14ac:dyDescent="0.2"/>
    <row r="58385" s="197" customFormat="1" ht="12.75" x14ac:dyDescent="0.2"/>
    <row r="58386" s="197" customFormat="1" ht="12.75" x14ac:dyDescent="0.2"/>
    <row r="58387" s="197" customFormat="1" ht="12.75" x14ac:dyDescent="0.2"/>
    <row r="58388" s="197" customFormat="1" ht="12.75" x14ac:dyDescent="0.2"/>
    <row r="58389" s="197" customFormat="1" ht="12.75" x14ac:dyDescent="0.2"/>
    <row r="58390" s="197" customFormat="1" ht="12.75" x14ac:dyDescent="0.2"/>
    <row r="58391" s="197" customFormat="1" ht="12.75" x14ac:dyDescent="0.2"/>
    <row r="58392" s="197" customFormat="1" ht="12.75" x14ac:dyDescent="0.2"/>
    <row r="58393" s="197" customFormat="1" ht="12.75" x14ac:dyDescent="0.2"/>
    <row r="58394" s="197" customFormat="1" ht="12.75" x14ac:dyDescent="0.2"/>
    <row r="58395" s="197" customFormat="1" ht="12.75" x14ac:dyDescent="0.2"/>
    <row r="58396" s="197" customFormat="1" ht="12.75" x14ac:dyDescent="0.2"/>
    <row r="58397" s="197" customFormat="1" ht="12.75" x14ac:dyDescent="0.2"/>
    <row r="58398" s="197" customFormat="1" ht="12.75" x14ac:dyDescent="0.2"/>
    <row r="58399" s="197" customFormat="1" ht="12.75" x14ac:dyDescent="0.2"/>
    <row r="58400" s="197" customFormat="1" ht="12.75" x14ac:dyDescent="0.2"/>
    <row r="58401" s="197" customFormat="1" ht="12.75" x14ac:dyDescent="0.2"/>
    <row r="58402" s="197" customFormat="1" ht="12.75" x14ac:dyDescent="0.2"/>
    <row r="58403" s="197" customFormat="1" ht="12.75" x14ac:dyDescent="0.2"/>
    <row r="58404" s="197" customFormat="1" ht="12.75" x14ac:dyDescent="0.2"/>
    <row r="58405" s="197" customFormat="1" ht="12.75" x14ac:dyDescent="0.2"/>
    <row r="58406" s="197" customFormat="1" ht="12.75" x14ac:dyDescent="0.2"/>
    <row r="58407" s="197" customFormat="1" ht="12.75" x14ac:dyDescent="0.2"/>
    <row r="58408" s="197" customFormat="1" ht="12.75" x14ac:dyDescent="0.2"/>
    <row r="58409" s="197" customFormat="1" ht="12.75" x14ac:dyDescent="0.2"/>
    <row r="58410" s="197" customFormat="1" ht="12.75" x14ac:dyDescent="0.2"/>
    <row r="58411" s="197" customFormat="1" ht="12.75" x14ac:dyDescent="0.2"/>
    <row r="58412" s="197" customFormat="1" ht="12.75" x14ac:dyDescent="0.2"/>
    <row r="58413" s="197" customFormat="1" ht="12.75" x14ac:dyDescent="0.2"/>
    <row r="58414" s="197" customFormat="1" ht="12.75" x14ac:dyDescent="0.2"/>
    <row r="58415" s="197" customFormat="1" ht="12.75" x14ac:dyDescent="0.2"/>
    <row r="58416" s="197" customFormat="1" ht="12.75" x14ac:dyDescent="0.2"/>
    <row r="58417" s="197" customFormat="1" ht="12.75" x14ac:dyDescent="0.2"/>
    <row r="58418" s="197" customFormat="1" ht="12.75" x14ac:dyDescent="0.2"/>
    <row r="58419" s="197" customFormat="1" ht="12.75" x14ac:dyDescent="0.2"/>
    <row r="58420" s="197" customFormat="1" ht="12.75" x14ac:dyDescent="0.2"/>
    <row r="58421" s="197" customFormat="1" ht="12.75" x14ac:dyDescent="0.2"/>
    <row r="58422" s="197" customFormat="1" ht="12.75" x14ac:dyDescent="0.2"/>
    <row r="58423" s="197" customFormat="1" ht="12.75" x14ac:dyDescent="0.2"/>
    <row r="58424" s="197" customFormat="1" ht="12.75" x14ac:dyDescent="0.2"/>
    <row r="58425" s="197" customFormat="1" ht="12.75" x14ac:dyDescent="0.2"/>
    <row r="58426" s="197" customFormat="1" ht="12.75" x14ac:dyDescent="0.2"/>
    <row r="58427" s="197" customFormat="1" ht="12.75" x14ac:dyDescent="0.2"/>
    <row r="58428" s="197" customFormat="1" ht="12.75" x14ac:dyDescent="0.2"/>
    <row r="58429" s="197" customFormat="1" ht="12.75" x14ac:dyDescent="0.2"/>
    <row r="58430" s="197" customFormat="1" ht="12.75" x14ac:dyDescent="0.2"/>
    <row r="58431" s="197" customFormat="1" ht="12.75" x14ac:dyDescent="0.2"/>
    <row r="58432" s="197" customFormat="1" ht="12.75" x14ac:dyDescent="0.2"/>
    <row r="58433" s="197" customFormat="1" ht="12.75" x14ac:dyDescent="0.2"/>
    <row r="58434" s="197" customFormat="1" ht="12.75" x14ac:dyDescent="0.2"/>
    <row r="58435" s="197" customFormat="1" ht="12.75" x14ac:dyDescent="0.2"/>
    <row r="58436" s="197" customFormat="1" ht="12.75" x14ac:dyDescent="0.2"/>
    <row r="58437" s="197" customFormat="1" ht="12.75" x14ac:dyDescent="0.2"/>
    <row r="58438" s="197" customFormat="1" ht="12.75" x14ac:dyDescent="0.2"/>
    <row r="58439" s="197" customFormat="1" ht="12.75" x14ac:dyDescent="0.2"/>
    <row r="58440" s="197" customFormat="1" ht="12.75" x14ac:dyDescent="0.2"/>
    <row r="58441" s="197" customFormat="1" ht="12.75" x14ac:dyDescent="0.2"/>
    <row r="58442" s="197" customFormat="1" ht="12.75" x14ac:dyDescent="0.2"/>
    <row r="58443" s="197" customFormat="1" ht="12.75" x14ac:dyDescent="0.2"/>
    <row r="58444" s="197" customFormat="1" ht="12.75" x14ac:dyDescent="0.2"/>
    <row r="58445" s="197" customFormat="1" ht="12.75" x14ac:dyDescent="0.2"/>
    <row r="58446" s="197" customFormat="1" ht="12.75" x14ac:dyDescent="0.2"/>
    <row r="58447" s="197" customFormat="1" ht="12.75" x14ac:dyDescent="0.2"/>
    <row r="58448" s="197" customFormat="1" ht="12.75" x14ac:dyDescent="0.2"/>
    <row r="58449" s="197" customFormat="1" ht="12.75" x14ac:dyDescent="0.2"/>
    <row r="58450" s="197" customFormat="1" ht="12.75" x14ac:dyDescent="0.2"/>
    <row r="58451" s="197" customFormat="1" ht="12.75" x14ac:dyDescent="0.2"/>
    <row r="58452" s="197" customFormat="1" ht="12.75" x14ac:dyDescent="0.2"/>
    <row r="58453" s="197" customFormat="1" ht="12.75" x14ac:dyDescent="0.2"/>
    <row r="58454" s="197" customFormat="1" ht="12.75" x14ac:dyDescent="0.2"/>
    <row r="58455" s="197" customFormat="1" ht="12.75" x14ac:dyDescent="0.2"/>
    <row r="58456" s="197" customFormat="1" ht="12.75" x14ac:dyDescent="0.2"/>
    <row r="58457" s="197" customFormat="1" ht="12.75" x14ac:dyDescent="0.2"/>
    <row r="58458" s="197" customFormat="1" ht="12.75" x14ac:dyDescent="0.2"/>
    <row r="58459" s="197" customFormat="1" ht="12.75" x14ac:dyDescent="0.2"/>
    <row r="58460" s="197" customFormat="1" ht="12.75" x14ac:dyDescent="0.2"/>
    <row r="58461" s="197" customFormat="1" ht="12.75" x14ac:dyDescent="0.2"/>
    <row r="58462" s="197" customFormat="1" ht="12.75" x14ac:dyDescent="0.2"/>
    <row r="58463" s="197" customFormat="1" ht="12.75" x14ac:dyDescent="0.2"/>
    <row r="58464" s="197" customFormat="1" ht="12.75" x14ac:dyDescent="0.2"/>
    <row r="58465" s="197" customFormat="1" ht="12.75" x14ac:dyDescent="0.2"/>
    <row r="58466" s="197" customFormat="1" ht="12.75" x14ac:dyDescent="0.2"/>
    <row r="58467" s="197" customFormat="1" ht="12.75" x14ac:dyDescent="0.2"/>
    <row r="58468" s="197" customFormat="1" ht="12.75" x14ac:dyDescent="0.2"/>
    <row r="58469" s="197" customFormat="1" ht="12.75" x14ac:dyDescent="0.2"/>
    <row r="58470" s="197" customFormat="1" ht="12.75" x14ac:dyDescent="0.2"/>
    <row r="58471" s="197" customFormat="1" ht="12.75" x14ac:dyDescent="0.2"/>
    <row r="58472" s="197" customFormat="1" ht="12.75" x14ac:dyDescent="0.2"/>
    <row r="58473" s="197" customFormat="1" ht="12.75" x14ac:dyDescent="0.2"/>
    <row r="58474" s="197" customFormat="1" ht="12.75" x14ac:dyDescent="0.2"/>
    <row r="58475" s="197" customFormat="1" ht="12.75" x14ac:dyDescent="0.2"/>
    <row r="58476" s="197" customFormat="1" ht="12.75" x14ac:dyDescent="0.2"/>
    <row r="58477" s="197" customFormat="1" ht="12.75" x14ac:dyDescent="0.2"/>
    <row r="58478" s="197" customFormat="1" ht="12.75" x14ac:dyDescent="0.2"/>
    <row r="58479" s="197" customFormat="1" ht="12.75" x14ac:dyDescent="0.2"/>
    <row r="58480" s="197" customFormat="1" ht="12.75" x14ac:dyDescent="0.2"/>
    <row r="58481" s="197" customFormat="1" ht="12.75" x14ac:dyDescent="0.2"/>
    <row r="58482" s="197" customFormat="1" ht="12.75" x14ac:dyDescent="0.2"/>
    <row r="58483" s="197" customFormat="1" ht="12.75" x14ac:dyDescent="0.2"/>
    <row r="58484" s="197" customFormat="1" ht="12.75" x14ac:dyDescent="0.2"/>
    <row r="58485" s="197" customFormat="1" ht="12.75" x14ac:dyDescent="0.2"/>
    <row r="58486" s="197" customFormat="1" ht="12.75" x14ac:dyDescent="0.2"/>
    <row r="58487" s="197" customFormat="1" ht="12.75" x14ac:dyDescent="0.2"/>
    <row r="58488" s="197" customFormat="1" ht="12.75" x14ac:dyDescent="0.2"/>
    <row r="58489" s="197" customFormat="1" ht="12.75" x14ac:dyDescent="0.2"/>
    <row r="58490" s="197" customFormat="1" ht="12.75" x14ac:dyDescent="0.2"/>
    <row r="58491" s="197" customFormat="1" ht="12.75" x14ac:dyDescent="0.2"/>
    <row r="58492" s="197" customFormat="1" ht="12.75" x14ac:dyDescent="0.2"/>
    <row r="58493" s="197" customFormat="1" ht="12.75" x14ac:dyDescent="0.2"/>
    <row r="58494" s="197" customFormat="1" ht="12.75" x14ac:dyDescent="0.2"/>
    <row r="58495" s="197" customFormat="1" ht="12.75" x14ac:dyDescent="0.2"/>
    <row r="58496" s="197" customFormat="1" ht="12.75" x14ac:dyDescent="0.2"/>
    <row r="58497" s="197" customFormat="1" ht="12.75" x14ac:dyDescent="0.2"/>
    <row r="58498" s="197" customFormat="1" ht="12.75" x14ac:dyDescent="0.2"/>
    <row r="58499" s="197" customFormat="1" ht="12.75" x14ac:dyDescent="0.2"/>
    <row r="58500" s="197" customFormat="1" ht="12.75" x14ac:dyDescent="0.2"/>
    <row r="58501" s="197" customFormat="1" ht="12.75" x14ac:dyDescent="0.2"/>
    <row r="58502" s="197" customFormat="1" ht="12.75" x14ac:dyDescent="0.2"/>
    <row r="58503" s="197" customFormat="1" ht="12.75" x14ac:dyDescent="0.2"/>
    <row r="58504" s="197" customFormat="1" ht="12.75" x14ac:dyDescent="0.2"/>
    <row r="58505" s="197" customFormat="1" ht="12.75" x14ac:dyDescent="0.2"/>
    <row r="58506" s="197" customFormat="1" ht="12.75" x14ac:dyDescent="0.2"/>
    <row r="58507" s="197" customFormat="1" ht="12.75" x14ac:dyDescent="0.2"/>
    <row r="58508" s="197" customFormat="1" ht="12.75" x14ac:dyDescent="0.2"/>
    <row r="58509" s="197" customFormat="1" ht="12.75" x14ac:dyDescent="0.2"/>
    <row r="58510" s="197" customFormat="1" ht="12.75" x14ac:dyDescent="0.2"/>
    <row r="58511" s="197" customFormat="1" ht="12.75" x14ac:dyDescent="0.2"/>
    <row r="58512" s="197" customFormat="1" ht="12.75" x14ac:dyDescent="0.2"/>
    <row r="58513" s="197" customFormat="1" ht="12.75" x14ac:dyDescent="0.2"/>
    <row r="58514" s="197" customFormat="1" ht="12.75" x14ac:dyDescent="0.2"/>
    <row r="58515" s="197" customFormat="1" ht="12.75" x14ac:dyDescent="0.2"/>
    <row r="58516" s="197" customFormat="1" ht="12.75" x14ac:dyDescent="0.2"/>
    <row r="58517" s="197" customFormat="1" ht="12.75" x14ac:dyDescent="0.2"/>
    <row r="58518" s="197" customFormat="1" ht="12.75" x14ac:dyDescent="0.2"/>
    <row r="58519" s="197" customFormat="1" ht="12.75" x14ac:dyDescent="0.2"/>
    <row r="58520" s="197" customFormat="1" ht="12.75" x14ac:dyDescent="0.2"/>
    <row r="58521" s="197" customFormat="1" ht="12.75" x14ac:dyDescent="0.2"/>
    <row r="58522" s="197" customFormat="1" ht="12.75" x14ac:dyDescent="0.2"/>
    <row r="58523" s="197" customFormat="1" ht="12.75" x14ac:dyDescent="0.2"/>
    <row r="58524" s="197" customFormat="1" ht="12.75" x14ac:dyDescent="0.2"/>
    <row r="58525" s="197" customFormat="1" ht="12.75" x14ac:dyDescent="0.2"/>
    <row r="58526" s="197" customFormat="1" ht="12.75" x14ac:dyDescent="0.2"/>
    <row r="58527" s="197" customFormat="1" ht="12.75" x14ac:dyDescent="0.2"/>
    <row r="58528" s="197" customFormat="1" ht="12.75" x14ac:dyDescent="0.2"/>
    <row r="58529" s="197" customFormat="1" ht="12.75" x14ac:dyDescent="0.2"/>
    <row r="58530" s="197" customFormat="1" ht="12.75" x14ac:dyDescent="0.2"/>
    <row r="58531" s="197" customFormat="1" ht="12.75" x14ac:dyDescent="0.2"/>
    <row r="58532" s="197" customFormat="1" ht="12.75" x14ac:dyDescent="0.2"/>
    <row r="58533" s="197" customFormat="1" ht="12.75" x14ac:dyDescent="0.2"/>
    <row r="58534" s="197" customFormat="1" ht="12.75" x14ac:dyDescent="0.2"/>
    <row r="58535" s="197" customFormat="1" ht="12.75" x14ac:dyDescent="0.2"/>
    <row r="58536" s="197" customFormat="1" ht="12.75" x14ac:dyDescent="0.2"/>
    <row r="58537" s="197" customFormat="1" ht="12.75" x14ac:dyDescent="0.2"/>
    <row r="58538" s="197" customFormat="1" ht="12.75" x14ac:dyDescent="0.2"/>
    <row r="58539" s="197" customFormat="1" ht="12.75" x14ac:dyDescent="0.2"/>
    <row r="58540" s="197" customFormat="1" ht="12.75" x14ac:dyDescent="0.2"/>
    <row r="58541" s="197" customFormat="1" ht="12.75" x14ac:dyDescent="0.2"/>
    <row r="58542" s="197" customFormat="1" ht="12.75" x14ac:dyDescent="0.2"/>
    <row r="58543" s="197" customFormat="1" ht="12.75" x14ac:dyDescent="0.2"/>
    <row r="58544" s="197" customFormat="1" ht="12.75" x14ac:dyDescent="0.2"/>
    <row r="58545" s="197" customFormat="1" ht="12.75" x14ac:dyDescent="0.2"/>
    <row r="58546" s="197" customFormat="1" ht="12.75" x14ac:dyDescent="0.2"/>
    <row r="58547" s="197" customFormat="1" ht="12.75" x14ac:dyDescent="0.2"/>
    <row r="58548" s="197" customFormat="1" ht="12.75" x14ac:dyDescent="0.2"/>
    <row r="58549" s="197" customFormat="1" ht="12.75" x14ac:dyDescent="0.2"/>
    <row r="58550" s="197" customFormat="1" ht="12.75" x14ac:dyDescent="0.2"/>
    <row r="58551" s="197" customFormat="1" ht="12.75" x14ac:dyDescent="0.2"/>
    <row r="58552" s="197" customFormat="1" ht="12.75" x14ac:dyDescent="0.2"/>
    <row r="58553" s="197" customFormat="1" ht="12.75" x14ac:dyDescent="0.2"/>
    <row r="58554" s="197" customFormat="1" ht="12.75" x14ac:dyDescent="0.2"/>
    <row r="58555" s="197" customFormat="1" ht="12.75" x14ac:dyDescent="0.2"/>
    <row r="58556" s="197" customFormat="1" ht="12.75" x14ac:dyDescent="0.2"/>
    <row r="58557" s="197" customFormat="1" ht="12.75" x14ac:dyDescent="0.2"/>
    <row r="58558" s="197" customFormat="1" ht="12.75" x14ac:dyDescent="0.2"/>
    <row r="58559" s="197" customFormat="1" ht="12.75" x14ac:dyDescent="0.2"/>
    <row r="58560" s="197" customFormat="1" ht="12.75" x14ac:dyDescent="0.2"/>
    <row r="58561" s="197" customFormat="1" ht="12.75" x14ac:dyDescent="0.2"/>
    <row r="58562" s="197" customFormat="1" ht="12.75" x14ac:dyDescent="0.2"/>
    <row r="58563" s="197" customFormat="1" ht="12.75" x14ac:dyDescent="0.2"/>
    <row r="58564" s="197" customFormat="1" ht="12.75" x14ac:dyDescent="0.2"/>
    <row r="58565" s="197" customFormat="1" ht="12.75" x14ac:dyDescent="0.2"/>
    <row r="58566" s="197" customFormat="1" ht="12.75" x14ac:dyDescent="0.2"/>
    <row r="58567" s="197" customFormat="1" ht="12.75" x14ac:dyDescent="0.2"/>
    <row r="58568" s="197" customFormat="1" ht="12.75" x14ac:dyDescent="0.2"/>
    <row r="58569" s="197" customFormat="1" ht="12.75" x14ac:dyDescent="0.2"/>
    <row r="58570" s="197" customFormat="1" ht="12.75" x14ac:dyDescent="0.2"/>
    <row r="58571" s="197" customFormat="1" ht="12.75" x14ac:dyDescent="0.2"/>
    <row r="58572" s="197" customFormat="1" ht="12.75" x14ac:dyDescent="0.2"/>
    <row r="58573" s="197" customFormat="1" ht="12.75" x14ac:dyDescent="0.2"/>
    <row r="58574" s="197" customFormat="1" ht="12.75" x14ac:dyDescent="0.2"/>
    <row r="58575" s="197" customFormat="1" ht="12.75" x14ac:dyDescent="0.2"/>
    <row r="58576" s="197" customFormat="1" ht="12.75" x14ac:dyDescent="0.2"/>
    <row r="58577" s="197" customFormat="1" ht="12.75" x14ac:dyDescent="0.2"/>
    <row r="58578" s="197" customFormat="1" ht="12.75" x14ac:dyDescent="0.2"/>
    <row r="58579" s="197" customFormat="1" ht="12.75" x14ac:dyDescent="0.2"/>
    <row r="58580" s="197" customFormat="1" ht="12.75" x14ac:dyDescent="0.2"/>
    <row r="58581" s="197" customFormat="1" ht="12.75" x14ac:dyDescent="0.2"/>
    <row r="58582" s="197" customFormat="1" ht="12.75" x14ac:dyDescent="0.2"/>
    <row r="58583" s="197" customFormat="1" ht="12.75" x14ac:dyDescent="0.2"/>
    <row r="58584" s="197" customFormat="1" ht="12.75" x14ac:dyDescent="0.2"/>
    <row r="58585" s="197" customFormat="1" ht="12.75" x14ac:dyDescent="0.2"/>
    <row r="58586" s="197" customFormat="1" ht="12.75" x14ac:dyDescent="0.2"/>
    <row r="58587" s="197" customFormat="1" ht="12.75" x14ac:dyDescent="0.2"/>
    <row r="58588" s="197" customFormat="1" ht="12.75" x14ac:dyDescent="0.2"/>
    <row r="58589" s="197" customFormat="1" ht="12.75" x14ac:dyDescent="0.2"/>
    <row r="58590" s="197" customFormat="1" ht="12.75" x14ac:dyDescent="0.2"/>
    <row r="58591" s="197" customFormat="1" ht="12.75" x14ac:dyDescent="0.2"/>
    <row r="58592" s="197" customFormat="1" ht="12.75" x14ac:dyDescent="0.2"/>
    <row r="58593" s="197" customFormat="1" ht="12.75" x14ac:dyDescent="0.2"/>
    <row r="58594" s="197" customFormat="1" ht="12.75" x14ac:dyDescent="0.2"/>
    <row r="58595" s="197" customFormat="1" ht="12.75" x14ac:dyDescent="0.2"/>
    <row r="58596" s="197" customFormat="1" ht="12.75" x14ac:dyDescent="0.2"/>
    <row r="58597" s="197" customFormat="1" ht="12.75" x14ac:dyDescent="0.2"/>
    <row r="58598" s="197" customFormat="1" ht="12.75" x14ac:dyDescent="0.2"/>
    <row r="58599" s="197" customFormat="1" ht="12.75" x14ac:dyDescent="0.2"/>
    <row r="58600" s="197" customFormat="1" ht="12.75" x14ac:dyDescent="0.2"/>
    <row r="58601" s="197" customFormat="1" ht="12.75" x14ac:dyDescent="0.2"/>
    <row r="58602" s="197" customFormat="1" ht="12.75" x14ac:dyDescent="0.2"/>
    <row r="58603" s="197" customFormat="1" ht="12.75" x14ac:dyDescent="0.2"/>
    <row r="58604" s="197" customFormat="1" ht="12.75" x14ac:dyDescent="0.2"/>
    <row r="58605" s="197" customFormat="1" ht="12.75" x14ac:dyDescent="0.2"/>
    <row r="58606" s="197" customFormat="1" ht="12.75" x14ac:dyDescent="0.2"/>
    <row r="58607" s="197" customFormat="1" ht="12.75" x14ac:dyDescent="0.2"/>
    <row r="58608" s="197" customFormat="1" ht="12.75" x14ac:dyDescent="0.2"/>
    <row r="58609" s="197" customFormat="1" ht="12.75" x14ac:dyDescent="0.2"/>
    <row r="58610" s="197" customFormat="1" ht="12.75" x14ac:dyDescent="0.2"/>
    <row r="58611" s="197" customFormat="1" ht="12.75" x14ac:dyDescent="0.2"/>
    <row r="58612" s="197" customFormat="1" ht="12.75" x14ac:dyDescent="0.2"/>
    <row r="58613" s="197" customFormat="1" ht="12.75" x14ac:dyDescent="0.2"/>
    <row r="58614" s="197" customFormat="1" ht="12.75" x14ac:dyDescent="0.2"/>
    <row r="58615" s="197" customFormat="1" ht="12.75" x14ac:dyDescent="0.2"/>
    <row r="58616" s="197" customFormat="1" ht="12.75" x14ac:dyDescent="0.2"/>
    <row r="58617" s="197" customFormat="1" ht="12.75" x14ac:dyDescent="0.2"/>
    <row r="58618" s="197" customFormat="1" ht="12.75" x14ac:dyDescent="0.2"/>
    <row r="58619" s="197" customFormat="1" ht="12.75" x14ac:dyDescent="0.2"/>
    <row r="58620" s="197" customFormat="1" ht="12.75" x14ac:dyDescent="0.2"/>
    <row r="58621" s="197" customFormat="1" ht="12.75" x14ac:dyDescent="0.2"/>
    <row r="58622" s="197" customFormat="1" ht="12.75" x14ac:dyDescent="0.2"/>
    <row r="58623" s="197" customFormat="1" ht="12.75" x14ac:dyDescent="0.2"/>
    <row r="58624" s="197" customFormat="1" ht="12.75" x14ac:dyDescent="0.2"/>
    <row r="58625" s="197" customFormat="1" ht="12.75" x14ac:dyDescent="0.2"/>
    <row r="58626" s="197" customFormat="1" ht="12.75" x14ac:dyDescent="0.2"/>
    <row r="58627" s="197" customFormat="1" ht="12.75" x14ac:dyDescent="0.2"/>
    <row r="58628" s="197" customFormat="1" ht="12.75" x14ac:dyDescent="0.2"/>
    <row r="58629" s="197" customFormat="1" ht="12.75" x14ac:dyDescent="0.2"/>
    <row r="58630" s="197" customFormat="1" ht="12.75" x14ac:dyDescent="0.2"/>
    <row r="58631" s="197" customFormat="1" ht="12.75" x14ac:dyDescent="0.2"/>
    <row r="58632" s="197" customFormat="1" ht="12.75" x14ac:dyDescent="0.2"/>
    <row r="58633" s="197" customFormat="1" ht="12.75" x14ac:dyDescent="0.2"/>
    <row r="58634" s="197" customFormat="1" ht="12.75" x14ac:dyDescent="0.2"/>
    <row r="58635" s="197" customFormat="1" ht="12.75" x14ac:dyDescent="0.2"/>
    <row r="58636" s="197" customFormat="1" ht="12.75" x14ac:dyDescent="0.2"/>
    <row r="58637" s="197" customFormat="1" ht="12.75" x14ac:dyDescent="0.2"/>
    <row r="58638" s="197" customFormat="1" ht="12.75" x14ac:dyDescent="0.2"/>
    <row r="58639" s="197" customFormat="1" ht="12.75" x14ac:dyDescent="0.2"/>
    <row r="58640" s="197" customFormat="1" ht="12.75" x14ac:dyDescent="0.2"/>
    <row r="58641" s="197" customFormat="1" ht="12.75" x14ac:dyDescent="0.2"/>
    <row r="58642" s="197" customFormat="1" ht="12.75" x14ac:dyDescent="0.2"/>
    <row r="58643" s="197" customFormat="1" ht="12.75" x14ac:dyDescent="0.2"/>
    <row r="58644" s="197" customFormat="1" ht="12.75" x14ac:dyDescent="0.2"/>
    <row r="58645" s="197" customFormat="1" ht="12.75" x14ac:dyDescent="0.2"/>
    <row r="58646" s="197" customFormat="1" ht="12.75" x14ac:dyDescent="0.2"/>
    <row r="58647" s="197" customFormat="1" ht="12.75" x14ac:dyDescent="0.2"/>
    <row r="58648" s="197" customFormat="1" ht="12.75" x14ac:dyDescent="0.2"/>
    <row r="58649" s="197" customFormat="1" ht="12.75" x14ac:dyDescent="0.2"/>
    <row r="58650" s="197" customFormat="1" ht="12.75" x14ac:dyDescent="0.2"/>
    <row r="58651" s="197" customFormat="1" ht="12.75" x14ac:dyDescent="0.2"/>
    <row r="58652" s="197" customFormat="1" ht="12.75" x14ac:dyDescent="0.2"/>
    <row r="58653" s="197" customFormat="1" ht="12.75" x14ac:dyDescent="0.2"/>
    <row r="58654" s="197" customFormat="1" ht="12.75" x14ac:dyDescent="0.2"/>
    <row r="58655" s="197" customFormat="1" ht="12.75" x14ac:dyDescent="0.2"/>
    <row r="58656" s="197" customFormat="1" ht="12.75" x14ac:dyDescent="0.2"/>
    <row r="58657" s="197" customFormat="1" ht="12.75" x14ac:dyDescent="0.2"/>
    <row r="58658" s="197" customFormat="1" ht="12.75" x14ac:dyDescent="0.2"/>
    <row r="58659" s="197" customFormat="1" ht="12.75" x14ac:dyDescent="0.2"/>
    <row r="58660" s="197" customFormat="1" ht="12.75" x14ac:dyDescent="0.2"/>
    <row r="58661" s="197" customFormat="1" ht="12.75" x14ac:dyDescent="0.2"/>
    <row r="58662" s="197" customFormat="1" ht="12.75" x14ac:dyDescent="0.2"/>
    <row r="58663" s="197" customFormat="1" ht="12.75" x14ac:dyDescent="0.2"/>
    <row r="58664" s="197" customFormat="1" ht="12.75" x14ac:dyDescent="0.2"/>
    <row r="58665" s="197" customFormat="1" ht="12.75" x14ac:dyDescent="0.2"/>
    <row r="58666" s="197" customFormat="1" ht="12.75" x14ac:dyDescent="0.2"/>
    <row r="58667" s="197" customFormat="1" ht="12.75" x14ac:dyDescent="0.2"/>
    <row r="58668" s="197" customFormat="1" ht="12.75" x14ac:dyDescent="0.2"/>
    <row r="58669" s="197" customFormat="1" ht="12.75" x14ac:dyDescent="0.2"/>
    <row r="58670" s="197" customFormat="1" ht="12.75" x14ac:dyDescent="0.2"/>
    <row r="58671" s="197" customFormat="1" ht="12.75" x14ac:dyDescent="0.2"/>
    <row r="58672" s="197" customFormat="1" ht="12.75" x14ac:dyDescent="0.2"/>
    <row r="58673" s="197" customFormat="1" ht="12.75" x14ac:dyDescent="0.2"/>
    <row r="58674" s="197" customFormat="1" ht="12.75" x14ac:dyDescent="0.2"/>
    <row r="58675" s="197" customFormat="1" ht="12.75" x14ac:dyDescent="0.2"/>
    <row r="58676" s="197" customFormat="1" ht="12.75" x14ac:dyDescent="0.2"/>
    <row r="58677" s="197" customFormat="1" ht="12.75" x14ac:dyDescent="0.2"/>
    <row r="58678" s="197" customFormat="1" ht="12.75" x14ac:dyDescent="0.2"/>
    <row r="58679" s="197" customFormat="1" ht="12.75" x14ac:dyDescent="0.2"/>
    <row r="58680" s="197" customFormat="1" ht="12.75" x14ac:dyDescent="0.2"/>
    <row r="58681" s="197" customFormat="1" ht="12.75" x14ac:dyDescent="0.2"/>
    <row r="58682" s="197" customFormat="1" ht="12.75" x14ac:dyDescent="0.2"/>
    <row r="58683" s="197" customFormat="1" ht="12.75" x14ac:dyDescent="0.2"/>
    <row r="58684" s="197" customFormat="1" ht="12.75" x14ac:dyDescent="0.2"/>
    <row r="58685" s="197" customFormat="1" ht="12.75" x14ac:dyDescent="0.2"/>
    <row r="58686" s="197" customFormat="1" ht="12.75" x14ac:dyDescent="0.2"/>
    <row r="58687" s="197" customFormat="1" ht="12.75" x14ac:dyDescent="0.2"/>
    <row r="58688" s="197" customFormat="1" ht="12.75" x14ac:dyDescent="0.2"/>
    <row r="58689" s="197" customFormat="1" ht="12.75" x14ac:dyDescent="0.2"/>
    <row r="58690" s="197" customFormat="1" ht="12.75" x14ac:dyDescent="0.2"/>
    <row r="58691" s="197" customFormat="1" ht="12.75" x14ac:dyDescent="0.2"/>
    <row r="58692" s="197" customFormat="1" ht="12.75" x14ac:dyDescent="0.2"/>
    <row r="58693" s="197" customFormat="1" ht="12.75" x14ac:dyDescent="0.2"/>
    <row r="58694" s="197" customFormat="1" ht="12.75" x14ac:dyDescent="0.2"/>
    <row r="58695" s="197" customFormat="1" ht="12.75" x14ac:dyDescent="0.2"/>
    <row r="58696" s="197" customFormat="1" ht="12.75" x14ac:dyDescent="0.2"/>
    <row r="58697" s="197" customFormat="1" ht="12.75" x14ac:dyDescent="0.2"/>
    <row r="58698" s="197" customFormat="1" ht="12.75" x14ac:dyDescent="0.2"/>
    <row r="58699" s="197" customFormat="1" ht="12.75" x14ac:dyDescent="0.2"/>
    <row r="58700" s="197" customFormat="1" ht="12.75" x14ac:dyDescent="0.2"/>
    <row r="58701" s="197" customFormat="1" ht="12.75" x14ac:dyDescent="0.2"/>
    <row r="58702" s="197" customFormat="1" ht="12.75" x14ac:dyDescent="0.2"/>
    <row r="58703" s="197" customFormat="1" ht="12.75" x14ac:dyDescent="0.2"/>
    <row r="58704" s="197" customFormat="1" ht="12.75" x14ac:dyDescent="0.2"/>
    <row r="58705" s="197" customFormat="1" ht="12.75" x14ac:dyDescent="0.2"/>
    <row r="58706" s="197" customFormat="1" ht="12.75" x14ac:dyDescent="0.2"/>
    <row r="58707" s="197" customFormat="1" ht="12.75" x14ac:dyDescent="0.2"/>
    <row r="58708" s="197" customFormat="1" ht="12.75" x14ac:dyDescent="0.2"/>
    <row r="58709" s="197" customFormat="1" ht="12.75" x14ac:dyDescent="0.2"/>
    <row r="58710" s="197" customFormat="1" ht="12.75" x14ac:dyDescent="0.2"/>
    <row r="58711" s="197" customFormat="1" ht="12.75" x14ac:dyDescent="0.2"/>
    <row r="58712" s="197" customFormat="1" ht="12.75" x14ac:dyDescent="0.2"/>
    <row r="58713" s="197" customFormat="1" ht="12.75" x14ac:dyDescent="0.2"/>
    <row r="58714" s="197" customFormat="1" ht="12.75" x14ac:dyDescent="0.2"/>
    <row r="58715" s="197" customFormat="1" ht="12.75" x14ac:dyDescent="0.2"/>
    <row r="58716" s="197" customFormat="1" ht="12.75" x14ac:dyDescent="0.2"/>
    <row r="58717" s="197" customFormat="1" ht="12.75" x14ac:dyDescent="0.2"/>
    <row r="58718" s="197" customFormat="1" ht="12.75" x14ac:dyDescent="0.2"/>
    <row r="58719" s="197" customFormat="1" ht="12.75" x14ac:dyDescent="0.2"/>
    <row r="58720" s="197" customFormat="1" ht="12.75" x14ac:dyDescent="0.2"/>
    <row r="58721" s="197" customFormat="1" ht="12.75" x14ac:dyDescent="0.2"/>
    <row r="58722" s="197" customFormat="1" ht="12.75" x14ac:dyDescent="0.2"/>
    <row r="58723" s="197" customFormat="1" ht="12.75" x14ac:dyDescent="0.2"/>
    <row r="58724" s="197" customFormat="1" ht="12.75" x14ac:dyDescent="0.2"/>
    <row r="58725" s="197" customFormat="1" ht="12.75" x14ac:dyDescent="0.2"/>
    <row r="58726" s="197" customFormat="1" ht="12.75" x14ac:dyDescent="0.2"/>
    <row r="58727" s="197" customFormat="1" ht="12.75" x14ac:dyDescent="0.2"/>
    <row r="58728" s="197" customFormat="1" ht="12.75" x14ac:dyDescent="0.2"/>
    <row r="58729" s="197" customFormat="1" ht="12.75" x14ac:dyDescent="0.2"/>
    <row r="58730" s="197" customFormat="1" ht="12.75" x14ac:dyDescent="0.2"/>
    <row r="58731" s="197" customFormat="1" ht="12.75" x14ac:dyDescent="0.2"/>
    <row r="58732" s="197" customFormat="1" ht="12.75" x14ac:dyDescent="0.2"/>
    <row r="58733" s="197" customFormat="1" ht="12.75" x14ac:dyDescent="0.2"/>
    <row r="58734" s="197" customFormat="1" ht="12.75" x14ac:dyDescent="0.2"/>
    <row r="58735" s="197" customFormat="1" ht="12.75" x14ac:dyDescent="0.2"/>
    <row r="58736" s="197" customFormat="1" ht="12.75" x14ac:dyDescent="0.2"/>
    <row r="58737" s="197" customFormat="1" ht="12.75" x14ac:dyDescent="0.2"/>
    <row r="58738" s="197" customFormat="1" ht="12.75" x14ac:dyDescent="0.2"/>
    <row r="58739" s="197" customFormat="1" ht="12.75" x14ac:dyDescent="0.2"/>
    <row r="58740" s="197" customFormat="1" ht="12.75" x14ac:dyDescent="0.2"/>
    <row r="58741" s="197" customFormat="1" ht="12.75" x14ac:dyDescent="0.2"/>
    <row r="58742" s="197" customFormat="1" ht="12.75" x14ac:dyDescent="0.2"/>
    <row r="58743" s="197" customFormat="1" ht="12.75" x14ac:dyDescent="0.2"/>
    <row r="58744" s="197" customFormat="1" ht="12.75" x14ac:dyDescent="0.2"/>
    <row r="58745" s="197" customFormat="1" ht="12.75" x14ac:dyDescent="0.2"/>
    <row r="58746" s="197" customFormat="1" ht="12.75" x14ac:dyDescent="0.2"/>
    <row r="58747" s="197" customFormat="1" ht="12.75" x14ac:dyDescent="0.2"/>
    <row r="58748" s="197" customFormat="1" ht="12.75" x14ac:dyDescent="0.2"/>
    <row r="58749" s="197" customFormat="1" ht="12.75" x14ac:dyDescent="0.2"/>
    <row r="58750" s="197" customFormat="1" ht="12.75" x14ac:dyDescent="0.2"/>
    <row r="58751" s="197" customFormat="1" ht="12.75" x14ac:dyDescent="0.2"/>
    <row r="58752" s="197" customFormat="1" ht="12.75" x14ac:dyDescent="0.2"/>
    <row r="58753" s="197" customFormat="1" ht="12.75" x14ac:dyDescent="0.2"/>
    <row r="58754" s="197" customFormat="1" ht="12.75" x14ac:dyDescent="0.2"/>
    <row r="58755" s="197" customFormat="1" ht="12.75" x14ac:dyDescent="0.2"/>
    <row r="58756" s="197" customFormat="1" ht="12.75" x14ac:dyDescent="0.2"/>
    <row r="58757" s="197" customFormat="1" ht="12.75" x14ac:dyDescent="0.2"/>
    <row r="58758" s="197" customFormat="1" ht="12.75" x14ac:dyDescent="0.2"/>
    <row r="58759" s="197" customFormat="1" ht="12.75" x14ac:dyDescent="0.2"/>
    <row r="58760" s="197" customFormat="1" ht="12.75" x14ac:dyDescent="0.2"/>
    <row r="58761" s="197" customFormat="1" ht="12.75" x14ac:dyDescent="0.2"/>
    <row r="58762" s="197" customFormat="1" ht="12.75" x14ac:dyDescent="0.2"/>
    <row r="58763" s="197" customFormat="1" ht="12.75" x14ac:dyDescent="0.2"/>
    <row r="58764" s="197" customFormat="1" ht="12.75" x14ac:dyDescent="0.2"/>
    <row r="58765" s="197" customFormat="1" ht="12.75" x14ac:dyDescent="0.2"/>
    <row r="58766" s="197" customFormat="1" ht="12.75" x14ac:dyDescent="0.2"/>
    <row r="58767" s="197" customFormat="1" ht="12.75" x14ac:dyDescent="0.2"/>
    <row r="58768" s="197" customFormat="1" ht="12.75" x14ac:dyDescent="0.2"/>
    <row r="58769" s="197" customFormat="1" ht="12.75" x14ac:dyDescent="0.2"/>
    <row r="58770" s="197" customFormat="1" ht="12.75" x14ac:dyDescent="0.2"/>
    <row r="58771" s="197" customFormat="1" ht="12.75" x14ac:dyDescent="0.2"/>
    <row r="58772" s="197" customFormat="1" ht="12.75" x14ac:dyDescent="0.2"/>
    <row r="58773" s="197" customFormat="1" ht="12.75" x14ac:dyDescent="0.2"/>
    <row r="58774" s="197" customFormat="1" ht="12.75" x14ac:dyDescent="0.2"/>
    <row r="58775" s="197" customFormat="1" ht="12.75" x14ac:dyDescent="0.2"/>
    <row r="58776" s="197" customFormat="1" ht="12.75" x14ac:dyDescent="0.2"/>
    <row r="58777" s="197" customFormat="1" ht="12.75" x14ac:dyDescent="0.2"/>
    <row r="58778" s="197" customFormat="1" ht="12.75" x14ac:dyDescent="0.2"/>
    <row r="58779" s="197" customFormat="1" ht="12.75" x14ac:dyDescent="0.2"/>
    <row r="58780" s="197" customFormat="1" ht="12.75" x14ac:dyDescent="0.2"/>
    <row r="58781" s="197" customFormat="1" ht="12.75" x14ac:dyDescent="0.2"/>
    <row r="58782" s="197" customFormat="1" ht="12.75" x14ac:dyDescent="0.2"/>
    <row r="58783" s="197" customFormat="1" ht="12.75" x14ac:dyDescent="0.2"/>
    <row r="58784" s="197" customFormat="1" ht="12.75" x14ac:dyDescent="0.2"/>
    <row r="58785" s="197" customFormat="1" ht="12.75" x14ac:dyDescent="0.2"/>
    <row r="58786" s="197" customFormat="1" ht="12.75" x14ac:dyDescent="0.2"/>
    <row r="58787" s="197" customFormat="1" ht="12.75" x14ac:dyDescent="0.2"/>
    <row r="58788" s="197" customFormat="1" ht="12.75" x14ac:dyDescent="0.2"/>
    <row r="58789" s="197" customFormat="1" ht="12.75" x14ac:dyDescent="0.2"/>
    <row r="58790" s="197" customFormat="1" ht="12.75" x14ac:dyDescent="0.2"/>
    <row r="58791" s="197" customFormat="1" ht="12.75" x14ac:dyDescent="0.2"/>
    <row r="58792" s="197" customFormat="1" ht="12.75" x14ac:dyDescent="0.2"/>
    <row r="58793" s="197" customFormat="1" ht="12.75" x14ac:dyDescent="0.2"/>
    <row r="58794" s="197" customFormat="1" ht="12.75" x14ac:dyDescent="0.2"/>
    <row r="58795" s="197" customFormat="1" ht="12.75" x14ac:dyDescent="0.2"/>
    <row r="58796" s="197" customFormat="1" ht="12.75" x14ac:dyDescent="0.2"/>
    <row r="58797" s="197" customFormat="1" ht="12.75" x14ac:dyDescent="0.2"/>
    <row r="58798" s="197" customFormat="1" ht="12.75" x14ac:dyDescent="0.2"/>
    <row r="58799" s="197" customFormat="1" ht="12.75" x14ac:dyDescent="0.2"/>
    <row r="58800" s="197" customFormat="1" ht="12.75" x14ac:dyDescent="0.2"/>
    <row r="58801" s="197" customFormat="1" ht="12.75" x14ac:dyDescent="0.2"/>
    <row r="58802" s="197" customFormat="1" ht="12.75" x14ac:dyDescent="0.2"/>
    <row r="58803" s="197" customFormat="1" ht="12.75" x14ac:dyDescent="0.2"/>
    <row r="58804" s="197" customFormat="1" ht="12.75" x14ac:dyDescent="0.2"/>
    <row r="58805" s="197" customFormat="1" ht="12.75" x14ac:dyDescent="0.2"/>
    <row r="58806" s="197" customFormat="1" ht="12.75" x14ac:dyDescent="0.2"/>
    <row r="58807" s="197" customFormat="1" ht="12.75" x14ac:dyDescent="0.2"/>
    <row r="58808" s="197" customFormat="1" ht="12.75" x14ac:dyDescent="0.2"/>
    <row r="58809" s="197" customFormat="1" ht="12.75" x14ac:dyDescent="0.2"/>
    <row r="58810" s="197" customFormat="1" ht="12.75" x14ac:dyDescent="0.2"/>
    <row r="58811" s="197" customFormat="1" ht="12.75" x14ac:dyDescent="0.2"/>
    <row r="58812" s="197" customFormat="1" ht="12.75" x14ac:dyDescent="0.2"/>
    <row r="58813" s="197" customFormat="1" ht="12.75" x14ac:dyDescent="0.2"/>
    <row r="58814" s="197" customFormat="1" ht="12.75" x14ac:dyDescent="0.2"/>
    <row r="58815" s="197" customFormat="1" ht="12.75" x14ac:dyDescent="0.2"/>
    <row r="58816" s="197" customFormat="1" ht="12.75" x14ac:dyDescent="0.2"/>
    <row r="58817" s="197" customFormat="1" ht="12.75" x14ac:dyDescent="0.2"/>
    <row r="58818" s="197" customFormat="1" ht="12.75" x14ac:dyDescent="0.2"/>
    <row r="58819" s="197" customFormat="1" ht="12.75" x14ac:dyDescent="0.2"/>
    <row r="58820" s="197" customFormat="1" ht="12.75" x14ac:dyDescent="0.2"/>
    <row r="58821" s="197" customFormat="1" ht="12.75" x14ac:dyDescent="0.2"/>
    <row r="58822" s="197" customFormat="1" ht="12.75" x14ac:dyDescent="0.2"/>
    <row r="58823" s="197" customFormat="1" ht="12.75" x14ac:dyDescent="0.2"/>
    <row r="58824" s="197" customFormat="1" ht="12.75" x14ac:dyDescent="0.2"/>
    <row r="58825" s="197" customFormat="1" ht="12.75" x14ac:dyDescent="0.2"/>
    <row r="58826" s="197" customFormat="1" ht="12.75" x14ac:dyDescent="0.2"/>
    <row r="58827" s="197" customFormat="1" ht="12.75" x14ac:dyDescent="0.2"/>
    <row r="58828" s="197" customFormat="1" ht="12.75" x14ac:dyDescent="0.2"/>
    <row r="58829" s="197" customFormat="1" ht="12.75" x14ac:dyDescent="0.2"/>
    <row r="58830" s="197" customFormat="1" ht="12.75" x14ac:dyDescent="0.2"/>
    <row r="58831" s="197" customFormat="1" ht="12.75" x14ac:dyDescent="0.2"/>
    <row r="58832" s="197" customFormat="1" ht="12.75" x14ac:dyDescent="0.2"/>
    <row r="58833" s="197" customFormat="1" ht="12.75" x14ac:dyDescent="0.2"/>
    <row r="58834" s="197" customFormat="1" ht="12.75" x14ac:dyDescent="0.2"/>
    <row r="58835" s="197" customFormat="1" ht="12.75" x14ac:dyDescent="0.2"/>
    <row r="58836" s="197" customFormat="1" ht="12.75" x14ac:dyDescent="0.2"/>
    <row r="58837" s="197" customFormat="1" ht="12.75" x14ac:dyDescent="0.2"/>
    <row r="58838" s="197" customFormat="1" ht="12.75" x14ac:dyDescent="0.2"/>
    <row r="58839" s="197" customFormat="1" ht="12.75" x14ac:dyDescent="0.2"/>
    <row r="58840" s="197" customFormat="1" ht="12.75" x14ac:dyDescent="0.2"/>
    <row r="58841" s="197" customFormat="1" ht="12.75" x14ac:dyDescent="0.2"/>
    <row r="58842" s="197" customFormat="1" ht="12.75" x14ac:dyDescent="0.2"/>
    <row r="58843" s="197" customFormat="1" ht="12.75" x14ac:dyDescent="0.2"/>
    <row r="58844" s="197" customFormat="1" ht="12.75" x14ac:dyDescent="0.2"/>
    <row r="58845" s="197" customFormat="1" ht="12.75" x14ac:dyDescent="0.2"/>
    <row r="58846" s="197" customFormat="1" ht="12.75" x14ac:dyDescent="0.2"/>
    <row r="58847" s="197" customFormat="1" ht="12.75" x14ac:dyDescent="0.2"/>
    <row r="58848" s="197" customFormat="1" ht="12.75" x14ac:dyDescent="0.2"/>
    <row r="58849" s="197" customFormat="1" ht="12.75" x14ac:dyDescent="0.2"/>
    <row r="58850" s="197" customFormat="1" ht="12.75" x14ac:dyDescent="0.2"/>
    <row r="58851" s="197" customFormat="1" ht="12.75" x14ac:dyDescent="0.2"/>
    <row r="58852" s="197" customFormat="1" ht="12.75" x14ac:dyDescent="0.2"/>
    <row r="58853" s="197" customFormat="1" ht="12.75" x14ac:dyDescent="0.2"/>
    <row r="58854" s="197" customFormat="1" ht="12.75" x14ac:dyDescent="0.2"/>
    <row r="58855" s="197" customFormat="1" ht="12.75" x14ac:dyDescent="0.2"/>
    <row r="58856" s="197" customFormat="1" ht="12.75" x14ac:dyDescent="0.2"/>
    <row r="58857" s="197" customFormat="1" ht="12.75" x14ac:dyDescent="0.2"/>
    <row r="58858" s="197" customFormat="1" ht="12.75" x14ac:dyDescent="0.2"/>
    <row r="58859" s="197" customFormat="1" ht="12.75" x14ac:dyDescent="0.2"/>
    <row r="58860" s="197" customFormat="1" ht="12.75" x14ac:dyDescent="0.2"/>
    <row r="58861" s="197" customFormat="1" ht="12.75" x14ac:dyDescent="0.2"/>
    <row r="58862" s="197" customFormat="1" ht="12.75" x14ac:dyDescent="0.2"/>
    <row r="58863" s="197" customFormat="1" ht="12.75" x14ac:dyDescent="0.2"/>
    <row r="58864" s="197" customFormat="1" ht="12.75" x14ac:dyDescent="0.2"/>
    <row r="58865" s="197" customFormat="1" ht="12.75" x14ac:dyDescent="0.2"/>
    <row r="58866" s="197" customFormat="1" ht="12.75" x14ac:dyDescent="0.2"/>
    <row r="58867" s="197" customFormat="1" ht="12.75" x14ac:dyDescent="0.2"/>
    <row r="58868" s="197" customFormat="1" ht="12.75" x14ac:dyDescent="0.2"/>
    <row r="58869" s="197" customFormat="1" ht="12.75" x14ac:dyDescent="0.2"/>
    <row r="58870" s="197" customFormat="1" ht="12.75" x14ac:dyDescent="0.2"/>
    <row r="58871" s="197" customFormat="1" ht="12.75" x14ac:dyDescent="0.2"/>
    <row r="58872" s="197" customFormat="1" ht="12.75" x14ac:dyDescent="0.2"/>
    <row r="58873" s="197" customFormat="1" ht="12.75" x14ac:dyDescent="0.2"/>
    <row r="58874" s="197" customFormat="1" ht="12.75" x14ac:dyDescent="0.2"/>
    <row r="58875" s="197" customFormat="1" ht="12.75" x14ac:dyDescent="0.2"/>
    <row r="58876" s="197" customFormat="1" ht="12.75" x14ac:dyDescent="0.2"/>
    <row r="58877" s="197" customFormat="1" ht="12.75" x14ac:dyDescent="0.2"/>
    <row r="58878" s="197" customFormat="1" ht="12.75" x14ac:dyDescent="0.2"/>
    <row r="58879" s="197" customFormat="1" ht="12.75" x14ac:dyDescent="0.2"/>
    <row r="58880" s="197" customFormat="1" ht="12.75" x14ac:dyDescent="0.2"/>
    <row r="58881" s="197" customFormat="1" ht="12.75" x14ac:dyDescent="0.2"/>
    <row r="58882" s="197" customFormat="1" ht="12.75" x14ac:dyDescent="0.2"/>
    <row r="58883" s="197" customFormat="1" ht="12.75" x14ac:dyDescent="0.2"/>
    <row r="58884" s="197" customFormat="1" ht="12.75" x14ac:dyDescent="0.2"/>
    <row r="58885" s="197" customFormat="1" ht="12.75" x14ac:dyDescent="0.2"/>
    <row r="58886" s="197" customFormat="1" ht="12.75" x14ac:dyDescent="0.2"/>
    <row r="58887" s="197" customFormat="1" ht="12.75" x14ac:dyDescent="0.2"/>
    <row r="58888" s="197" customFormat="1" ht="12.75" x14ac:dyDescent="0.2"/>
    <row r="58889" s="197" customFormat="1" ht="12.75" x14ac:dyDescent="0.2"/>
    <row r="58890" s="197" customFormat="1" ht="12.75" x14ac:dyDescent="0.2"/>
    <row r="58891" s="197" customFormat="1" ht="12.75" x14ac:dyDescent="0.2"/>
    <row r="58892" s="197" customFormat="1" ht="12.75" x14ac:dyDescent="0.2"/>
    <row r="58893" s="197" customFormat="1" ht="12.75" x14ac:dyDescent="0.2"/>
    <row r="58894" s="197" customFormat="1" ht="12.75" x14ac:dyDescent="0.2"/>
    <row r="58895" s="197" customFormat="1" ht="12.75" x14ac:dyDescent="0.2"/>
    <row r="58896" s="197" customFormat="1" ht="12.75" x14ac:dyDescent="0.2"/>
    <row r="58897" s="197" customFormat="1" ht="12.75" x14ac:dyDescent="0.2"/>
    <row r="58898" s="197" customFormat="1" ht="12.75" x14ac:dyDescent="0.2"/>
    <row r="58899" s="197" customFormat="1" ht="12.75" x14ac:dyDescent="0.2"/>
    <row r="58900" s="197" customFormat="1" ht="12.75" x14ac:dyDescent="0.2"/>
    <row r="58901" s="197" customFormat="1" ht="12.75" x14ac:dyDescent="0.2"/>
    <row r="58902" s="197" customFormat="1" ht="12.75" x14ac:dyDescent="0.2"/>
    <row r="58903" s="197" customFormat="1" ht="12.75" x14ac:dyDescent="0.2"/>
    <row r="58904" s="197" customFormat="1" ht="12.75" x14ac:dyDescent="0.2"/>
    <row r="58905" s="197" customFormat="1" ht="12.75" x14ac:dyDescent="0.2"/>
    <row r="58906" s="197" customFormat="1" ht="12.75" x14ac:dyDescent="0.2"/>
    <row r="58907" s="197" customFormat="1" ht="12.75" x14ac:dyDescent="0.2"/>
    <row r="58908" s="197" customFormat="1" ht="12.75" x14ac:dyDescent="0.2"/>
    <row r="58909" s="197" customFormat="1" ht="12.75" x14ac:dyDescent="0.2"/>
    <row r="58910" s="197" customFormat="1" ht="12.75" x14ac:dyDescent="0.2"/>
    <row r="58911" s="197" customFormat="1" ht="12.75" x14ac:dyDescent="0.2"/>
    <row r="58912" s="197" customFormat="1" ht="12.75" x14ac:dyDescent="0.2"/>
    <row r="58913" s="197" customFormat="1" ht="12.75" x14ac:dyDescent="0.2"/>
    <row r="58914" s="197" customFormat="1" ht="12.75" x14ac:dyDescent="0.2"/>
    <row r="58915" s="197" customFormat="1" ht="12.75" x14ac:dyDescent="0.2"/>
    <row r="58916" s="197" customFormat="1" ht="12.75" x14ac:dyDescent="0.2"/>
    <row r="58917" s="197" customFormat="1" ht="12.75" x14ac:dyDescent="0.2"/>
    <row r="58918" s="197" customFormat="1" ht="12.75" x14ac:dyDescent="0.2"/>
    <row r="58919" s="197" customFormat="1" ht="12.75" x14ac:dyDescent="0.2"/>
    <row r="58920" s="197" customFormat="1" ht="12.75" x14ac:dyDescent="0.2"/>
    <row r="58921" s="197" customFormat="1" ht="12.75" x14ac:dyDescent="0.2"/>
    <row r="58922" s="197" customFormat="1" ht="12.75" x14ac:dyDescent="0.2"/>
    <row r="58923" s="197" customFormat="1" ht="12.75" x14ac:dyDescent="0.2"/>
    <row r="58924" s="197" customFormat="1" ht="12.75" x14ac:dyDescent="0.2"/>
    <row r="58925" s="197" customFormat="1" ht="12.75" x14ac:dyDescent="0.2"/>
    <row r="58926" s="197" customFormat="1" ht="12.75" x14ac:dyDescent="0.2"/>
    <row r="58927" s="197" customFormat="1" ht="12.75" x14ac:dyDescent="0.2"/>
    <row r="58928" s="197" customFormat="1" ht="12.75" x14ac:dyDescent="0.2"/>
    <row r="58929" s="197" customFormat="1" ht="12.75" x14ac:dyDescent="0.2"/>
    <row r="58930" s="197" customFormat="1" ht="12.75" x14ac:dyDescent="0.2"/>
    <row r="58931" s="197" customFormat="1" ht="12.75" x14ac:dyDescent="0.2"/>
    <row r="58932" s="197" customFormat="1" ht="12.75" x14ac:dyDescent="0.2"/>
    <row r="58933" s="197" customFormat="1" ht="12.75" x14ac:dyDescent="0.2"/>
    <row r="58934" s="197" customFormat="1" ht="12.75" x14ac:dyDescent="0.2"/>
    <row r="58935" s="197" customFormat="1" ht="12.75" x14ac:dyDescent="0.2"/>
    <row r="58936" s="197" customFormat="1" ht="12.75" x14ac:dyDescent="0.2"/>
    <row r="58937" s="197" customFormat="1" ht="12.75" x14ac:dyDescent="0.2"/>
    <row r="58938" s="197" customFormat="1" ht="12.75" x14ac:dyDescent="0.2"/>
    <row r="58939" s="197" customFormat="1" ht="12.75" x14ac:dyDescent="0.2"/>
    <row r="58940" s="197" customFormat="1" ht="12.75" x14ac:dyDescent="0.2"/>
    <row r="58941" s="197" customFormat="1" ht="12.75" x14ac:dyDescent="0.2"/>
    <row r="58942" s="197" customFormat="1" ht="12.75" x14ac:dyDescent="0.2"/>
    <row r="58943" s="197" customFormat="1" ht="12.75" x14ac:dyDescent="0.2"/>
    <row r="58944" s="197" customFormat="1" ht="12.75" x14ac:dyDescent="0.2"/>
    <row r="58945" s="197" customFormat="1" ht="12.75" x14ac:dyDescent="0.2"/>
    <row r="58946" s="197" customFormat="1" ht="12.75" x14ac:dyDescent="0.2"/>
    <row r="58947" s="197" customFormat="1" ht="12.75" x14ac:dyDescent="0.2"/>
    <row r="58948" s="197" customFormat="1" ht="12.75" x14ac:dyDescent="0.2"/>
    <row r="58949" s="197" customFormat="1" ht="12.75" x14ac:dyDescent="0.2"/>
    <row r="58950" s="197" customFormat="1" ht="12.75" x14ac:dyDescent="0.2"/>
    <row r="58951" s="197" customFormat="1" ht="12.75" x14ac:dyDescent="0.2"/>
    <row r="58952" s="197" customFormat="1" ht="12.75" x14ac:dyDescent="0.2"/>
    <row r="58953" s="197" customFormat="1" ht="12.75" x14ac:dyDescent="0.2"/>
    <row r="58954" s="197" customFormat="1" ht="12.75" x14ac:dyDescent="0.2"/>
    <row r="58955" s="197" customFormat="1" ht="12.75" x14ac:dyDescent="0.2"/>
    <row r="58956" s="197" customFormat="1" ht="12.75" x14ac:dyDescent="0.2"/>
    <row r="58957" s="197" customFormat="1" ht="12.75" x14ac:dyDescent="0.2"/>
    <row r="58958" s="197" customFormat="1" ht="12.75" x14ac:dyDescent="0.2"/>
    <row r="58959" s="197" customFormat="1" ht="12.75" x14ac:dyDescent="0.2"/>
    <row r="58960" s="197" customFormat="1" ht="12.75" x14ac:dyDescent="0.2"/>
    <row r="58961" s="197" customFormat="1" ht="12.75" x14ac:dyDescent="0.2"/>
    <row r="58962" s="197" customFormat="1" ht="12.75" x14ac:dyDescent="0.2"/>
    <row r="58963" s="197" customFormat="1" ht="12.75" x14ac:dyDescent="0.2"/>
    <row r="58964" s="197" customFormat="1" ht="12.75" x14ac:dyDescent="0.2"/>
    <row r="58965" s="197" customFormat="1" ht="12.75" x14ac:dyDescent="0.2"/>
    <row r="58966" s="197" customFormat="1" ht="12.75" x14ac:dyDescent="0.2"/>
    <row r="58967" s="197" customFormat="1" ht="12.75" x14ac:dyDescent="0.2"/>
    <row r="58968" s="197" customFormat="1" ht="12.75" x14ac:dyDescent="0.2"/>
    <row r="58969" s="197" customFormat="1" ht="12.75" x14ac:dyDescent="0.2"/>
    <row r="58970" s="197" customFormat="1" ht="12.75" x14ac:dyDescent="0.2"/>
    <row r="58971" s="197" customFormat="1" ht="12.75" x14ac:dyDescent="0.2"/>
    <row r="58972" s="197" customFormat="1" ht="12.75" x14ac:dyDescent="0.2"/>
    <row r="58973" s="197" customFormat="1" ht="12.75" x14ac:dyDescent="0.2"/>
    <row r="58974" s="197" customFormat="1" ht="12.75" x14ac:dyDescent="0.2"/>
    <row r="58975" s="197" customFormat="1" ht="12.75" x14ac:dyDescent="0.2"/>
    <row r="58976" s="197" customFormat="1" ht="12.75" x14ac:dyDescent="0.2"/>
    <row r="58977" s="197" customFormat="1" ht="12.75" x14ac:dyDescent="0.2"/>
    <row r="58978" s="197" customFormat="1" ht="12.75" x14ac:dyDescent="0.2"/>
    <row r="58979" s="197" customFormat="1" ht="12.75" x14ac:dyDescent="0.2"/>
    <row r="58980" s="197" customFormat="1" ht="12.75" x14ac:dyDescent="0.2"/>
    <row r="58981" s="197" customFormat="1" ht="12.75" x14ac:dyDescent="0.2"/>
    <row r="58982" s="197" customFormat="1" ht="12.75" x14ac:dyDescent="0.2"/>
    <row r="58983" s="197" customFormat="1" ht="12.75" x14ac:dyDescent="0.2"/>
    <row r="58984" s="197" customFormat="1" ht="12.75" x14ac:dyDescent="0.2"/>
    <row r="58985" s="197" customFormat="1" ht="12.75" x14ac:dyDescent="0.2"/>
    <row r="58986" s="197" customFormat="1" ht="12.75" x14ac:dyDescent="0.2"/>
    <row r="58987" s="197" customFormat="1" ht="12.75" x14ac:dyDescent="0.2"/>
    <row r="58988" s="197" customFormat="1" ht="12.75" x14ac:dyDescent="0.2"/>
    <row r="58989" s="197" customFormat="1" ht="12.75" x14ac:dyDescent="0.2"/>
    <row r="58990" s="197" customFormat="1" ht="12.75" x14ac:dyDescent="0.2"/>
    <row r="58991" s="197" customFormat="1" ht="12.75" x14ac:dyDescent="0.2"/>
    <row r="58992" s="197" customFormat="1" ht="12.75" x14ac:dyDescent="0.2"/>
    <row r="58993" s="197" customFormat="1" ht="12.75" x14ac:dyDescent="0.2"/>
    <row r="58994" s="197" customFormat="1" ht="12.75" x14ac:dyDescent="0.2"/>
    <row r="58995" s="197" customFormat="1" ht="12.75" x14ac:dyDescent="0.2"/>
    <row r="58996" s="197" customFormat="1" ht="12.75" x14ac:dyDescent="0.2"/>
    <row r="58997" s="197" customFormat="1" ht="12.75" x14ac:dyDescent="0.2"/>
    <row r="58998" s="197" customFormat="1" ht="12.75" x14ac:dyDescent="0.2"/>
    <row r="58999" s="197" customFormat="1" ht="12.75" x14ac:dyDescent="0.2"/>
    <row r="59000" s="197" customFormat="1" ht="12.75" x14ac:dyDescent="0.2"/>
    <row r="59001" s="197" customFormat="1" ht="12.75" x14ac:dyDescent="0.2"/>
    <row r="59002" s="197" customFormat="1" ht="12.75" x14ac:dyDescent="0.2"/>
    <row r="59003" s="197" customFormat="1" ht="12.75" x14ac:dyDescent="0.2"/>
    <row r="59004" s="197" customFormat="1" ht="12.75" x14ac:dyDescent="0.2"/>
    <row r="59005" s="197" customFormat="1" ht="12.75" x14ac:dyDescent="0.2"/>
    <row r="59006" s="197" customFormat="1" ht="12.75" x14ac:dyDescent="0.2"/>
    <row r="59007" s="197" customFormat="1" ht="12.75" x14ac:dyDescent="0.2"/>
    <row r="59008" s="197" customFormat="1" ht="12.75" x14ac:dyDescent="0.2"/>
    <row r="59009" s="197" customFormat="1" ht="12.75" x14ac:dyDescent="0.2"/>
    <row r="59010" s="197" customFormat="1" ht="12.75" x14ac:dyDescent="0.2"/>
    <row r="59011" s="197" customFormat="1" ht="12.75" x14ac:dyDescent="0.2"/>
    <row r="59012" s="197" customFormat="1" ht="12.75" x14ac:dyDescent="0.2"/>
    <row r="59013" s="197" customFormat="1" ht="12.75" x14ac:dyDescent="0.2"/>
    <row r="59014" s="197" customFormat="1" ht="12.75" x14ac:dyDescent="0.2"/>
    <row r="59015" s="197" customFormat="1" ht="12.75" x14ac:dyDescent="0.2"/>
    <row r="59016" s="197" customFormat="1" ht="12.75" x14ac:dyDescent="0.2"/>
    <row r="59017" s="197" customFormat="1" ht="12.75" x14ac:dyDescent="0.2"/>
    <row r="59018" s="197" customFormat="1" ht="12.75" x14ac:dyDescent="0.2"/>
    <row r="59019" s="197" customFormat="1" ht="12.75" x14ac:dyDescent="0.2"/>
    <row r="59020" s="197" customFormat="1" ht="12.75" x14ac:dyDescent="0.2"/>
    <row r="59021" s="197" customFormat="1" ht="12.75" x14ac:dyDescent="0.2"/>
    <row r="59022" s="197" customFormat="1" ht="12.75" x14ac:dyDescent="0.2"/>
    <row r="59023" s="197" customFormat="1" ht="12.75" x14ac:dyDescent="0.2"/>
    <row r="59024" s="197" customFormat="1" ht="12.75" x14ac:dyDescent="0.2"/>
    <row r="59025" s="197" customFormat="1" ht="12.75" x14ac:dyDescent="0.2"/>
    <row r="59026" s="197" customFormat="1" ht="12.75" x14ac:dyDescent="0.2"/>
    <row r="59027" s="197" customFormat="1" ht="12.75" x14ac:dyDescent="0.2"/>
    <row r="59028" s="197" customFormat="1" ht="12.75" x14ac:dyDescent="0.2"/>
    <row r="59029" s="197" customFormat="1" ht="12.75" x14ac:dyDescent="0.2"/>
    <row r="59030" s="197" customFormat="1" ht="12.75" x14ac:dyDescent="0.2"/>
    <row r="59031" s="197" customFormat="1" ht="12.75" x14ac:dyDescent="0.2"/>
    <row r="59032" s="197" customFormat="1" ht="12.75" x14ac:dyDescent="0.2"/>
    <row r="59033" s="197" customFormat="1" ht="12.75" x14ac:dyDescent="0.2"/>
    <row r="59034" s="197" customFormat="1" ht="12.75" x14ac:dyDescent="0.2"/>
    <row r="59035" s="197" customFormat="1" ht="12.75" x14ac:dyDescent="0.2"/>
    <row r="59036" s="197" customFormat="1" ht="12.75" x14ac:dyDescent="0.2"/>
    <row r="59037" s="197" customFormat="1" ht="12.75" x14ac:dyDescent="0.2"/>
    <row r="59038" s="197" customFormat="1" ht="12.75" x14ac:dyDescent="0.2"/>
    <row r="59039" s="197" customFormat="1" ht="12.75" x14ac:dyDescent="0.2"/>
    <row r="59040" s="197" customFormat="1" ht="12.75" x14ac:dyDescent="0.2"/>
    <row r="59041" s="197" customFormat="1" ht="12.75" x14ac:dyDescent="0.2"/>
    <row r="59042" s="197" customFormat="1" ht="12.75" x14ac:dyDescent="0.2"/>
    <row r="59043" s="197" customFormat="1" ht="12.75" x14ac:dyDescent="0.2"/>
    <row r="59044" s="197" customFormat="1" ht="12.75" x14ac:dyDescent="0.2"/>
    <row r="59045" s="197" customFormat="1" ht="12.75" x14ac:dyDescent="0.2"/>
    <row r="59046" s="197" customFormat="1" ht="12.75" x14ac:dyDescent="0.2"/>
    <row r="59047" s="197" customFormat="1" ht="12.75" x14ac:dyDescent="0.2"/>
    <row r="59048" s="197" customFormat="1" ht="12.75" x14ac:dyDescent="0.2"/>
    <row r="59049" s="197" customFormat="1" ht="12.75" x14ac:dyDescent="0.2"/>
    <row r="59050" s="197" customFormat="1" ht="12.75" x14ac:dyDescent="0.2"/>
    <row r="59051" s="197" customFormat="1" ht="12.75" x14ac:dyDescent="0.2"/>
    <row r="59052" s="197" customFormat="1" ht="12.75" x14ac:dyDescent="0.2"/>
    <row r="59053" s="197" customFormat="1" ht="12.75" x14ac:dyDescent="0.2"/>
    <row r="59054" s="197" customFormat="1" ht="12.75" x14ac:dyDescent="0.2"/>
    <row r="59055" s="197" customFormat="1" ht="12.75" x14ac:dyDescent="0.2"/>
    <row r="59056" s="197" customFormat="1" ht="12.75" x14ac:dyDescent="0.2"/>
    <row r="59057" s="197" customFormat="1" ht="12.75" x14ac:dyDescent="0.2"/>
    <row r="59058" s="197" customFormat="1" ht="12.75" x14ac:dyDescent="0.2"/>
    <row r="59059" s="197" customFormat="1" ht="12.75" x14ac:dyDescent="0.2"/>
    <row r="59060" s="197" customFormat="1" ht="12.75" x14ac:dyDescent="0.2"/>
    <row r="59061" s="197" customFormat="1" ht="12.75" x14ac:dyDescent="0.2"/>
    <row r="59062" s="197" customFormat="1" ht="12.75" x14ac:dyDescent="0.2"/>
    <row r="59063" s="197" customFormat="1" ht="12.75" x14ac:dyDescent="0.2"/>
    <row r="59064" s="197" customFormat="1" ht="12.75" x14ac:dyDescent="0.2"/>
    <row r="59065" s="197" customFormat="1" ht="12.75" x14ac:dyDescent="0.2"/>
    <row r="59066" s="197" customFormat="1" ht="12.75" x14ac:dyDescent="0.2"/>
    <row r="59067" s="197" customFormat="1" ht="12.75" x14ac:dyDescent="0.2"/>
    <row r="59068" s="197" customFormat="1" ht="12.75" x14ac:dyDescent="0.2"/>
    <row r="59069" s="197" customFormat="1" ht="12.75" x14ac:dyDescent="0.2"/>
    <row r="59070" s="197" customFormat="1" ht="12.75" x14ac:dyDescent="0.2"/>
    <row r="59071" s="197" customFormat="1" ht="12.75" x14ac:dyDescent="0.2"/>
    <row r="59072" s="197" customFormat="1" ht="12.75" x14ac:dyDescent="0.2"/>
    <row r="59073" s="197" customFormat="1" ht="12.75" x14ac:dyDescent="0.2"/>
    <row r="59074" s="197" customFormat="1" ht="12.75" x14ac:dyDescent="0.2"/>
    <row r="59075" s="197" customFormat="1" ht="12.75" x14ac:dyDescent="0.2"/>
    <row r="59076" s="197" customFormat="1" ht="12.75" x14ac:dyDescent="0.2"/>
    <row r="59077" s="197" customFormat="1" ht="12.75" x14ac:dyDescent="0.2"/>
    <row r="59078" s="197" customFormat="1" ht="12.75" x14ac:dyDescent="0.2"/>
    <row r="59079" s="197" customFormat="1" ht="12.75" x14ac:dyDescent="0.2"/>
    <row r="59080" s="197" customFormat="1" ht="12.75" x14ac:dyDescent="0.2"/>
    <row r="59081" s="197" customFormat="1" ht="12.75" x14ac:dyDescent="0.2"/>
    <row r="59082" s="197" customFormat="1" ht="12.75" x14ac:dyDescent="0.2"/>
    <row r="59083" s="197" customFormat="1" ht="12.75" x14ac:dyDescent="0.2"/>
    <row r="59084" s="197" customFormat="1" ht="12.75" x14ac:dyDescent="0.2"/>
    <row r="59085" s="197" customFormat="1" ht="12.75" x14ac:dyDescent="0.2"/>
    <row r="59086" s="197" customFormat="1" ht="12.75" x14ac:dyDescent="0.2"/>
    <row r="59087" s="197" customFormat="1" ht="12.75" x14ac:dyDescent="0.2"/>
    <row r="59088" s="197" customFormat="1" ht="12.75" x14ac:dyDescent="0.2"/>
    <row r="59089" s="197" customFormat="1" ht="12.75" x14ac:dyDescent="0.2"/>
    <row r="59090" s="197" customFormat="1" ht="12.75" x14ac:dyDescent="0.2"/>
    <row r="59091" s="197" customFormat="1" ht="12.75" x14ac:dyDescent="0.2"/>
    <row r="59092" s="197" customFormat="1" ht="12.75" x14ac:dyDescent="0.2"/>
    <row r="59093" s="197" customFormat="1" ht="12.75" x14ac:dyDescent="0.2"/>
    <row r="59094" s="197" customFormat="1" ht="12.75" x14ac:dyDescent="0.2"/>
    <row r="59095" s="197" customFormat="1" ht="12.75" x14ac:dyDescent="0.2"/>
    <row r="59096" s="197" customFormat="1" ht="12.75" x14ac:dyDescent="0.2"/>
    <row r="59097" s="197" customFormat="1" ht="12.75" x14ac:dyDescent="0.2"/>
    <row r="59098" s="197" customFormat="1" ht="12.75" x14ac:dyDescent="0.2"/>
    <row r="59099" s="197" customFormat="1" ht="12.75" x14ac:dyDescent="0.2"/>
    <row r="59100" s="197" customFormat="1" ht="12.75" x14ac:dyDescent="0.2"/>
    <row r="59101" s="197" customFormat="1" ht="12.75" x14ac:dyDescent="0.2"/>
    <row r="59102" s="197" customFormat="1" ht="12.75" x14ac:dyDescent="0.2"/>
    <row r="59103" s="197" customFormat="1" ht="12.75" x14ac:dyDescent="0.2"/>
    <row r="59104" s="197" customFormat="1" ht="12.75" x14ac:dyDescent="0.2"/>
    <row r="59105" s="197" customFormat="1" ht="12.75" x14ac:dyDescent="0.2"/>
    <row r="59106" s="197" customFormat="1" ht="12.75" x14ac:dyDescent="0.2"/>
    <row r="59107" s="197" customFormat="1" ht="12.75" x14ac:dyDescent="0.2"/>
    <row r="59108" s="197" customFormat="1" ht="12.75" x14ac:dyDescent="0.2"/>
    <row r="59109" s="197" customFormat="1" ht="12.75" x14ac:dyDescent="0.2"/>
    <row r="59110" s="197" customFormat="1" ht="12.75" x14ac:dyDescent="0.2"/>
    <row r="59111" s="197" customFormat="1" ht="12.75" x14ac:dyDescent="0.2"/>
    <row r="59112" s="197" customFormat="1" ht="12.75" x14ac:dyDescent="0.2"/>
    <row r="59113" s="197" customFormat="1" ht="12.75" x14ac:dyDescent="0.2"/>
    <row r="59114" s="197" customFormat="1" ht="12.75" x14ac:dyDescent="0.2"/>
    <row r="59115" s="197" customFormat="1" ht="12.75" x14ac:dyDescent="0.2"/>
    <row r="59116" s="197" customFormat="1" ht="12.75" x14ac:dyDescent="0.2"/>
    <row r="59117" s="197" customFormat="1" ht="12.75" x14ac:dyDescent="0.2"/>
    <row r="59118" s="197" customFormat="1" ht="12.75" x14ac:dyDescent="0.2"/>
    <row r="59119" s="197" customFormat="1" ht="12.75" x14ac:dyDescent="0.2"/>
    <row r="59120" s="197" customFormat="1" ht="12.75" x14ac:dyDescent="0.2"/>
    <row r="59121" s="197" customFormat="1" ht="12.75" x14ac:dyDescent="0.2"/>
    <row r="59122" s="197" customFormat="1" ht="12.75" x14ac:dyDescent="0.2"/>
    <row r="59123" s="197" customFormat="1" ht="12.75" x14ac:dyDescent="0.2"/>
    <row r="59124" s="197" customFormat="1" ht="12.75" x14ac:dyDescent="0.2"/>
    <row r="59125" s="197" customFormat="1" ht="12.75" x14ac:dyDescent="0.2"/>
    <row r="59126" s="197" customFormat="1" ht="12.75" x14ac:dyDescent="0.2"/>
    <row r="59127" s="197" customFormat="1" ht="12.75" x14ac:dyDescent="0.2"/>
    <row r="59128" s="197" customFormat="1" ht="12.75" x14ac:dyDescent="0.2"/>
    <row r="59129" s="197" customFormat="1" ht="12.75" x14ac:dyDescent="0.2"/>
    <row r="59130" s="197" customFormat="1" ht="12.75" x14ac:dyDescent="0.2"/>
    <row r="59131" s="197" customFormat="1" ht="12.75" x14ac:dyDescent="0.2"/>
    <row r="59132" s="197" customFormat="1" ht="12.75" x14ac:dyDescent="0.2"/>
    <row r="59133" s="197" customFormat="1" ht="12.75" x14ac:dyDescent="0.2"/>
    <row r="59134" s="197" customFormat="1" ht="12.75" x14ac:dyDescent="0.2"/>
    <row r="59135" s="197" customFormat="1" ht="12.75" x14ac:dyDescent="0.2"/>
    <row r="59136" s="197" customFormat="1" ht="12.75" x14ac:dyDescent="0.2"/>
    <row r="59137" s="197" customFormat="1" ht="12.75" x14ac:dyDescent="0.2"/>
    <row r="59138" s="197" customFormat="1" ht="12.75" x14ac:dyDescent="0.2"/>
    <row r="59139" s="197" customFormat="1" ht="12.75" x14ac:dyDescent="0.2"/>
    <row r="59140" s="197" customFormat="1" ht="12.75" x14ac:dyDescent="0.2"/>
    <row r="59141" s="197" customFormat="1" ht="12.75" x14ac:dyDescent="0.2"/>
    <row r="59142" s="197" customFormat="1" ht="12.75" x14ac:dyDescent="0.2"/>
    <row r="59143" s="197" customFormat="1" ht="12.75" x14ac:dyDescent="0.2"/>
    <row r="59144" s="197" customFormat="1" ht="12.75" x14ac:dyDescent="0.2"/>
    <row r="59145" s="197" customFormat="1" ht="12.75" x14ac:dyDescent="0.2"/>
    <row r="59146" s="197" customFormat="1" ht="12.75" x14ac:dyDescent="0.2"/>
    <row r="59147" s="197" customFormat="1" ht="12.75" x14ac:dyDescent="0.2"/>
    <row r="59148" s="197" customFormat="1" ht="12.75" x14ac:dyDescent="0.2"/>
    <row r="59149" s="197" customFormat="1" ht="12.75" x14ac:dyDescent="0.2"/>
    <row r="59150" s="197" customFormat="1" ht="12.75" x14ac:dyDescent="0.2"/>
    <row r="59151" s="197" customFormat="1" ht="12.75" x14ac:dyDescent="0.2"/>
    <row r="59152" s="197" customFormat="1" ht="12.75" x14ac:dyDescent="0.2"/>
    <row r="59153" s="197" customFormat="1" ht="12.75" x14ac:dyDescent="0.2"/>
    <row r="59154" s="197" customFormat="1" ht="12.75" x14ac:dyDescent="0.2"/>
    <row r="59155" s="197" customFormat="1" ht="12.75" x14ac:dyDescent="0.2"/>
    <row r="59156" s="197" customFormat="1" ht="12.75" x14ac:dyDescent="0.2"/>
    <row r="59157" s="197" customFormat="1" ht="12.75" x14ac:dyDescent="0.2"/>
    <row r="59158" s="197" customFormat="1" ht="12.75" x14ac:dyDescent="0.2"/>
    <row r="59159" s="197" customFormat="1" ht="12.75" x14ac:dyDescent="0.2"/>
    <row r="59160" s="197" customFormat="1" ht="12.75" x14ac:dyDescent="0.2"/>
    <row r="59161" s="197" customFormat="1" ht="12.75" x14ac:dyDescent="0.2"/>
    <row r="59162" s="197" customFormat="1" ht="12.75" x14ac:dyDescent="0.2"/>
    <row r="59163" s="197" customFormat="1" ht="12.75" x14ac:dyDescent="0.2"/>
    <row r="59164" s="197" customFormat="1" ht="12.75" x14ac:dyDescent="0.2"/>
    <row r="59165" s="197" customFormat="1" ht="12.75" x14ac:dyDescent="0.2"/>
    <row r="59166" s="197" customFormat="1" ht="12.75" x14ac:dyDescent="0.2"/>
    <row r="59167" s="197" customFormat="1" ht="12.75" x14ac:dyDescent="0.2"/>
    <row r="59168" s="197" customFormat="1" ht="12.75" x14ac:dyDescent="0.2"/>
    <row r="59169" s="197" customFormat="1" ht="12.75" x14ac:dyDescent="0.2"/>
    <row r="59170" s="197" customFormat="1" ht="12.75" x14ac:dyDescent="0.2"/>
    <row r="59171" s="197" customFormat="1" ht="12.75" x14ac:dyDescent="0.2"/>
    <row r="59172" s="197" customFormat="1" ht="12.75" x14ac:dyDescent="0.2"/>
    <row r="59173" s="197" customFormat="1" ht="12.75" x14ac:dyDescent="0.2"/>
    <row r="59174" s="197" customFormat="1" ht="12.75" x14ac:dyDescent="0.2"/>
    <row r="59175" s="197" customFormat="1" ht="12.75" x14ac:dyDescent="0.2"/>
    <row r="59176" s="197" customFormat="1" ht="12.75" x14ac:dyDescent="0.2"/>
    <row r="59177" s="197" customFormat="1" ht="12.75" x14ac:dyDescent="0.2"/>
    <row r="59178" s="197" customFormat="1" ht="12.75" x14ac:dyDescent="0.2"/>
    <row r="59179" s="197" customFormat="1" ht="12.75" x14ac:dyDescent="0.2"/>
    <row r="59180" s="197" customFormat="1" ht="12.75" x14ac:dyDescent="0.2"/>
    <row r="59181" s="197" customFormat="1" ht="12.75" x14ac:dyDescent="0.2"/>
    <row r="59182" s="197" customFormat="1" ht="12.75" x14ac:dyDescent="0.2"/>
    <row r="59183" s="197" customFormat="1" ht="12.75" x14ac:dyDescent="0.2"/>
    <row r="59184" s="197" customFormat="1" ht="12.75" x14ac:dyDescent="0.2"/>
    <row r="59185" s="197" customFormat="1" ht="12.75" x14ac:dyDescent="0.2"/>
    <row r="59186" s="197" customFormat="1" ht="12.75" x14ac:dyDescent="0.2"/>
    <row r="59187" s="197" customFormat="1" ht="12.75" x14ac:dyDescent="0.2"/>
    <row r="59188" s="197" customFormat="1" ht="12.75" x14ac:dyDescent="0.2"/>
    <row r="59189" s="197" customFormat="1" ht="12.75" x14ac:dyDescent="0.2"/>
    <row r="59190" s="197" customFormat="1" ht="12.75" x14ac:dyDescent="0.2"/>
    <row r="59191" s="197" customFormat="1" ht="12.75" x14ac:dyDescent="0.2"/>
    <row r="59192" s="197" customFormat="1" ht="12.75" x14ac:dyDescent="0.2"/>
    <row r="59193" s="197" customFormat="1" ht="12.75" x14ac:dyDescent="0.2"/>
    <row r="59194" s="197" customFormat="1" ht="12.75" x14ac:dyDescent="0.2"/>
    <row r="59195" s="197" customFormat="1" ht="12.75" x14ac:dyDescent="0.2"/>
    <row r="59196" s="197" customFormat="1" ht="12.75" x14ac:dyDescent="0.2"/>
    <row r="59197" s="197" customFormat="1" ht="12.75" x14ac:dyDescent="0.2"/>
    <row r="59198" s="197" customFormat="1" ht="12.75" x14ac:dyDescent="0.2"/>
    <row r="59199" s="197" customFormat="1" ht="12.75" x14ac:dyDescent="0.2"/>
    <row r="59200" s="197" customFormat="1" ht="12.75" x14ac:dyDescent="0.2"/>
    <row r="59201" s="197" customFormat="1" ht="12.75" x14ac:dyDescent="0.2"/>
    <row r="59202" s="197" customFormat="1" ht="12.75" x14ac:dyDescent="0.2"/>
    <row r="59203" s="197" customFormat="1" ht="12.75" x14ac:dyDescent="0.2"/>
    <row r="59204" s="197" customFormat="1" ht="12.75" x14ac:dyDescent="0.2"/>
    <row r="59205" s="197" customFormat="1" ht="12.75" x14ac:dyDescent="0.2"/>
    <row r="59206" s="197" customFormat="1" ht="12.75" x14ac:dyDescent="0.2"/>
    <row r="59207" s="197" customFormat="1" ht="12.75" x14ac:dyDescent="0.2"/>
    <row r="59208" s="197" customFormat="1" ht="12.75" x14ac:dyDescent="0.2"/>
    <row r="59209" s="197" customFormat="1" ht="12.75" x14ac:dyDescent="0.2"/>
    <row r="59210" s="197" customFormat="1" ht="12.75" x14ac:dyDescent="0.2"/>
    <row r="59211" s="197" customFormat="1" ht="12.75" x14ac:dyDescent="0.2"/>
    <row r="59212" s="197" customFormat="1" ht="12.75" x14ac:dyDescent="0.2"/>
    <row r="59213" s="197" customFormat="1" ht="12.75" x14ac:dyDescent="0.2"/>
    <row r="59214" s="197" customFormat="1" ht="12.75" x14ac:dyDescent="0.2"/>
    <row r="59215" s="197" customFormat="1" ht="12.75" x14ac:dyDescent="0.2"/>
    <row r="59216" s="197" customFormat="1" ht="12.75" x14ac:dyDescent="0.2"/>
    <row r="59217" s="197" customFormat="1" ht="12.75" x14ac:dyDescent="0.2"/>
    <row r="59218" s="197" customFormat="1" ht="12.75" x14ac:dyDescent="0.2"/>
    <row r="59219" s="197" customFormat="1" ht="12.75" x14ac:dyDescent="0.2"/>
    <row r="59220" s="197" customFormat="1" ht="12.75" x14ac:dyDescent="0.2"/>
    <row r="59221" s="197" customFormat="1" ht="12.75" x14ac:dyDescent="0.2"/>
    <row r="59222" s="197" customFormat="1" ht="12.75" x14ac:dyDescent="0.2"/>
    <row r="59223" s="197" customFormat="1" ht="12.75" x14ac:dyDescent="0.2"/>
    <row r="59224" s="197" customFormat="1" ht="12.75" x14ac:dyDescent="0.2"/>
    <row r="59225" s="197" customFormat="1" ht="12.75" x14ac:dyDescent="0.2"/>
    <row r="59226" s="197" customFormat="1" ht="12.75" x14ac:dyDescent="0.2"/>
    <row r="59227" s="197" customFormat="1" ht="12.75" x14ac:dyDescent="0.2"/>
    <row r="59228" s="197" customFormat="1" ht="12.75" x14ac:dyDescent="0.2"/>
    <row r="59229" s="197" customFormat="1" ht="12.75" x14ac:dyDescent="0.2"/>
    <row r="59230" s="197" customFormat="1" ht="12.75" x14ac:dyDescent="0.2"/>
    <row r="59231" s="197" customFormat="1" ht="12.75" x14ac:dyDescent="0.2"/>
    <row r="59232" s="197" customFormat="1" ht="12.75" x14ac:dyDescent="0.2"/>
    <row r="59233" s="197" customFormat="1" ht="12.75" x14ac:dyDescent="0.2"/>
    <row r="59234" s="197" customFormat="1" ht="12.75" x14ac:dyDescent="0.2"/>
    <row r="59235" s="197" customFormat="1" ht="12.75" x14ac:dyDescent="0.2"/>
    <row r="59236" s="197" customFormat="1" ht="12.75" x14ac:dyDescent="0.2"/>
    <row r="59237" s="197" customFormat="1" ht="12.75" x14ac:dyDescent="0.2"/>
    <row r="59238" s="197" customFormat="1" ht="12.75" x14ac:dyDescent="0.2"/>
    <row r="59239" s="197" customFormat="1" ht="12.75" x14ac:dyDescent="0.2"/>
    <row r="59240" s="197" customFormat="1" ht="12.75" x14ac:dyDescent="0.2"/>
    <row r="59241" s="197" customFormat="1" ht="12.75" x14ac:dyDescent="0.2"/>
    <row r="59242" s="197" customFormat="1" ht="12.75" x14ac:dyDescent="0.2"/>
    <row r="59243" s="197" customFormat="1" ht="12.75" x14ac:dyDescent="0.2"/>
    <row r="59244" s="197" customFormat="1" ht="12.75" x14ac:dyDescent="0.2"/>
    <row r="59245" s="197" customFormat="1" ht="12.75" x14ac:dyDescent="0.2"/>
    <row r="59246" s="197" customFormat="1" ht="12.75" x14ac:dyDescent="0.2"/>
    <row r="59247" s="197" customFormat="1" ht="12.75" x14ac:dyDescent="0.2"/>
    <row r="59248" s="197" customFormat="1" ht="12.75" x14ac:dyDescent="0.2"/>
    <row r="59249" s="197" customFormat="1" ht="12.75" x14ac:dyDescent="0.2"/>
    <row r="59250" s="197" customFormat="1" ht="12.75" x14ac:dyDescent="0.2"/>
    <row r="59251" s="197" customFormat="1" ht="12.75" x14ac:dyDescent="0.2"/>
    <row r="59252" s="197" customFormat="1" ht="12.75" x14ac:dyDescent="0.2"/>
    <row r="59253" s="197" customFormat="1" ht="12.75" x14ac:dyDescent="0.2"/>
    <row r="59254" s="197" customFormat="1" ht="12.75" x14ac:dyDescent="0.2"/>
    <row r="59255" s="197" customFormat="1" ht="12.75" x14ac:dyDescent="0.2"/>
    <row r="59256" s="197" customFormat="1" ht="12.75" x14ac:dyDescent="0.2"/>
    <row r="59257" s="197" customFormat="1" ht="12.75" x14ac:dyDescent="0.2"/>
    <row r="59258" s="197" customFormat="1" ht="12.75" x14ac:dyDescent="0.2"/>
    <row r="59259" s="197" customFormat="1" ht="12.75" x14ac:dyDescent="0.2"/>
    <row r="59260" s="197" customFormat="1" ht="12.75" x14ac:dyDescent="0.2"/>
    <row r="59261" s="197" customFormat="1" ht="12.75" x14ac:dyDescent="0.2"/>
    <row r="59262" s="197" customFormat="1" ht="12.75" x14ac:dyDescent="0.2"/>
    <row r="59263" s="197" customFormat="1" ht="12.75" x14ac:dyDescent="0.2"/>
    <row r="59264" s="197" customFormat="1" ht="12.75" x14ac:dyDescent="0.2"/>
    <row r="59265" s="197" customFormat="1" ht="12.75" x14ac:dyDescent="0.2"/>
    <row r="59266" s="197" customFormat="1" ht="12.75" x14ac:dyDescent="0.2"/>
    <row r="59267" s="197" customFormat="1" ht="12.75" x14ac:dyDescent="0.2"/>
    <row r="59268" s="197" customFormat="1" ht="12.75" x14ac:dyDescent="0.2"/>
    <row r="59269" s="197" customFormat="1" ht="12.75" x14ac:dyDescent="0.2"/>
    <row r="59270" s="197" customFormat="1" ht="12.75" x14ac:dyDescent="0.2"/>
    <row r="59271" s="197" customFormat="1" ht="12.75" x14ac:dyDescent="0.2"/>
    <row r="59272" s="197" customFormat="1" ht="12.75" x14ac:dyDescent="0.2"/>
    <row r="59273" s="197" customFormat="1" ht="12.75" x14ac:dyDescent="0.2"/>
    <row r="59274" s="197" customFormat="1" ht="12.75" x14ac:dyDescent="0.2"/>
    <row r="59275" s="197" customFormat="1" ht="12.75" x14ac:dyDescent="0.2"/>
    <row r="59276" s="197" customFormat="1" ht="12.75" x14ac:dyDescent="0.2"/>
    <row r="59277" s="197" customFormat="1" ht="12.75" x14ac:dyDescent="0.2"/>
    <row r="59278" s="197" customFormat="1" ht="12.75" x14ac:dyDescent="0.2"/>
    <row r="59279" s="197" customFormat="1" ht="12.75" x14ac:dyDescent="0.2"/>
    <row r="59280" s="197" customFormat="1" ht="12.75" x14ac:dyDescent="0.2"/>
    <row r="59281" s="197" customFormat="1" ht="12.75" x14ac:dyDescent="0.2"/>
    <row r="59282" s="197" customFormat="1" ht="12.75" x14ac:dyDescent="0.2"/>
    <row r="59283" s="197" customFormat="1" ht="12.75" x14ac:dyDescent="0.2"/>
    <row r="59284" s="197" customFormat="1" ht="12.75" x14ac:dyDescent="0.2"/>
    <row r="59285" s="197" customFormat="1" ht="12.75" x14ac:dyDescent="0.2"/>
    <row r="59286" s="197" customFormat="1" ht="12.75" x14ac:dyDescent="0.2"/>
    <row r="59287" s="197" customFormat="1" ht="12.75" x14ac:dyDescent="0.2"/>
    <row r="59288" s="197" customFormat="1" ht="12.75" x14ac:dyDescent="0.2"/>
    <row r="59289" s="197" customFormat="1" ht="12.75" x14ac:dyDescent="0.2"/>
    <row r="59290" s="197" customFormat="1" ht="12.75" x14ac:dyDescent="0.2"/>
    <row r="59291" s="197" customFormat="1" ht="12.75" x14ac:dyDescent="0.2"/>
    <row r="59292" s="197" customFormat="1" ht="12.75" x14ac:dyDescent="0.2"/>
    <row r="59293" s="197" customFormat="1" ht="12.75" x14ac:dyDescent="0.2"/>
    <row r="59294" s="197" customFormat="1" ht="12.75" x14ac:dyDescent="0.2"/>
    <row r="59295" s="197" customFormat="1" ht="12.75" x14ac:dyDescent="0.2"/>
    <row r="59296" s="197" customFormat="1" ht="12.75" x14ac:dyDescent="0.2"/>
    <row r="59297" s="197" customFormat="1" ht="12.75" x14ac:dyDescent="0.2"/>
    <row r="59298" s="197" customFormat="1" ht="12.75" x14ac:dyDescent="0.2"/>
    <row r="59299" s="197" customFormat="1" ht="12.75" x14ac:dyDescent="0.2"/>
    <row r="59300" s="197" customFormat="1" ht="12.75" x14ac:dyDescent="0.2"/>
    <row r="59301" s="197" customFormat="1" ht="12.75" x14ac:dyDescent="0.2"/>
    <row r="59302" s="197" customFormat="1" ht="12.75" x14ac:dyDescent="0.2"/>
    <row r="59303" s="197" customFormat="1" ht="12.75" x14ac:dyDescent="0.2"/>
    <row r="59304" s="197" customFormat="1" ht="12.75" x14ac:dyDescent="0.2"/>
    <row r="59305" s="197" customFormat="1" ht="12.75" x14ac:dyDescent="0.2"/>
    <row r="59306" s="197" customFormat="1" ht="12.75" x14ac:dyDescent="0.2"/>
    <row r="59307" s="197" customFormat="1" ht="12.75" x14ac:dyDescent="0.2"/>
    <row r="59308" s="197" customFormat="1" ht="12.75" x14ac:dyDescent="0.2"/>
    <row r="59309" s="197" customFormat="1" ht="12.75" x14ac:dyDescent="0.2"/>
    <row r="59310" s="197" customFormat="1" ht="12.75" x14ac:dyDescent="0.2"/>
    <row r="59311" s="197" customFormat="1" ht="12.75" x14ac:dyDescent="0.2"/>
    <row r="59312" s="197" customFormat="1" ht="12.75" x14ac:dyDescent="0.2"/>
    <row r="59313" s="197" customFormat="1" ht="12.75" x14ac:dyDescent="0.2"/>
    <row r="59314" s="197" customFormat="1" ht="12.75" x14ac:dyDescent="0.2"/>
    <row r="59315" s="197" customFormat="1" ht="12.75" x14ac:dyDescent="0.2"/>
    <row r="59316" s="197" customFormat="1" ht="12.75" x14ac:dyDescent="0.2"/>
    <row r="59317" s="197" customFormat="1" ht="12.75" x14ac:dyDescent="0.2"/>
    <row r="59318" s="197" customFormat="1" ht="12.75" x14ac:dyDescent="0.2"/>
    <row r="59319" s="197" customFormat="1" ht="12.75" x14ac:dyDescent="0.2"/>
    <row r="59320" s="197" customFormat="1" ht="12.75" x14ac:dyDescent="0.2"/>
    <row r="59321" s="197" customFormat="1" ht="12.75" x14ac:dyDescent="0.2"/>
    <row r="59322" s="197" customFormat="1" ht="12.75" x14ac:dyDescent="0.2"/>
    <row r="59323" s="197" customFormat="1" ht="12.75" x14ac:dyDescent="0.2"/>
    <row r="59324" s="197" customFormat="1" ht="12.75" x14ac:dyDescent="0.2"/>
    <row r="59325" s="197" customFormat="1" ht="12.75" x14ac:dyDescent="0.2"/>
    <row r="59326" s="197" customFormat="1" ht="12.75" x14ac:dyDescent="0.2"/>
    <row r="59327" s="197" customFormat="1" ht="12.75" x14ac:dyDescent="0.2"/>
    <row r="59328" s="197" customFormat="1" ht="12.75" x14ac:dyDescent="0.2"/>
    <row r="59329" s="197" customFormat="1" ht="12.75" x14ac:dyDescent="0.2"/>
    <row r="59330" s="197" customFormat="1" ht="12.75" x14ac:dyDescent="0.2"/>
    <row r="59331" s="197" customFormat="1" ht="12.75" x14ac:dyDescent="0.2"/>
    <row r="59332" s="197" customFormat="1" ht="12.75" x14ac:dyDescent="0.2"/>
    <row r="59333" s="197" customFormat="1" ht="12.75" x14ac:dyDescent="0.2"/>
    <row r="59334" s="197" customFormat="1" ht="12.75" x14ac:dyDescent="0.2"/>
    <row r="59335" s="197" customFormat="1" ht="12.75" x14ac:dyDescent="0.2"/>
    <row r="59336" s="197" customFormat="1" ht="12.75" x14ac:dyDescent="0.2"/>
    <row r="59337" s="197" customFormat="1" ht="12.75" x14ac:dyDescent="0.2"/>
    <row r="59338" s="197" customFormat="1" ht="12.75" x14ac:dyDescent="0.2"/>
    <row r="59339" s="197" customFormat="1" ht="12.75" x14ac:dyDescent="0.2"/>
    <row r="59340" s="197" customFormat="1" ht="12.75" x14ac:dyDescent="0.2"/>
    <row r="59341" s="197" customFormat="1" ht="12.75" x14ac:dyDescent="0.2"/>
    <row r="59342" s="197" customFormat="1" ht="12.75" x14ac:dyDescent="0.2"/>
    <row r="59343" s="197" customFormat="1" ht="12.75" x14ac:dyDescent="0.2"/>
    <row r="59344" s="197" customFormat="1" ht="12.75" x14ac:dyDescent="0.2"/>
    <row r="59345" s="197" customFormat="1" ht="12.75" x14ac:dyDescent="0.2"/>
    <row r="59346" s="197" customFormat="1" ht="12.75" x14ac:dyDescent="0.2"/>
    <row r="59347" s="197" customFormat="1" ht="12.75" x14ac:dyDescent="0.2"/>
    <row r="59348" s="197" customFormat="1" ht="12.75" x14ac:dyDescent="0.2"/>
    <row r="59349" s="197" customFormat="1" ht="12.75" x14ac:dyDescent="0.2"/>
    <row r="59350" s="197" customFormat="1" ht="12.75" x14ac:dyDescent="0.2"/>
    <row r="59351" s="197" customFormat="1" ht="12.75" x14ac:dyDescent="0.2"/>
    <row r="59352" s="197" customFormat="1" ht="12.75" x14ac:dyDescent="0.2"/>
    <row r="59353" s="197" customFormat="1" ht="12.75" x14ac:dyDescent="0.2"/>
    <row r="59354" s="197" customFormat="1" ht="12.75" x14ac:dyDescent="0.2"/>
    <row r="59355" s="197" customFormat="1" ht="12.75" x14ac:dyDescent="0.2"/>
    <row r="59356" s="197" customFormat="1" ht="12.75" x14ac:dyDescent="0.2"/>
    <row r="59357" s="197" customFormat="1" ht="12.75" x14ac:dyDescent="0.2"/>
    <row r="59358" s="197" customFormat="1" ht="12.75" x14ac:dyDescent="0.2"/>
    <row r="59359" s="197" customFormat="1" ht="12.75" x14ac:dyDescent="0.2"/>
    <row r="59360" s="197" customFormat="1" ht="12.75" x14ac:dyDescent="0.2"/>
    <row r="59361" s="197" customFormat="1" ht="12.75" x14ac:dyDescent="0.2"/>
    <row r="59362" s="197" customFormat="1" ht="12.75" x14ac:dyDescent="0.2"/>
    <row r="59363" s="197" customFormat="1" ht="12.75" x14ac:dyDescent="0.2"/>
    <row r="59364" s="197" customFormat="1" ht="12.75" x14ac:dyDescent="0.2"/>
    <row r="59365" s="197" customFormat="1" ht="12.75" x14ac:dyDescent="0.2"/>
    <row r="59366" s="197" customFormat="1" ht="12.75" x14ac:dyDescent="0.2"/>
    <row r="59367" s="197" customFormat="1" ht="12.75" x14ac:dyDescent="0.2"/>
    <row r="59368" s="197" customFormat="1" ht="12.75" x14ac:dyDescent="0.2"/>
    <row r="59369" s="197" customFormat="1" ht="12.75" x14ac:dyDescent="0.2"/>
    <row r="59370" s="197" customFormat="1" ht="12.75" x14ac:dyDescent="0.2"/>
    <row r="59371" s="197" customFormat="1" ht="12.75" x14ac:dyDescent="0.2"/>
    <row r="59372" s="197" customFormat="1" ht="12.75" x14ac:dyDescent="0.2"/>
    <row r="59373" s="197" customFormat="1" ht="12.75" x14ac:dyDescent="0.2"/>
    <row r="59374" s="197" customFormat="1" ht="12.75" x14ac:dyDescent="0.2"/>
    <row r="59375" s="197" customFormat="1" ht="12.75" x14ac:dyDescent="0.2"/>
    <row r="59376" s="197" customFormat="1" ht="12.75" x14ac:dyDescent="0.2"/>
    <row r="59377" s="197" customFormat="1" ht="12.75" x14ac:dyDescent="0.2"/>
    <row r="59378" s="197" customFormat="1" ht="12.75" x14ac:dyDescent="0.2"/>
    <row r="59379" s="197" customFormat="1" ht="12.75" x14ac:dyDescent="0.2"/>
    <row r="59380" s="197" customFormat="1" ht="12.75" x14ac:dyDescent="0.2"/>
    <row r="59381" s="197" customFormat="1" ht="12.75" x14ac:dyDescent="0.2"/>
    <row r="59382" s="197" customFormat="1" ht="12.75" x14ac:dyDescent="0.2"/>
    <row r="59383" s="197" customFormat="1" ht="12.75" x14ac:dyDescent="0.2"/>
    <row r="59384" s="197" customFormat="1" ht="12.75" x14ac:dyDescent="0.2"/>
    <row r="59385" s="197" customFormat="1" ht="12.75" x14ac:dyDescent="0.2"/>
    <row r="59386" s="197" customFormat="1" ht="12.75" x14ac:dyDescent="0.2"/>
    <row r="59387" s="197" customFormat="1" ht="12.75" x14ac:dyDescent="0.2"/>
    <row r="59388" s="197" customFormat="1" ht="12.75" x14ac:dyDescent="0.2"/>
    <row r="59389" s="197" customFormat="1" ht="12.75" x14ac:dyDescent="0.2"/>
    <row r="59390" s="197" customFormat="1" ht="12.75" x14ac:dyDescent="0.2"/>
    <row r="59391" s="197" customFormat="1" ht="12.75" x14ac:dyDescent="0.2"/>
    <row r="59392" s="197" customFormat="1" ht="12.75" x14ac:dyDescent="0.2"/>
    <row r="59393" s="197" customFormat="1" ht="12.75" x14ac:dyDescent="0.2"/>
    <row r="59394" s="197" customFormat="1" ht="12.75" x14ac:dyDescent="0.2"/>
    <row r="59395" s="197" customFormat="1" ht="12.75" x14ac:dyDescent="0.2"/>
    <row r="59396" s="197" customFormat="1" ht="12.75" x14ac:dyDescent="0.2"/>
    <row r="59397" s="197" customFormat="1" ht="12.75" x14ac:dyDescent="0.2"/>
    <row r="59398" s="197" customFormat="1" ht="12.75" x14ac:dyDescent="0.2"/>
    <row r="59399" s="197" customFormat="1" ht="12.75" x14ac:dyDescent="0.2"/>
    <row r="59400" s="197" customFormat="1" ht="12.75" x14ac:dyDescent="0.2"/>
    <row r="59401" s="197" customFormat="1" ht="12.75" x14ac:dyDescent="0.2"/>
    <row r="59402" s="197" customFormat="1" ht="12.75" x14ac:dyDescent="0.2"/>
    <row r="59403" s="197" customFormat="1" ht="12.75" x14ac:dyDescent="0.2"/>
    <row r="59404" s="197" customFormat="1" ht="12.75" x14ac:dyDescent="0.2"/>
    <row r="59405" s="197" customFormat="1" ht="12.75" x14ac:dyDescent="0.2"/>
    <row r="59406" s="197" customFormat="1" ht="12.75" x14ac:dyDescent="0.2"/>
    <row r="59407" s="197" customFormat="1" ht="12.75" x14ac:dyDescent="0.2"/>
    <row r="59408" s="197" customFormat="1" ht="12.75" x14ac:dyDescent="0.2"/>
    <row r="59409" s="197" customFormat="1" ht="12.75" x14ac:dyDescent="0.2"/>
    <row r="59410" s="197" customFormat="1" ht="12.75" x14ac:dyDescent="0.2"/>
    <row r="59411" s="197" customFormat="1" ht="12.75" x14ac:dyDescent="0.2"/>
    <row r="59412" s="197" customFormat="1" ht="12.75" x14ac:dyDescent="0.2"/>
    <row r="59413" s="197" customFormat="1" ht="12.75" x14ac:dyDescent="0.2"/>
    <row r="59414" s="197" customFormat="1" ht="12.75" x14ac:dyDescent="0.2"/>
    <row r="59415" s="197" customFormat="1" ht="12.75" x14ac:dyDescent="0.2"/>
    <row r="59416" s="197" customFormat="1" ht="12.75" x14ac:dyDescent="0.2"/>
    <row r="59417" s="197" customFormat="1" ht="12.75" x14ac:dyDescent="0.2"/>
    <row r="59418" s="197" customFormat="1" ht="12.75" x14ac:dyDescent="0.2"/>
    <row r="59419" s="197" customFormat="1" ht="12.75" x14ac:dyDescent="0.2"/>
    <row r="59420" s="197" customFormat="1" ht="12.75" x14ac:dyDescent="0.2"/>
    <row r="59421" s="197" customFormat="1" ht="12.75" x14ac:dyDescent="0.2"/>
    <row r="59422" s="197" customFormat="1" ht="12.75" x14ac:dyDescent="0.2"/>
    <row r="59423" s="197" customFormat="1" ht="12.75" x14ac:dyDescent="0.2"/>
    <row r="59424" s="197" customFormat="1" ht="12.75" x14ac:dyDescent="0.2"/>
    <row r="59425" s="197" customFormat="1" ht="12.75" x14ac:dyDescent="0.2"/>
    <row r="59426" s="197" customFormat="1" ht="12.75" x14ac:dyDescent="0.2"/>
    <row r="59427" s="197" customFormat="1" ht="12.75" x14ac:dyDescent="0.2"/>
    <row r="59428" s="197" customFormat="1" ht="12.75" x14ac:dyDescent="0.2"/>
    <row r="59429" s="197" customFormat="1" ht="12.75" x14ac:dyDescent="0.2"/>
    <row r="59430" s="197" customFormat="1" ht="12.75" x14ac:dyDescent="0.2"/>
    <row r="59431" s="197" customFormat="1" ht="12.75" x14ac:dyDescent="0.2"/>
    <row r="59432" s="197" customFormat="1" ht="12.75" x14ac:dyDescent="0.2"/>
    <row r="59433" s="197" customFormat="1" ht="12.75" x14ac:dyDescent="0.2"/>
    <row r="59434" s="197" customFormat="1" ht="12.75" x14ac:dyDescent="0.2"/>
    <row r="59435" s="197" customFormat="1" ht="12.75" x14ac:dyDescent="0.2"/>
    <row r="59436" s="197" customFormat="1" ht="12.75" x14ac:dyDescent="0.2"/>
    <row r="59437" s="197" customFormat="1" ht="12.75" x14ac:dyDescent="0.2"/>
    <row r="59438" s="197" customFormat="1" ht="12.75" x14ac:dyDescent="0.2"/>
    <row r="59439" s="197" customFormat="1" ht="12.75" x14ac:dyDescent="0.2"/>
    <row r="59440" s="197" customFormat="1" ht="12.75" x14ac:dyDescent="0.2"/>
    <row r="59441" s="197" customFormat="1" ht="12.75" x14ac:dyDescent="0.2"/>
    <row r="59442" s="197" customFormat="1" ht="12.75" x14ac:dyDescent="0.2"/>
    <row r="59443" s="197" customFormat="1" ht="12.75" x14ac:dyDescent="0.2"/>
    <row r="59444" s="197" customFormat="1" ht="12.75" x14ac:dyDescent="0.2"/>
    <row r="59445" s="197" customFormat="1" ht="12.75" x14ac:dyDescent="0.2"/>
    <row r="59446" s="197" customFormat="1" ht="12.75" x14ac:dyDescent="0.2"/>
    <row r="59447" s="197" customFormat="1" ht="12.75" x14ac:dyDescent="0.2"/>
    <row r="59448" s="197" customFormat="1" ht="12.75" x14ac:dyDescent="0.2"/>
    <row r="59449" s="197" customFormat="1" ht="12.75" x14ac:dyDescent="0.2"/>
    <row r="59450" s="197" customFormat="1" ht="12.75" x14ac:dyDescent="0.2"/>
    <row r="59451" s="197" customFormat="1" ht="12.75" x14ac:dyDescent="0.2"/>
    <row r="59452" s="197" customFormat="1" ht="12.75" x14ac:dyDescent="0.2"/>
    <row r="59453" s="197" customFormat="1" ht="12.75" x14ac:dyDescent="0.2"/>
    <row r="59454" s="197" customFormat="1" ht="12.75" x14ac:dyDescent="0.2"/>
    <row r="59455" s="197" customFormat="1" ht="12.75" x14ac:dyDescent="0.2"/>
    <row r="59456" s="197" customFormat="1" ht="12.75" x14ac:dyDescent="0.2"/>
    <row r="59457" s="197" customFormat="1" ht="12.75" x14ac:dyDescent="0.2"/>
    <row r="59458" s="197" customFormat="1" ht="12.75" x14ac:dyDescent="0.2"/>
    <row r="59459" s="197" customFormat="1" ht="12.75" x14ac:dyDescent="0.2"/>
    <row r="59460" s="197" customFormat="1" ht="12.75" x14ac:dyDescent="0.2"/>
    <row r="59461" s="197" customFormat="1" ht="12.75" x14ac:dyDescent="0.2"/>
    <row r="59462" s="197" customFormat="1" ht="12.75" x14ac:dyDescent="0.2"/>
    <row r="59463" s="197" customFormat="1" ht="12.75" x14ac:dyDescent="0.2"/>
    <row r="59464" s="197" customFormat="1" ht="12.75" x14ac:dyDescent="0.2"/>
    <row r="59465" s="197" customFormat="1" ht="12.75" x14ac:dyDescent="0.2"/>
    <row r="59466" s="197" customFormat="1" ht="12.75" x14ac:dyDescent="0.2"/>
    <row r="59467" s="197" customFormat="1" ht="12.75" x14ac:dyDescent="0.2"/>
    <row r="59468" s="197" customFormat="1" ht="12.75" x14ac:dyDescent="0.2"/>
    <row r="59469" s="197" customFormat="1" ht="12.75" x14ac:dyDescent="0.2"/>
    <row r="59470" s="197" customFormat="1" ht="12.75" x14ac:dyDescent="0.2"/>
    <row r="59471" s="197" customFormat="1" ht="12.75" x14ac:dyDescent="0.2"/>
    <row r="59472" s="197" customFormat="1" ht="12.75" x14ac:dyDescent="0.2"/>
    <row r="59473" s="197" customFormat="1" ht="12.75" x14ac:dyDescent="0.2"/>
    <row r="59474" s="197" customFormat="1" ht="12.75" x14ac:dyDescent="0.2"/>
    <row r="59475" s="197" customFormat="1" ht="12.75" x14ac:dyDescent="0.2"/>
    <row r="59476" s="197" customFormat="1" ht="12.75" x14ac:dyDescent="0.2"/>
    <row r="59477" s="197" customFormat="1" ht="12.75" x14ac:dyDescent="0.2"/>
    <row r="59478" s="197" customFormat="1" ht="12.75" x14ac:dyDescent="0.2"/>
    <row r="59479" s="197" customFormat="1" ht="12.75" x14ac:dyDescent="0.2"/>
    <row r="59480" s="197" customFormat="1" ht="12.75" x14ac:dyDescent="0.2"/>
    <row r="59481" s="197" customFormat="1" ht="12.75" x14ac:dyDescent="0.2"/>
    <row r="59482" s="197" customFormat="1" ht="12.75" x14ac:dyDescent="0.2"/>
    <row r="59483" s="197" customFormat="1" ht="12.75" x14ac:dyDescent="0.2"/>
    <row r="59484" s="197" customFormat="1" ht="12.75" x14ac:dyDescent="0.2"/>
    <row r="59485" s="197" customFormat="1" ht="12.75" x14ac:dyDescent="0.2"/>
    <row r="59486" s="197" customFormat="1" ht="12.75" x14ac:dyDescent="0.2"/>
    <row r="59487" s="197" customFormat="1" ht="12.75" x14ac:dyDescent="0.2"/>
    <row r="59488" s="197" customFormat="1" ht="12.75" x14ac:dyDescent="0.2"/>
    <row r="59489" s="197" customFormat="1" ht="12.75" x14ac:dyDescent="0.2"/>
    <row r="59490" s="197" customFormat="1" ht="12.75" x14ac:dyDescent="0.2"/>
    <row r="59491" s="197" customFormat="1" ht="12.75" x14ac:dyDescent="0.2"/>
    <row r="59492" s="197" customFormat="1" ht="12.75" x14ac:dyDescent="0.2"/>
    <row r="59493" s="197" customFormat="1" ht="12.75" x14ac:dyDescent="0.2"/>
    <row r="59494" s="197" customFormat="1" ht="12.75" x14ac:dyDescent="0.2"/>
    <row r="59495" s="197" customFormat="1" ht="12.75" x14ac:dyDescent="0.2"/>
    <row r="59496" s="197" customFormat="1" ht="12.75" x14ac:dyDescent="0.2"/>
    <row r="59497" s="197" customFormat="1" ht="12.75" x14ac:dyDescent="0.2"/>
    <row r="59498" s="197" customFormat="1" ht="12.75" x14ac:dyDescent="0.2"/>
    <row r="59499" s="197" customFormat="1" ht="12.75" x14ac:dyDescent="0.2"/>
    <row r="59500" s="197" customFormat="1" ht="12.75" x14ac:dyDescent="0.2"/>
    <row r="59501" s="197" customFormat="1" ht="12.75" x14ac:dyDescent="0.2"/>
    <row r="59502" s="197" customFormat="1" ht="12.75" x14ac:dyDescent="0.2"/>
    <row r="59503" s="197" customFormat="1" ht="12.75" x14ac:dyDescent="0.2"/>
    <row r="59504" s="197" customFormat="1" ht="12.75" x14ac:dyDescent="0.2"/>
    <row r="59505" s="197" customFormat="1" ht="12.75" x14ac:dyDescent="0.2"/>
    <row r="59506" s="197" customFormat="1" ht="12.75" x14ac:dyDescent="0.2"/>
    <row r="59507" s="197" customFormat="1" ht="12.75" x14ac:dyDescent="0.2"/>
    <row r="59508" s="197" customFormat="1" ht="12.75" x14ac:dyDescent="0.2"/>
    <row r="59509" s="197" customFormat="1" ht="12.75" x14ac:dyDescent="0.2"/>
    <row r="59510" s="197" customFormat="1" ht="12.75" x14ac:dyDescent="0.2"/>
    <row r="59511" s="197" customFormat="1" ht="12.75" x14ac:dyDescent="0.2"/>
    <row r="59512" s="197" customFormat="1" ht="12.75" x14ac:dyDescent="0.2"/>
    <row r="59513" s="197" customFormat="1" ht="12.75" x14ac:dyDescent="0.2"/>
    <row r="59514" s="197" customFormat="1" ht="12.75" x14ac:dyDescent="0.2"/>
    <row r="59515" s="197" customFormat="1" ht="12.75" x14ac:dyDescent="0.2"/>
    <row r="59516" s="197" customFormat="1" ht="12.75" x14ac:dyDescent="0.2"/>
    <row r="59517" s="197" customFormat="1" ht="12.75" x14ac:dyDescent="0.2"/>
    <row r="59518" s="197" customFormat="1" ht="12.75" x14ac:dyDescent="0.2"/>
    <row r="59519" s="197" customFormat="1" ht="12.75" x14ac:dyDescent="0.2"/>
    <row r="59520" s="197" customFormat="1" ht="12.75" x14ac:dyDescent="0.2"/>
    <row r="59521" s="197" customFormat="1" ht="12.75" x14ac:dyDescent="0.2"/>
    <row r="59522" s="197" customFormat="1" ht="12.75" x14ac:dyDescent="0.2"/>
    <row r="59523" s="197" customFormat="1" ht="12.75" x14ac:dyDescent="0.2"/>
    <row r="59524" s="197" customFormat="1" ht="12.75" x14ac:dyDescent="0.2"/>
    <row r="59525" s="197" customFormat="1" ht="12.75" x14ac:dyDescent="0.2"/>
    <row r="59526" s="197" customFormat="1" ht="12.75" x14ac:dyDescent="0.2"/>
    <row r="59527" s="197" customFormat="1" ht="12.75" x14ac:dyDescent="0.2"/>
    <row r="59528" s="197" customFormat="1" ht="12.75" x14ac:dyDescent="0.2"/>
    <row r="59529" s="197" customFormat="1" ht="12.75" x14ac:dyDescent="0.2"/>
    <row r="59530" s="197" customFormat="1" ht="12.75" x14ac:dyDescent="0.2"/>
    <row r="59531" s="197" customFormat="1" ht="12.75" x14ac:dyDescent="0.2"/>
    <row r="59532" s="197" customFormat="1" ht="12.75" x14ac:dyDescent="0.2"/>
    <row r="59533" s="197" customFormat="1" ht="12.75" x14ac:dyDescent="0.2"/>
    <row r="59534" s="197" customFormat="1" ht="12.75" x14ac:dyDescent="0.2"/>
    <row r="59535" s="197" customFormat="1" ht="12.75" x14ac:dyDescent="0.2"/>
    <row r="59536" s="197" customFormat="1" ht="12.75" x14ac:dyDescent="0.2"/>
    <row r="59537" s="197" customFormat="1" ht="12.75" x14ac:dyDescent="0.2"/>
    <row r="59538" s="197" customFormat="1" ht="12.75" x14ac:dyDescent="0.2"/>
    <row r="59539" s="197" customFormat="1" ht="12.75" x14ac:dyDescent="0.2"/>
    <row r="59540" s="197" customFormat="1" ht="12.75" x14ac:dyDescent="0.2"/>
    <row r="59541" s="197" customFormat="1" ht="12.75" x14ac:dyDescent="0.2"/>
    <row r="59542" s="197" customFormat="1" ht="12.75" x14ac:dyDescent="0.2"/>
    <row r="59543" s="197" customFormat="1" ht="12.75" x14ac:dyDescent="0.2"/>
    <row r="59544" s="197" customFormat="1" ht="12.75" x14ac:dyDescent="0.2"/>
    <row r="59545" s="197" customFormat="1" ht="12.75" x14ac:dyDescent="0.2"/>
    <row r="59546" s="197" customFormat="1" ht="12.75" x14ac:dyDescent="0.2"/>
    <row r="59547" s="197" customFormat="1" ht="12.75" x14ac:dyDescent="0.2"/>
    <row r="59548" s="197" customFormat="1" ht="12.75" x14ac:dyDescent="0.2"/>
    <row r="59549" s="197" customFormat="1" ht="12.75" x14ac:dyDescent="0.2"/>
    <row r="59550" s="197" customFormat="1" ht="12.75" x14ac:dyDescent="0.2"/>
    <row r="59551" s="197" customFormat="1" ht="12.75" x14ac:dyDescent="0.2"/>
    <row r="59552" s="197" customFormat="1" ht="12.75" x14ac:dyDescent="0.2"/>
    <row r="59553" s="197" customFormat="1" ht="12.75" x14ac:dyDescent="0.2"/>
    <row r="59554" s="197" customFormat="1" ht="12.75" x14ac:dyDescent="0.2"/>
    <row r="59555" s="197" customFormat="1" ht="12.75" x14ac:dyDescent="0.2"/>
    <row r="59556" s="197" customFormat="1" ht="12.75" x14ac:dyDescent="0.2"/>
    <row r="59557" s="197" customFormat="1" ht="12.75" x14ac:dyDescent="0.2"/>
    <row r="59558" s="197" customFormat="1" ht="12.75" x14ac:dyDescent="0.2"/>
    <row r="59559" s="197" customFormat="1" ht="12.75" x14ac:dyDescent="0.2"/>
    <row r="59560" s="197" customFormat="1" ht="12.75" x14ac:dyDescent="0.2"/>
    <row r="59561" s="197" customFormat="1" ht="12.75" x14ac:dyDescent="0.2"/>
    <row r="59562" s="197" customFormat="1" ht="12.75" x14ac:dyDescent="0.2"/>
    <row r="59563" s="197" customFormat="1" ht="12.75" x14ac:dyDescent="0.2"/>
    <row r="59564" s="197" customFormat="1" ht="12.75" x14ac:dyDescent="0.2"/>
    <row r="59565" s="197" customFormat="1" ht="12.75" x14ac:dyDescent="0.2"/>
    <row r="59566" s="197" customFormat="1" ht="12.75" x14ac:dyDescent="0.2"/>
    <row r="59567" s="197" customFormat="1" ht="12.75" x14ac:dyDescent="0.2"/>
    <row r="59568" s="197" customFormat="1" ht="12.75" x14ac:dyDescent="0.2"/>
    <row r="59569" s="197" customFormat="1" ht="12.75" x14ac:dyDescent="0.2"/>
    <row r="59570" s="197" customFormat="1" ht="12.75" x14ac:dyDescent="0.2"/>
    <row r="59571" s="197" customFormat="1" ht="12.75" x14ac:dyDescent="0.2"/>
    <row r="59572" s="197" customFormat="1" ht="12.75" x14ac:dyDescent="0.2"/>
    <row r="59573" s="197" customFormat="1" ht="12.75" x14ac:dyDescent="0.2"/>
    <row r="59574" s="197" customFormat="1" ht="12.75" x14ac:dyDescent="0.2"/>
    <row r="59575" s="197" customFormat="1" ht="12.75" x14ac:dyDescent="0.2"/>
    <row r="59576" s="197" customFormat="1" ht="12.75" x14ac:dyDescent="0.2"/>
    <row r="59577" s="197" customFormat="1" ht="12.75" x14ac:dyDescent="0.2"/>
    <row r="59578" s="197" customFormat="1" ht="12.75" x14ac:dyDescent="0.2"/>
    <row r="59579" s="197" customFormat="1" ht="12.75" x14ac:dyDescent="0.2"/>
    <row r="59580" s="197" customFormat="1" ht="12.75" x14ac:dyDescent="0.2"/>
    <row r="59581" s="197" customFormat="1" ht="12.75" x14ac:dyDescent="0.2"/>
    <row r="59582" s="197" customFormat="1" ht="12.75" x14ac:dyDescent="0.2"/>
    <row r="59583" s="197" customFormat="1" ht="12.75" x14ac:dyDescent="0.2"/>
    <row r="59584" s="197" customFormat="1" ht="12.75" x14ac:dyDescent="0.2"/>
    <row r="59585" s="197" customFormat="1" ht="12.75" x14ac:dyDescent="0.2"/>
    <row r="59586" s="197" customFormat="1" ht="12.75" x14ac:dyDescent="0.2"/>
    <row r="59587" s="197" customFormat="1" ht="12.75" x14ac:dyDescent="0.2"/>
    <row r="59588" s="197" customFormat="1" ht="12.75" x14ac:dyDescent="0.2"/>
    <row r="59589" s="197" customFormat="1" ht="12.75" x14ac:dyDescent="0.2"/>
    <row r="59590" s="197" customFormat="1" ht="12.75" x14ac:dyDescent="0.2"/>
    <row r="59591" s="197" customFormat="1" ht="12.75" x14ac:dyDescent="0.2"/>
    <row r="59592" s="197" customFormat="1" ht="12.75" x14ac:dyDescent="0.2"/>
    <row r="59593" s="197" customFormat="1" ht="12.75" x14ac:dyDescent="0.2"/>
    <row r="59594" s="197" customFormat="1" ht="12.75" x14ac:dyDescent="0.2"/>
    <row r="59595" s="197" customFormat="1" ht="12.75" x14ac:dyDescent="0.2"/>
    <row r="59596" s="197" customFormat="1" ht="12.75" x14ac:dyDescent="0.2"/>
    <row r="59597" s="197" customFormat="1" ht="12.75" x14ac:dyDescent="0.2"/>
    <row r="59598" s="197" customFormat="1" ht="12.75" x14ac:dyDescent="0.2"/>
    <row r="59599" s="197" customFormat="1" ht="12.75" x14ac:dyDescent="0.2"/>
    <row r="59600" s="197" customFormat="1" ht="12.75" x14ac:dyDescent="0.2"/>
    <row r="59601" s="197" customFormat="1" ht="12.75" x14ac:dyDescent="0.2"/>
    <row r="59602" s="197" customFormat="1" ht="12.75" x14ac:dyDescent="0.2"/>
    <row r="59603" s="197" customFormat="1" ht="12.75" x14ac:dyDescent="0.2"/>
    <row r="59604" s="197" customFormat="1" ht="12.75" x14ac:dyDescent="0.2"/>
    <row r="59605" s="197" customFormat="1" ht="12.75" x14ac:dyDescent="0.2"/>
    <row r="59606" s="197" customFormat="1" ht="12.75" x14ac:dyDescent="0.2"/>
    <row r="59607" s="197" customFormat="1" ht="12.75" x14ac:dyDescent="0.2"/>
    <row r="59608" s="197" customFormat="1" ht="12.75" x14ac:dyDescent="0.2"/>
    <row r="59609" s="197" customFormat="1" ht="12.75" x14ac:dyDescent="0.2"/>
    <row r="59610" s="197" customFormat="1" ht="12.75" x14ac:dyDescent="0.2"/>
    <row r="59611" s="197" customFormat="1" ht="12.75" x14ac:dyDescent="0.2"/>
    <row r="59612" s="197" customFormat="1" ht="12.75" x14ac:dyDescent="0.2"/>
    <row r="59613" s="197" customFormat="1" ht="12.75" x14ac:dyDescent="0.2"/>
    <row r="59614" s="197" customFormat="1" ht="12.75" x14ac:dyDescent="0.2"/>
    <row r="59615" s="197" customFormat="1" ht="12.75" x14ac:dyDescent="0.2"/>
    <row r="59616" s="197" customFormat="1" ht="12.75" x14ac:dyDescent="0.2"/>
    <row r="59617" s="197" customFormat="1" ht="12.75" x14ac:dyDescent="0.2"/>
    <row r="59618" s="197" customFormat="1" ht="12.75" x14ac:dyDescent="0.2"/>
    <row r="59619" s="197" customFormat="1" ht="12.75" x14ac:dyDescent="0.2"/>
    <row r="59620" s="197" customFormat="1" ht="12.75" x14ac:dyDescent="0.2"/>
    <row r="59621" s="197" customFormat="1" ht="12.75" x14ac:dyDescent="0.2"/>
    <row r="59622" s="197" customFormat="1" ht="12.75" x14ac:dyDescent="0.2"/>
    <row r="59623" s="197" customFormat="1" ht="12.75" x14ac:dyDescent="0.2"/>
    <row r="59624" s="197" customFormat="1" ht="12.75" x14ac:dyDescent="0.2"/>
    <row r="59625" s="197" customFormat="1" ht="12.75" x14ac:dyDescent="0.2"/>
    <row r="59626" s="197" customFormat="1" ht="12.75" x14ac:dyDescent="0.2"/>
    <row r="59627" s="197" customFormat="1" ht="12.75" x14ac:dyDescent="0.2"/>
    <row r="59628" s="197" customFormat="1" ht="12.75" x14ac:dyDescent="0.2"/>
    <row r="59629" s="197" customFormat="1" ht="12.75" x14ac:dyDescent="0.2"/>
    <row r="59630" s="197" customFormat="1" ht="12.75" x14ac:dyDescent="0.2"/>
    <row r="59631" s="197" customFormat="1" ht="12.75" x14ac:dyDescent="0.2"/>
    <row r="59632" s="197" customFormat="1" ht="12.75" x14ac:dyDescent="0.2"/>
    <row r="59633" s="197" customFormat="1" ht="12.75" x14ac:dyDescent="0.2"/>
    <row r="59634" s="197" customFormat="1" ht="12.75" x14ac:dyDescent="0.2"/>
    <row r="59635" s="197" customFormat="1" ht="12.75" x14ac:dyDescent="0.2"/>
    <row r="59636" s="197" customFormat="1" ht="12.75" x14ac:dyDescent="0.2"/>
    <row r="59637" s="197" customFormat="1" ht="12.75" x14ac:dyDescent="0.2"/>
    <row r="59638" s="197" customFormat="1" ht="12.75" x14ac:dyDescent="0.2"/>
    <row r="59639" s="197" customFormat="1" ht="12.75" x14ac:dyDescent="0.2"/>
    <row r="59640" s="197" customFormat="1" ht="12.75" x14ac:dyDescent="0.2"/>
    <row r="59641" s="197" customFormat="1" ht="12.75" x14ac:dyDescent="0.2"/>
    <row r="59642" s="197" customFormat="1" ht="12.75" x14ac:dyDescent="0.2"/>
    <row r="59643" s="197" customFormat="1" ht="12.75" x14ac:dyDescent="0.2"/>
    <row r="59644" s="197" customFormat="1" ht="12.75" x14ac:dyDescent="0.2"/>
    <row r="59645" s="197" customFormat="1" ht="12.75" x14ac:dyDescent="0.2"/>
    <row r="59646" s="197" customFormat="1" ht="12.75" x14ac:dyDescent="0.2"/>
    <row r="59647" s="197" customFormat="1" ht="12.75" x14ac:dyDescent="0.2"/>
    <row r="59648" s="197" customFormat="1" ht="12.75" x14ac:dyDescent="0.2"/>
    <row r="59649" s="197" customFormat="1" ht="12.75" x14ac:dyDescent="0.2"/>
    <row r="59650" s="197" customFormat="1" ht="12.75" x14ac:dyDescent="0.2"/>
    <row r="59651" s="197" customFormat="1" ht="12.75" x14ac:dyDescent="0.2"/>
    <row r="59652" s="197" customFormat="1" ht="12.75" x14ac:dyDescent="0.2"/>
    <row r="59653" s="197" customFormat="1" ht="12.75" x14ac:dyDescent="0.2"/>
    <row r="59654" s="197" customFormat="1" ht="12.75" x14ac:dyDescent="0.2"/>
    <row r="59655" s="197" customFormat="1" ht="12.75" x14ac:dyDescent="0.2"/>
    <row r="59656" s="197" customFormat="1" ht="12.75" x14ac:dyDescent="0.2"/>
    <row r="59657" s="197" customFormat="1" ht="12.75" x14ac:dyDescent="0.2"/>
    <row r="59658" s="197" customFormat="1" ht="12.75" x14ac:dyDescent="0.2"/>
    <row r="59659" s="197" customFormat="1" ht="12.75" x14ac:dyDescent="0.2"/>
    <row r="59660" s="197" customFormat="1" ht="12.75" x14ac:dyDescent="0.2"/>
    <row r="59661" s="197" customFormat="1" ht="12.75" x14ac:dyDescent="0.2"/>
    <row r="59662" s="197" customFormat="1" ht="12.75" x14ac:dyDescent="0.2"/>
    <row r="59663" s="197" customFormat="1" ht="12.75" x14ac:dyDescent="0.2"/>
    <row r="59664" s="197" customFormat="1" ht="12.75" x14ac:dyDescent="0.2"/>
    <row r="59665" s="197" customFormat="1" ht="12.75" x14ac:dyDescent="0.2"/>
    <row r="59666" s="197" customFormat="1" ht="12.75" x14ac:dyDescent="0.2"/>
    <row r="59667" s="197" customFormat="1" ht="12.75" x14ac:dyDescent="0.2"/>
    <row r="59668" s="197" customFormat="1" ht="12.75" x14ac:dyDescent="0.2"/>
    <row r="59669" s="197" customFormat="1" ht="12.75" x14ac:dyDescent="0.2"/>
    <row r="59670" s="197" customFormat="1" ht="12.75" x14ac:dyDescent="0.2"/>
    <row r="59671" s="197" customFormat="1" ht="12.75" x14ac:dyDescent="0.2"/>
    <row r="59672" s="197" customFormat="1" ht="12.75" x14ac:dyDescent="0.2"/>
    <row r="59673" s="197" customFormat="1" ht="12.75" x14ac:dyDescent="0.2"/>
    <row r="59674" s="197" customFormat="1" ht="12.75" x14ac:dyDescent="0.2"/>
    <row r="59675" s="197" customFormat="1" ht="12.75" x14ac:dyDescent="0.2"/>
    <row r="59676" s="197" customFormat="1" ht="12.75" x14ac:dyDescent="0.2"/>
    <row r="59677" s="197" customFormat="1" ht="12.75" x14ac:dyDescent="0.2"/>
    <row r="59678" s="197" customFormat="1" ht="12.75" x14ac:dyDescent="0.2"/>
    <row r="59679" s="197" customFormat="1" ht="12.75" x14ac:dyDescent="0.2"/>
    <row r="59680" s="197" customFormat="1" ht="12.75" x14ac:dyDescent="0.2"/>
    <row r="59681" s="197" customFormat="1" ht="12.75" x14ac:dyDescent="0.2"/>
    <row r="59682" s="197" customFormat="1" ht="12.75" x14ac:dyDescent="0.2"/>
    <row r="59683" s="197" customFormat="1" ht="12.75" x14ac:dyDescent="0.2"/>
    <row r="59684" s="197" customFormat="1" ht="12.75" x14ac:dyDescent="0.2"/>
    <row r="59685" s="197" customFormat="1" ht="12.75" x14ac:dyDescent="0.2"/>
    <row r="59686" s="197" customFormat="1" ht="12.75" x14ac:dyDescent="0.2"/>
    <row r="59687" s="197" customFormat="1" ht="12.75" x14ac:dyDescent="0.2"/>
    <row r="59688" s="197" customFormat="1" ht="12.75" x14ac:dyDescent="0.2"/>
    <row r="59689" s="197" customFormat="1" ht="12.75" x14ac:dyDescent="0.2"/>
    <row r="59690" s="197" customFormat="1" ht="12.75" x14ac:dyDescent="0.2"/>
    <row r="59691" s="197" customFormat="1" ht="12.75" x14ac:dyDescent="0.2"/>
    <row r="59692" s="197" customFormat="1" ht="12.75" x14ac:dyDescent="0.2"/>
    <row r="59693" s="197" customFormat="1" ht="12.75" x14ac:dyDescent="0.2"/>
    <row r="59694" s="197" customFormat="1" ht="12.75" x14ac:dyDescent="0.2"/>
    <row r="59695" s="197" customFormat="1" ht="12.75" x14ac:dyDescent="0.2"/>
    <row r="59696" s="197" customFormat="1" ht="12.75" x14ac:dyDescent="0.2"/>
    <row r="59697" s="197" customFormat="1" ht="12.75" x14ac:dyDescent="0.2"/>
    <row r="59698" s="197" customFormat="1" ht="12.75" x14ac:dyDescent="0.2"/>
    <row r="59699" s="197" customFormat="1" ht="12.75" x14ac:dyDescent="0.2"/>
    <row r="59700" s="197" customFormat="1" ht="12.75" x14ac:dyDescent="0.2"/>
    <row r="59701" s="197" customFormat="1" ht="12.75" x14ac:dyDescent="0.2"/>
    <row r="59702" s="197" customFormat="1" ht="12.75" x14ac:dyDescent="0.2"/>
    <row r="59703" s="197" customFormat="1" ht="12.75" x14ac:dyDescent="0.2"/>
    <row r="59704" s="197" customFormat="1" ht="12.75" x14ac:dyDescent="0.2"/>
    <row r="59705" s="197" customFormat="1" ht="12.75" x14ac:dyDescent="0.2"/>
    <row r="59706" s="197" customFormat="1" ht="12.75" x14ac:dyDescent="0.2"/>
    <row r="59707" s="197" customFormat="1" ht="12.75" x14ac:dyDescent="0.2"/>
    <row r="59708" s="197" customFormat="1" ht="12.75" x14ac:dyDescent="0.2"/>
    <row r="59709" s="197" customFormat="1" ht="12.75" x14ac:dyDescent="0.2"/>
    <row r="59710" s="197" customFormat="1" ht="12.75" x14ac:dyDescent="0.2"/>
    <row r="59711" s="197" customFormat="1" ht="12.75" x14ac:dyDescent="0.2"/>
    <row r="59712" s="197" customFormat="1" ht="12.75" x14ac:dyDescent="0.2"/>
    <row r="59713" s="197" customFormat="1" ht="12.75" x14ac:dyDescent="0.2"/>
    <row r="59714" s="197" customFormat="1" ht="12.75" x14ac:dyDescent="0.2"/>
    <row r="59715" s="197" customFormat="1" ht="12.75" x14ac:dyDescent="0.2"/>
    <row r="59716" s="197" customFormat="1" ht="12.75" x14ac:dyDescent="0.2"/>
    <row r="59717" s="197" customFormat="1" ht="12.75" x14ac:dyDescent="0.2"/>
    <row r="59718" s="197" customFormat="1" ht="12.75" x14ac:dyDescent="0.2"/>
    <row r="59719" s="197" customFormat="1" ht="12.75" x14ac:dyDescent="0.2"/>
    <row r="59720" s="197" customFormat="1" ht="12.75" x14ac:dyDescent="0.2"/>
    <row r="59721" s="197" customFormat="1" ht="12.75" x14ac:dyDescent="0.2"/>
    <row r="59722" s="197" customFormat="1" ht="12.75" x14ac:dyDescent="0.2"/>
    <row r="59723" s="197" customFormat="1" ht="12.75" x14ac:dyDescent="0.2"/>
    <row r="59724" s="197" customFormat="1" ht="12.75" x14ac:dyDescent="0.2"/>
    <row r="59725" s="197" customFormat="1" ht="12.75" x14ac:dyDescent="0.2"/>
    <row r="59726" s="197" customFormat="1" ht="12.75" x14ac:dyDescent="0.2"/>
    <row r="59727" s="197" customFormat="1" ht="12.75" x14ac:dyDescent="0.2"/>
    <row r="59728" s="197" customFormat="1" ht="12.75" x14ac:dyDescent="0.2"/>
    <row r="59729" s="197" customFormat="1" ht="12.75" x14ac:dyDescent="0.2"/>
    <row r="59730" s="197" customFormat="1" ht="12.75" x14ac:dyDescent="0.2"/>
    <row r="59731" s="197" customFormat="1" ht="12.75" x14ac:dyDescent="0.2"/>
    <row r="59732" s="197" customFormat="1" ht="12.75" x14ac:dyDescent="0.2"/>
    <row r="59733" s="197" customFormat="1" ht="12.75" x14ac:dyDescent="0.2"/>
    <row r="59734" s="197" customFormat="1" ht="12.75" x14ac:dyDescent="0.2"/>
    <row r="59735" s="197" customFormat="1" ht="12.75" x14ac:dyDescent="0.2"/>
    <row r="59736" s="197" customFormat="1" ht="12.75" x14ac:dyDescent="0.2"/>
    <row r="59737" s="197" customFormat="1" ht="12.75" x14ac:dyDescent="0.2"/>
    <row r="59738" s="197" customFormat="1" ht="12.75" x14ac:dyDescent="0.2"/>
    <row r="59739" s="197" customFormat="1" ht="12.75" x14ac:dyDescent="0.2"/>
    <row r="59740" s="197" customFormat="1" ht="12.75" x14ac:dyDescent="0.2"/>
    <row r="59741" s="197" customFormat="1" ht="12.75" x14ac:dyDescent="0.2"/>
    <row r="59742" s="197" customFormat="1" ht="12.75" x14ac:dyDescent="0.2"/>
    <row r="59743" s="197" customFormat="1" ht="12.75" x14ac:dyDescent="0.2"/>
    <row r="59744" s="197" customFormat="1" ht="12.75" x14ac:dyDescent="0.2"/>
    <row r="59745" s="197" customFormat="1" ht="12.75" x14ac:dyDescent="0.2"/>
    <row r="59746" s="197" customFormat="1" ht="12.75" x14ac:dyDescent="0.2"/>
    <row r="59747" s="197" customFormat="1" ht="12.75" x14ac:dyDescent="0.2"/>
    <row r="59748" s="197" customFormat="1" ht="12.75" x14ac:dyDescent="0.2"/>
    <row r="59749" s="197" customFormat="1" ht="12.75" x14ac:dyDescent="0.2"/>
    <row r="59750" s="197" customFormat="1" ht="12.75" x14ac:dyDescent="0.2"/>
    <row r="59751" s="197" customFormat="1" ht="12.75" x14ac:dyDescent="0.2"/>
    <row r="59752" s="197" customFormat="1" ht="12.75" x14ac:dyDescent="0.2"/>
    <row r="59753" s="197" customFormat="1" ht="12.75" x14ac:dyDescent="0.2"/>
    <row r="59754" s="197" customFormat="1" ht="12.75" x14ac:dyDescent="0.2"/>
    <row r="59755" s="197" customFormat="1" ht="12.75" x14ac:dyDescent="0.2"/>
    <row r="59756" s="197" customFormat="1" ht="12.75" x14ac:dyDescent="0.2"/>
    <row r="59757" s="197" customFormat="1" ht="12.75" x14ac:dyDescent="0.2"/>
    <row r="59758" s="197" customFormat="1" ht="12.75" x14ac:dyDescent="0.2"/>
    <row r="59759" s="197" customFormat="1" ht="12.75" x14ac:dyDescent="0.2"/>
    <row r="59760" s="197" customFormat="1" ht="12.75" x14ac:dyDescent="0.2"/>
    <row r="59761" s="197" customFormat="1" ht="12.75" x14ac:dyDescent="0.2"/>
    <row r="59762" s="197" customFormat="1" ht="12.75" x14ac:dyDescent="0.2"/>
    <row r="59763" s="197" customFormat="1" ht="12.75" x14ac:dyDescent="0.2"/>
    <row r="59764" s="197" customFormat="1" ht="12.75" x14ac:dyDescent="0.2"/>
    <row r="59765" s="197" customFormat="1" ht="12.75" x14ac:dyDescent="0.2"/>
    <row r="59766" s="197" customFormat="1" ht="12.75" x14ac:dyDescent="0.2"/>
    <row r="59767" s="197" customFormat="1" ht="12.75" x14ac:dyDescent="0.2"/>
    <row r="59768" s="197" customFormat="1" ht="12.75" x14ac:dyDescent="0.2"/>
    <row r="59769" s="197" customFormat="1" ht="12.75" x14ac:dyDescent="0.2"/>
    <row r="59770" s="197" customFormat="1" ht="12.75" x14ac:dyDescent="0.2"/>
    <row r="59771" s="197" customFormat="1" ht="12.75" x14ac:dyDescent="0.2"/>
    <row r="59772" s="197" customFormat="1" ht="12.75" x14ac:dyDescent="0.2"/>
    <row r="59773" s="197" customFormat="1" ht="12.75" x14ac:dyDescent="0.2"/>
    <row r="59774" s="197" customFormat="1" ht="12.75" x14ac:dyDescent="0.2"/>
    <row r="59775" s="197" customFormat="1" ht="12.75" x14ac:dyDescent="0.2"/>
    <row r="59776" s="197" customFormat="1" ht="12.75" x14ac:dyDescent="0.2"/>
    <row r="59777" s="197" customFormat="1" ht="12.75" x14ac:dyDescent="0.2"/>
    <row r="59778" s="197" customFormat="1" ht="12.75" x14ac:dyDescent="0.2"/>
    <row r="59779" s="197" customFormat="1" ht="12.75" x14ac:dyDescent="0.2"/>
    <row r="59780" s="197" customFormat="1" ht="12.75" x14ac:dyDescent="0.2"/>
    <row r="59781" s="197" customFormat="1" ht="12.75" x14ac:dyDescent="0.2"/>
    <row r="59782" s="197" customFormat="1" ht="12.75" x14ac:dyDescent="0.2"/>
    <row r="59783" s="197" customFormat="1" ht="12.75" x14ac:dyDescent="0.2"/>
    <row r="59784" s="197" customFormat="1" ht="12.75" x14ac:dyDescent="0.2"/>
    <row r="59785" s="197" customFormat="1" ht="12.75" x14ac:dyDescent="0.2"/>
    <row r="59786" s="197" customFormat="1" ht="12.75" x14ac:dyDescent="0.2"/>
    <row r="59787" s="197" customFormat="1" ht="12.75" x14ac:dyDescent="0.2"/>
    <row r="59788" s="197" customFormat="1" ht="12.75" x14ac:dyDescent="0.2"/>
    <row r="59789" s="197" customFormat="1" ht="12.75" x14ac:dyDescent="0.2"/>
    <row r="59790" s="197" customFormat="1" ht="12.75" x14ac:dyDescent="0.2"/>
    <row r="59791" s="197" customFormat="1" ht="12.75" x14ac:dyDescent="0.2"/>
    <row r="59792" s="197" customFormat="1" ht="12.75" x14ac:dyDescent="0.2"/>
    <row r="59793" s="197" customFormat="1" ht="12.75" x14ac:dyDescent="0.2"/>
    <row r="59794" s="197" customFormat="1" ht="12.75" x14ac:dyDescent="0.2"/>
    <row r="59795" s="197" customFormat="1" ht="12.75" x14ac:dyDescent="0.2"/>
    <row r="59796" s="197" customFormat="1" ht="12.75" x14ac:dyDescent="0.2"/>
    <row r="59797" s="197" customFormat="1" ht="12.75" x14ac:dyDescent="0.2"/>
    <row r="59798" s="197" customFormat="1" ht="12.75" x14ac:dyDescent="0.2"/>
    <row r="59799" s="197" customFormat="1" ht="12.75" x14ac:dyDescent="0.2"/>
    <row r="59800" s="197" customFormat="1" ht="12.75" x14ac:dyDescent="0.2"/>
    <row r="59801" s="197" customFormat="1" ht="12.75" x14ac:dyDescent="0.2"/>
    <row r="59802" s="197" customFormat="1" ht="12.75" x14ac:dyDescent="0.2"/>
    <row r="59803" s="197" customFormat="1" ht="12.75" x14ac:dyDescent="0.2"/>
    <row r="59804" s="197" customFormat="1" ht="12.75" x14ac:dyDescent="0.2"/>
    <row r="59805" s="197" customFormat="1" ht="12.75" x14ac:dyDescent="0.2"/>
    <row r="59806" s="197" customFormat="1" ht="12.75" x14ac:dyDescent="0.2"/>
    <row r="59807" s="197" customFormat="1" ht="12.75" x14ac:dyDescent="0.2"/>
    <row r="59808" s="197" customFormat="1" ht="12.75" x14ac:dyDescent="0.2"/>
    <row r="59809" s="197" customFormat="1" ht="12.75" x14ac:dyDescent="0.2"/>
    <row r="59810" s="197" customFormat="1" ht="12.75" x14ac:dyDescent="0.2"/>
    <row r="59811" s="197" customFormat="1" ht="12.75" x14ac:dyDescent="0.2"/>
    <row r="59812" s="197" customFormat="1" ht="12.75" x14ac:dyDescent="0.2"/>
    <row r="59813" s="197" customFormat="1" ht="12.75" x14ac:dyDescent="0.2"/>
    <row r="59814" s="197" customFormat="1" ht="12.75" x14ac:dyDescent="0.2"/>
    <row r="59815" s="197" customFormat="1" ht="12.75" x14ac:dyDescent="0.2"/>
    <row r="59816" s="197" customFormat="1" ht="12.75" x14ac:dyDescent="0.2"/>
    <row r="59817" s="197" customFormat="1" ht="12.75" x14ac:dyDescent="0.2"/>
    <row r="59818" s="197" customFormat="1" ht="12.75" x14ac:dyDescent="0.2"/>
    <row r="59819" s="197" customFormat="1" ht="12.75" x14ac:dyDescent="0.2"/>
    <row r="59820" s="197" customFormat="1" ht="12.75" x14ac:dyDescent="0.2"/>
    <row r="59821" s="197" customFormat="1" ht="12.75" x14ac:dyDescent="0.2"/>
    <row r="59822" s="197" customFormat="1" ht="12.75" x14ac:dyDescent="0.2"/>
    <row r="59823" s="197" customFormat="1" ht="12.75" x14ac:dyDescent="0.2"/>
    <row r="59824" s="197" customFormat="1" ht="12.75" x14ac:dyDescent="0.2"/>
    <row r="59825" s="197" customFormat="1" ht="12.75" x14ac:dyDescent="0.2"/>
    <row r="59826" s="197" customFormat="1" ht="12.75" x14ac:dyDescent="0.2"/>
    <row r="59827" s="197" customFormat="1" ht="12.75" x14ac:dyDescent="0.2"/>
    <row r="59828" s="197" customFormat="1" ht="12.75" x14ac:dyDescent="0.2"/>
    <row r="59829" s="197" customFormat="1" ht="12.75" x14ac:dyDescent="0.2"/>
    <row r="59830" s="197" customFormat="1" ht="12.75" x14ac:dyDescent="0.2"/>
    <row r="59831" s="197" customFormat="1" ht="12.75" x14ac:dyDescent="0.2"/>
    <row r="59832" s="197" customFormat="1" ht="12.75" x14ac:dyDescent="0.2"/>
    <row r="59833" s="197" customFormat="1" ht="12.75" x14ac:dyDescent="0.2"/>
    <row r="59834" s="197" customFormat="1" ht="12.75" x14ac:dyDescent="0.2"/>
    <row r="59835" s="197" customFormat="1" ht="12.75" x14ac:dyDescent="0.2"/>
    <row r="59836" s="197" customFormat="1" ht="12.75" x14ac:dyDescent="0.2"/>
    <row r="59837" s="197" customFormat="1" ht="12.75" x14ac:dyDescent="0.2"/>
    <row r="59838" s="197" customFormat="1" ht="12.75" x14ac:dyDescent="0.2"/>
    <row r="59839" s="197" customFormat="1" ht="12.75" x14ac:dyDescent="0.2"/>
    <row r="59840" s="197" customFormat="1" ht="12.75" x14ac:dyDescent="0.2"/>
    <row r="59841" s="197" customFormat="1" ht="12.75" x14ac:dyDescent="0.2"/>
    <row r="59842" s="197" customFormat="1" ht="12.75" x14ac:dyDescent="0.2"/>
    <row r="59843" s="197" customFormat="1" ht="12.75" x14ac:dyDescent="0.2"/>
    <row r="59844" s="197" customFormat="1" ht="12.75" x14ac:dyDescent="0.2"/>
    <row r="59845" s="197" customFormat="1" ht="12.75" x14ac:dyDescent="0.2"/>
    <row r="59846" s="197" customFormat="1" ht="12.75" x14ac:dyDescent="0.2"/>
    <row r="59847" s="197" customFormat="1" ht="12.75" x14ac:dyDescent="0.2"/>
    <row r="59848" s="197" customFormat="1" ht="12.75" x14ac:dyDescent="0.2"/>
    <row r="59849" s="197" customFormat="1" ht="12.75" x14ac:dyDescent="0.2"/>
    <row r="59850" s="197" customFormat="1" ht="12.75" x14ac:dyDescent="0.2"/>
    <row r="59851" s="197" customFormat="1" ht="12.75" x14ac:dyDescent="0.2"/>
    <row r="59852" s="197" customFormat="1" ht="12.75" x14ac:dyDescent="0.2"/>
    <row r="59853" s="197" customFormat="1" ht="12.75" x14ac:dyDescent="0.2"/>
    <row r="59854" s="197" customFormat="1" ht="12.75" x14ac:dyDescent="0.2"/>
    <row r="59855" s="197" customFormat="1" ht="12.75" x14ac:dyDescent="0.2"/>
    <row r="59856" s="197" customFormat="1" ht="12.75" x14ac:dyDescent="0.2"/>
    <row r="59857" s="197" customFormat="1" ht="12.75" x14ac:dyDescent="0.2"/>
    <row r="59858" s="197" customFormat="1" ht="12.75" x14ac:dyDescent="0.2"/>
    <row r="59859" s="197" customFormat="1" ht="12.75" x14ac:dyDescent="0.2"/>
    <row r="59860" s="197" customFormat="1" ht="12.75" x14ac:dyDescent="0.2"/>
    <row r="59861" s="197" customFormat="1" ht="12.75" x14ac:dyDescent="0.2"/>
    <row r="59862" s="197" customFormat="1" ht="12.75" x14ac:dyDescent="0.2"/>
    <row r="59863" s="197" customFormat="1" ht="12.75" x14ac:dyDescent="0.2"/>
    <row r="59864" s="197" customFormat="1" ht="12.75" x14ac:dyDescent="0.2"/>
    <row r="59865" s="197" customFormat="1" ht="12.75" x14ac:dyDescent="0.2"/>
    <row r="59866" s="197" customFormat="1" ht="12.75" x14ac:dyDescent="0.2"/>
    <row r="59867" s="197" customFormat="1" ht="12.75" x14ac:dyDescent="0.2"/>
    <row r="59868" s="197" customFormat="1" ht="12.75" x14ac:dyDescent="0.2"/>
    <row r="59869" s="197" customFormat="1" ht="12.75" x14ac:dyDescent="0.2"/>
    <row r="59870" s="197" customFormat="1" ht="12.75" x14ac:dyDescent="0.2"/>
    <row r="59871" s="197" customFormat="1" ht="12.75" x14ac:dyDescent="0.2"/>
    <row r="59872" s="197" customFormat="1" ht="12.75" x14ac:dyDescent="0.2"/>
    <row r="59873" s="197" customFormat="1" ht="12.75" x14ac:dyDescent="0.2"/>
    <row r="59874" s="197" customFormat="1" ht="12.75" x14ac:dyDescent="0.2"/>
    <row r="59875" s="197" customFormat="1" ht="12.75" x14ac:dyDescent="0.2"/>
    <row r="59876" s="197" customFormat="1" ht="12.75" x14ac:dyDescent="0.2"/>
    <row r="59877" s="197" customFormat="1" ht="12.75" x14ac:dyDescent="0.2"/>
    <row r="59878" s="197" customFormat="1" ht="12.75" x14ac:dyDescent="0.2"/>
    <row r="59879" s="197" customFormat="1" ht="12.75" x14ac:dyDescent="0.2"/>
    <row r="59880" s="197" customFormat="1" ht="12.75" x14ac:dyDescent="0.2"/>
    <row r="59881" s="197" customFormat="1" ht="12.75" x14ac:dyDescent="0.2"/>
    <row r="59882" s="197" customFormat="1" ht="12.75" x14ac:dyDescent="0.2"/>
    <row r="59883" s="197" customFormat="1" ht="12.75" x14ac:dyDescent="0.2"/>
    <row r="59884" s="197" customFormat="1" ht="12.75" x14ac:dyDescent="0.2"/>
    <row r="59885" s="197" customFormat="1" ht="12.75" x14ac:dyDescent="0.2"/>
    <row r="59886" s="197" customFormat="1" ht="12.75" x14ac:dyDescent="0.2"/>
    <row r="59887" s="197" customFormat="1" ht="12.75" x14ac:dyDescent="0.2"/>
    <row r="59888" s="197" customFormat="1" ht="12.75" x14ac:dyDescent="0.2"/>
    <row r="59889" s="197" customFormat="1" ht="12.75" x14ac:dyDescent="0.2"/>
    <row r="59890" s="197" customFormat="1" ht="12.75" x14ac:dyDescent="0.2"/>
    <row r="59891" s="197" customFormat="1" ht="12.75" x14ac:dyDescent="0.2"/>
    <row r="59892" s="197" customFormat="1" ht="12.75" x14ac:dyDescent="0.2"/>
    <row r="59893" s="197" customFormat="1" ht="12.75" x14ac:dyDescent="0.2"/>
    <row r="59894" s="197" customFormat="1" ht="12.75" x14ac:dyDescent="0.2"/>
    <row r="59895" s="197" customFormat="1" ht="12.75" x14ac:dyDescent="0.2"/>
    <row r="59896" s="197" customFormat="1" ht="12.75" x14ac:dyDescent="0.2"/>
    <row r="59897" s="197" customFormat="1" ht="12.75" x14ac:dyDescent="0.2"/>
    <row r="59898" s="197" customFormat="1" ht="12.75" x14ac:dyDescent="0.2"/>
    <row r="59899" s="197" customFormat="1" ht="12.75" x14ac:dyDescent="0.2"/>
    <row r="59900" s="197" customFormat="1" ht="12.75" x14ac:dyDescent="0.2"/>
    <row r="59901" s="197" customFormat="1" ht="12.75" x14ac:dyDescent="0.2"/>
    <row r="59902" s="197" customFormat="1" ht="12.75" x14ac:dyDescent="0.2"/>
    <row r="59903" s="197" customFormat="1" ht="12.75" x14ac:dyDescent="0.2"/>
    <row r="59904" s="197" customFormat="1" ht="12.75" x14ac:dyDescent="0.2"/>
    <row r="59905" s="197" customFormat="1" ht="12.75" x14ac:dyDescent="0.2"/>
    <row r="59906" s="197" customFormat="1" ht="12.75" x14ac:dyDescent="0.2"/>
    <row r="59907" s="197" customFormat="1" ht="12.75" x14ac:dyDescent="0.2"/>
    <row r="59908" s="197" customFormat="1" ht="12.75" x14ac:dyDescent="0.2"/>
    <row r="59909" s="197" customFormat="1" ht="12.75" x14ac:dyDescent="0.2"/>
    <row r="59910" s="197" customFormat="1" ht="12.75" x14ac:dyDescent="0.2"/>
    <row r="59911" s="197" customFormat="1" ht="12.75" x14ac:dyDescent="0.2"/>
    <row r="59912" s="197" customFormat="1" ht="12.75" x14ac:dyDescent="0.2"/>
    <row r="59913" s="197" customFormat="1" ht="12.75" x14ac:dyDescent="0.2"/>
    <row r="59914" s="197" customFormat="1" ht="12.75" x14ac:dyDescent="0.2"/>
    <row r="59915" s="197" customFormat="1" ht="12.75" x14ac:dyDescent="0.2"/>
    <row r="59916" s="197" customFormat="1" ht="12.75" x14ac:dyDescent="0.2"/>
    <row r="59917" s="197" customFormat="1" ht="12.75" x14ac:dyDescent="0.2"/>
    <row r="59918" s="197" customFormat="1" ht="12.75" x14ac:dyDescent="0.2"/>
    <row r="59919" s="197" customFormat="1" ht="12.75" x14ac:dyDescent="0.2"/>
    <row r="59920" s="197" customFormat="1" ht="12.75" x14ac:dyDescent="0.2"/>
    <row r="59921" s="197" customFormat="1" ht="12.75" x14ac:dyDescent="0.2"/>
    <row r="59922" s="197" customFormat="1" ht="12.75" x14ac:dyDescent="0.2"/>
    <row r="59923" s="197" customFormat="1" ht="12.75" x14ac:dyDescent="0.2"/>
    <row r="59924" s="197" customFormat="1" ht="12.75" x14ac:dyDescent="0.2"/>
    <row r="59925" s="197" customFormat="1" ht="12.75" x14ac:dyDescent="0.2"/>
    <row r="59926" s="197" customFormat="1" ht="12.75" x14ac:dyDescent="0.2"/>
    <row r="59927" s="197" customFormat="1" ht="12.75" x14ac:dyDescent="0.2"/>
    <row r="59928" s="197" customFormat="1" ht="12.75" x14ac:dyDescent="0.2"/>
    <row r="59929" s="197" customFormat="1" ht="12.75" x14ac:dyDescent="0.2"/>
    <row r="59930" s="197" customFormat="1" ht="12.75" x14ac:dyDescent="0.2"/>
    <row r="59931" s="197" customFormat="1" ht="12.75" x14ac:dyDescent="0.2"/>
    <row r="59932" s="197" customFormat="1" ht="12.75" x14ac:dyDescent="0.2"/>
    <row r="59933" s="197" customFormat="1" ht="12.75" x14ac:dyDescent="0.2"/>
    <row r="59934" s="197" customFormat="1" ht="12.75" x14ac:dyDescent="0.2"/>
    <row r="59935" s="197" customFormat="1" ht="12.75" x14ac:dyDescent="0.2"/>
    <row r="59936" s="197" customFormat="1" ht="12.75" x14ac:dyDescent="0.2"/>
    <row r="59937" s="197" customFormat="1" ht="12.75" x14ac:dyDescent="0.2"/>
    <row r="59938" s="197" customFormat="1" ht="12.75" x14ac:dyDescent="0.2"/>
    <row r="59939" s="197" customFormat="1" ht="12.75" x14ac:dyDescent="0.2"/>
    <row r="59940" s="197" customFormat="1" ht="12.75" x14ac:dyDescent="0.2"/>
    <row r="59941" s="197" customFormat="1" ht="12.75" x14ac:dyDescent="0.2"/>
    <row r="59942" s="197" customFormat="1" ht="12.75" x14ac:dyDescent="0.2"/>
    <row r="59943" s="197" customFormat="1" ht="12.75" x14ac:dyDescent="0.2"/>
    <row r="59944" s="197" customFormat="1" ht="12.75" x14ac:dyDescent="0.2"/>
    <row r="59945" s="197" customFormat="1" ht="12.75" x14ac:dyDescent="0.2"/>
    <row r="59946" s="197" customFormat="1" ht="12.75" x14ac:dyDescent="0.2"/>
    <row r="59947" s="197" customFormat="1" ht="12.75" x14ac:dyDescent="0.2"/>
    <row r="59948" s="197" customFormat="1" ht="12.75" x14ac:dyDescent="0.2"/>
    <row r="59949" s="197" customFormat="1" ht="12.75" x14ac:dyDescent="0.2"/>
    <row r="59950" s="197" customFormat="1" ht="12.75" x14ac:dyDescent="0.2"/>
    <row r="59951" s="197" customFormat="1" ht="12.75" x14ac:dyDescent="0.2"/>
    <row r="59952" s="197" customFormat="1" ht="12.75" x14ac:dyDescent="0.2"/>
    <row r="59953" s="197" customFormat="1" ht="12.75" x14ac:dyDescent="0.2"/>
    <row r="59954" s="197" customFormat="1" ht="12.75" x14ac:dyDescent="0.2"/>
    <row r="59955" s="197" customFormat="1" ht="12.75" x14ac:dyDescent="0.2"/>
    <row r="59956" s="197" customFormat="1" ht="12.75" x14ac:dyDescent="0.2"/>
    <row r="59957" s="197" customFormat="1" ht="12.75" x14ac:dyDescent="0.2"/>
    <row r="59958" s="197" customFormat="1" ht="12.75" x14ac:dyDescent="0.2"/>
    <row r="59959" s="197" customFormat="1" ht="12.75" x14ac:dyDescent="0.2"/>
    <row r="59960" s="197" customFormat="1" ht="12.75" x14ac:dyDescent="0.2"/>
    <row r="59961" s="197" customFormat="1" ht="12.75" x14ac:dyDescent="0.2"/>
    <row r="59962" s="197" customFormat="1" ht="12.75" x14ac:dyDescent="0.2"/>
    <row r="59963" s="197" customFormat="1" ht="12.75" x14ac:dyDescent="0.2"/>
    <row r="59964" s="197" customFormat="1" ht="12.75" x14ac:dyDescent="0.2"/>
    <row r="59965" s="197" customFormat="1" ht="12.75" x14ac:dyDescent="0.2"/>
    <row r="59966" s="197" customFormat="1" ht="12.75" x14ac:dyDescent="0.2"/>
    <row r="59967" s="197" customFormat="1" ht="12.75" x14ac:dyDescent="0.2"/>
    <row r="59968" s="197" customFormat="1" ht="12.75" x14ac:dyDescent="0.2"/>
    <row r="59969" s="197" customFormat="1" ht="12.75" x14ac:dyDescent="0.2"/>
    <row r="59970" s="197" customFormat="1" ht="12.75" x14ac:dyDescent="0.2"/>
    <row r="59971" s="197" customFormat="1" ht="12.75" x14ac:dyDescent="0.2"/>
    <row r="59972" s="197" customFormat="1" ht="12.75" x14ac:dyDescent="0.2"/>
    <row r="59973" s="197" customFormat="1" ht="12.75" x14ac:dyDescent="0.2"/>
    <row r="59974" s="197" customFormat="1" ht="12.75" x14ac:dyDescent="0.2"/>
    <row r="59975" s="197" customFormat="1" ht="12.75" x14ac:dyDescent="0.2"/>
    <row r="59976" s="197" customFormat="1" ht="12.75" x14ac:dyDescent="0.2"/>
    <row r="59977" s="197" customFormat="1" ht="12.75" x14ac:dyDescent="0.2"/>
    <row r="59978" s="197" customFormat="1" ht="12.75" x14ac:dyDescent="0.2"/>
    <row r="59979" s="197" customFormat="1" ht="12.75" x14ac:dyDescent="0.2"/>
    <row r="59980" s="197" customFormat="1" ht="12.75" x14ac:dyDescent="0.2"/>
    <row r="59981" s="197" customFormat="1" ht="12.75" x14ac:dyDescent="0.2"/>
    <row r="59982" s="197" customFormat="1" ht="12.75" x14ac:dyDescent="0.2"/>
    <row r="59983" s="197" customFormat="1" ht="12.75" x14ac:dyDescent="0.2"/>
    <row r="59984" s="197" customFormat="1" ht="12.75" x14ac:dyDescent="0.2"/>
    <row r="59985" s="197" customFormat="1" ht="12.75" x14ac:dyDescent="0.2"/>
    <row r="59986" s="197" customFormat="1" ht="12.75" x14ac:dyDescent="0.2"/>
    <row r="59987" s="197" customFormat="1" ht="12.75" x14ac:dyDescent="0.2"/>
    <row r="59988" s="197" customFormat="1" ht="12.75" x14ac:dyDescent="0.2"/>
    <row r="59989" s="197" customFormat="1" ht="12.75" x14ac:dyDescent="0.2"/>
    <row r="59990" s="197" customFormat="1" ht="12.75" x14ac:dyDescent="0.2"/>
    <row r="59991" s="197" customFormat="1" ht="12.75" x14ac:dyDescent="0.2"/>
    <row r="59992" s="197" customFormat="1" ht="12.75" x14ac:dyDescent="0.2"/>
    <row r="59993" s="197" customFormat="1" ht="12.75" x14ac:dyDescent="0.2"/>
    <row r="59994" s="197" customFormat="1" ht="12.75" x14ac:dyDescent="0.2"/>
    <row r="59995" s="197" customFormat="1" ht="12.75" x14ac:dyDescent="0.2"/>
    <row r="59996" s="197" customFormat="1" ht="12.75" x14ac:dyDescent="0.2"/>
    <row r="59997" s="197" customFormat="1" ht="12.75" x14ac:dyDescent="0.2"/>
    <row r="59998" s="197" customFormat="1" ht="12.75" x14ac:dyDescent="0.2"/>
    <row r="59999" s="197" customFormat="1" ht="12.75" x14ac:dyDescent="0.2"/>
    <row r="60000" s="197" customFormat="1" ht="12.75" x14ac:dyDescent="0.2"/>
    <row r="60001" s="197" customFormat="1" ht="12.75" x14ac:dyDescent="0.2"/>
    <row r="60002" s="197" customFormat="1" ht="12.75" x14ac:dyDescent="0.2"/>
    <row r="60003" s="197" customFormat="1" ht="12.75" x14ac:dyDescent="0.2"/>
    <row r="60004" s="197" customFormat="1" ht="12.75" x14ac:dyDescent="0.2"/>
    <row r="60005" s="197" customFormat="1" ht="12.75" x14ac:dyDescent="0.2"/>
    <row r="60006" s="197" customFormat="1" ht="12.75" x14ac:dyDescent="0.2"/>
    <row r="60007" s="197" customFormat="1" ht="12.75" x14ac:dyDescent="0.2"/>
    <row r="60008" s="197" customFormat="1" ht="12.75" x14ac:dyDescent="0.2"/>
    <row r="60009" s="197" customFormat="1" ht="12.75" x14ac:dyDescent="0.2"/>
    <row r="60010" s="197" customFormat="1" ht="12.75" x14ac:dyDescent="0.2"/>
    <row r="60011" s="197" customFormat="1" ht="12.75" x14ac:dyDescent="0.2"/>
    <row r="60012" s="197" customFormat="1" ht="12.75" x14ac:dyDescent="0.2"/>
    <row r="60013" s="197" customFormat="1" ht="12.75" x14ac:dyDescent="0.2"/>
    <row r="60014" s="197" customFormat="1" ht="12.75" x14ac:dyDescent="0.2"/>
    <row r="60015" s="197" customFormat="1" ht="12.75" x14ac:dyDescent="0.2"/>
    <row r="60016" s="197" customFormat="1" ht="12.75" x14ac:dyDescent="0.2"/>
    <row r="60017" s="197" customFormat="1" ht="12.75" x14ac:dyDescent="0.2"/>
    <row r="60018" s="197" customFormat="1" ht="12.75" x14ac:dyDescent="0.2"/>
    <row r="60019" s="197" customFormat="1" ht="12.75" x14ac:dyDescent="0.2"/>
    <row r="60020" s="197" customFormat="1" ht="12.75" x14ac:dyDescent="0.2"/>
    <row r="60021" s="197" customFormat="1" ht="12.75" x14ac:dyDescent="0.2"/>
    <row r="60022" s="197" customFormat="1" ht="12.75" x14ac:dyDescent="0.2"/>
    <row r="60023" s="197" customFormat="1" ht="12.75" x14ac:dyDescent="0.2"/>
    <row r="60024" s="197" customFormat="1" ht="12.75" x14ac:dyDescent="0.2"/>
    <row r="60025" s="197" customFormat="1" ht="12.75" x14ac:dyDescent="0.2"/>
    <row r="60026" s="197" customFormat="1" ht="12.75" x14ac:dyDescent="0.2"/>
    <row r="60027" s="197" customFormat="1" ht="12.75" x14ac:dyDescent="0.2"/>
    <row r="60028" s="197" customFormat="1" ht="12.75" x14ac:dyDescent="0.2"/>
    <row r="60029" s="197" customFormat="1" ht="12.75" x14ac:dyDescent="0.2"/>
    <row r="60030" s="197" customFormat="1" ht="12.75" x14ac:dyDescent="0.2"/>
    <row r="60031" s="197" customFormat="1" ht="12.75" x14ac:dyDescent="0.2"/>
    <row r="60032" s="197" customFormat="1" ht="12.75" x14ac:dyDescent="0.2"/>
    <row r="60033" s="197" customFormat="1" ht="12.75" x14ac:dyDescent="0.2"/>
    <row r="60034" s="197" customFormat="1" ht="12.75" x14ac:dyDescent="0.2"/>
    <row r="60035" s="197" customFormat="1" ht="12.75" x14ac:dyDescent="0.2"/>
    <row r="60036" s="197" customFormat="1" ht="12.75" x14ac:dyDescent="0.2"/>
    <row r="60037" s="197" customFormat="1" ht="12.75" x14ac:dyDescent="0.2"/>
    <row r="60038" s="197" customFormat="1" ht="12.75" x14ac:dyDescent="0.2"/>
    <row r="60039" s="197" customFormat="1" ht="12.75" x14ac:dyDescent="0.2"/>
    <row r="60040" s="197" customFormat="1" ht="12.75" x14ac:dyDescent="0.2"/>
    <row r="60041" s="197" customFormat="1" ht="12.75" x14ac:dyDescent="0.2"/>
    <row r="60042" s="197" customFormat="1" ht="12.75" x14ac:dyDescent="0.2"/>
    <row r="60043" s="197" customFormat="1" ht="12.75" x14ac:dyDescent="0.2"/>
    <row r="60044" s="197" customFormat="1" ht="12.75" x14ac:dyDescent="0.2"/>
    <row r="60045" s="197" customFormat="1" ht="12.75" x14ac:dyDescent="0.2"/>
    <row r="60046" s="197" customFormat="1" ht="12.75" x14ac:dyDescent="0.2"/>
    <row r="60047" s="197" customFormat="1" ht="12.75" x14ac:dyDescent="0.2"/>
    <row r="60048" s="197" customFormat="1" ht="12.75" x14ac:dyDescent="0.2"/>
    <row r="60049" s="197" customFormat="1" ht="12.75" x14ac:dyDescent="0.2"/>
    <row r="60050" s="197" customFormat="1" ht="12.75" x14ac:dyDescent="0.2"/>
    <row r="60051" s="197" customFormat="1" ht="12.75" x14ac:dyDescent="0.2"/>
    <row r="60052" s="197" customFormat="1" ht="12.75" x14ac:dyDescent="0.2"/>
    <row r="60053" s="197" customFormat="1" ht="12.75" x14ac:dyDescent="0.2"/>
    <row r="60054" s="197" customFormat="1" ht="12.75" x14ac:dyDescent="0.2"/>
    <row r="60055" s="197" customFormat="1" ht="12.75" x14ac:dyDescent="0.2"/>
    <row r="60056" s="197" customFormat="1" ht="12.75" x14ac:dyDescent="0.2"/>
    <row r="60057" s="197" customFormat="1" ht="12.75" x14ac:dyDescent="0.2"/>
    <row r="60058" s="197" customFormat="1" ht="12.75" x14ac:dyDescent="0.2"/>
    <row r="60059" s="197" customFormat="1" ht="12.75" x14ac:dyDescent="0.2"/>
    <row r="60060" s="197" customFormat="1" ht="12.75" x14ac:dyDescent="0.2"/>
    <row r="60061" s="197" customFormat="1" ht="12.75" x14ac:dyDescent="0.2"/>
    <row r="60062" s="197" customFormat="1" ht="12.75" x14ac:dyDescent="0.2"/>
    <row r="60063" s="197" customFormat="1" ht="12.75" x14ac:dyDescent="0.2"/>
    <row r="60064" s="197" customFormat="1" ht="12.75" x14ac:dyDescent="0.2"/>
    <row r="60065" s="197" customFormat="1" ht="12.75" x14ac:dyDescent="0.2"/>
    <row r="60066" s="197" customFormat="1" ht="12.75" x14ac:dyDescent="0.2"/>
    <row r="60067" s="197" customFormat="1" ht="12.75" x14ac:dyDescent="0.2"/>
    <row r="60068" s="197" customFormat="1" ht="12.75" x14ac:dyDescent="0.2"/>
    <row r="60069" s="197" customFormat="1" ht="12.75" x14ac:dyDescent="0.2"/>
    <row r="60070" s="197" customFormat="1" ht="12.75" x14ac:dyDescent="0.2"/>
    <row r="60071" s="197" customFormat="1" ht="12.75" x14ac:dyDescent="0.2"/>
    <row r="60072" s="197" customFormat="1" ht="12.75" x14ac:dyDescent="0.2"/>
    <row r="60073" s="197" customFormat="1" ht="12.75" x14ac:dyDescent="0.2"/>
    <row r="60074" s="197" customFormat="1" ht="12.75" x14ac:dyDescent="0.2"/>
    <row r="60075" s="197" customFormat="1" ht="12.75" x14ac:dyDescent="0.2"/>
    <row r="60076" s="197" customFormat="1" ht="12.75" x14ac:dyDescent="0.2"/>
    <row r="60077" s="197" customFormat="1" ht="12.75" x14ac:dyDescent="0.2"/>
    <row r="60078" s="197" customFormat="1" ht="12.75" x14ac:dyDescent="0.2"/>
    <row r="60079" s="197" customFormat="1" ht="12.75" x14ac:dyDescent="0.2"/>
    <row r="60080" s="197" customFormat="1" ht="12.75" x14ac:dyDescent="0.2"/>
    <row r="60081" s="197" customFormat="1" ht="12.75" x14ac:dyDescent="0.2"/>
    <row r="60082" s="197" customFormat="1" ht="12.75" x14ac:dyDescent="0.2"/>
    <row r="60083" s="197" customFormat="1" ht="12.75" x14ac:dyDescent="0.2"/>
    <row r="60084" s="197" customFormat="1" ht="12.75" x14ac:dyDescent="0.2"/>
    <row r="60085" s="197" customFormat="1" ht="12.75" x14ac:dyDescent="0.2"/>
    <row r="60086" s="197" customFormat="1" ht="12.75" x14ac:dyDescent="0.2"/>
    <row r="60087" s="197" customFormat="1" ht="12.75" x14ac:dyDescent="0.2"/>
    <row r="60088" s="197" customFormat="1" ht="12.75" x14ac:dyDescent="0.2"/>
    <row r="60089" s="197" customFormat="1" ht="12.75" x14ac:dyDescent="0.2"/>
    <row r="60090" s="197" customFormat="1" ht="12.75" x14ac:dyDescent="0.2"/>
    <row r="60091" s="197" customFormat="1" ht="12.75" x14ac:dyDescent="0.2"/>
    <row r="60092" s="197" customFormat="1" ht="12.75" x14ac:dyDescent="0.2"/>
    <row r="60093" s="197" customFormat="1" ht="12.75" x14ac:dyDescent="0.2"/>
    <row r="60094" s="197" customFormat="1" ht="12.75" x14ac:dyDescent="0.2"/>
    <row r="60095" s="197" customFormat="1" ht="12.75" x14ac:dyDescent="0.2"/>
    <row r="60096" s="197" customFormat="1" ht="12.75" x14ac:dyDescent="0.2"/>
    <row r="60097" s="197" customFormat="1" ht="12.75" x14ac:dyDescent="0.2"/>
    <row r="60098" s="197" customFormat="1" ht="12.75" x14ac:dyDescent="0.2"/>
    <row r="60099" s="197" customFormat="1" ht="12.75" x14ac:dyDescent="0.2"/>
    <row r="60100" s="197" customFormat="1" ht="12.75" x14ac:dyDescent="0.2"/>
    <row r="60101" s="197" customFormat="1" ht="12.75" x14ac:dyDescent="0.2"/>
    <row r="60102" s="197" customFormat="1" ht="12.75" x14ac:dyDescent="0.2"/>
    <row r="60103" s="197" customFormat="1" ht="12.75" x14ac:dyDescent="0.2"/>
    <row r="60104" s="197" customFormat="1" ht="12.75" x14ac:dyDescent="0.2"/>
    <row r="60105" s="197" customFormat="1" ht="12.75" x14ac:dyDescent="0.2"/>
    <row r="60106" s="197" customFormat="1" ht="12.75" x14ac:dyDescent="0.2"/>
    <row r="60107" s="197" customFormat="1" ht="12.75" x14ac:dyDescent="0.2"/>
    <row r="60108" s="197" customFormat="1" ht="12.75" x14ac:dyDescent="0.2"/>
    <row r="60109" s="197" customFormat="1" ht="12.75" x14ac:dyDescent="0.2"/>
    <row r="60110" s="197" customFormat="1" ht="12.75" x14ac:dyDescent="0.2"/>
    <row r="60111" s="197" customFormat="1" ht="12.75" x14ac:dyDescent="0.2"/>
    <row r="60112" s="197" customFormat="1" ht="12.75" x14ac:dyDescent="0.2"/>
    <row r="60113" s="197" customFormat="1" ht="12.75" x14ac:dyDescent="0.2"/>
    <row r="60114" s="197" customFormat="1" ht="12.75" x14ac:dyDescent="0.2"/>
    <row r="60115" s="197" customFormat="1" ht="12.75" x14ac:dyDescent="0.2"/>
    <row r="60116" s="197" customFormat="1" ht="12.75" x14ac:dyDescent="0.2"/>
    <row r="60117" s="197" customFormat="1" ht="12.75" x14ac:dyDescent="0.2"/>
    <row r="60118" s="197" customFormat="1" ht="12.75" x14ac:dyDescent="0.2"/>
    <row r="60119" s="197" customFormat="1" ht="12.75" x14ac:dyDescent="0.2"/>
    <row r="60120" s="197" customFormat="1" ht="12.75" x14ac:dyDescent="0.2"/>
    <row r="60121" s="197" customFormat="1" ht="12.75" x14ac:dyDescent="0.2"/>
    <row r="60122" s="197" customFormat="1" ht="12.75" x14ac:dyDescent="0.2"/>
    <row r="60123" s="197" customFormat="1" ht="12.75" x14ac:dyDescent="0.2"/>
    <row r="60124" s="197" customFormat="1" ht="12.75" x14ac:dyDescent="0.2"/>
    <row r="60125" s="197" customFormat="1" ht="12.75" x14ac:dyDescent="0.2"/>
    <row r="60126" s="197" customFormat="1" ht="12.75" x14ac:dyDescent="0.2"/>
    <row r="60127" s="197" customFormat="1" ht="12.75" x14ac:dyDescent="0.2"/>
    <row r="60128" s="197" customFormat="1" ht="12.75" x14ac:dyDescent="0.2"/>
    <row r="60129" s="197" customFormat="1" ht="12.75" x14ac:dyDescent="0.2"/>
    <row r="60130" s="197" customFormat="1" ht="12.75" x14ac:dyDescent="0.2"/>
    <row r="60131" s="197" customFormat="1" ht="12.75" x14ac:dyDescent="0.2"/>
    <row r="60132" s="197" customFormat="1" ht="12.75" x14ac:dyDescent="0.2"/>
    <row r="60133" s="197" customFormat="1" ht="12.75" x14ac:dyDescent="0.2"/>
    <row r="60134" s="197" customFormat="1" ht="12.75" x14ac:dyDescent="0.2"/>
    <row r="60135" s="197" customFormat="1" ht="12.75" x14ac:dyDescent="0.2"/>
    <row r="60136" s="197" customFormat="1" ht="12.75" x14ac:dyDescent="0.2"/>
    <row r="60137" s="197" customFormat="1" ht="12.75" x14ac:dyDescent="0.2"/>
    <row r="60138" s="197" customFormat="1" ht="12.75" x14ac:dyDescent="0.2"/>
    <row r="60139" s="197" customFormat="1" ht="12.75" x14ac:dyDescent="0.2"/>
    <row r="60140" s="197" customFormat="1" ht="12.75" x14ac:dyDescent="0.2"/>
    <row r="60141" s="197" customFormat="1" ht="12.75" x14ac:dyDescent="0.2"/>
    <row r="60142" s="197" customFormat="1" ht="12.75" x14ac:dyDescent="0.2"/>
    <row r="60143" s="197" customFormat="1" ht="12.75" x14ac:dyDescent="0.2"/>
    <row r="60144" s="197" customFormat="1" ht="12.75" x14ac:dyDescent="0.2"/>
    <row r="60145" s="197" customFormat="1" ht="12.75" x14ac:dyDescent="0.2"/>
    <row r="60146" s="197" customFormat="1" ht="12.75" x14ac:dyDescent="0.2"/>
    <row r="60147" s="197" customFormat="1" ht="12.75" x14ac:dyDescent="0.2"/>
    <row r="60148" s="197" customFormat="1" ht="12.75" x14ac:dyDescent="0.2"/>
    <row r="60149" s="197" customFormat="1" ht="12.75" x14ac:dyDescent="0.2"/>
    <row r="60150" s="197" customFormat="1" ht="12.75" x14ac:dyDescent="0.2"/>
    <row r="60151" s="197" customFormat="1" ht="12.75" x14ac:dyDescent="0.2"/>
    <row r="60152" s="197" customFormat="1" ht="12.75" x14ac:dyDescent="0.2"/>
    <row r="60153" s="197" customFormat="1" ht="12.75" x14ac:dyDescent="0.2"/>
    <row r="60154" s="197" customFormat="1" ht="12.75" x14ac:dyDescent="0.2"/>
    <row r="60155" s="197" customFormat="1" ht="12.75" x14ac:dyDescent="0.2"/>
    <row r="60156" s="197" customFormat="1" ht="12.75" x14ac:dyDescent="0.2"/>
    <row r="60157" s="197" customFormat="1" ht="12.75" x14ac:dyDescent="0.2"/>
    <row r="60158" s="197" customFormat="1" ht="12.75" x14ac:dyDescent="0.2"/>
    <row r="60159" s="197" customFormat="1" ht="12.75" x14ac:dyDescent="0.2"/>
    <row r="60160" s="197" customFormat="1" ht="12.75" x14ac:dyDescent="0.2"/>
    <row r="60161" s="197" customFormat="1" ht="12.75" x14ac:dyDescent="0.2"/>
    <row r="60162" s="197" customFormat="1" ht="12.75" x14ac:dyDescent="0.2"/>
    <row r="60163" s="197" customFormat="1" ht="12.75" x14ac:dyDescent="0.2"/>
    <row r="60164" s="197" customFormat="1" ht="12.75" x14ac:dyDescent="0.2"/>
    <row r="60165" s="197" customFormat="1" ht="12.75" x14ac:dyDescent="0.2"/>
    <row r="60166" s="197" customFormat="1" ht="12.75" x14ac:dyDescent="0.2"/>
    <row r="60167" s="197" customFormat="1" ht="12.75" x14ac:dyDescent="0.2"/>
    <row r="60168" s="197" customFormat="1" ht="12.75" x14ac:dyDescent="0.2"/>
    <row r="60169" s="197" customFormat="1" ht="12.75" x14ac:dyDescent="0.2"/>
    <row r="60170" s="197" customFormat="1" ht="12.75" x14ac:dyDescent="0.2"/>
    <row r="60171" s="197" customFormat="1" ht="12.75" x14ac:dyDescent="0.2"/>
    <row r="60172" s="197" customFormat="1" ht="12.75" x14ac:dyDescent="0.2"/>
    <row r="60173" s="197" customFormat="1" ht="12.75" x14ac:dyDescent="0.2"/>
    <row r="60174" s="197" customFormat="1" ht="12.75" x14ac:dyDescent="0.2"/>
    <row r="60175" s="197" customFormat="1" ht="12.75" x14ac:dyDescent="0.2"/>
    <row r="60176" s="197" customFormat="1" ht="12.75" x14ac:dyDescent="0.2"/>
    <row r="60177" s="197" customFormat="1" ht="12.75" x14ac:dyDescent="0.2"/>
    <row r="60178" s="197" customFormat="1" ht="12.75" x14ac:dyDescent="0.2"/>
    <row r="60179" s="197" customFormat="1" ht="12.75" x14ac:dyDescent="0.2"/>
    <row r="60180" s="197" customFormat="1" ht="12.75" x14ac:dyDescent="0.2"/>
    <row r="60181" s="197" customFormat="1" ht="12.75" x14ac:dyDescent="0.2"/>
    <row r="60182" s="197" customFormat="1" ht="12.75" x14ac:dyDescent="0.2"/>
    <row r="60183" s="197" customFormat="1" ht="12.75" x14ac:dyDescent="0.2"/>
    <row r="60184" s="197" customFormat="1" ht="12.75" x14ac:dyDescent="0.2"/>
    <row r="60185" s="197" customFormat="1" ht="12.75" x14ac:dyDescent="0.2"/>
    <row r="60186" s="197" customFormat="1" ht="12.75" x14ac:dyDescent="0.2"/>
    <row r="60187" s="197" customFormat="1" ht="12.75" x14ac:dyDescent="0.2"/>
    <row r="60188" s="197" customFormat="1" ht="12.75" x14ac:dyDescent="0.2"/>
    <row r="60189" s="197" customFormat="1" ht="12.75" x14ac:dyDescent="0.2"/>
    <row r="60190" s="197" customFormat="1" ht="12.75" x14ac:dyDescent="0.2"/>
    <row r="60191" s="197" customFormat="1" ht="12.75" x14ac:dyDescent="0.2"/>
    <row r="60192" s="197" customFormat="1" ht="12.75" x14ac:dyDescent="0.2"/>
    <row r="60193" s="197" customFormat="1" ht="12.75" x14ac:dyDescent="0.2"/>
    <row r="60194" s="197" customFormat="1" ht="12.75" x14ac:dyDescent="0.2"/>
    <row r="60195" s="197" customFormat="1" ht="12.75" x14ac:dyDescent="0.2"/>
    <row r="60196" s="197" customFormat="1" ht="12.75" x14ac:dyDescent="0.2"/>
    <row r="60197" s="197" customFormat="1" ht="12.75" x14ac:dyDescent="0.2"/>
    <row r="60198" s="197" customFormat="1" ht="12.75" x14ac:dyDescent="0.2"/>
    <row r="60199" s="197" customFormat="1" ht="12.75" x14ac:dyDescent="0.2"/>
    <row r="60200" s="197" customFormat="1" ht="12.75" x14ac:dyDescent="0.2"/>
    <row r="60201" s="197" customFormat="1" ht="12.75" x14ac:dyDescent="0.2"/>
    <row r="60202" s="197" customFormat="1" ht="12.75" x14ac:dyDescent="0.2"/>
    <row r="60203" s="197" customFormat="1" ht="12.75" x14ac:dyDescent="0.2"/>
    <row r="60204" s="197" customFormat="1" ht="12.75" x14ac:dyDescent="0.2"/>
    <row r="60205" s="197" customFormat="1" ht="12.75" x14ac:dyDescent="0.2"/>
    <row r="60206" s="197" customFormat="1" ht="12.75" x14ac:dyDescent="0.2"/>
    <row r="60207" s="197" customFormat="1" ht="12.75" x14ac:dyDescent="0.2"/>
    <row r="60208" s="197" customFormat="1" ht="12.75" x14ac:dyDescent="0.2"/>
    <row r="60209" s="197" customFormat="1" ht="12.75" x14ac:dyDescent="0.2"/>
    <row r="60210" s="197" customFormat="1" ht="12.75" x14ac:dyDescent="0.2"/>
    <row r="60211" s="197" customFormat="1" ht="12.75" x14ac:dyDescent="0.2"/>
    <row r="60212" s="197" customFormat="1" ht="12.75" x14ac:dyDescent="0.2"/>
    <row r="60213" s="197" customFormat="1" ht="12.75" x14ac:dyDescent="0.2"/>
    <row r="60214" s="197" customFormat="1" ht="12.75" x14ac:dyDescent="0.2"/>
    <row r="60215" s="197" customFormat="1" ht="12.75" x14ac:dyDescent="0.2"/>
    <row r="60216" s="197" customFormat="1" ht="12.75" x14ac:dyDescent="0.2"/>
    <row r="60217" s="197" customFormat="1" ht="12.75" x14ac:dyDescent="0.2"/>
    <row r="60218" s="197" customFormat="1" ht="12.75" x14ac:dyDescent="0.2"/>
    <row r="60219" s="197" customFormat="1" ht="12.75" x14ac:dyDescent="0.2"/>
    <row r="60220" s="197" customFormat="1" ht="12.75" x14ac:dyDescent="0.2"/>
    <row r="60221" s="197" customFormat="1" ht="12.75" x14ac:dyDescent="0.2"/>
    <row r="60222" s="197" customFormat="1" ht="12.75" x14ac:dyDescent="0.2"/>
    <row r="60223" s="197" customFormat="1" ht="12.75" x14ac:dyDescent="0.2"/>
    <row r="60224" s="197" customFormat="1" ht="12.75" x14ac:dyDescent="0.2"/>
    <row r="60225" s="197" customFormat="1" ht="12.75" x14ac:dyDescent="0.2"/>
    <row r="60226" s="197" customFormat="1" ht="12.75" x14ac:dyDescent="0.2"/>
    <row r="60227" s="197" customFormat="1" ht="12.75" x14ac:dyDescent="0.2"/>
    <row r="60228" s="197" customFormat="1" ht="12.75" x14ac:dyDescent="0.2"/>
    <row r="60229" s="197" customFormat="1" ht="12.75" x14ac:dyDescent="0.2"/>
    <row r="60230" s="197" customFormat="1" ht="12.75" x14ac:dyDescent="0.2"/>
    <row r="60231" s="197" customFormat="1" ht="12.75" x14ac:dyDescent="0.2"/>
    <row r="60232" s="197" customFormat="1" ht="12.75" x14ac:dyDescent="0.2"/>
    <row r="60233" s="197" customFormat="1" ht="12.75" x14ac:dyDescent="0.2"/>
    <row r="60234" s="197" customFormat="1" ht="12.75" x14ac:dyDescent="0.2"/>
    <row r="60235" s="197" customFormat="1" ht="12.75" x14ac:dyDescent="0.2"/>
    <row r="60236" s="197" customFormat="1" ht="12.75" x14ac:dyDescent="0.2"/>
    <row r="60237" s="197" customFormat="1" ht="12.75" x14ac:dyDescent="0.2"/>
    <row r="60238" s="197" customFormat="1" ht="12.75" x14ac:dyDescent="0.2"/>
    <row r="60239" s="197" customFormat="1" ht="12.75" x14ac:dyDescent="0.2"/>
    <row r="60240" s="197" customFormat="1" ht="12.75" x14ac:dyDescent="0.2"/>
    <row r="60241" s="197" customFormat="1" ht="12.75" x14ac:dyDescent="0.2"/>
    <row r="60242" s="197" customFormat="1" ht="12.75" x14ac:dyDescent="0.2"/>
    <row r="60243" s="197" customFormat="1" ht="12.75" x14ac:dyDescent="0.2"/>
    <row r="60244" s="197" customFormat="1" ht="12.75" x14ac:dyDescent="0.2"/>
    <row r="60245" s="197" customFormat="1" ht="12.75" x14ac:dyDescent="0.2"/>
    <row r="60246" s="197" customFormat="1" ht="12.75" x14ac:dyDescent="0.2"/>
    <row r="60247" s="197" customFormat="1" ht="12.75" x14ac:dyDescent="0.2"/>
    <row r="60248" s="197" customFormat="1" ht="12.75" x14ac:dyDescent="0.2"/>
    <row r="60249" s="197" customFormat="1" ht="12.75" x14ac:dyDescent="0.2"/>
    <row r="60250" s="197" customFormat="1" ht="12.75" x14ac:dyDescent="0.2"/>
    <row r="60251" s="197" customFormat="1" ht="12.75" x14ac:dyDescent="0.2"/>
    <row r="60252" s="197" customFormat="1" ht="12.75" x14ac:dyDescent="0.2"/>
    <row r="60253" s="197" customFormat="1" ht="12.75" x14ac:dyDescent="0.2"/>
    <row r="60254" s="197" customFormat="1" ht="12.75" x14ac:dyDescent="0.2"/>
    <row r="60255" s="197" customFormat="1" ht="12.75" x14ac:dyDescent="0.2"/>
    <row r="60256" s="197" customFormat="1" ht="12.75" x14ac:dyDescent="0.2"/>
    <row r="60257" s="197" customFormat="1" ht="12.75" x14ac:dyDescent="0.2"/>
    <row r="60258" s="197" customFormat="1" ht="12.75" x14ac:dyDescent="0.2"/>
    <row r="60259" s="197" customFormat="1" ht="12.75" x14ac:dyDescent="0.2"/>
    <row r="60260" s="197" customFormat="1" ht="12.75" x14ac:dyDescent="0.2"/>
    <row r="60261" s="197" customFormat="1" ht="12.75" x14ac:dyDescent="0.2"/>
    <row r="60262" s="197" customFormat="1" ht="12.75" x14ac:dyDescent="0.2"/>
    <row r="60263" s="197" customFormat="1" ht="12.75" x14ac:dyDescent="0.2"/>
    <row r="60264" s="197" customFormat="1" ht="12.75" x14ac:dyDescent="0.2"/>
    <row r="60265" s="197" customFormat="1" ht="12.75" x14ac:dyDescent="0.2"/>
    <row r="60266" s="197" customFormat="1" ht="12.75" x14ac:dyDescent="0.2"/>
    <row r="60267" s="197" customFormat="1" ht="12.75" x14ac:dyDescent="0.2"/>
    <row r="60268" s="197" customFormat="1" ht="12.75" x14ac:dyDescent="0.2"/>
    <row r="60269" s="197" customFormat="1" ht="12.75" x14ac:dyDescent="0.2"/>
    <row r="60270" s="197" customFormat="1" ht="12.75" x14ac:dyDescent="0.2"/>
    <row r="60271" s="197" customFormat="1" ht="12.75" x14ac:dyDescent="0.2"/>
    <row r="60272" s="197" customFormat="1" ht="12.75" x14ac:dyDescent="0.2"/>
    <row r="60273" s="197" customFormat="1" ht="12.75" x14ac:dyDescent="0.2"/>
    <row r="60274" s="197" customFormat="1" ht="12.75" x14ac:dyDescent="0.2"/>
    <row r="60275" s="197" customFormat="1" ht="12.75" x14ac:dyDescent="0.2"/>
    <row r="60276" s="197" customFormat="1" ht="12.75" x14ac:dyDescent="0.2"/>
    <row r="60277" s="197" customFormat="1" ht="12.75" x14ac:dyDescent="0.2"/>
    <row r="60278" s="197" customFormat="1" ht="12.75" x14ac:dyDescent="0.2"/>
    <row r="60279" s="197" customFormat="1" ht="12.75" x14ac:dyDescent="0.2"/>
    <row r="60280" s="197" customFormat="1" ht="12.75" x14ac:dyDescent="0.2"/>
    <row r="60281" s="197" customFormat="1" ht="12.75" x14ac:dyDescent="0.2"/>
    <row r="60282" s="197" customFormat="1" ht="12.75" x14ac:dyDescent="0.2"/>
    <row r="60283" s="197" customFormat="1" ht="12.75" x14ac:dyDescent="0.2"/>
    <row r="60284" s="197" customFormat="1" ht="12.75" x14ac:dyDescent="0.2"/>
    <row r="60285" s="197" customFormat="1" ht="12.75" x14ac:dyDescent="0.2"/>
    <row r="60286" s="197" customFormat="1" ht="12.75" x14ac:dyDescent="0.2"/>
    <row r="60287" s="197" customFormat="1" ht="12.75" x14ac:dyDescent="0.2"/>
    <row r="60288" s="197" customFormat="1" ht="12.75" x14ac:dyDescent="0.2"/>
    <row r="60289" s="197" customFormat="1" ht="12.75" x14ac:dyDescent="0.2"/>
    <row r="60290" s="197" customFormat="1" ht="12.75" x14ac:dyDescent="0.2"/>
    <row r="60291" s="197" customFormat="1" ht="12.75" x14ac:dyDescent="0.2"/>
    <row r="60292" s="197" customFormat="1" ht="12.75" x14ac:dyDescent="0.2"/>
    <row r="60293" s="197" customFormat="1" ht="12.75" x14ac:dyDescent="0.2"/>
    <row r="60294" s="197" customFormat="1" ht="12.75" x14ac:dyDescent="0.2"/>
    <row r="60295" s="197" customFormat="1" ht="12.75" x14ac:dyDescent="0.2"/>
    <row r="60296" s="197" customFormat="1" ht="12.75" x14ac:dyDescent="0.2"/>
    <row r="60297" s="197" customFormat="1" ht="12.75" x14ac:dyDescent="0.2"/>
    <row r="60298" s="197" customFormat="1" ht="12.75" x14ac:dyDescent="0.2"/>
    <row r="60299" s="197" customFormat="1" ht="12.75" x14ac:dyDescent="0.2"/>
    <row r="60300" s="197" customFormat="1" ht="12.75" x14ac:dyDescent="0.2"/>
    <row r="60301" s="197" customFormat="1" ht="12.75" x14ac:dyDescent="0.2"/>
    <row r="60302" s="197" customFormat="1" ht="12.75" x14ac:dyDescent="0.2"/>
    <row r="60303" s="197" customFormat="1" ht="12.75" x14ac:dyDescent="0.2"/>
    <row r="60304" s="197" customFormat="1" ht="12.75" x14ac:dyDescent="0.2"/>
    <row r="60305" s="197" customFormat="1" ht="12.75" x14ac:dyDescent="0.2"/>
    <row r="60306" s="197" customFormat="1" ht="12.75" x14ac:dyDescent="0.2"/>
    <row r="60307" s="197" customFormat="1" ht="12.75" x14ac:dyDescent="0.2"/>
    <row r="60308" s="197" customFormat="1" ht="12.75" x14ac:dyDescent="0.2"/>
    <row r="60309" s="197" customFormat="1" ht="12.75" x14ac:dyDescent="0.2"/>
    <row r="60310" s="197" customFormat="1" ht="12.75" x14ac:dyDescent="0.2"/>
    <row r="60311" s="197" customFormat="1" ht="12.75" x14ac:dyDescent="0.2"/>
    <row r="60312" s="197" customFormat="1" ht="12.75" x14ac:dyDescent="0.2"/>
    <row r="60313" s="197" customFormat="1" ht="12.75" x14ac:dyDescent="0.2"/>
    <row r="60314" s="197" customFormat="1" ht="12.75" x14ac:dyDescent="0.2"/>
    <row r="60315" s="197" customFormat="1" ht="12.75" x14ac:dyDescent="0.2"/>
    <row r="60316" s="197" customFormat="1" ht="12.75" x14ac:dyDescent="0.2"/>
    <row r="60317" s="197" customFormat="1" ht="12.75" x14ac:dyDescent="0.2"/>
    <row r="60318" s="197" customFormat="1" ht="12.75" x14ac:dyDescent="0.2"/>
    <row r="60319" s="197" customFormat="1" ht="12.75" x14ac:dyDescent="0.2"/>
    <row r="60320" s="197" customFormat="1" ht="12.75" x14ac:dyDescent="0.2"/>
    <row r="60321" s="197" customFormat="1" ht="12.75" x14ac:dyDescent="0.2"/>
    <row r="60322" s="197" customFormat="1" ht="12.75" x14ac:dyDescent="0.2"/>
    <row r="60323" s="197" customFormat="1" ht="12.75" x14ac:dyDescent="0.2"/>
    <row r="60324" s="197" customFormat="1" ht="12.75" x14ac:dyDescent="0.2"/>
    <row r="60325" s="197" customFormat="1" ht="12.75" x14ac:dyDescent="0.2"/>
    <row r="60326" s="197" customFormat="1" ht="12.75" x14ac:dyDescent="0.2"/>
    <row r="60327" s="197" customFormat="1" ht="12.75" x14ac:dyDescent="0.2"/>
    <row r="60328" s="197" customFormat="1" ht="12.75" x14ac:dyDescent="0.2"/>
    <row r="60329" s="197" customFormat="1" ht="12.75" x14ac:dyDescent="0.2"/>
    <row r="60330" s="197" customFormat="1" ht="12.75" x14ac:dyDescent="0.2"/>
    <row r="60331" s="197" customFormat="1" ht="12.75" x14ac:dyDescent="0.2"/>
    <row r="60332" s="197" customFormat="1" ht="12.75" x14ac:dyDescent="0.2"/>
    <row r="60333" s="197" customFormat="1" ht="12.75" x14ac:dyDescent="0.2"/>
    <row r="60334" s="197" customFormat="1" ht="12.75" x14ac:dyDescent="0.2"/>
    <row r="60335" s="197" customFormat="1" ht="12.75" x14ac:dyDescent="0.2"/>
    <row r="60336" s="197" customFormat="1" ht="12.75" x14ac:dyDescent="0.2"/>
    <row r="60337" s="197" customFormat="1" ht="12.75" x14ac:dyDescent="0.2"/>
    <row r="60338" s="197" customFormat="1" ht="12.75" x14ac:dyDescent="0.2"/>
    <row r="60339" s="197" customFormat="1" ht="12.75" x14ac:dyDescent="0.2"/>
    <row r="60340" s="197" customFormat="1" ht="12.75" x14ac:dyDescent="0.2"/>
    <row r="60341" s="197" customFormat="1" ht="12.75" x14ac:dyDescent="0.2"/>
    <row r="60342" s="197" customFormat="1" ht="12.75" x14ac:dyDescent="0.2"/>
    <row r="60343" s="197" customFormat="1" ht="12.75" x14ac:dyDescent="0.2"/>
    <row r="60344" s="197" customFormat="1" ht="12.75" x14ac:dyDescent="0.2"/>
    <row r="60345" s="197" customFormat="1" ht="12.75" x14ac:dyDescent="0.2"/>
    <row r="60346" s="197" customFormat="1" ht="12.75" x14ac:dyDescent="0.2"/>
    <row r="60347" s="197" customFormat="1" ht="12.75" x14ac:dyDescent="0.2"/>
    <row r="60348" s="197" customFormat="1" ht="12.75" x14ac:dyDescent="0.2"/>
    <row r="60349" s="197" customFormat="1" ht="12.75" x14ac:dyDescent="0.2"/>
    <row r="60350" s="197" customFormat="1" ht="12.75" x14ac:dyDescent="0.2"/>
    <row r="60351" s="197" customFormat="1" ht="12.75" x14ac:dyDescent="0.2"/>
    <row r="60352" s="197" customFormat="1" ht="12.75" x14ac:dyDescent="0.2"/>
    <row r="60353" s="197" customFormat="1" ht="12.75" x14ac:dyDescent="0.2"/>
    <row r="60354" s="197" customFormat="1" ht="12.75" x14ac:dyDescent="0.2"/>
    <row r="60355" s="197" customFormat="1" ht="12.75" x14ac:dyDescent="0.2"/>
    <row r="60356" s="197" customFormat="1" ht="12.75" x14ac:dyDescent="0.2"/>
    <row r="60357" s="197" customFormat="1" ht="12.75" x14ac:dyDescent="0.2"/>
    <row r="60358" s="197" customFormat="1" ht="12.75" x14ac:dyDescent="0.2"/>
    <row r="60359" s="197" customFormat="1" ht="12.75" x14ac:dyDescent="0.2"/>
    <row r="60360" s="197" customFormat="1" ht="12.75" x14ac:dyDescent="0.2"/>
    <row r="60361" s="197" customFormat="1" ht="12.75" x14ac:dyDescent="0.2"/>
    <row r="60362" s="197" customFormat="1" ht="12.75" x14ac:dyDescent="0.2"/>
    <row r="60363" s="197" customFormat="1" ht="12.75" x14ac:dyDescent="0.2"/>
    <row r="60364" s="197" customFormat="1" ht="12.75" x14ac:dyDescent="0.2"/>
    <row r="60365" s="197" customFormat="1" ht="12.75" x14ac:dyDescent="0.2"/>
    <row r="60366" s="197" customFormat="1" ht="12.75" x14ac:dyDescent="0.2"/>
    <row r="60367" s="197" customFormat="1" ht="12.75" x14ac:dyDescent="0.2"/>
    <row r="60368" s="197" customFormat="1" ht="12.75" x14ac:dyDescent="0.2"/>
    <row r="60369" s="197" customFormat="1" ht="12.75" x14ac:dyDescent="0.2"/>
    <row r="60370" s="197" customFormat="1" ht="12.75" x14ac:dyDescent="0.2"/>
    <row r="60371" s="197" customFormat="1" ht="12.75" x14ac:dyDescent="0.2"/>
    <row r="60372" s="197" customFormat="1" ht="12.75" x14ac:dyDescent="0.2"/>
    <row r="60373" s="197" customFormat="1" ht="12.75" x14ac:dyDescent="0.2"/>
    <row r="60374" s="197" customFormat="1" ht="12.75" x14ac:dyDescent="0.2"/>
    <row r="60375" s="197" customFormat="1" ht="12.75" x14ac:dyDescent="0.2"/>
    <row r="60376" s="197" customFormat="1" ht="12.75" x14ac:dyDescent="0.2"/>
    <row r="60377" s="197" customFormat="1" ht="12.75" x14ac:dyDescent="0.2"/>
    <row r="60378" s="197" customFormat="1" ht="12.75" x14ac:dyDescent="0.2"/>
    <row r="60379" s="197" customFormat="1" ht="12.75" x14ac:dyDescent="0.2"/>
    <row r="60380" s="197" customFormat="1" ht="12.75" x14ac:dyDescent="0.2"/>
    <row r="60381" s="197" customFormat="1" ht="12.75" x14ac:dyDescent="0.2"/>
    <row r="60382" s="197" customFormat="1" ht="12.75" x14ac:dyDescent="0.2"/>
    <row r="60383" s="197" customFormat="1" ht="12.75" x14ac:dyDescent="0.2"/>
    <row r="60384" s="197" customFormat="1" ht="12.75" x14ac:dyDescent="0.2"/>
    <row r="60385" s="197" customFormat="1" ht="12.75" x14ac:dyDescent="0.2"/>
    <row r="60386" s="197" customFormat="1" ht="12.75" x14ac:dyDescent="0.2"/>
    <row r="60387" s="197" customFormat="1" ht="12.75" x14ac:dyDescent="0.2"/>
    <row r="60388" s="197" customFormat="1" ht="12.75" x14ac:dyDescent="0.2"/>
    <row r="60389" s="197" customFormat="1" ht="12.75" x14ac:dyDescent="0.2"/>
    <row r="60390" s="197" customFormat="1" ht="12.75" x14ac:dyDescent="0.2"/>
    <row r="60391" s="197" customFormat="1" ht="12.75" x14ac:dyDescent="0.2"/>
    <row r="60392" s="197" customFormat="1" ht="12.75" x14ac:dyDescent="0.2"/>
    <row r="60393" s="197" customFormat="1" ht="12.75" x14ac:dyDescent="0.2"/>
    <row r="60394" s="197" customFormat="1" ht="12.75" x14ac:dyDescent="0.2"/>
    <row r="60395" s="197" customFormat="1" ht="12.75" x14ac:dyDescent="0.2"/>
    <row r="60396" s="197" customFormat="1" ht="12.75" x14ac:dyDescent="0.2"/>
    <row r="60397" s="197" customFormat="1" ht="12.75" x14ac:dyDescent="0.2"/>
    <row r="60398" s="197" customFormat="1" ht="12.75" x14ac:dyDescent="0.2"/>
    <row r="60399" s="197" customFormat="1" ht="12.75" x14ac:dyDescent="0.2"/>
    <row r="60400" s="197" customFormat="1" ht="12.75" x14ac:dyDescent="0.2"/>
    <row r="60401" s="197" customFormat="1" ht="12.75" x14ac:dyDescent="0.2"/>
    <row r="60402" s="197" customFormat="1" ht="12.75" x14ac:dyDescent="0.2"/>
    <row r="60403" s="197" customFormat="1" ht="12.75" x14ac:dyDescent="0.2"/>
    <row r="60404" s="197" customFormat="1" ht="12.75" x14ac:dyDescent="0.2"/>
    <row r="60405" s="197" customFormat="1" ht="12.75" x14ac:dyDescent="0.2"/>
    <row r="60406" s="197" customFormat="1" ht="12.75" x14ac:dyDescent="0.2"/>
    <row r="60407" s="197" customFormat="1" ht="12.75" x14ac:dyDescent="0.2"/>
    <row r="60408" s="197" customFormat="1" ht="12.75" x14ac:dyDescent="0.2"/>
    <row r="60409" s="197" customFormat="1" ht="12.75" x14ac:dyDescent="0.2"/>
    <row r="60410" s="197" customFormat="1" ht="12.75" x14ac:dyDescent="0.2"/>
    <row r="60411" s="197" customFormat="1" ht="12.75" x14ac:dyDescent="0.2"/>
    <row r="60412" s="197" customFormat="1" ht="12.75" x14ac:dyDescent="0.2"/>
    <row r="60413" s="197" customFormat="1" ht="12.75" x14ac:dyDescent="0.2"/>
    <row r="60414" s="197" customFormat="1" ht="12.75" x14ac:dyDescent="0.2"/>
    <row r="60415" s="197" customFormat="1" ht="12.75" x14ac:dyDescent="0.2"/>
    <row r="60416" s="197" customFormat="1" ht="12.75" x14ac:dyDescent="0.2"/>
    <row r="60417" s="197" customFormat="1" ht="12.75" x14ac:dyDescent="0.2"/>
    <row r="60418" s="197" customFormat="1" ht="12.75" x14ac:dyDescent="0.2"/>
    <row r="60419" s="197" customFormat="1" ht="12.75" x14ac:dyDescent="0.2"/>
    <row r="60420" s="197" customFormat="1" ht="12.75" x14ac:dyDescent="0.2"/>
    <row r="60421" s="197" customFormat="1" ht="12.75" x14ac:dyDescent="0.2"/>
    <row r="60422" s="197" customFormat="1" ht="12.75" x14ac:dyDescent="0.2"/>
    <row r="60423" s="197" customFormat="1" ht="12.75" x14ac:dyDescent="0.2"/>
    <row r="60424" s="197" customFormat="1" ht="12.75" x14ac:dyDescent="0.2"/>
    <row r="60425" s="197" customFormat="1" ht="12.75" x14ac:dyDescent="0.2"/>
    <row r="60426" s="197" customFormat="1" ht="12.75" x14ac:dyDescent="0.2"/>
    <row r="60427" s="197" customFormat="1" ht="12.75" x14ac:dyDescent="0.2"/>
    <row r="60428" s="197" customFormat="1" ht="12.75" x14ac:dyDescent="0.2"/>
    <row r="60429" s="197" customFormat="1" ht="12.75" x14ac:dyDescent="0.2"/>
    <row r="60430" s="197" customFormat="1" ht="12.75" x14ac:dyDescent="0.2"/>
    <row r="60431" s="197" customFormat="1" ht="12.75" x14ac:dyDescent="0.2"/>
    <row r="60432" s="197" customFormat="1" ht="12.75" x14ac:dyDescent="0.2"/>
    <row r="60433" s="197" customFormat="1" ht="12.75" x14ac:dyDescent="0.2"/>
    <row r="60434" s="197" customFormat="1" ht="12.75" x14ac:dyDescent="0.2"/>
    <row r="60435" s="197" customFormat="1" ht="12.75" x14ac:dyDescent="0.2"/>
    <row r="60436" s="197" customFormat="1" ht="12.75" x14ac:dyDescent="0.2"/>
    <row r="60437" s="197" customFormat="1" ht="12.75" x14ac:dyDescent="0.2"/>
    <row r="60438" s="197" customFormat="1" ht="12.75" x14ac:dyDescent="0.2"/>
    <row r="60439" s="197" customFormat="1" ht="12.75" x14ac:dyDescent="0.2"/>
    <row r="60440" s="197" customFormat="1" ht="12.75" x14ac:dyDescent="0.2"/>
    <row r="60441" s="197" customFormat="1" ht="12.75" x14ac:dyDescent="0.2"/>
    <row r="60442" s="197" customFormat="1" ht="12.75" x14ac:dyDescent="0.2"/>
    <row r="60443" s="197" customFormat="1" ht="12.75" x14ac:dyDescent="0.2"/>
    <row r="60444" s="197" customFormat="1" ht="12.75" x14ac:dyDescent="0.2"/>
    <row r="60445" s="197" customFormat="1" ht="12.75" x14ac:dyDescent="0.2"/>
    <row r="60446" s="197" customFormat="1" ht="12.75" x14ac:dyDescent="0.2"/>
    <row r="60447" s="197" customFormat="1" ht="12.75" x14ac:dyDescent="0.2"/>
    <row r="60448" s="197" customFormat="1" ht="12.75" x14ac:dyDescent="0.2"/>
    <row r="60449" s="197" customFormat="1" ht="12.75" x14ac:dyDescent="0.2"/>
    <row r="60450" s="197" customFormat="1" ht="12.75" x14ac:dyDescent="0.2"/>
    <row r="60451" s="197" customFormat="1" ht="12.75" x14ac:dyDescent="0.2"/>
    <row r="60452" s="197" customFormat="1" ht="12.75" x14ac:dyDescent="0.2"/>
    <row r="60453" s="197" customFormat="1" ht="12.75" x14ac:dyDescent="0.2"/>
    <row r="60454" s="197" customFormat="1" ht="12.75" x14ac:dyDescent="0.2"/>
    <row r="60455" s="197" customFormat="1" ht="12.75" x14ac:dyDescent="0.2"/>
    <row r="60456" s="197" customFormat="1" ht="12.75" x14ac:dyDescent="0.2"/>
    <row r="60457" s="197" customFormat="1" ht="12.75" x14ac:dyDescent="0.2"/>
    <row r="60458" s="197" customFormat="1" ht="12.75" x14ac:dyDescent="0.2"/>
    <row r="60459" s="197" customFormat="1" ht="12.75" x14ac:dyDescent="0.2"/>
    <row r="60460" s="197" customFormat="1" ht="12.75" x14ac:dyDescent="0.2"/>
    <row r="60461" s="197" customFormat="1" ht="12.75" x14ac:dyDescent="0.2"/>
    <row r="60462" s="197" customFormat="1" ht="12.75" x14ac:dyDescent="0.2"/>
    <row r="60463" s="197" customFormat="1" ht="12.75" x14ac:dyDescent="0.2"/>
    <row r="60464" s="197" customFormat="1" ht="12.75" x14ac:dyDescent="0.2"/>
    <row r="60465" s="197" customFormat="1" ht="12.75" x14ac:dyDescent="0.2"/>
    <row r="60466" s="197" customFormat="1" ht="12.75" x14ac:dyDescent="0.2"/>
    <row r="60467" s="197" customFormat="1" ht="12.75" x14ac:dyDescent="0.2"/>
    <row r="60468" s="197" customFormat="1" ht="12.75" x14ac:dyDescent="0.2"/>
    <row r="60469" s="197" customFormat="1" ht="12.75" x14ac:dyDescent="0.2"/>
    <row r="60470" s="197" customFormat="1" ht="12.75" x14ac:dyDescent="0.2"/>
    <row r="60471" s="197" customFormat="1" ht="12.75" x14ac:dyDescent="0.2"/>
    <row r="60472" s="197" customFormat="1" ht="12.75" x14ac:dyDescent="0.2"/>
    <row r="60473" s="197" customFormat="1" ht="12.75" x14ac:dyDescent="0.2"/>
    <row r="60474" s="197" customFormat="1" ht="12.75" x14ac:dyDescent="0.2"/>
    <row r="60475" s="197" customFormat="1" ht="12.75" x14ac:dyDescent="0.2"/>
    <row r="60476" s="197" customFormat="1" ht="12.75" x14ac:dyDescent="0.2"/>
    <row r="60477" s="197" customFormat="1" ht="12.75" x14ac:dyDescent="0.2"/>
    <row r="60478" s="197" customFormat="1" ht="12.75" x14ac:dyDescent="0.2"/>
    <row r="60479" s="197" customFormat="1" ht="12.75" x14ac:dyDescent="0.2"/>
    <row r="60480" s="197" customFormat="1" ht="12.75" x14ac:dyDescent="0.2"/>
    <row r="60481" s="197" customFormat="1" ht="12.75" x14ac:dyDescent="0.2"/>
    <row r="60482" s="197" customFormat="1" ht="12.75" x14ac:dyDescent="0.2"/>
    <row r="60483" s="197" customFormat="1" ht="12.75" x14ac:dyDescent="0.2"/>
    <row r="60484" s="197" customFormat="1" ht="12.75" x14ac:dyDescent="0.2"/>
    <row r="60485" s="197" customFormat="1" ht="12.75" x14ac:dyDescent="0.2"/>
    <row r="60486" s="197" customFormat="1" ht="12.75" x14ac:dyDescent="0.2"/>
    <row r="60487" s="197" customFormat="1" ht="12.75" x14ac:dyDescent="0.2"/>
    <row r="60488" s="197" customFormat="1" ht="12.75" x14ac:dyDescent="0.2"/>
    <row r="60489" s="197" customFormat="1" ht="12.75" x14ac:dyDescent="0.2"/>
    <row r="60490" s="197" customFormat="1" ht="12.75" x14ac:dyDescent="0.2"/>
    <row r="60491" s="197" customFormat="1" ht="12.75" x14ac:dyDescent="0.2"/>
    <row r="60492" s="197" customFormat="1" ht="12.75" x14ac:dyDescent="0.2"/>
    <row r="60493" s="197" customFormat="1" ht="12.75" x14ac:dyDescent="0.2"/>
    <row r="60494" s="197" customFormat="1" ht="12.75" x14ac:dyDescent="0.2"/>
    <row r="60495" s="197" customFormat="1" ht="12.75" x14ac:dyDescent="0.2"/>
    <row r="60496" s="197" customFormat="1" ht="12.75" x14ac:dyDescent="0.2"/>
    <row r="60497" s="197" customFormat="1" ht="12.75" x14ac:dyDescent="0.2"/>
    <row r="60498" s="197" customFormat="1" ht="12.75" x14ac:dyDescent="0.2"/>
    <row r="60499" s="197" customFormat="1" ht="12.75" x14ac:dyDescent="0.2"/>
    <row r="60500" s="197" customFormat="1" ht="12.75" x14ac:dyDescent="0.2"/>
    <row r="60501" s="197" customFormat="1" ht="12.75" x14ac:dyDescent="0.2"/>
    <row r="60502" s="197" customFormat="1" ht="12.75" x14ac:dyDescent="0.2"/>
    <row r="60503" s="197" customFormat="1" ht="12.75" x14ac:dyDescent="0.2"/>
    <row r="60504" s="197" customFormat="1" ht="12.75" x14ac:dyDescent="0.2"/>
    <row r="60505" s="197" customFormat="1" ht="12.75" x14ac:dyDescent="0.2"/>
    <row r="60506" s="197" customFormat="1" ht="12.75" x14ac:dyDescent="0.2"/>
    <row r="60507" s="197" customFormat="1" ht="12.75" x14ac:dyDescent="0.2"/>
    <row r="60508" s="197" customFormat="1" ht="12.75" x14ac:dyDescent="0.2"/>
    <row r="60509" s="197" customFormat="1" ht="12.75" x14ac:dyDescent="0.2"/>
    <row r="60510" s="197" customFormat="1" ht="12.75" x14ac:dyDescent="0.2"/>
    <row r="60511" s="197" customFormat="1" ht="12.75" x14ac:dyDescent="0.2"/>
    <row r="60512" s="197" customFormat="1" ht="12.75" x14ac:dyDescent="0.2"/>
    <row r="60513" s="197" customFormat="1" ht="12.75" x14ac:dyDescent="0.2"/>
    <row r="60514" s="197" customFormat="1" ht="12.75" x14ac:dyDescent="0.2"/>
    <row r="60515" s="197" customFormat="1" ht="12.75" x14ac:dyDescent="0.2"/>
    <row r="60516" s="197" customFormat="1" ht="12.75" x14ac:dyDescent="0.2"/>
    <row r="60517" s="197" customFormat="1" ht="12.75" x14ac:dyDescent="0.2"/>
    <row r="60518" s="197" customFormat="1" ht="12.75" x14ac:dyDescent="0.2"/>
    <row r="60519" s="197" customFormat="1" ht="12.75" x14ac:dyDescent="0.2"/>
    <row r="60520" s="197" customFormat="1" ht="12.75" x14ac:dyDescent="0.2"/>
    <row r="60521" s="197" customFormat="1" ht="12.75" x14ac:dyDescent="0.2"/>
    <row r="60522" s="197" customFormat="1" ht="12.75" x14ac:dyDescent="0.2"/>
    <row r="60523" s="197" customFormat="1" ht="12.75" x14ac:dyDescent="0.2"/>
    <row r="60524" s="197" customFormat="1" ht="12.75" x14ac:dyDescent="0.2"/>
    <row r="60525" s="197" customFormat="1" ht="12.75" x14ac:dyDescent="0.2"/>
    <row r="60526" s="197" customFormat="1" ht="12.75" x14ac:dyDescent="0.2"/>
    <row r="60527" s="197" customFormat="1" ht="12.75" x14ac:dyDescent="0.2"/>
    <row r="60528" s="197" customFormat="1" ht="12.75" x14ac:dyDescent="0.2"/>
    <row r="60529" s="197" customFormat="1" ht="12.75" x14ac:dyDescent="0.2"/>
    <row r="60530" s="197" customFormat="1" ht="12.75" x14ac:dyDescent="0.2"/>
    <row r="60531" s="197" customFormat="1" ht="12.75" x14ac:dyDescent="0.2"/>
    <row r="60532" s="197" customFormat="1" ht="12.75" x14ac:dyDescent="0.2"/>
    <row r="60533" s="197" customFormat="1" ht="12.75" x14ac:dyDescent="0.2"/>
    <row r="60534" s="197" customFormat="1" ht="12.75" x14ac:dyDescent="0.2"/>
    <row r="60535" s="197" customFormat="1" ht="12.75" x14ac:dyDescent="0.2"/>
    <row r="60536" s="197" customFormat="1" ht="12.75" x14ac:dyDescent="0.2"/>
    <row r="60537" s="197" customFormat="1" ht="12.75" x14ac:dyDescent="0.2"/>
    <row r="60538" s="197" customFormat="1" ht="12.75" x14ac:dyDescent="0.2"/>
    <row r="60539" s="197" customFormat="1" ht="12.75" x14ac:dyDescent="0.2"/>
    <row r="60540" s="197" customFormat="1" ht="12.75" x14ac:dyDescent="0.2"/>
    <row r="60541" s="197" customFormat="1" ht="12.75" x14ac:dyDescent="0.2"/>
    <row r="60542" s="197" customFormat="1" ht="12.75" x14ac:dyDescent="0.2"/>
    <row r="60543" s="197" customFormat="1" ht="12.75" x14ac:dyDescent="0.2"/>
    <row r="60544" s="197" customFormat="1" ht="12.75" x14ac:dyDescent="0.2"/>
    <row r="60545" s="197" customFormat="1" ht="12.75" x14ac:dyDescent="0.2"/>
    <row r="60546" s="197" customFormat="1" ht="12.75" x14ac:dyDescent="0.2"/>
    <row r="60547" s="197" customFormat="1" ht="12.75" x14ac:dyDescent="0.2"/>
    <row r="60548" s="197" customFormat="1" ht="12.75" x14ac:dyDescent="0.2"/>
    <row r="60549" s="197" customFormat="1" ht="12.75" x14ac:dyDescent="0.2"/>
    <row r="60550" s="197" customFormat="1" ht="12.75" x14ac:dyDescent="0.2"/>
    <row r="60551" s="197" customFormat="1" ht="12.75" x14ac:dyDescent="0.2"/>
    <row r="60552" s="197" customFormat="1" ht="12.75" x14ac:dyDescent="0.2"/>
    <row r="60553" s="197" customFormat="1" ht="12.75" x14ac:dyDescent="0.2"/>
    <row r="60554" s="197" customFormat="1" ht="12.75" x14ac:dyDescent="0.2"/>
    <row r="60555" s="197" customFormat="1" ht="12.75" x14ac:dyDescent="0.2"/>
    <row r="60556" s="197" customFormat="1" ht="12.75" x14ac:dyDescent="0.2"/>
    <row r="60557" s="197" customFormat="1" ht="12.75" x14ac:dyDescent="0.2"/>
    <row r="60558" s="197" customFormat="1" ht="12.75" x14ac:dyDescent="0.2"/>
    <row r="60559" s="197" customFormat="1" ht="12.75" x14ac:dyDescent="0.2"/>
    <row r="60560" s="197" customFormat="1" ht="12.75" x14ac:dyDescent="0.2"/>
    <row r="60561" s="197" customFormat="1" ht="12.75" x14ac:dyDescent="0.2"/>
    <row r="60562" s="197" customFormat="1" ht="12.75" x14ac:dyDescent="0.2"/>
    <row r="60563" s="197" customFormat="1" ht="12.75" x14ac:dyDescent="0.2"/>
    <row r="60564" s="197" customFormat="1" ht="12.75" x14ac:dyDescent="0.2"/>
    <row r="60565" s="197" customFormat="1" ht="12.75" x14ac:dyDescent="0.2"/>
    <row r="60566" s="197" customFormat="1" ht="12.75" x14ac:dyDescent="0.2"/>
    <row r="60567" s="197" customFormat="1" ht="12.75" x14ac:dyDescent="0.2"/>
    <row r="60568" s="197" customFormat="1" ht="12.75" x14ac:dyDescent="0.2"/>
    <row r="60569" s="197" customFormat="1" ht="12.75" x14ac:dyDescent="0.2"/>
    <row r="60570" s="197" customFormat="1" ht="12.75" x14ac:dyDescent="0.2"/>
    <row r="60571" s="197" customFormat="1" ht="12.75" x14ac:dyDescent="0.2"/>
    <row r="60572" s="197" customFormat="1" ht="12.75" x14ac:dyDescent="0.2"/>
    <row r="60573" s="197" customFormat="1" ht="12.75" x14ac:dyDescent="0.2"/>
    <row r="60574" s="197" customFormat="1" ht="12.75" x14ac:dyDescent="0.2"/>
    <row r="60575" s="197" customFormat="1" ht="12.75" x14ac:dyDescent="0.2"/>
    <row r="60576" s="197" customFormat="1" ht="12.75" x14ac:dyDescent="0.2"/>
    <row r="60577" s="197" customFormat="1" ht="12.75" x14ac:dyDescent="0.2"/>
    <row r="60578" s="197" customFormat="1" ht="12.75" x14ac:dyDescent="0.2"/>
    <row r="60579" s="197" customFormat="1" ht="12.75" x14ac:dyDescent="0.2"/>
    <row r="60580" s="197" customFormat="1" ht="12.75" x14ac:dyDescent="0.2"/>
    <row r="60581" s="197" customFormat="1" ht="12.75" x14ac:dyDescent="0.2"/>
    <row r="60582" s="197" customFormat="1" ht="12.75" x14ac:dyDescent="0.2"/>
    <row r="60583" s="197" customFormat="1" ht="12.75" x14ac:dyDescent="0.2"/>
    <row r="60584" s="197" customFormat="1" ht="12.75" x14ac:dyDescent="0.2"/>
    <row r="60585" s="197" customFormat="1" ht="12.75" x14ac:dyDescent="0.2"/>
    <row r="60586" s="197" customFormat="1" ht="12.75" x14ac:dyDescent="0.2"/>
    <row r="60587" s="197" customFormat="1" ht="12.75" x14ac:dyDescent="0.2"/>
    <row r="60588" s="197" customFormat="1" ht="12.75" x14ac:dyDescent="0.2"/>
    <row r="60589" s="197" customFormat="1" ht="12.75" x14ac:dyDescent="0.2"/>
    <row r="60590" s="197" customFormat="1" ht="12.75" x14ac:dyDescent="0.2"/>
    <row r="60591" s="197" customFormat="1" ht="12.75" x14ac:dyDescent="0.2"/>
    <row r="60592" s="197" customFormat="1" ht="12.75" x14ac:dyDescent="0.2"/>
    <row r="60593" s="197" customFormat="1" ht="12.75" x14ac:dyDescent="0.2"/>
    <row r="60594" s="197" customFormat="1" ht="12.75" x14ac:dyDescent="0.2"/>
    <row r="60595" s="197" customFormat="1" ht="12.75" x14ac:dyDescent="0.2"/>
    <row r="60596" s="197" customFormat="1" ht="12.75" x14ac:dyDescent="0.2"/>
    <row r="60597" s="197" customFormat="1" ht="12.75" x14ac:dyDescent="0.2"/>
    <row r="60598" s="197" customFormat="1" ht="12.75" x14ac:dyDescent="0.2"/>
    <row r="60599" s="197" customFormat="1" ht="12.75" x14ac:dyDescent="0.2"/>
    <row r="60600" s="197" customFormat="1" ht="12.75" x14ac:dyDescent="0.2"/>
    <row r="60601" s="197" customFormat="1" ht="12.75" x14ac:dyDescent="0.2"/>
    <row r="60602" s="197" customFormat="1" ht="12.75" x14ac:dyDescent="0.2"/>
    <row r="60603" s="197" customFormat="1" ht="12.75" x14ac:dyDescent="0.2"/>
    <row r="60604" s="197" customFormat="1" ht="12.75" x14ac:dyDescent="0.2"/>
    <row r="60605" s="197" customFormat="1" ht="12.75" x14ac:dyDescent="0.2"/>
    <row r="60606" s="197" customFormat="1" ht="12.75" x14ac:dyDescent="0.2"/>
    <row r="60607" s="197" customFormat="1" ht="12.75" x14ac:dyDescent="0.2"/>
    <row r="60608" s="197" customFormat="1" ht="12.75" x14ac:dyDescent="0.2"/>
    <row r="60609" s="197" customFormat="1" ht="12.75" x14ac:dyDescent="0.2"/>
    <row r="60610" s="197" customFormat="1" ht="12.75" x14ac:dyDescent="0.2"/>
    <row r="60611" s="197" customFormat="1" ht="12.75" x14ac:dyDescent="0.2"/>
    <row r="60612" s="197" customFormat="1" ht="12.75" x14ac:dyDescent="0.2"/>
    <row r="60613" s="197" customFormat="1" ht="12.75" x14ac:dyDescent="0.2"/>
    <row r="60614" s="197" customFormat="1" ht="12.75" x14ac:dyDescent="0.2"/>
    <row r="60615" s="197" customFormat="1" ht="12.75" x14ac:dyDescent="0.2"/>
    <row r="60616" s="197" customFormat="1" ht="12.75" x14ac:dyDescent="0.2"/>
    <row r="60617" s="197" customFormat="1" ht="12.75" x14ac:dyDescent="0.2"/>
    <row r="60618" s="197" customFormat="1" ht="12.75" x14ac:dyDescent="0.2"/>
    <row r="60619" s="197" customFormat="1" ht="12.75" x14ac:dyDescent="0.2"/>
    <row r="60620" s="197" customFormat="1" ht="12.75" x14ac:dyDescent="0.2"/>
    <row r="60621" s="197" customFormat="1" ht="12.75" x14ac:dyDescent="0.2"/>
    <row r="60622" s="197" customFormat="1" ht="12.75" x14ac:dyDescent="0.2"/>
    <row r="60623" s="197" customFormat="1" ht="12.75" x14ac:dyDescent="0.2"/>
    <row r="60624" s="197" customFormat="1" ht="12.75" x14ac:dyDescent="0.2"/>
    <row r="60625" s="197" customFormat="1" ht="12.75" x14ac:dyDescent="0.2"/>
    <row r="60626" s="197" customFormat="1" ht="12.75" x14ac:dyDescent="0.2"/>
    <row r="60627" s="197" customFormat="1" ht="12.75" x14ac:dyDescent="0.2"/>
    <row r="60628" s="197" customFormat="1" ht="12.75" x14ac:dyDescent="0.2"/>
    <row r="60629" s="197" customFormat="1" ht="12.75" x14ac:dyDescent="0.2"/>
    <row r="60630" s="197" customFormat="1" ht="12.75" x14ac:dyDescent="0.2"/>
    <row r="60631" s="197" customFormat="1" ht="12.75" x14ac:dyDescent="0.2"/>
    <row r="60632" s="197" customFormat="1" ht="12.75" x14ac:dyDescent="0.2"/>
    <row r="60633" s="197" customFormat="1" ht="12.75" x14ac:dyDescent="0.2"/>
    <row r="60634" s="197" customFormat="1" ht="12.75" x14ac:dyDescent="0.2"/>
    <row r="60635" s="197" customFormat="1" ht="12.75" x14ac:dyDescent="0.2"/>
    <row r="60636" s="197" customFormat="1" ht="12.75" x14ac:dyDescent="0.2"/>
    <row r="60637" s="197" customFormat="1" ht="12.75" x14ac:dyDescent="0.2"/>
    <row r="60638" s="197" customFormat="1" ht="12.75" x14ac:dyDescent="0.2"/>
    <row r="60639" s="197" customFormat="1" ht="12.75" x14ac:dyDescent="0.2"/>
    <row r="60640" s="197" customFormat="1" ht="12.75" x14ac:dyDescent="0.2"/>
    <row r="60641" s="197" customFormat="1" ht="12.75" x14ac:dyDescent="0.2"/>
    <row r="60642" s="197" customFormat="1" ht="12.75" x14ac:dyDescent="0.2"/>
    <row r="60643" s="197" customFormat="1" ht="12.75" x14ac:dyDescent="0.2"/>
    <row r="60644" s="197" customFormat="1" ht="12.75" x14ac:dyDescent="0.2"/>
    <row r="60645" s="197" customFormat="1" ht="12.75" x14ac:dyDescent="0.2"/>
    <row r="60646" s="197" customFormat="1" ht="12.75" x14ac:dyDescent="0.2"/>
    <row r="60647" s="197" customFormat="1" ht="12.75" x14ac:dyDescent="0.2"/>
    <row r="60648" s="197" customFormat="1" ht="12.75" x14ac:dyDescent="0.2"/>
    <row r="60649" s="197" customFormat="1" ht="12.75" x14ac:dyDescent="0.2"/>
    <row r="60650" s="197" customFormat="1" ht="12.75" x14ac:dyDescent="0.2"/>
    <row r="60651" s="197" customFormat="1" ht="12.75" x14ac:dyDescent="0.2"/>
    <row r="60652" s="197" customFormat="1" ht="12.75" x14ac:dyDescent="0.2"/>
    <row r="60653" s="197" customFormat="1" ht="12.75" x14ac:dyDescent="0.2"/>
    <row r="60654" s="197" customFormat="1" ht="12.75" x14ac:dyDescent="0.2"/>
    <row r="60655" s="197" customFormat="1" ht="12.75" x14ac:dyDescent="0.2"/>
    <row r="60656" s="197" customFormat="1" ht="12.75" x14ac:dyDescent="0.2"/>
    <row r="60657" s="197" customFormat="1" ht="12.75" x14ac:dyDescent="0.2"/>
    <row r="60658" s="197" customFormat="1" ht="12.75" x14ac:dyDescent="0.2"/>
    <row r="60659" s="197" customFormat="1" ht="12.75" x14ac:dyDescent="0.2"/>
    <row r="60660" s="197" customFormat="1" ht="12.75" x14ac:dyDescent="0.2"/>
    <row r="60661" s="197" customFormat="1" ht="12.75" x14ac:dyDescent="0.2"/>
    <row r="60662" s="197" customFormat="1" ht="12.75" x14ac:dyDescent="0.2"/>
    <row r="60663" s="197" customFormat="1" ht="12.75" x14ac:dyDescent="0.2"/>
    <row r="60664" s="197" customFormat="1" ht="12.75" x14ac:dyDescent="0.2"/>
    <row r="60665" s="197" customFormat="1" ht="12.75" x14ac:dyDescent="0.2"/>
    <row r="60666" s="197" customFormat="1" ht="12.75" x14ac:dyDescent="0.2"/>
    <row r="60667" s="197" customFormat="1" ht="12.75" x14ac:dyDescent="0.2"/>
    <row r="60668" s="197" customFormat="1" ht="12.75" x14ac:dyDescent="0.2"/>
    <row r="60669" s="197" customFormat="1" ht="12.75" x14ac:dyDescent="0.2"/>
    <row r="60670" s="197" customFormat="1" ht="12.75" x14ac:dyDescent="0.2"/>
    <row r="60671" s="197" customFormat="1" ht="12.75" x14ac:dyDescent="0.2"/>
    <row r="60672" s="197" customFormat="1" ht="12.75" x14ac:dyDescent="0.2"/>
    <row r="60673" s="197" customFormat="1" ht="12.75" x14ac:dyDescent="0.2"/>
    <row r="60674" s="197" customFormat="1" ht="12.75" x14ac:dyDescent="0.2"/>
    <row r="60675" s="197" customFormat="1" ht="12.75" x14ac:dyDescent="0.2"/>
    <row r="60676" s="197" customFormat="1" ht="12.75" x14ac:dyDescent="0.2"/>
    <row r="60677" s="197" customFormat="1" ht="12.75" x14ac:dyDescent="0.2"/>
    <row r="60678" s="197" customFormat="1" ht="12.75" x14ac:dyDescent="0.2"/>
    <row r="60679" s="197" customFormat="1" ht="12.75" x14ac:dyDescent="0.2"/>
    <row r="60680" s="197" customFormat="1" ht="12.75" x14ac:dyDescent="0.2"/>
    <row r="60681" s="197" customFormat="1" ht="12.75" x14ac:dyDescent="0.2"/>
    <row r="60682" s="197" customFormat="1" ht="12.75" x14ac:dyDescent="0.2"/>
    <row r="60683" s="197" customFormat="1" ht="12.75" x14ac:dyDescent="0.2"/>
    <row r="60684" s="197" customFormat="1" ht="12.75" x14ac:dyDescent="0.2"/>
    <row r="60685" s="197" customFormat="1" ht="12.75" x14ac:dyDescent="0.2"/>
    <row r="60686" s="197" customFormat="1" ht="12.75" x14ac:dyDescent="0.2"/>
    <row r="60687" s="197" customFormat="1" ht="12.75" x14ac:dyDescent="0.2"/>
    <row r="60688" s="197" customFormat="1" ht="12.75" x14ac:dyDescent="0.2"/>
    <row r="60689" s="197" customFormat="1" ht="12.75" x14ac:dyDescent="0.2"/>
    <row r="60690" s="197" customFormat="1" ht="12.75" x14ac:dyDescent="0.2"/>
    <row r="60691" s="197" customFormat="1" ht="12.75" x14ac:dyDescent="0.2"/>
    <row r="60692" s="197" customFormat="1" ht="12.75" x14ac:dyDescent="0.2"/>
    <row r="60693" s="197" customFormat="1" ht="12.75" x14ac:dyDescent="0.2"/>
    <row r="60694" s="197" customFormat="1" ht="12.75" x14ac:dyDescent="0.2"/>
    <row r="60695" s="197" customFormat="1" ht="12.75" x14ac:dyDescent="0.2"/>
    <row r="60696" s="197" customFormat="1" ht="12.75" x14ac:dyDescent="0.2"/>
    <row r="60697" s="197" customFormat="1" ht="12.75" x14ac:dyDescent="0.2"/>
    <row r="60698" s="197" customFormat="1" ht="12.75" x14ac:dyDescent="0.2"/>
    <row r="60699" s="197" customFormat="1" ht="12.75" x14ac:dyDescent="0.2"/>
    <row r="60700" s="197" customFormat="1" ht="12.75" x14ac:dyDescent="0.2"/>
    <row r="60701" s="197" customFormat="1" ht="12.75" x14ac:dyDescent="0.2"/>
    <row r="60702" s="197" customFormat="1" ht="12.75" x14ac:dyDescent="0.2"/>
    <row r="60703" s="197" customFormat="1" ht="12.75" x14ac:dyDescent="0.2"/>
    <row r="60704" s="197" customFormat="1" ht="12.75" x14ac:dyDescent="0.2"/>
    <row r="60705" s="197" customFormat="1" ht="12.75" x14ac:dyDescent="0.2"/>
    <row r="60706" s="197" customFormat="1" ht="12.75" x14ac:dyDescent="0.2"/>
    <row r="60707" s="197" customFormat="1" ht="12.75" x14ac:dyDescent="0.2"/>
    <row r="60708" s="197" customFormat="1" ht="12.75" x14ac:dyDescent="0.2"/>
    <row r="60709" s="197" customFormat="1" ht="12.75" x14ac:dyDescent="0.2"/>
    <row r="60710" s="197" customFormat="1" ht="12.75" x14ac:dyDescent="0.2"/>
    <row r="60711" s="197" customFormat="1" ht="12.75" x14ac:dyDescent="0.2"/>
    <row r="60712" s="197" customFormat="1" ht="12.75" x14ac:dyDescent="0.2"/>
    <row r="60713" s="197" customFormat="1" ht="12.75" x14ac:dyDescent="0.2"/>
    <row r="60714" s="197" customFormat="1" ht="12.75" x14ac:dyDescent="0.2"/>
    <row r="60715" s="197" customFormat="1" ht="12.75" x14ac:dyDescent="0.2"/>
    <row r="60716" s="197" customFormat="1" ht="12.75" x14ac:dyDescent="0.2"/>
    <row r="60717" s="197" customFormat="1" ht="12.75" x14ac:dyDescent="0.2"/>
    <row r="60718" s="197" customFormat="1" ht="12.75" x14ac:dyDescent="0.2"/>
    <row r="60719" s="197" customFormat="1" ht="12.75" x14ac:dyDescent="0.2"/>
    <row r="60720" s="197" customFormat="1" ht="12.75" x14ac:dyDescent="0.2"/>
    <row r="60721" s="197" customFormat="1" ht="12.75" x14ac:dyDescent="0.2"/>
    <row r="60722" s="197" customFormat="1" ht="12.75" x14ac:dyDescent="0.2"/>
    <row r="60723" s="197" customFormat="1" ht="12.75" x14ac:dyDescent="0.2"/>
    <row r="60724" s="197" customFormat="1" ht="12.75" x14ac:dyDescent="0.2"/>
    <row r="60725" s="197" customFormat="1" ht="12.75" x14ac:dyDescent="0.2"/>
    <row r="60726" s="197" customFormat="1" ht="12.75" x14ac:dyDescent="0.2"/>
    <row r="60727" s="197" customFormat="1" ht="12.75" x14ac:dyDescent="0.2"/>
    <row r="60728" s="197" customFormat="1" ht="12.75" x14ac:dyDescent="0.2"/>
    <row r="60729" s="197" customFormat="1" ht="12.75" x14ac:dyDescent="0.2"/>
    <row r="60730" s="197" customFormat="1" ht="12.75" x14ac:dyDescent="0.2"/>
    <row r="60731" s="197" customFormat="1" ht="12.75" x14ac:dyDescent="0.2"/>
    <row r="60732" s="197" customFormat="1" ht="12.75" x14ac:dyDescent="0.2"/>
    <row r="60733" s="197" customFormat="1" ht="12.75" x14ac:dyDescent="0.2"/>
    <row r="60734" s="197" customFormat="1" ht="12.75" x14ac:dyDescent="0.2"/>
    <row r="60735" s="197" customFormat="1" ht="12.75" x14ac:dyDescent="0.2"/>
    <row r="60736" s="197" customFormat="1" ht="12.75" x14ac:dyDescent="0.2"/>
    <row r="60737" s="197" customFormat="1" ht="12.75" x14ac:dyDescent="0.2"/>
    <row r="60738" s="197" customFormat="1" ht="12.75" x14ac:dyDescent="0.2"/>
    <row r="60739" s="197" customFormat="1" ht="12.75" x14ac:dyDescent="0.2"/>
    <row r="60740" s="197" customFormat="1" ht="12.75" x14ac:dyDescent="0.2"/>
    <row r="60741" s="197" customFormat="1" ht="12.75" x14ac:dyDescent="0.2"/>
    <row r="60742" s="197" customFormat="1" ht="12.75" x14ac:dyDescent="0.2"/>
    <row r="60743" s="197" customFormat="1" ht="12.75" x14ac:dyDescent="0.2"/>
    <row r="60744" s="197" customFormat="1" ht="12.75" x14ac:dyDescent="0.2"/>
    <row r="60745" s="197" customFormat="1" ht="12.75" x14ac:dyDescent="0.2"/>
    <row r="60746" s="197" customFormat="1" ht="12.75" x14ac:dyDescent="0.2"/>
    <row r="60747" s="197" customFormat="1" ht="12.75" x14ac:dyDescent="0.2"/>
    <row r="60748" s="197" customFormat="1" ht="12.75" x14ac:dyDescent="0.2"/>
    <row r="60749" s="197" customFormat="1" ht="12.75" x14ac:dyDescent="0.2"/>
    <row r="60750" s="197" customFormat="1" ht="12.75" x14ac:dyDescent="0.2"/>
    <row r="60751" s="197" customFormat="1" ht="12.75" x14ac:dyDescent="0.2"/>
    <row r="60752" s="197" customFormat="1" ht="12.75" x14ac:dyDescent="0.2"/>
    <row r="60753" s="197" customFormat="1" ht="12.75" x14ac:dyDescent="0.2"/>
    <row r="60754" s="197" customFormat="1" ht="12.75" x14ac:dyDescent="0.2"/>
    <row r="60755" s="197" customFormat="1" ht="12.75" x14ac:dyDescent="0.2"/>
    <row r="60756" s="197" customFormat="1" ht="12.75" x14ac:dyDescent="0.2"/>
    <row r="60757" s="197" customFormat="1" ht="12.75" x14ac:dyDescent="0.2"/>
    <row r="60758" s="197" customFormat="1" ht="12.75" x14ac:dyDescent="0.2"/>
    <row r="60759" s="197" customFormat="1" ht="12.75" x14ac:dyDescent="0.2"/>
    <row r="60760" s="197" customFormat="1" ht="12.75" x14ac:dyDescent="0.2"/>
    <row r="60761" s="197" customFormat="1" ht="12.75" x14ac:dyDescent="0.2"/>
    <row r="60762" s="197" customFormat="1" ht="12.75" x14ac:dyDescent="0.2"/>
    <row r="60763" s="197" customFormat="1" ht="12.75" x14ac:dyDescent="0.2"/>
    <row r="60764" s="197" customFormat="1" ht="12.75" x14ac:dyDescent="0.2"/>
    <row r="60765" s="197" customFormat="1" ht="12.75" x14ac:dyDescent="0.2"/>
    <row r="60766" s="197" customFormat="1" ht="12.75" x14ac:dyDescent="0.2"/>
    <row r="60767" s="197" customFormat="1" ht="12.75" x14ac:dyDescent="0.2"/>
    <row r="60768" s="197" customFormat="1" ht="12.75" x14ac:dyDescent="0.2"/>
    <row r="60769" s="197" customFormat="1" ht="12.75" x14ac:dyDescent="0.2"/>
    <row r="60770" s="197" customFormat="1" ht="12.75" x14ac:dyDescent="0.2"/>
    <row r="60771" s="197" customFormat="1" ht="12.75" x14ac:dyDescent="0.2"/>
    <row r="60772" s="197" customFormat="1" ht="12.75" x14ac:dyDescent="0.2"/>
    <row r="60773" s="197" customFormat="1" ht="12.75" x14ac:dyDescent="0.2"/>
    <row r="60774" s="197" customFormat="1" ht="12.75" x14ac:dyDescent="0.2"/>
    <row r="60775" s="197" customFormat="1" ht="12.75" x14ac:dyDescent="0.2"/>
    <row r="60776" s="197" customFormat="1" ht="12.75" x14ac:dyDescent="0.2"/>
    <row r="60777" s="197" customFormat="1" ht="12.75" x14ac:dyDescent="0.2"/>
    <row r="60778" s="197" customFormat="1" ht="12.75" x14ac:dyDescent="0.2"/>
    <row r="60779" s="197" customFormat="1" ht="12.75" x14ac:dyDescent="0.2"/>
    <row r="60780" s="197" customFormat="1" ht="12.75" x14ac:dyDescent="0.2"/>
    <row r="60781" s="197" customFormat="1" ht="12.75" x14ac:dyDescent="0.2"/>
    <row r="60782" s="197" customFormat="1" ht="12.75" x14ac:dyDescent="0.2"/>
    <row r="60783" s="197" customFormat="1" ht="12.75" x14ac:dyDescent="0.2"/>
    <row r="60784" s="197" customFormat="1" ht="12.75" x14ac:dyDescent="0.2"/>
    <row r="60785" s="197" customFormat="1" ht="12.75" x14ac:dyDescent="0.2"/>
    <row r="60786" s="197" customFormat="1" ht="12.75" x14ac:dyDescent="0.2"/>
    <row r="60787" s="197" customFormat="1" ht="12.75" x14ac:dyDescent="0.2"/>
    <row r="60788" s="197" customFormat="1" ht="12.75" x14ac:dyDescent="0.2"/>
    <row r="60789" s="197" customFormat="1" ht="12.75" x14ac:dyDescent="0.2"/>
    <row r="60790" s="197" customFormat="1" ht="12.75" x14ac:dyDescent="0.2"/>
    <row r="60791" s="197" customFormat="1" ht="12.75" x14ac:dyDescent="0.2"/>
    <row r="60792" s="197" customFormat="1" ht="12.75" x14ac:dyDescent="0.2"/>
    <row r="60793" s="197" customFormat="1" ht="12.75" x14ac:dyDescent="0.2"/>
    <row r="60794" s="197" customFormat="1" ht="12.75" x14ac:dyDescent="0.2"/>
    <row r="60795" s="197" customFormat="1" ht="12.75" x14ac:dyDescent="0.2"/>
    <row r="60796" s="197" customFormat="1" ht="12.75" x14ac:dyDescent="0.2"/>
    <row r="60797" s="197" customFormat="1" ht="12.75" x14ac:dyDescent="0.2"/>
    <row r="60798" s="197" customFormat="1" ht="12.75" x14ac:dyDescent="0.2"/>
    <row r="60799" s="197" customFormat="1" ht="12.75" x14ac:dyDescent="0.2"/>
    <row r="60800" s="197" customFormat="1" ht="12.75" x14ac:dyDescent="0.2"/>
    <row r="60801" s="197" customFormat="1" ht="12.75" x14ac:dyDescent="0.2"/>
    <row r="60802" s="197" customFormat="1" ht="12.75" x14ac:dyDescent="0.2"/>
    <row r="60803" s="197" customFormat="1" ht="12.75" x14ac:dyDescent="0.2"/>
    <row r="60804" s="197" customFormat="1" ht="12.75" x14ac:dyDescent="0.2"/>
    <row r="60805" s="197" customFormat="1" ht="12.75" x14ac:dyDescent="0.2"/>
    <row r="60806" s="197" customFormat="1" ht="12.75" x14ac:dyDescent="0.2"/>
    <row r="60807" s="197" customFormat="1" ht="12.75" x14ac:dyDescent="0.2"/>
    <row r="60808" s="197" customFormat="1" ht="12.75" x14ac:dyDescent="0.2"/>
    <row r="60809" s="197" customFormat="1" ht="12.75" x14ac:dyDescent="0.2"/>
    <row r="60810" s="197" customFormat="1" ht="12.75" x14ac:dyDescent="0.2"/>
    <row r="60811" s="197" customFormat="1" ht="12.75" x14ac:dyDescent="0.2"/>
    <row r="60812" s="197" customFormat="1" ht="12.75" x14ac:dyDescent="0.2"/>
    <row r="60813" s="197" customFormat="1" ht="12.75" x14ac:dyDescent="0.2"/>
    <row r="60814" s="197" customFormat="1" ht="12.75" x14ac:dyDescent="0.2"/>
    <row r="60815" s="197" customFormat="1" ht="12.75" x14ac:dyDescent="0.2"/>
    <row r="60816" s="197" customFormat="1" ht="12.75" x14ac:dyDescent="0.2"/>
    <row r="60817" s="197" customFormat="1" ht="12.75" x14ac:dyDescent="0.2"/>
    <row r="60818" s="197" customFormat="1" ht="12.75" x14ac:dyDescent="0.2"/>
    <row r="60819" s="197" customFormat="1" ht="12.75" x14ac:dyDescent="0.2"/>
    <row r="60820" s="197" customFormat="1" ht="12.75" x14ac:dyDescent="0.2"/>
    <row r="60821" s="197" customFormat="1" ht="12.75" x14ac:dyDescent="0.2"/>
    <row r="60822" s="197" customFormat="1" ht="12.75" x14ac:dyDescent="0.2"/>
    <row r="60823" s="197" customFormat="1" ht="12.75" x14ac:dyDescent="0.2"/>
    <row r="60824" s="197" customFormat="1" ht="12.75" x14ac:dyDescent="0.2"/>
    <row r="60825" s="197" customFormat="1" ht="12.75" x14ac:dyDescent="0.2"/>
    <row r="60826" s="197" customFormat="1" ht="12.75" x14ac:dyDescent="0.2"/>
    <row r="60827" s="197" customFormat="1" ht="12.75" x14ac:dyDescent="0.2"/>
    <row r="60828" s="197" customFormat="1" ht="12.75" x14ac:dyDescent="0.2"/>
    <row r="60829" s="197" customFormat="1" ht="12.75" x14ac:dyDescent="0.2"/>
    <row r="60830" s="197" customFormat="1" ht="12.75" x14ac:dyDescent="0.2"/>
    <row r="60831" s="197" customFormat="1" ht="12.75" x14ac:dyDescent="0.2"/>
    <row r="60832" s="197" customFormat="1" ht="12.75" x14ac:dyDescent="0.2"/>
    <row r="60833" s="197" customFormat="1" ht="12.75" x14ac:dyDescent="0.2"/>
    <row r="60834" s="197" customFormat="1" ht="12.75" x14ac:dyDescent="0.2"/>
    <row r="60835" s="197" customFormat="1" ht="12.75" x14ac:dyDescent="0.2"/>
    <row r="60836" s="197" customFormat="1" ht="12.75" x14ac:dyDescent="0.2"/>
    <row r="60837" s="197" customFormat="1" ht="12.75" x14ac:dyDescent="0.2"/>
    <row r="60838" s="197" customFormat="1" ht="12.75" x14ac:dyDescent="0.2"/>
    <row r="60839" s="197" customFormat="1" ht="12.75" x14ac:dyDescent="0.2"/>
    <row r="60840" s="197" customFormat="1" ht="12.75" x14ac:dyDescent="0.2"/>
    <row r="60841" s="197" customFormat="1" ht="12.75" x14ac:dyDescent="0.2"/>
    <row r="60842" s="197" customFormat="1" ht="12.75" x14ac:dyDescent="0.2"/>
    <row r="60843" s="197" customFormat="1" ht="12.75" x14ac:dyDescent="0.2"/>
    <row r="60844" s="197" customFormat="1" ht="12.75" x14ac:dyDescent="0.2"/>
    <row r="60845" s="197" customFormat="1" ht="12.75" x14ac:dyDescent="0.2"/>
    <row r="60846" s="197" customFormat="1" ht="12.75" x14ac:dyDescent="0.2"/>
    <row r="60847" s="197" customFormat="1" ht="12.75" x14ac:dyDescent="0.2"/>
    <row r="60848" s="197" customFormat="1" ht="12.75" x14ac:dyDescent="0.2"/>
    <row r="60849" s="197" customFormat="1" ht="12.75" x14ac:dyDescent="0.2"/>
    <row r="60850" s="197" customFormat="1" ht="12.75" x14ac:dyDescent="0.2"/>
    <row r="60851" s="197" customFormat="1" ht="12.75" x14ac:dyDescent="0.2"/>
    <row r="60852" s="197" customFormat="1" ht="12.75" x14ac:dyDescent="0.2"/>
    <row r="60853" s="197" customFormat="1" ht="12.75" x14ac:dyDescent="0.2"/>
    <row r="60854" s="197" customFormat="1" ht="12.75" x14ac:dyDescent="0.2"/>
    <row r="60855" s="197" customFormat="1" ht="12.75" x14ac:dyDescent="0.2"/>
    <row r="60856" s="197" customFormat="1" ht="12.75" x14ac:dyDescent="0.2"/>
    <row r="60857" s="197" customFormat="1" ht="12.75" x14ac:dyDescent="0.2"/>
    <row r="60858" s="197" customFormat="1" ht="12.75" x14ac:dyDescent="0.2"/>
    <row r="60859" s="197" customFormat="1" ht="12.75" x14ac:dyDescent="0.2"/>
    <row r="60860" s="197" customFormat="1" ht="12.75" x14ac:dyDescent="0.2"/>
    <row r="60861" s="197" customFormat="1" ht="12.75" x14ac:dyDescent="0.2"/>
    <row r="60862" s="197" customFormat="1" ht="12.75" x14ac:dyDescent="0.2"/>
    <row r="60863" s="197" customFormat="1" ht="12.75" x14ac:dyDescent="0.2"/>
    <row r="60864" s="197" customFormat="1" ht="12.75" x14ac:dyDescent="0.2"/>
    <row r="60865" s="197" customFormat="1" ht="12.75" x14ac:dyDescent="0.2"/>
    <row r="60866" s="197" customFormat="1" ht="12.75" x14ac:dyDescent="0.2"/>
    <row r="60867" s="197" customFormat="1" ht="12.75" x14ac:dyDescent="0.2"/>
    <row r="60868" s="197" customFormat="1" ht="12.75" x14ac:dyDescent="0.2"/>
    <row r="60869" s="197" customFormat="1" ht="12.75" x14ac:dyDescent="0.2"/>
    <row r="60870" s="197" customFormat="1" ht="12.75" x14ac:dyDescent="0.2"/>
    <row r="60871" s="197" customFormat="1" ht="12.75" x14ac:dyDescent="0.2"/>
    <row r="60872" s="197" customFormat="1" ht="12.75" x14ac:dyDescent="0.2"/>
    <row r="60873" s="197" customFormat="1" ht="12.75" x14ac:dyDescent="0.2"/>
    <row r="60874" s="197" customFormat="1" ht="12.75" x14ac:dyDescent="0.2"/>
    <row r="60875" s="197" customFormat="1" ht="12.75" x14ac:dyDescent="0.2"/>
    <row r="60876" s="197" customFormat="1" ht="12.75" x14ac:dyDescent="0.2"/>
    <row r="60877" s="197" customFormat="1" ht="12.75" x14ac:dyDescent="0.2"/>
    <row r="60878" s="197" customFormat="1" ht="12.75" x14ac:dyDescent="0.2"/>
    <row r="60879" s="197" customFormat="1" ht="12.75" x14ac:dyDescent="0.2"/>
    <row r="60880" s="197" customFormat="1" ht="12.75" x14ac:dyDescent="0.2"/>
    <row r="60881" s="197" customFormat="1" ht="12.75" x14ac:dyDescent="0.2"/>
    <row r="60882" s="197" customFormat="1" ht="12.75" x14ac:dyDescent="0.2"/>
    <row r="60883" s="197" customFormat="1" ht="12.75" x14ac:dyDescent="0.2"/>
    <row r="60884" s="197" customFormat="1" ht="12.75" x14ac:dyDescent="0.2"/>
    <row r="60885" s="197" customFormat="1" ht="12.75" x14ac:dyDescent="0.2"/>
    <row r="60886" s="197" customFormat="1" ht="12.75" x14ac:dyDescent="0.2"/>
    <row r="60887" s="197" customFormat="1" ht="12.75" x14ac:dyDescent="0.2"/>
    <row r="60888" s="197" customFormat="1" ht="12.75" x14ac:dyDescent="0.2"/>
    <row r="60889" s="197" customFormat="1" ht="12.75" x14ac:dyDescent="0.2"/>
    <row r="60890" s="197" customFormat="1" ht="12.75" x14ac:dyDescent="0.2"/>
    <row r="60891" s="197" customFormat="1" ht="12.75" x14ac:dyDescent="0.2"/>
    <row r="60892" s="197" customFormat="1" ht="12.75" x14ac:dyDescent="0.2"/>
    <row r="60893" s="197" customFormat="1" ht="12.75" x14ac:dyDescent="0.2"/>
    <row r="60894" s="197" customFormat="1" ht="12.75" x14ac:dyDescent="0.2"/>
    <row r="60895" s="197" customFormat="1" ht="12.75" x14ac:dyDescent="0.2"/>
    <row r="60896" s="197" customFormat="1" ht="12.75" x14ac:dyDescent="0.2"/>
    <row r="60897" s="197" customFormat="1" ht="12.75" x14ac:dyDescent="0.2"/>
    <row r="60898" s="197" customFormat="1" ht="12.75" x14ac:dyDescent="0.2"/>
    <row r="60899" s="197" customFormat="1" ht="12.75" x14ac:dyDescent="0.2"/>
    <row r="60900" s="197" customFormat="1" ht="12.75" x14ac:dyDescent="0.2"/>
    <row r="60901" s="197" customFormat="1" ht="12.75" x14ac:dyDescent="0.2"/>
    <row r="60902" s="197" customFormat="1" ht="12.75" x14ac:dyDescent="0.2"/>
    <row r="60903" s="197" customFormat="1" ht="12.75" x14ac:dyDescent="0.2"/>
    <row r="60904" s="197" customFormat="1" ht="12.75" x14ac:dyDescent="0.2"/>
    <row r="60905" s="197" customFormat="1" ht="12.75" x14ac:dyDescent="0.2"/>
    <row r="60906" s="197" customFormat="1" ht="12.75" x14ac:dyDescent="0.2"/>
    <row r="60907" s="197" customFormat="1" ht="12.75" x14ac:dyDescent="0.2"/>
    <row r="60908" s="197" customFormat="1" ht="12.75" x14ac:dyDescent="0.2"/>
    <row r="60909" s="197" customFormat="1" ht="12.75" x14ac:dyDescent="0.2"/>
    <row r="60910" s="197" customFormat="1" ht="12.75" x14ac:dyDescent="0.2"/>
    <row r="60911" s="197" customFormat="1" ht="12.75" x14ac:dyDescent="0.2"/>
    <row r="60912" s="197" customFormat="1" ht="12.75" x14ac:dyDescent="0.2"/>
    <row r="60913" s="197" customFormat="1" ht="12.75" x14ac:dyDescent="0.2"/>
    <row r="60914" s="197" customFormat="1" ht="12.75" x14ac:dyDescent="0.2"/>
    <row r="60915" s="197" customFormat="1" ht="12.75" x14ac:dyDescent="0.2"/>
    <row r="60916" s="197" customFormat="1" ht="12.75" x14ac:dyDescent="0.2"/>
    <row r="60917" s="197" customFormat="1" ht="12.75" x14ac:dyDescent="0.2"/>
    <row r="60918" s="197" customFormat="1" ht="12.75" x14ac:dyDescent="0.2"/>
    <row r="60919" s="197" customFormat="1" ht="12.75" x14ac:dyDescent="0.2"/>
    <row r="60920" s="197" customFormat="1" ht="12.75" x14ac:dyDescent="0.2"/>
    <row r="60921" s="197" customFormat="1" ht="12.75" x14ac:dyDescent="0.2"/>
    <row r="60922" s="197" customFormat="1" ht="12.75" x14ac:dyDescent="0.2"/>
    <row r="60923" s="197" customFormat="1" ht="12.75" x14ac:dyDescent="0.2"/>
    <row r="60924" s="197" customFormat="1" ht="12.75" x14ac:dyDescent="0.2"/>
    <row r="60925" s="197" customFormat="1" ht="12.75" x14ac:dyDescent="0.2"/>
    <row r="60926" s="197" customFormat="1" ht="12.75" x14ac:dyDescent="0.2"/>
    <row r="60927" s="197" customFormat="1" ht="12.75" x14ac:dyDescent="0.2"/>
    <row r="60928" s="197" customFormat="1" ht="12.75" x14ac:dyDescent="0.2"/>
    <row r="60929" s="197" customFormat="1" ht="12.75" x14ac:dyDescent="0.2"/>
    <row r="60930" s="197" customFormat="1" ht="12.75" x14ac:dyDescent="0.2"/>
    <row r="60931" s="197" customFormat="1" ht="12.75" x14ac:dyDescent="0.2"/>
    <row r="60932" s="197" customFormat="1" ht="12.75" x14ac:dyDescent="0.2"/>
    <row r="60933" s="197" customFormat="1" ht="12.75" x14ac:dyDescent="0.2"/>
    <row r="60934" s="197" customFormat="1" ht="12.75" x14ac:dyDescent="0.2"/>
    <row r="60935" s="197" customFormat="1" ht="12.75" x14ac:dyDescent="0.2"/>
    <row r="60936" s="197" customFormat="1" ht="12.75" x14ac:dyDescent="0.2"/>
    <row r="60937" s="197" customFormat="1" ht="12.75" x14ac:dyDescent="0.2"/>
    <row r="60938" s="197" customFormat="1" ht="12.75" x14ac:dyDescent="0.2"/>
    <row r="60939" s="197" customFormat="1" ht="12.75" x14ac:dyDescent="0.2"/>
    <row r="60940" s="197" customFormat="1" ht="12.75" x14ac:dyDescent="0.2"/>
    <row r="60941" s="197" customFormat="1" ht="12.75" x14ac:dyDescent="0.2"/>
    <row r="60942" s="197" customFormat="1" ht="12.75" x14ac:dyDescent="0.2"/>
    <row r="60943" s="197" customFormat="1" ht="12.75" x14ac:dyDescent="0.2"/>
    <row r="60944" s="197" customFormat="1" ht="12.75" x14ac:dyDescent="0.2"/>
    <row r="60945" s="197" customFormat="1" ht="12.75" x14ac:dyDescent="0.2"/>
    <row r="60946" s="197" customFormat="1" ht="12.75" x14ac:dyDescent="0.2"/>
    <row r="60947" s="197" customFormat="1" ht="12.75" x14ac:dyDescent="0.2"/>
    <row r="60948" s="197" customFormat="1" ht="12.75" x14ac:dyDescent="0.2"/>
    <row r="60949" s="197" customFormat="1" ht="12.75" x14ac:dyDescent="0.2"/>
    <row r="60950" s="197" customFormat="1" ht="12.75" x14ac:dyDescent="0.2"/>
    <row r="60951" s="197" customFormat="1" ht="12.75" x14ac:dyDescent="0.2"/>
    <row r="60952" s="197" customFormat="1" ht="12.75" x14ac:dyDescent="0.2"/>
    <row r="60953" s="197" customFormat="1" ht="12.75" x14ac:dyDescent="0.2"/>
    <row r="60954" s="197" customFormat="1" ht="12.75" x14ac:dyDescent="0.2"/>
    <row r="60955" s="197" customFormat="1" ht="12.75" x14ac:dyDescent="0.2"/>
    <row r="60956" s="197" customFormat="1" ht="12.75" x14ac:dyDescent="0.2"/>
    <row r="60957" s="197" customFormat="1" ht="12.75" x14ac:dyDescent="0.2"/>
    <row r="60958" s="197" customFormat="1" ht="12.75" x14ac:dyDescent="0.2"/>
    <row r="60959" s="197" customFormat="1" ht="12.75" x14ac:dyDescent="0.2"/>
    <row r="60960" s="197" customFormat="1" ht="12.75" x14ac:dyDescent="0.2"/>
    <row r="60961" s="197" customFormat="1" ht="12.75" x14ac:dyDescent="0.2"/>
    <row r="60962" s="197" customFormat="1" ht="12.75" x14ac:dyDescent="0.2"/>
    <row r="60963" s="197" customFormat="1" ht="12.75" x14ac:dyDescent="0.2"/>
    <row r="60964" s="197" customFormat="1" ht="12.75" x14ac:dyDescent="0.2"/>
    <row r="60965" s="197" customFormat="1" ht="12.75" x14ac:dyDescent="0.2"/>
    <row r="60966" s="197" customFormat="1" ht="12.75" x14ac:dyDescent="0.2"/>
    <row r="60967" s="197" customFormat="1" ht="12.75" x14ac:dyDescent="0.2"/>
    <row r="60968" s="197" customFormat="1" ht="12.75" x14ac:dyDescent="0.2"/>
    <row r="60969" s="197" customFormat="1" ht="12.75" x14ac:dyDescent="0.2"/>
    <row r="60970" s="197" customFormat="1" ht="12.75" x14ac:dyDescent="0.2"/>
    <row r="60971" s="197" customFormat="1" ht="12.75" x14ac:dyDescent="0.2"/>
    <row r="60972" s="197" customFormat="1" ht="12.75" x14ac:dyDescent="0.2"/>
    <row r="60973" s="197" customFormat="1" ht="12.75" x14ac:dyDescent="0.2"/>
    <row r="60974" s="197" customFormat="1" ht="12.75" x14ac:dyDescent="0.2"/>
    <row r="60975" s="197" customFormat="1" ht="12.75" x14ac:dyDescent="0.2"/>
    <row r="60976" s="197" customFormat="1" ht="12.75" x14ac:dyDescent="0.2"/>
    <row r="60977" s="197" customFormat="1" ht="12.75" x14ac:dyDescent="0.2"/>
    <row r="60978" s="197" customFormat="1" ht="12.75" x14ac:dyDescent="0.2"/>
    <row r="60979" s="197" customFormat="1" ht="12.75" x14ac:dyDescent="0.2"/>
    <row r="60980" s="197" customFormat="1" ht="12.75" x14ac:dyDescent="0.2"/>
    <row r="60981" s="197" customFormat="1" ht="12.75" x14ac:dyDescent="0.2"/>
    <row r="60982" s="197" customFormat="1" ht="12.75" x14ac:dyDescent="0.2"/>
    <row r="60983" s="197" customFormat="1" ht="12.75" x14ac:dyDescent="0.2"/>
    <row r="60984" s="197" customFormat="1" ht="12.75" x14ac:dyDescent="0.2"/>
    <row r="60985" s="197" customFormat="1" ht="12.75" x14ac:dyDescent="0.2"/>
    <row r="60986" s="197" customFormat="1" ht="12.75" x14ac:dyDescent="0.2"/>
    <row r="60987" s="197" customFormat="1" ht="12.75" x14ac:dyDescent="0.2"/>
    <row r="60988" s="197" customFormat="1" ht="12.75" x14ac:dyDescent="0.2"/>
    <row r="60989" s="197" customFormat="1" ht="12.75" x14ac:dyDescent="0.2"/>
    <row r="60990" s="197" customFormat="1" ht="12.75" x14ac:dyDescent="0.2"/>
    <row r="60991" s="197" customFormat="1" ht="12.75" x14ac:dyDescent="0.2"/>
    <row r="60992" s="197" customFormat="1" ht="12.75" x14ac:dyDescent="0.2"/>
    <row r="60993" s="197" customFormat="1" ht="12.75" x14ac:dyDescent="0.2"/>
    <row r="60994" s="197" customFormat="1" ht="12.75" x14ac:dyDescent="0.2"/>
    <row r="60995" s="197" customFormat="1" ht="12.75" x14ac:dyDescent="0.2"/>
    <row r="60996" s="197" customFormat="1" ht="12.75" x14ac:dyDescent="0.2"/>
    <row r="60997" s="197" customFormat="1" ht="12.75" x14ac:dyDescent="0.2"/>
    <row r="60998" s="197" customFormat="1" ht="12.75" x14ac:dyDescent="0.2"/>
    <row r="60999" s="197" customFormat="1" ht="12.75" x14ac:dyDescent="0.2"/>
    <row r="61000" s="197" customFormat="1" ht="12.75" x14ac:dyDescent="0.2"/>
    <row r="61001" s="197" customFormat="1" ht="12.75" x14ac:dyDescent="0.2"/>
    <row r="61002" s="197" customFormat="1" ht="12.75" x14ac:dyDescent="0.2"/>
    <row r="61003" s="197" customFormat="1" ht="12.75" x14ac:dyDescent="0.2"/>
    <row r="61004" s="197" customFormat="1" ht="12.75" x14ac:dyDescent="0.2"/>
    <row r="61005" s="197" customFormat="1" ht="12.75" x14ac:dyDescent="0.2"/>
    <row r="61006" s="197" customFormat="1" ht="12.75" x14ac:dyDescent="0.2"/>
    <row r="61007" s="197" customFormat="1" ht="12.75" x14ac:dyDescent="0.2"/>
    <row r="61008" s="197" customFormat="1" ht="12.75" x14ac:dyDescent="0.2"/>
    <row r="61009" s="197" customFormat="1" ht="12.75" x14ac:dyDescent="0.2"/>
    <row r="61010" s="197" customFormat="1" ht="12.75" x14ac:dyDescent="0.2"/>
    <row r="61011" s="197" customFormat="1" ht="12.75" x14ac:dyDescent="0.2"/>
    <row r="61012" s="197" customFormat="1" ht="12.75" x14ac:dyDescent="0.2"/>
    <row r="61013" s="197" customFormat="1" ht="12.75" x14ac:dyDescent="0.2"/>
    <row r="61014" s="197" customFormat="1" ht="12.75" x14ac:dyDescent="0.2"/>
    <row r="61015" s="197" customFormat="1" ht="12.75" x14ac:dyDescent="0.2"/>
    <row r="61016" s="197" customFormat="1" ht="12.75" x14ac:dyDescent="0.2"/>
    <row r="61017" s="197" customFormat="1" ht="12.75" x14ac:dyDescent="0.2"/>
    <row r="61018" s="197" customFormat="1" ht="12.75" x14ac:dyDescent="0.2"/>
    <row r="61019" s="197" customFormat="1" ht="12.75" x14ac:dyDescent="0.2"/>
    <row r="61020" s="197" customFormat="1" ht="12.75" x14ac:dyDescent="0.2"/>
    <row r="61021" s="197" customFormat="1" ht="12.75" x14ac:dyDescent="0.2"/>
    <row r="61022" s="197" customFormat="1" ht="12.75" x14ac:dyDescent="0.2"/>
    <row r="61023" s="197" customFormat="1" ht="12.75" x14ac:dyDescent="0.2"/>
    <row r="61024" s="197" customFormat="1" ht="12.75" x14ac:dyDescent="0.2"/>
    <row r="61025" s="197" customFormat="1" ht="12.75" x14ac:dyDescent="0.2"/>
    <row r="61026" s="197" customFormat="1" ht="12.75" x14ac:dyDescent="0.2"/>
    <row r="61027" s="197" customFormat="1" ht="12.75" x14ac:dyDescent="0.2"/>
    <row r="61028" s="197" customFormat="1" ht="12.75" x14ac:dyDescent="0.2"/>
    <row r="61029" s="197" customFormat="1" ht="12.75" x14ac:dyDescent="0.2"/>
    <row r="61030" s="197" customFormat="1" ht="12.75" x14ac:dyDescent="0.2"/>
    <row r="61031" s="197" customFormat="1" ht="12.75" x14ac:dyDescent="0.2"/>
    <row r="61032" s="197" customFormat="1" ht="12.75" x14ac:dyDescent="0.2"/>
    <row r="61033" s="197" customFormat="1" ht="12.75" x14ac:dyDescent="0.2"/>
    <row r="61034" s="197" customFormat="1" ht="12.75" x14ac:dyDescent="0.2"/>
    <row r="61035" s="197" customFormat="1" ht="12.75" x14ac:dyDescent="0.2"/>
    <row r="61036" s="197" customFormat="1" ht="12.75" x14ac:dyDescent="0.2"/>
    <row r="61037" s="197" customFormat="1" ht="12.75" x14ac:dyDescent="0.2"/>
    <row r="61038" s="197" customFormat="1" ht="12.75" x14ac:dyDescent="0.2"/>
    <row r="61039" s="197" customFormat="1" ht="12.75" x14ac:dyDescent="0.2"/>
    <row r="61040" s="197" customFormat="1" ht="12.75" x14ac:dyDescent="0.2"/>
    <row r="61041" s="197" customFormat="1" ht="12.75" x14ac:dyDescent="0.2"/>
    <row r="61042" s="197" customFormat="1" ht="12.75" x14ac:dyDescent="0.2"/>
    <row r="61043" s="197" customFormat="1" ht="12.75" x14ac:dyDescent="0.2"/>
    <row r="61044" s="197" customFormat="1" ht="12.75" x14ac:dyDescent="0.2"/>
    <row r="61045" s="197" customFormat="1" ht="12.75" x14ac:dyDescent="0.2"/>
    <row r="61046" s="197" customFormat="1" ht="12.75" x14ac:dyDescent="0.2"/>
    <row r="61047" s="197" customFormat="1" ht="12.75" x14ac:dyDescent="0.2"/>
    <row r="61048" s="197" customFormat="1" ht="12.75" x14ac:dyDescent="0.2"/>
    <row r="61049" s="197" customFormat="1" ht="12.75" x14ac:dyDescent="0.2"/>
    <row r="61050" s="197" customFormat="1" ht="12.75" x14ac:dyDescent="0.2"/>
    <row r="61051" s="197" customFormat="1" ht="12.75" x14ac:dyDescent="0.2"/>
    <row r="61052" s="197" customFormat="1" ht="12.75" x14ac:dyDescent="0.2"/>
    <row r="61053" s="197" customFormat="1" ht="12.75" x14ac:dyDescent="0.2"/>
    <row r="61054" s="197" customFormat="1" ht="12.75" x14ac:dyDescent="0.2"/>
    <row r="61055" s="197" customFormat="1" ht="12.75" x14ac:dyDescent="0.2"/>
    <row r="61056" s="197" customFormat="1" ht="12.75" x14ac:dyDescent="0.2"/>
    <row r="61057" s="197" customFormat="1" ht="12.75" x14ac:dyDescent="0.2"/>
    <row r="61058" s="197" customFormat="1" ht="12.75" x14ac:dyDescent="0.2"/>
    <row r="61059" s="197" customFormat="1" ht="12.75" x14ac:dyDescent="0.2"/>
    <row r="61060" s="197" customFormat="1" ht="12.75" x14ac:dyDescent="0.2"/>
    <row r="61061" s="197" customFormat="1" ht="12.75" x14ac:dyDescent="0.2"/>
    <row r="61062" s="197" customFormat="1" ht="12.75" x14ac:dyDescent="0.2"/>
    <row r="61063" s="197" customFormat="1" ht="12.75" x14ac:dyDescent="0.2"/>
    <row r="61064" s="197" customFormat="1" ht="12.75" x14ac:dyDescent="0.2"/>
    <row r="61065" s="197" customFormat="1" ht="12.75" x14ac:dyDescent="0.2"/>
    <row r="61066" s="197" customFormat="1" ht="12.75" x14ac:dyDescent="0.2"/>
    <row r="61067" s="197" customFormat="1" ht="12.75" x14ac:dyDescent="0.2"/>
    <row r="61068" s="197" customFormat="1" ht="12.75" x14ac:dyDescent="0.2"/>
    <row r="61069" s="197" customFormat="1" ht="12.75" x14ac:dyDescent="0.2"/>
    <row r="61070" s="197" customFormat="1" ht="12.75" x14ac:dyDescent="0.2"/>
    <row r="61071" s="197" customFormat="1" ht="12.75" x14ac:dyDescent="0.2"/>
    <row r="61072" s="197" customFormat="1" ht="12.75" x14ac:dyDescent="0.2"/>
    <row r="61073" s="197" customFormat="1" ht="12.75" x14ac:dyDescent="0.2"/>
    <row r="61074" s="197" customFormat="1" ht="12.75" x14ac:dyDescent="0.2"/>
    <row r="61075" s="197" customFormat="1" ht="12.75" x14ac:dyDescent="0.2"/>
    <row r="61076" s="197" customFormat="1" ht="12.75" x14ac:dyDescent="0.2"/>
    <row r="61077" s="197" customFormat="1" ht="12.75" x14ac:dyDescent="0.2"/>
    <row r="61078" s="197" customFormat="1" ht="12.75" x14ac:dyDescent="0.2"/>
    <row r="61079" s="197" customFormat="1" ht="12.75" x14ac:dyDescent="0.2"/>
    <row r="61080" s="197" customFormat="1" ht="12.75" x14ac:dyDescent="0.2"/>
    <row r="61081" s="197" customFormat="1" ht="12.75" x14ac:dyDescent="0.2"/>
    <row r="61082" s="197" customFormat="1" ht="12.75" x14ac:dyDescent="0.2"/>
    <row r="61083" s="197" customFormat="1" ht="12.75" x14ac:dyDescent="0.2"/>
    <row r="61084" s="197" customFormat="1" ht="12.75" x14ac:dyDescent="0.2"/>
    <row r="61085" s="197" customFormat="1" ht="12.75" x14ac:dyDescent="0.2"/>
    <row r="61086" s="197" customFormat="1" ht="12.75" x14ac:dyDescent="0.2"/>
    <row r="61087" s="197" customFormat="1" ht="12.75" x14ac:dyDescent="0.2"/>
    <row r="61088" s="197" customFormat="1" ht="12.75" x14ac:dyDescent="0.2"/>
    <row r="61089" s="197" customFormat="1" ht="12.75" x14ac:dyDescent="0.2"/>
    <row r="61090" s="197" customFormat="1" ht="12.75" x14ac:dyDescent="0.2"/>
    <row r="61091" s="197" customFormat="1" ht="12.75" x14ac:dyDescent="0.2"/>
    <row r="61092" s="197" customFormat="1" ht="12.75" x14ac:dyDescent="0.2"/>
    <row r="61093" s="197" customFormat="1" ht="12.75" x14ac:dyDescent="0.2"/>
    <row r="61094" s="197" customFormat="1" ht="12.75" x14ac:dyDescent="0.2"/>
    <row r="61095" s="197" customFormat="1" ht="12.75" x14ac:dyDescent="0.2"/>
    <row r="61096" s="197" customFormat="1" ht="12.75" x14ac:dyDescent="0.2"/>
    <row r="61097" s="197" customFormat="1" ht="12.75" x14ac:dyDescent="0.2"/>
    <row r="61098" s="197" customFormat="1" ht="12.75" x14ac:dyDescent="0.2"/>
    <row r="61099" s="197" customFormat="1" ht="12.75" x14ac:dyDescent="0.2"/>
    <row r="61100" s="197" customFormat="1" ht="12.75" x14ac:dyDescent="0.2"/>
    <row r="61101" s="197" customFormat="1" ht="12.75" x14ac:dyDescent="0.2"/>
    <row r="61102" s="197" customFormat="1" ht="12.75" x14ac:dyDescent="0.2"/>
    <row r="61103" s="197" customFormat="1" ht="12.75" x14ac:dyDescent="0.2"/>
    <row r="61104" s="197" customFormat="1" ht="12.75" x14ac:dyDescent="0.2"/>
    <row r="61105" s="197" customFormat="1" ht="12.75" x14ac:dyDescent="0.2"/>
    <row r="61106" s="197" customFormat="1" ht="12.75" x14ac:dyDescent="0.2"/>
    <row r="61107" s="197" customFormat="1" ht="12.75" x14ac:dyDescent="0.2"/>
    <row r="61108" s="197" customFormat="1" ht="12.75" x14ac:dyDescent="0.2"/>
    <row r="61109" s="197" customFormat="1" ht="12.75" x14ac:dyDescent="0.2"/>
    <row r="61110" s="197" customFormat="1" ht="12.75" x14ac:dyDescent="0.2"/>
    <row r="61111" s="197" customFormat="1" ht="12.75" x14ac:dyDescent="0.2"/>
    <row r="61112" s="197" customFormat="1" ht="12.75" x14ac:dyDescent="0.2"/>
    <row r="61113" s="197" customFormat="1" ht="12.75" x14ac:dyDescent="0.2"/>
    <row r="61114" s="197" customFormat="1" ht="12.75" x14ac:dyDescent="0.2"/>
    <row r="61115" s="197" customFormat="1" ht="12.75" x14ac:dyDescent="0.2"/>
    <row r="61116" s="197" customFormat="1" ht="12.75" x14ac:dyDescent="0.2"/>
    <row r="61117" s="197" customFormat="1" ht="12.75" x14ac:dyDescent="0.2"/>
    <row r="61118" s="197" customFormat="1" ht="12.75" x14ac:dyDescent="0.2"/>
    <row r="61119" s="197" customFormat="1" ht="12.75" x14ac:dyDescent="0.2"/>
    <row r="61120" s="197" customFormat="1" ht="12.75" x14ac:dyDescent="0.2"/>
    <row r="61121" s="197" customFormat="1" ht="12.75" x14ac:dyDescent="0.2"/>
    <row r="61122" s="197" customFormat="1" ht="12.75" x14ac:dyDescent="0.2"/>
    <row r="61123" s="197" customFormat="1" ht="12.75" x14ac:dyDescent="0.2"/>
    <row r="61124" s="197" customFormat="1" ht="12.75" x14ac:dyDescent="0.2"/>
    <row r="61125" s="197" customFormat="1" ht="12.75" x14ac:dyDescent="0.2"/>
    <row r="61126" s="197" customFormat="1" ht="12.75" x14ac:dyDescent="0.2"/>
    <row r="61127" s="197" customFormat="1" ht="12.75" x14ac:dyDescent="0.2"/>
    <row r="61128" s="197" customFormat="1" ht="12.75" x14ac:dyDescent="0.2"/>
    <row r="61129" s="197" customFormat="1" ht="12.75" x14ac:dyDescent="0.2"/>
    <row r="61130" s="197" customFormat="1" ht="12.75" x14ac:dyDescent="0.2"/>
    <row r="61131" s="197" customFormat="1" ht="12.75" x14ac:dyDescent="0.2"/>
    <row r="61132" s="197" customFormat="1" ht="12.75" x14ac:dyDescent="0.2"/>
    <row r="61133" s="197" customFormat="1" ht="12.75" x14ac:dyDescent="0.2"/>
    <row r="61134" s="197" customFormat="1" ht="12.75" x14ac:dyDescent="0.2"/>
    <row r="61135" s="197" customFormat="1" ht="12.75" x14ac:dyDescent="0.2"/>
    <row r="61136" s="197" customFormat="1" ht="12.75" x14ac:dyDescent="0.2"/>
    <row r="61137" s="197" customFormat="1" ht="12.75" x14ac:dyDescent="0.2"/>
    <row r="61138" s="197" customFormat="1" ht="12.75" x14ac:dyDescent="0.2"/>
    <row r="61139" s="197" customFormat="1" ht="12.75" x14ac:dyDescent="0.2"/>
    <row r="61140" s="197" customFormat="1" ht="12.75" x14ac:dyDescent="0.2"/>
    <row r="61141" s="197" customFormat="1" ht="12.75" x14ac:dyDescent="0.2"/>
    <row r="61142" s="197" customFormat="1" ht="12.75" x14ac:dyDescent="0.2"/>
    <row r="61143" s="197" customFormat="1" ht="12.75" x14ac:dyDescent="0.2"/>
    <row r="61144" s="197" customFormat="1" ht="12.75" x14ac:dyDescent="0.2"/>
    <row r="61145" s="197" customFormat="1" ht="12.75" x14ac:dyDescent="0.2"/>
    <row r="61146" s="197" customFormat="1" ht="12.75" x14ac:dyDescent="0.2"/>
    <row r="61147" s="197" customFormat="1" ht="12.75" x14ac:dyDescent="0.2"/>
    <row r="61148" s="197" customFormat="1" ht="12.75" x14ac:dyDescent="0.2"/>
    <row r="61149" s="197" customFormat="1" ht="12.75" x14ac:dyDescent="0.2"/>
    <row r="61150" s="197" customFormat="1" ht="12.75" x14ac:dyDescent="0.2"/>
    <row r="61151" s="197" customFormat="1" ht="12.75" x14ac:dyDescent="0.2"/>
    <row r="61152" s="197" customFormat="1" ht="12.75" x14ac:dyDescent="0.2"/>
    <row r="61153" s="197" customFormat="1" ht="12.75" x14ac:dyDescent="0.2"/>
    <row r="61154" s="197" customFormat="1" ht="12.75" x14ac:dyDescent="0.2"/>
    <row r="61155" s="197" customFormat="1" ht="12.75" x14ac:dyDescent="0.2"/>
    <row r="61156" s="197" customFormat="1" ht="12.75" x14ac:dyDescent="0.2"/>
    <row r="61157" s="197" customFormat="1" ht="12.75" x14ac:dyDescent="0.2"/>
    <row r="61158" s="197" customFormat="1" ht="12.75" x14ac:dyDescent="0.2"/>
    <row r="61159" s="197" customFormat="1" ht="12.75" x14ac:dyDescent="0.2"/>
    <row r="61160" s="197" customFormat="1" ht="12.75" x14ac:dyDescent="0.2"/>
    <row r="61161" s="197" customFormat="1" ht="12.75" x14ac:dyDescent="0.2"/>
    <row r="61162" s="197" customFormat="1" ht="12.75" x14ac:dyDescent="0.2"/>
    <row r="61163" s="197" customFormat="1" ht="12.75" x14ac:dyDescent="0.2"/>
    <row r="61164" s="197" customFormat="1" ht="12.75" x14ac:dyDescent="0.2"/>
    <row r="61165" s="197" customFormat="1" ht="12.75" x14ac:dyDescent="0.2"/>
    <row r="61166" s="197" customFormat="1" ht="12.75" x14ac:dyDescent="0.2"/>
    <row r="61167" s="197" customFormat="1" ht="12.75" x14ac:dyDescent="0.2"/>
    <row r="61168" s="197" customFormat="1" ht="12.75" x14ac:dyDescent="0.2"/>
    <row r="61169" s="197" customFormat="1" ht="12.75" x14ac:dyDescent="0.2"/>
    <row r="61170" s="197" customFormat="1" ht="12.75" x14ac:dyDescent="0.2"/>
    <row r="61171" s="197" customFormat="1" ht="12.75" x14ac:dyDescent="0.2"/>
    <row r="61172" s="197" customFormat="1" ht="12.75" x14ac:dyDescent="0.2"/>
    <row r="61173" s="197" customFormat="1" ht="12.75" x14ac:dyDescent="0.2"/>
    <row r="61174" s="197" customFormat="1" ht="12.75" x14ac:dyDescent="0.2"/>
    <row r="61175" s="197" customFormat="1" ht="12.75" x14ac:dyDescent="0.2"/>
    <row r="61176" s="197" customFormat="1" ht="12.75" x14ac:dyDescent="0.2"/>
    <row r="61177" s="197" customFormat="1" ht="12.75" x14ac:dyDescent="0.2"/>
    <row r="61178" s="197" customFormat="1" ht="12.75" x14ac:dyDescent="0.2"/>
    <row r="61179" s="197" customFormat="1" ht="12.75" x14ac:dyDescent="0.2"/>
    <row r="61180" s="197" customFormat="1" ht="12.75" x14ac:dyDescent="0.2"/>
    <row r="61181" s="197" customFormat="1" ht="12.75" x14ac:dyDescent="0.2"/>
    <row r="61182" s="197" customFormat="1" ht="12.75" x14ac:dyDescent="0.2"/>
    <row r="61183" s="197" customFormat="1" ht="12.75" x14ac:dyDescent="0.2"/>
    <row r="61184" s="197" customFormat="1" ht="12.75" x14ac:dyDescent="0.2"/>
    <row r="61185" s="197" customFormat="1" ht="12.75" x14ac:dyDescent="0.2"/>
    <row r="61186" s="197" customFormat="1" ht="12.75" x14ac:dyDescent="0.2"/>
    <row r="61187" s="197" customFormat="1" ht="12.75" x14ac:dyDescent="0.2"/>
    <row r="61188" s="197" customFormat="1" ht="12.75" x14ac:dyDescent="0.2"/>
    <row r="61189" s="197" customFormat="1" ht="12.75" x14ac:dyDescent="0.2"/>
    <row r="61190" s="197" customFormat="1" ht="12.75" x14ac:dyDescent="0.2"/>
    <row r="61191" s="197" customFormat="1" ht="12.75" x14ac:dyDescent="0.2"/>
    <row r="61192" s="197" customFormat="1" ht="12.75" x14ac:dyDescent="0.2"/>
    <row r="61193" s="197" customFormat="1" ht="12.75" x14ac:dyDescent="0.2"/>
    <row r="61194" s="197" customFormat="1" ht="12.75" x14ac:dyDescent="0.2"/>
    <row r="61195" s="197" customFormat="1" ht="12.75" x14ac:dyDescent="0.2"/>
    <row r="61196" s="197" customFormat="1" ht="12.75" x14ac:dyDescent="0.2"/>
    <row r="61197" s="197" customFormat="1" ht="12.75" x14ac:dyDescent="0.2"/>
    <row r="61198" s="197" customFormat="1" ht="12.75" x14ac:dyDescent="0.2"/>
    <row r="61199" s="197" customFormat="1" ht="12.75" x14ac:dyDescent="0.2"/>
    <row r="61200" s="197" customFormat="1" ht="12.75" x14ac:dyDescent="0.2"/>
    <row r="61201" s="197" customFormat="1" ht="12.75" x14ac:dyDescent="0.2"/>
    <row r="61202" s="197" customFormat="1" ht="12.75" x14ac:dyDescent="0.2"/>
    <row r="61203" s="197" customFormat="1" ht="12.75" x14ac:dyDescent="0.2"/>
    <row r="61204" s="197" customFormat="1" ht="12.75" x14ac:dyDescent="0.2"/>
    <row r="61205" s="197" customFormat="1" ht="12.75" x14ac:dyDescent="0.2"/>
    <row r="61206" s="197" customFormat="1" ht="12.75" x14ac:dyDescent="0.2"/>
    <row r="61207" s="197" customFormat="1" ht="12.75" x14ac:dyDescent="0.2"/>
    <row r="61208" s="197" customFormat="1" ht="12.75" x14ac:dyDescent="0.2"/>
    <row r="61209" s="197" customFormat="1" ht="12.75" x14ac:dyDescent="0.2"/>
    <row r="61210" s="197" customFormat="1" ht="12.75" x14ac:dyDescent="0.2"/>
    <row r="61211" s="197" customFormat="1" ht="12.75" x14ac:dyDescent="0.2"/>
    <row r="61212" s="197" customFormat="1" ht="12.75" x14ac:dyDescent="0.2"/>
    <row r="61213" s="197" customFormat="1" ht="12.75" x14ac:dyDescent="0.2"/>
    <row r="61214" s="197" customFormat="1" ht="12.75" x14ac:dyDescent="0.2"/>
    <row r="61215" s="197" customFormat="1" ht="12.75" x14ac:dyDescent="0.2"/>
    <row r="61216" s="197" customFormat="1" ht="12.75" x14ac:dyDescent="0.2"/>
    <row r="61217" s="197" customFormat="1" ht="12.75" x14ac:dyDescent="0.2"/>
    <row r="61218" s="197" customFormat="1" ht="12.75" x14ac:dyDescent="0.2"/>
    <row r="61219" s="197" customFormat="1" ht="12.75" x14ac:dyDescent="0.2"/>
    <row r="61220" s="197" customFormat="1" ht="12.75" x14ac:dyDescent="0.2"/>
    <row r="61221" s="197" customFormat="1" ht="12.75" x14ac:dyDescent="0.2"/>
    <row r="61222" s="197" customFormat="1" ht="12.75" x14ac:dyDescent="0.2"/>
    <row r="61223" s="197" customFormat="1" ht="12.75" x14ac:dyDescent="0.2"/>
    <row r="61224" s="197" customFormat="1" ht="12.75" x14ac:dyDescent="0.2"/>
    <row r="61225" s="197" customFormat="1" ht="12.75" x14ac:dyDescent="0.2"/>
    <row r="61226" s="197" customFormat="1" ht="12.75" x14ac:dyDescent="0.2"/>
    <row r="61227" s="197" customFormat="1" ht="12.75" x14ac:dyDescent="0.2"/>
    <row r="61228" s="197" customFormat="1" ht="12.75" x14ac:dyDescent="0.2"/>
    <row r="61229" s="197" customFormat="1" ht="12.75" x14ac:dyDescent="0.2"/>
    <row r="61230" s="197" customFormat="1" ht="12.75" x14ac:dyDescent="0.2"/>
    <row r="61231" s="197" customFormat="1" ht="12.75" x14ac:dyDescent="0.2"/>
    <row r="61232" s="197" customFormat="1" ht="12.75" x14ac:dyDescent="0.2"/>
    <row r="61233" s="197" customFormat="1" ht="12.75" x14ac:dyDescent="0.2"/>
    <row r="61234" s="197" customFormat="1" ht="12.75" x14ac:dyDescent="0.2"/>
    <row r="61235" s="197" customFormat="1" ht="12.75" x14ac:dyDescent="0.2"/>
    <row r="61236" s="197" customFormat="1" ht="12.75" x14ac:dyDescent="0.2"/>
    <row r="61237" s="197" customFormat="1" ht="12.75" x14ac:dyDescent="0.2"/>
    <row r="61238" s="197" customFormat="1" ht="12.75" x14ac:dyDescent="0.2"/>
    <row r="61239" s="197" customFormat="1" ht="12.75" x14ac:dyDescent="0.2"/>
    <row r="61240" s="197" customFormat="1" ht="12.75" x14ac:dyDescent="0.2"/>
    <row r="61241" s="197" customFormat="1" ht="12.75" x14ac:dyDescent="0.2"/>
    <row r="61242" s="197" customFormat="1" ht="12.75" x14ac:dyDescent="0.2"/>
    <row r="61243" s="197" customFormat="1" ht="12.75" x14ac:dyDescent="0.2"/>
    <row r="61244" s="197" customFormat="1" ht="12.75" x14ac:dyDescent="0.2"/>
    <row r="61245" s="197" customFormat="1" ht="12.75" x14ac:dyDescent="0.2"/>
    <row r="61246" s="197" customFormat="1" ht="12.75" x14ac:dyDescent="0.2"/>
    <row r="61247" s="197" customFormat="1" ht="12.75" x14ac:dyDescent="0.2"/>
    <row r="61248" s="197" customFormat="1" ht="12.75" x14ac:dyDescent="0.2"/>
    <row r="61249" s="197" customFormat="1" ht="12.75" x14ac:dyDescent="0.2"/>
    <row r="61250" s="197" customFormat="1" ht="12.75" x14ac:dyDescent="0.2"/>
    <row r="61251" s="197" customFormat="1" ht="12.75" x14ac:dyDescent="0.2"/>
    <row r="61252" s="197" customFormat="1" ht="12.75" x14ac:dyDescent="0.2"/>
    <row r="61253" s="197" customFormat="1" ht="12.75" x14ac:dyDescent="0.2"/>
    <row r="61254" s="197" customFormat="1" ht="12.75" x14ac:dyDescent="0.2"/>
    <row r="61255" s="197" customFormat="1" ht="12.75" x14ac:dyDescent="0.2"/>
    <row r="61256" s="197" customFormat="1" ht="12.75" x14ac:dyDescent="0.2"/>
    <row r="61257" s="197" customFormat="1" ht="12.75" x14ac:dyDescent="0.2"/>
    <row r="61258" s="197" customFormat="1" ht="12.75" x14ac:dyDescent="0.2"/>
    <row r="61259" s="197" customFormat="1" ht="12.75" x14ac:dyDescent="0.2"/>
    <row r="61260" s="197" customFormat="1" ht="12.75" x14ac:dyDescent="0.2"/>
    <row r="61261" s="197" customFormat="1" ht="12.75" x14ac:dyDescent="0.2"/>
    <row r="61262" s="197" customFormat="1" ht="12.75" x14ac:dyDescent="0.2"/>
    <row r="61263" s="197" customFormat="1" ht="12.75" x14ac:dyDescent="0.2"/>
    <row r="61264" s="197" customFormat="1" ht="12.75" x14ac:dyDescent="0.2"/>
    <row r="61265" s="197" customFormat="1" ht="12.75" x14ac:dyDescent="0.2"/>
    <row r="61266" s="197" customFormat="1" ht="12.75" x14ac:dyDescent="0.2"/>
    <row r="61267" s="197" customFormat="1" ht="12.75" x14ac:dyDescent="0.2"/>
    <row r="61268" s="197" customFormat="1" ht="12.75" x14ac:dyDescent="0.2"/>
    <row r="61269" s="197" customFormat="1" ht="12.75" x14ac:dyDescent="0.2"/>
    <row r="61270" s="197" customFormat="1" ht="12.75" x14ac:dyDescent="0.2"/>
    <row r="61271" s="197" customFormat="1" ht="12.75" x14ac:dyDescent="0.2"/>
    <row r="61272" s="197" customFormat="1" ht="12.75" x14ac:dyDescent="0.2"/>
    <row r="61273" s="197" customFormat="1" ht="12.75" x14ac:dyDescent="0.2"/>
    <row r="61274" s="197" customFormat="1" ht="12.75" x14ac:dyDescent="0.2"/>
    <row r="61275" s="197" customFormat="1" ht="12.75" x14ac:dyDescent="0.2"/>
    <row r="61276" s="197" customFormat="1" ht="12.75" x14ac:dyDescent="0.2"/>
    <row r="61277" s="197" customFormat="1" ht="12.75" x14ac:dyDescent="0.2"/>
    <row r="61278" s="197" customFormat="1" ht="12.75" x14ac:dyDescent="0.2"/>
    <row r="61279" s="197" customFormat="1" ht="12.75" x14ac:dyDescent="0.2"/>
    <row r="61280" s="197" customFormat="1" ht="12.75" x14ac:dyDescent="0.2"/>
    <row r="61281" s="197" customFormat="1" ht="12.75" x14ac:dyDescent="0.2"/>
    <row r="61282" s="197" customFormat="1" ht="12.75" x14ac:dyDescent="0.2"/>
    <row r="61283" s="197" customFormat="1" ht="12.75" x14ac:dyDescent="0.2"/>
    <row r="61284" s="197" customFormat="1" ht="12.75" x14ac:dyDescent="0.2"/>
    <row r="61285" s="197" customFormat="1" ht="12.75" x14ac:dyDescent="0.2"/>
    <row r="61286" s="197" customFormat="1" ht="12.75" x14ac:dyDescent="0.2"/>
    <row r="61287" s="197" customFormat="1" ht="12.75" x14ac:dyDescent="0.2"/>
    <row r="61288" s="197" customFormat="1" ht="12.75" x14ac:dyDescent="0.2"/>
    <row r="61289" s="197" customFormat="1" ht="12.75" x14ac:dyDescent="0.2"/>
    <row r="61290" s="197" customFormat="1" ht="12.75" x14ac:dyDescent="0.2"/>
    <row r="61291" s="197" customFormat="1" ht="12.75" x14ac:dyDescent="0.2"/>
    <row r="61292" s="197" customFormat="1" ht="12.75" x14ac:dyDescent="0.2"/>
    <row r="61293" s="197" customFormat="1" ht="12.75" x14ac:dyDescent="0.2"/>
    <row r="61294" s="197" customFormat="1" ht="12.75" x14ac:dyDescent="0.2"/>
    <row r="61295" s="197" customFormat="1" ht="12.75" x14ac:dyDescent="0.2"/>
    <row r="61296" s="197" customFormat="1" ht="12.75" x14ac:dyDescent="0.2"/>
    <row r="61297" s="197" customFormat="1" ht="12.75" x14ac:dyDescent="0.2"/>
    <row r="61298" s="197" customFormat="1" ht="12.75" x14ac:dyDescent="0.2"/>
    <row r="61299" s="197" customFormat="1" ht="12.75" x14ac:dyDescent="0.2"/>
    <row r="61300" s="197" customFormat="1" ht="12.75" x14ac:dyDescent="0.2"/>
    <row r="61301" s="197" customFormat="1" ht="12.75" x14ac:dyDescent="0.2"/>
    <row r="61302" s="197" customFormat="1" ht="12.75" x14ac:dyDescent="0.2"/>
    <row r="61303" s="197" customFormat="1" ht="12.75" x14ac:dyDescent="0.2"/>
    <row r="61304" s="197" customFormat="1" ht="12.75" x14ac:dyDescent="0.2"/>
    <row r="61305" s="197" customFormat="1" ht="12.75" x14ac:dyDescent="0.2"/>
    <row r="61306" s="197" customFormat="1" ht="12.75" x14ac:dyDescent="0.2"/>
    <row r="61307" s="197" customFormat="1" ht="12.75" x14ac:dyDescent="0.2"/>
    <row r="61308" s="197" customFormat="1" ht="12.75" x14ac:dyDescent="0.2"/>
    <row r="61309" s="197" customFormat="1" ht="12.75" x14ac:dyDescent="0.2"/>
    <row r="61310" s="197" customFormat="1" ht="12.75" x14ac:dyDescent="0.2"/>
    <row r="61311" s="197" customFormat="1" ht="12.75" x14ac:dyDescent="0.2"/>
    <row r="61312" s="197" customFormat="1" ht="12.75" x14ac:dyDescent="0.2"/>
    <row r="61313" s="197" customFormat="1" ht="12.75" x14ac:dyDescent="0.2"/>
    <row r="61314" s="197" customFormat="1" ht="12.75" x14ac:dyDescent="0.2"/>
    <row r="61315" s="197" customFormat="1" ht="12.75" x14ac:dyDescent="0.2"/>
    <row r="61316" s="197" customFormat="1" ht="12.75" x14ac:dyDescent="0.2"/>
    <row r="61317" s="197" customFormat="1" ht="12.75" x14ac:dyDescent="0.2"/>
    <row r="61318" s="197" customFormat="1" ht="12.75" x14ac:dyDescent="0.2"/>
    <row r="61319" s="197" customFormat="1" ht="12.75" x14ac:dyDescent="0.2"/>
    <row r="61320" s="197" customFormat="1" ht="12.75" x14ac:dyDescent="0.2"/>
    <row r="61321" s="197" customFormat="1" ht="12.75" x14ac:dyDescent="0.2"/>
    <row r="61322" s="197" customFormat="1" ht="12.75" x14ac:dyDescent="0.2"/>
    <row r="61323" s="197" customFormat="1" ht="12.75" x14ac:dyDescent="0.2"/>
    <row r="61324" s="197" customFormat="1" ht="12.75" x14ac:dyDescent="0.2"/>
    <row r="61325" s="197" customFormat="1" ht="12.75" x14ac:dyDescent="0.2"/>
    <row r="61326" s="197" customFormat="1" ht="12.75" x14ac:dyDescent="0.2"/>
    <row r="61327" s="197" customFormat="1" ht="12.75" x14ac:dyDescent="0.2"/>
    <row r="61328" s="197" customFormat="1" ht="12.75" x14ac:dyDescent="0.2"/>
    <row r="61329" s="197" customFormat="1" ht="12.75" x14ac:dyDescent="0.2"/>
    <row r="61330" s="197" customFormat="1" ht="12.75" x14ac:dyDescent="0.2"/>
    <row r="61331" s="197" customFormat="1" ht="12.75" x14ac:dyDescent="0.2"/>
    <row r="61332" s="197" customFormat="1" ht="12.75" x14ac:dyDescent="0.2"/>
    <row r="61333" s="197" customFormat="1" ht="12.75" x14ac:dyDescent="0.2"/>
    <row r="61334" s="197" customFormat="1" ht="12.75" x14ac:dyDescent="0.2"/>
    <row r="61335" s="197" customFormat="1" ht="12.75" x14ac:dyDescent="0.2"/>
    <row r="61336" s="197" customFormat="1" ht="12.75" x14ac:dyDescent="0.2"/>
    <row r="61337" s="197" customFormat="1" ht="12.75" x14ac:dyDescent="0.2"/>
    <row r="61338" s="197" customFormat="1" ht="12.75" x14ac:dyDescent="0.2"/>
    <row r="61339" s="197" customFormat="1" ht="12.75" x14ac:dyDescent="0.2"/>
    <row r="61340" s="197" customFormat="1" ht="12.75" x14ac:dyDescent="0.2"/>
    <row r="61341" s="197" customFormat="1" ht="12.75" x14ac:dyDescent="0.2"/>
    <row r="61342" s="197" customFormat="1" ht="12.75" x14ac:dyDescent="0.2"/>
    <row r="61343" s="197" customFormat="1" ht="12.75" x14ac:dyDescent="0.2"/>
    <row r="61344" s="197" customFormat="1" ht="12.75" x14ac:dyDescent="0.2"/>
    <row r="61345" s="197" customFormat="1" ht="12.75" x14ac:dyDescent="0.2"/>
    <row r="61346" s="197" customFormat="1" ht="12.75" x14ac:dyDescent="0.2"/>
    <row r="61347" s="197" customFormat="1" ht="12.75" x14ac:dyDescent="0.2"/>
    <row r="61348" s="197" customFormat="1" ht="12.75" x14ac:dyDescent="0.2"/>
    <row r="61349" s="197" customFormat="1" ht="12.75" x14ac:dyDescent="0.2"/>
    <row r="61350" s="197" customFormat="1" ht="12.75" x14ac:dyDescent="0.2"/>
    <row r="61351" s="197" customFormat="1" ht="12.75" x14ac:dyDescent="0.2"/>
    <row r="61352" s="197" customFormat="1" ht="12.75" x14ac:dyDescent="0.2"/>
    <row r="61353" s="197" customFormat="1" ht="12.75" x14ac:dyDescent="0.2"/>
    <row r="61354" s="197" customFormat="1" ht="12.75" x14ac:dyDescent="0.2"/>
    <row r="61355" s="197" customFormat="1" ht="12.75" x14ac:dyDescent="0.2"/>
    <row r="61356" s="197" customFormat="1" ht="12.75" x14ac:dyDescent="0.2"/>
    <row r="61357" s="197" customFormat="1" ht="12.75" x14ac:dyDescent="0.2"/>
    <row r="61358" s="197" customFormat="1" ht="12.75" x14ac:dyDescent="0.2"/>
    <row r="61359" s="197" customFormat="1" ht="12.75" x14ac:dyDescent="0.2"/>
    <row r="61360" s="197" customFormat="1" ht="12.75" x14ac:dyDescent="0.2"/>
    <row r="61361" s="197" customFormat="1" ht="12.75" x14ac:dyDescent="0.2"/>
    <row r="61362" s="197" customFormat="1" ht="12.75" x14ac:dyDescent="0.2"/>
    <row r="61363" s="197" customFormat="1" ht="12.75" x14ac:dyDescent="0.2"/>
    <row r="61364" s="197" customFormat="1" ht="12.75" x14ac:dyDescent="0.2"/>
    <row r="61365" s="197" customFormat="1" ht="12.75" x14ac:dyDescent="0.2"/>
    <row r="61366" s="197" customFormat="1" ht="12.75" x14ac:dyDescent="0.2"/>
    <row r="61367" s="197" customFormat="1" ht="12.75" x14ac:dyDescent="0.2"/>
    <row r="61368" s="197" customFormat="1" ht="12.75" x14ac:dyDescent="0.2"/>
    <row r="61369" s="197" customFormat="1" ht="12.75" x14ac:dyDescent="0.2"/>
    <row r="61370" s="197" customFormat="1" ht="12.75" x14ac:dyDescent="0.2"/>
    <row r="61371" s="197" customFormat="1" ht="12.75" x14ac:dyDescent="0.2"/>
    <row r="61372" s="197" customFormat="1" ht="12.75" x14ac:dyDescent="0.2"/>
    <row r="61373" s="197" customFormat="1" ht="12.75" x14ac:dyDescent="0.2"/>
    <row r="61374" s="197" customFormat="1" ht="12.75" x14ac:dyDescent="0.2"/>
    <row r="61375" s="197" customFormat="1" ht="12.75" x14ac:dyDescent="0.2"/>
    <row r="61376" s="197" customFormat="1" ht="12.75" x14ac:dyDescent="0.2"/>
    <row r="61377" s="197" customFormat="1" ht="12.75" x14ac:dyDescent="0.2"/>
    <row r="61378" s="197" customFormat="1" ht="12.75" x14ac:dyDescent="0.2"/>
    <row r="61379" s="197" customFormat="1" ht="12.75" x14ac:dyDescent="0.2"/>
    <row r="61380" s="197" customFormat="1" ht="12.75" x14ac:dyDescent="0.2"/>
    <row r="61381" s="197" customFormat="1" ht="12.75" x14ac:dyDescent="0.2"/>
    <row r="61382" s="197" customFormat="1" ht="12.75" x14ac:dyDescent="0.2"/>
    <row r="61383" s="197" customFormat="1" ht="12.75" x14ac:dyDescent="0.2"/>
    <row r="61384" s="197" customFormat="1" ht="12.75" x14ac:dyDescent="0.2"/>
    <row r="61385" s="197" customFormat="1" ht="12.75" x14ac:dyDescent="0.2"/>
    <row r="61386" s="197" customFormat="1" ht="12.75" x14ac:dyDescent="0.2"/>
    <row r="61387" s="197" customFormat="1" ht="12.75" x14ac:dyDescent="0.2"/>
    <row r="61388" s="197" customFormat="1" ht="12.75" x14ac:dyDescent="0.2"/>
    <row r="61389" s="197" customFormat="1" ht="12.75" x14ac:dyDescent="0.2"/>
    <row r="61390" s="197" customFormat="1" ht="12.75" x14ac:dyDescent="0.2"/>
    <row r="61391" s="197" customFormat="1" ht="12.75" x14ac:dyDescent="0.2"/>
    <row r="61392" s="197" customFormat="1" ht="12.75" x14ac:dyDescent="0.2"/>
    <row r="61393" s="197" customFormat="1" ht="12.75" x14ac:dyDescent="0.2"/>
    <row r="61394" s="197" customFormat="1" ht="12.75" x14ac:dyDescent="0.2"/>
    <row r="61395" s="197" customFormat="1" ht="12.75" x14ac:dyDescent="0.2"/>
    <row r="61396" s="197" customFormat="1" ht="12.75" x14ac:dyDescent="0.2"/>
    <row r="61397" s="197" customFormat="1" ht="12.75" x14ac:dyDescent="0.2"/>
    <row r="61398" s="197" customFormat="1" ht="12.75" x14ac:dyDescent="0.2"/>
    <row r="61399" s="197" customFormat="1" ht="12.75" x14ac:dyDescent="0.2"/>
    <row r="61400" s="197" customFormat="1" ht="12.75" x14ac:dyDescent="0.2"/>
    <row r="61401" s="197" customFormat="1" ht="12.75" x14ac:dyDescent="0.2"/>
    <row r="61402" s="197" customFormat="1" ht="12.75" x14ac:dyDescent="0.2"/>
    <row r="61403" s="197" customFormat="1" ht="12.75" x14ac:dyDescent="0.2"/>
    <row r="61404" s="197" customFormat="1" ht="12.75" x14ac:dyDescent="0.2"/>
    <row r="61405" s="197" customFormat="1" ht="12.75" x14ac:dyDescent="0.2"/>
    <row r="61406" s="197" customFormat="1" ht="12.75" x14ac:dyDescent="0.2"/>
    <row r="61407" s="197" customFormat="1" ht="12.75" x14ac:dyDescent="0.2"/>
    <row r="61408" s="197" customFormat="1" ht="12.75" x14ac:dyDescent="0.2"/>
    <row r="61409" s="197" customFormat="1" ht="12.75" x14ac:dyDescent="0.2"/>
    <row r="61410" s="197" customFormat="1" ht="12.75" x14ac:dyDescent="0.2"/>
    <row r="61411" s="197" customFormat="1" ht="12.75" x14ac:dyDescent="0.2"/>
    <row r="61412" s="197" customFormat="1" ht="12.75" x14ac:dyDescent="0.2"/>
    <row r="61413" s="197" customFormat="1" ht="12.75" x14ac:dyDescent="0.2"/>
    <row r="61414" s="197" customFormat="1" ht="12.75" x14ac:dyDescent="0.2"/>
    <row r="61415" s="197" customFormat="1" ht="12.75" x14ac:dyDescent="0.2"/>
    <row r="61416" s="197" customFormat="1" ht="12.75" x14ac:dyDescent="0.2"/>
    <row r="61417" s="197" customFormat="1" ht="12.75" x14ac:dyDescent="0.2"/>
    <row r="61418" s="197" customFormat="1" ht="12.75" x14ac:dyDescent="0.2"/>
    <row r="61419" s="197" customFormat="1" ht="12.75" x14ac:dyDescent="0.2"/>
    <row r="61420" s="197" customFormat="1" ht="12.75" x14ac:dyDescent="0.2"/>
    <row r="61421" s="197" customFormat="1" ht="12.75" x14ac:dyDescent="0.2"/>
    <row r="61422" s="197" customFormat="1" ht="12.75" x14ac:dyDescent="0.2"/>
    <row r="61423" s="197" customFormat="1" ht="12.75" x14ac:dyDescent="0.2"/>
    <row r="61424" s="197" customFormat="1" ht="12.75" x14ac:dyDescent="0.2"/>
    <row r="61425" s="197" customFormat="1" ht="12.75" x14ac:dyDescent="0.2"/>
    <row r="61426" s="197" customFormat="1" ht="12.75" x14ac:dyDescent="0.2"/>
    <row r="61427" s="197" customFormat="1" ht="12.75" x14ac:dyDescent="0.2"/>
    <row r="61428" s="197" customFormat="1" ht="12.75" x14ac:dyDescent="0.2"/>
    <row r="61429" s="197" customFormat="1" ht="12.75" x14ac:dyDescent="0.2"/>
    <row r="61430" s="197" customFormat="1" ht="12.75" x14ac:dyDescent="0.2"/>
    <row r="61431" s="197" customFormat="1" ht="12.75" x14ac:dyDescent="0.2"/>
    <row r="61432" s="197" customFormat="1" ht="12.75" x14ac:dyDescent="0.2"/>
    <row r="61433" s="197" customFormat="1" ht="12.75" x14ac:dyDescent="0.2"/>
    <row r="61434" s="197" customFormat="1" ht="12.75" x14ac:dyDescent="0.2"/>
    <row r="61435" s="197" customFormat="1" ht="12.75" x14ac:dyDescent="0.2"/>
    <row r="61436" s="197" customFormat="1" ht="12.75" x14ac:dyDescent="0.2"/>
    <row r="61437" s="197" customFormat="1" ht="12.75" x14ac:dyDescent="0.2"/>
    <row r="61438" s="197" customFormat="1" ht="12.75" x14ac:dyDescent="0.2"/>
    <row r="61439" s="197" customFormat="1" ht="12.75" x14ac:dyDescent="0.2"/>
    <row r="61440" s="197" customFormat="1" ht="12.75" x14ac:dyDescent="0.2"/>
    <row r="61441" s="197" customFormat="1" ht="12.75" x14ac:dyDescent="0.2"/>
    <row r="61442" s="197" customFormat="1" ht="12.75" x14ac:dyDescent="0.2"/>
    <row r="61443" s="197" customFormat="1" ht="12.75" x14ac:dyDescent="0.2"/>
    <row r="61444" s="197" customFormat="1" ht="12.75" x14ac:dyDescent="0.2"/>
    <row r="61445" s="197" customFormat="1" ht="12.75" x14ac:dyDescent="0.2"/>
    <row r="61446" s="197" customFormat="1" ht="12.75" x14ac:dyDescent="0.2"/>
    <row r="61447" s="197" customFormat="1" ht="12.75" x14ac:dyDescent="0.2"/>
    <row r="61448" s="197" customFormat="1" ht="12.75" x14ac:dyDescent="0.2"/>
    <row r="61449" s="197" customFormat="1" ht="12.75" x14ac:dyDescent="0.2"/>
    <row r="61450" s="197" customFormat="1" ht="12.75" x14ac:dyDescent="0.2"/>
    <row r="61451" s="197" customFormat="1" ht="12.75" x14ac:dyDescent="0.2"/>
    <row r="61452" s="197" customFormat="1" ht="12.75" x14ac:dyDescent="0.2"/>
    <row r="61453" s="197" customFormat="1" ht="12.75" x14ac:dyDescent="0.2"/>
    <row r="61454" s="197" customFormat="1" ht="12.75" x14ac:dyDescent="0.2"/>
    <row r="61455" s="197" customFormat="1" ht="12.75" x14ac:dyDescent="0.2"/>
    <row r="61456" s="197" customFormat="1" ht="12.75" x14ac:dyDescent="0.2"/>
    <row r="61457" s="197" customFormat="1" ht="12.75" x14ac:dyDescent="0.2"/>
    <row r="61458" s="197" customFormat="1" ht="12.75" x14ac:dyDescent="0.2"/>
    <row r="61459" s="197" customFormat="1" ht="12.75" x14ac:dyDescent="0.2"/>
    <row r="61460" s="197" customFormat="1" ht="12.75" x14ac:dyDescent="0.2"/>
    <row r="61461" s="197" customFormat="1" ht="12.75" x14ac:dyDescent="0.2"/>
    <row r="61462" s="197" customFormat="1" ht="12.75" x14ac:dyDescent="0.2"/>
    <row r="61463" s="197" customFormat="1" ht="12.75" x14ac:dyDescent="0.2"/>
    <row r="61464" s="197" customFormat="1" ht="12.75" x14ac:dyDescent="0.2"/>
    <row r="61465" s="197" customFormat="1" ht="12.75" x14ac:dyDescent="0.2"/>
    <row r="61466" s="197" customFormat="1" ht="12.75" x14ac:dyDescent="0.2"/>
    <row r="61467" s="197" customFormat="1" ht="12.75" x14ac:dyDescent="0.2"/>
    <row r="61468" s="197" customFormat="1" ht="12.75" x14ac:dyDescent="0.2"/>
    <row r="61469" s="197" customFormat="1" ht="12.75" x14ac:dyDescent="0.2"/>
    <row r="61470" s="197" customFormat="1" ht="12.75" x14ac:dyDescent="0.2"/>
    <row r="61471" s="197" customFormat="1" ht="12.75" x14ac:dyDescent="0.2"/>
    <row r="61472" s="197" customFormat="1" ht="12.75" x14ac:dyDescent="0.2"/>
    <row r="61473" s="197" customFormat="1" ht="12.75" x14ac:dyDescent="0.2"/>
    <row r="61474" s="197" customFormat="1" ht="12.75" x14ac:dyDescent="0.2"/>
    <row r="61475" s="197" customFormat="1" ht="12.75" x14ac:dyDescent="0.2"/>
    <row r="61476" s="197" customFormat="1" ht="12.75" x14ac:dyDescent="0.2"/>
    <row r="61477" s="197" customFormat="1" ht="12.75" x14ac:dyDescent="0.2"/>
    <row r="61478" s="197" customFormat="1" ht="12.75" x14ac:dyDescent="0.2"/>
    <row r="61479" s="197" customFormat="1" ht="12.75" x14ac:dyDescent="0.2"/>
    <row r="61480" s="197" customFormat="1" ht="12.75" x14ac:dyDescent="0.2"/>
    <row r="61481" s="197" customFormat="1" ht="12.75" x14ac:dyDescent="0.2"/>
    <row r="61482" s="197" customFormat="1" ht="12.75" x14ac:dyDescent="0.2"/>
    <row r="61483" s="197" customFormat="1" ht="12.75" x14ac:dyDescent="0.2"/>
    <row r="61484" s="197" customFormat="1" ht="12.75" x14ac:dyDescent="0.2"/>
    <row r="61485" s="197" customFormat="1" ht="12.75" x14ac:dyDescent="0.2"/>
    <row r="61486" s="197" customFormat="1" ht="12.75" x14ac:dyDescent="0.2"/>
    <row r="61487" s="197" customFormat="1" ht="12.75" x14ac:dyDescent="0.2"/>
    <row r="61488" s="197" customFormat="1" ht="12.75" x14ac:dyDescent="0.2"/>
    <row r="61489" s="197" customFormat="1" ht="12.75" x14ac:dyDescent="0.2"/>
    <row r="61490" s="197" customFormat="1" ht="12.75" x14ac:dyDescent="0.2"/>
    <row r="61491" s="197" customFormat="1" ht="12.75" x14ac:dyDescent="0.2"/>
    <row r="61492" s="197" customFormat="1" ht="12.75" x14ac:dyDescent="0.2"/>
    <row r="61493" s="197" customFormat="1" ht="12.75" x14ac:dyDescent="0.2"/>
    <row r="61494" s="197" customFormat="1" ht="12.75" x14ac:dyDescent="0.2"/>
    <row r="61495" s="197" customFormat="1" ht="12.75" x14ac:dyDescent="0.2"/>
    <row r="61496" s="197" customFormat="1" ht="12.75" x14ac:dyDescent="0.2"/>
    <row r="61497" s="197" customFormat="1" ht="12.75" x14ac:dyDescent="0.2"/>
    <row r="61498" s="197" customFormat="1" ht="12.75" x14ac:dyDescent="0.2"/>
    <row r="61499" s="197" customFormat="1" ht="12.75" x14ac:dyDescent="0.2"/>
    <row r="61500" s="197" customFormat="1" ht="12.75" x14ac:dyDescent="0.2"/>
    <row r="61501" s="197" customFormat="1" ht="12.75" x14ac:dyDescent="0.2"/>
    <row r="61502" s="197" customFormat="1" ht="12.75" x14ac:dyDescent="0.2"/>
    <row r="61503" s="197" customFormat="1" ht="12.75" x14ac:dyDescent="0.2"/>
    <row r="61504" s="197" customFormat="1" ht="12.75" x14ac:dyDescent="0.2"/>
    <row r="61505" s="197" customFormat="1" ht="12.75" x14ac:dyDescent="0.2"/>
    <row r="61506" s="197" customFormat="1" ht="12.75" x14ac:dyDescent="0.2"/>
    <row r="61507" s="197" customFormat="1" ht="12.75" x14ac:dyDescent="0.2"/>
    <row r="61508" s="197" customFormat="1" ht="12.75" x14ac:dyDescent="0.2"/>
    <row r="61509" s="197" customFormat="1" ht="12.75" x14ac:dyDescent="0.2"/>
    <row r="61510" s="197" customFormat="1" ht="12.75" x14ac:dyDescent="0.2"/>
    <row r="61511" s="197" customFormat="1" ht="12.75" x14ac:dyDescent="0.2"/>
    <row r="61512" s="197" customFormat="1" ht="12.75" x14ac:dyDescent="0.2"/>
    <row r="61513" s="197" customFormat="1" ht="12.75" x14ac:dyDescent="0.2"/>
    <row r="61514" s="197" customFormat="1" ht="12.75" x14ac:dyDescent="0.2"/>
    <row r="61515" s="197" customFormat="1" ht="12.75" x14ac:dyDescent="0.2"/>
    <row r="61516" s="197" customFormat="1" ht="12.75" x14ac:dyDescent="0.2"/>
    <row r="61517" s="197" customFormat="1" ht="12.75" x14ac:dyDescent="0.2"/>
    <row r="61518" s="197" customFormat="1" ht="12.75" x14ac:dyDescent="0.2"/>
    <row r="61519" s="197" customFormat="1" ht="12.75" x14ac:dyDescent="0.2"/>
    <row r="61520" s="197" customFormat="1" ht="12.75" x14ac:dyDescent="0.2"/>
    <row r="61521" s="197" customFormat="1" ht="12.75" x14ac:dyDescent="0.2"/>
    <row r="61522" s="197" customFormat="1" ht="12.75" x14ac:dyDescent="0.2"/>
    <row r="61523" s="197" customFormat="1" ht="12.75" x14ac:dyDescent="0.2"/>
    <row r="61524" s="197" customFormat="1" ht="12.75" x14ac:dyDescent="0.2"/>
    <row r="61525" s="197" customFormat="1" ht="12.75" x14ac:dyDescent="0.2"/>
    <row r="61526" s="197" customFormat="1" ht="12.75" x14ac:dyDescent="0.2"/>
    <row r="61527" s="197" customFormat="1" ht="12.75" x14ac:dyDescent="0.2"/>
    <row r="61528" s="197" customFormat="1" ht="12.75" x14ac:dyDescent="0.2"/>
    <row r="61529" s="197" customFormat="1" ht="12.75" x14ac:dyDescent="0.2"/>
    <row r="61530" s="197" customFormat="1" ht="12.75" x14ac:dyDescent="0.2"/>
    <row r="61531" s="197" customFormat="1" ht="12.75" x14ac:dyDescent="0.2"/>
    <row r="61532" s="197" customFormat="1" ht="12.75" x14ac:dyDescent="0.2"/>
    <row r="61533" s="197" customFormat="1" ht="12.75" x14ac:dyDescent="0.2"/>
    <row r="61534" s="197" customFormat="1" ht="12.75" x14ac:dyDescent="0.2"/>
    <row r="61535" s="197" customFormat="1" ht="12.75" x14ac:dyDescent="0.2"/>
    <row r="61536" s="197" customFormat="1" ht="12.75" x14ac:dyDescent="0.2"/>
    <row r="61537" s="197" customFormat="1" ht="12.75" x14ac:dyDescent="0.2"/>
    <row r="61538" s="197" customFormat="1" ht="12.75" x14ac:dyDescent="0.2"/>
    <row r="61539" s="197" customFormat="1" ht="12.75" x14ac:dyDescent="0.2"/>
    <row r="61540" s="197" customFormat="1" ht="12.75" x14ac:dyDescent="0.2"/>
    <row r="61541" s="197" customFormat="1" ht="12.75" x14ac:dyDescent="0.2"/>
    <row r="61542" s="197" customFormat="1" ht="12.75" x14ac:dyDescent="0.2"/>
    <row r="61543" s="197" customFormat="1" ht="12.75" x14ac:dyDescent="0.2"/>
    <row r="61544" s="197" customFormat="1" ht="12.75" x14ac:dyDescent="0.2"/>
    <row r="61545" s="197" customFormat="1" ht="12.75" x14ac:dyDescent="0.2"/>
    <row r="61546" s="197" customFormat="1" ht="12.75" x14ac:dyDescent="0.2"/>
    <row r="61547" s="197" customFormat="1" ht="12.75" x14ac:dyDescent="0.2"/>
    <row r="61548" s="197" customFormat="1" ht="12.75" x14ac:dyDescent="0.2"/>
    <row r="61549" s="197" customFormat="1" ht="12.75" x14ac:dyDescent="0.2"/>
    <row r="61550" s="197" customFormat="1" ht="12.75" x14ac:dyDescent="0.2"/>
    <row r="61551" s="197" customFormat="1" ht="12.75" x14ac:dyDescent="0.2"/>
    <row r="61552" s="197" customFormat="1" ht="12.75" x14ac:dyDescent="0.2"/>
    <row r="61553" s="197" customFormat="1" ht="12.75" x14ac:dyDescent="0.2"/>
    <row r="61554" s="197" customFormat="1" ht="12.75" x14ac:dyDescent="0.2"/>
    <row r="61555" s="197" customFormat="1" ht="12.75" x14ac:dyDescent="0.2"/>
    <row r="61556" s="197" customFormat="1" ht="12.75" x14ac:dyDescent="0.2"/>
    <row r="61557" s="197" customFormat="1" ht="12.75" x14ac:dyDescent="0.2"/>
    <row r="61558" s="197" customFormat="1" ht="12.75" x14ac:dyDescent="0.2"/>
    <row r="61559" s="197" customFormat="1" ht="12.75" x14ac:dyDescent="0.2"/>
    <row r="61560" s="197" customFormat="1" ht="12.75" x14ac:dyDescent="0.2"/>
    <row r="61561" s="197" customFormat="1" ht="12.75" x14ac:dyDescent="0.2"/>
    <row r="61562" s="197" customFormat="1" ht="12.75" x14ac:dyDescent="0.2"/>
    <row r="61563" s="197" customFormat="1" ht="12.75" x14ac:dyDescent="0.2"/>
    <row r="61564" s="197" customFormat="1" ht="12.75" x14ac:dyDescent="0.2"/>
    <row r="61565" s="197" customFormat="1" ht="12.75" x14ac:dyDescent="0.2"/>
    <row r="61566" s="197" customFormat="1" ht="12.75" x14ac:dyDescent="0.2"/>
    <row r="61567" s="197" customFormat="1" ht="12.75" x14ac:dyDescent="0.2"/>
    <row r="61568" s="197" customFormat="1" ht="12.75" x14ac:dyDescent="0.2"/>
    <row r="61569" s="197" customFormat="1" ht="12.75" x14ac:dyDescent="0.2"/>
    <row r="61570" s="197" customFormat="1" ht="12.75" x14ac:dyDescent="0.2"/>
    <row r="61571" s="197" customFormat="1" ht="12.75" x14ac:dyDescent="0.2"/>
    <row r="61572" s="197" customFormat="1" ht="12.75" x14ac:dyDescent="0.2"/>
    <row r="61573" s="197" customFormat="1" ht="12.75" x14ac:dyDescent="0.2"/>
    <row r="61574" s="197" customFormat="1" ht="12.75" x14ac:dyDescent="0.2"/>
    <row r="61575" s="197" customFormat="1" ht="12.75" x14ac:dyDescent="0.2"/>
    <row r="61576" s="197" customFormat="1" ht="12.75" x14ac:dyDescent="0.2"/>
    <row r="61577" s="197" customFormat="1" ht="12.75" x14ac:dyDescent="0.2"/>
    <row r="61578" s="197" customFormat="1" ht="12.75" x14ac:dyDescent="0.2"/>
    <row r="61579" s="197" customFormat="1" ht="12.75" x14ac:dyDescent="0.2"/>
    <row r="61580" s="197" customFormat="1" ht="12.75" x14ac:dyDescent="0.2"/>
    <row r="61581" s="197" customFormat="1" ht="12.75" x14ac:dyDescent="0.2"/>
    <row r="61582" s="197" customFormat="1" ht="12.75" x14ac:dyDescent="0.2"/>
    <row r="61583" s="197" customFormat="1" ht="12.75" x14ac:dyDescent="0.2"/>
    <row r="61584" s="197" customFormat="1" ht="12.75" x14ac:dyDescent="0.2"/>
    <row r="61585" s="197" customFormat="1" ht="12.75" x14ac:dyDescent="0.2"/>
    <row r="61586" s="197" customFormat="1" ht="12.75" x14ac:dyDescent="0.2"/>
    <row r="61587" s="197" customFormat="1" ht="12.75" x14ac:dyDescent="0.2"/>
    <row r="61588" s="197" customFormat="1" ht="12.75" x14ac:dyDescent="0.2"/>
    <row r="61589" s="197" customFormat="1" ht="12.75" x14ac:dyDescent="0.2"/>
    <row r="61590" s="197" customFormat="1" ht="12.75" x14ac:dyDescent="0.2"/>
    <row r="61591" s="197" customFormat="1" ht="12.75" x14ac:dyDescent="0.2"/>
    <row r="61592" s="197" customFormat="1" ht="12.75" x14ac:dyDescent="0.2"/>
    <row r="61593" s="197" customFormat="1" ht="12.75" x14ac:dyDescent="0.2"/>
    <row r="61594" s="197" customFormat="1" ht="12.75" x14ac:dyDescent="0.2"/>
    <row r="61595" s="197" customFormat="1" ht="12.75" x14ac:dyDescent="0.2"/>
    <row r="61596" s="197" customFormat="1" ht="12.75" x14ac:dyDescent="0.2"/>
    <row r="61597" s="197" customFormat="1" ht="12.75" x14ac:dyDescent="0.2"/>
    <row r="61598" s="197" customFormat="1" ht="12.75" x14ac:dyDescent="0.2"/>
    <row r="61599" s="197" customFormat="1" ht="12.75" x14ac:dyDescent="0.2"/>
    <row r="61600" s="197" customFormat="1" ht="12.75" x14ac:dyDescent="0.2"/>
    <row r="61601" s="197" customFormat="1" ht="12.75" x14ac:dyDescent="0.2"/>
    <row r="61602" s="197" customFormat="1" ht="12.75" x14ac:dyDescent="0.2"/>
    <row r="61603" s="197" customFormat="1" ht="12.75" x14ac:dyDescent="0.2"/>
    <row r="61604" s="197" customFormat="1" ht="12.75" x14ac:dyDescent="0.2"/>
    <row r="61605" s="197" customFormat="1" ht="12.75" x14ac:dyDescent="0.2"/>
    <row r="61606" s="197" customFormat="1" ht="12.75" x14ac:dyDescent="0.2"/>
    <row r="61607" s="197" customFormat="1" ht="12.75" x14ac:dyDescent="0.2"/>
    <row r="61608" s="197" customFormat="1" ht="12.75" x14ac:dyDescent="0.2"/>
    <row r="61609" s="197" customFormat="1" ht="12.75" x14ac:dyDescent="0.2"/>
    <row r="61610" s="197" customFormat="1" ht="12.75" x14ac:dyDescent="0.2"/>
    <row r="61611" s="197" customFormat="1" ht="12.75" x14ac:dyDescent="0.2"/>
    <row r="61612" s="197" customFormat="1" ht="12.75" x14ac:dyDescent="0.2"/>
    <row r="61613" s="197" customFormat="1" ht="12.75" x14ac:dyDescent="0.2"/>
    <row r="61614" s="197" customFormat="1" ht="12.75" x14ac:dyDescent="0.2"/>
    <row r="61615" s="197" customFormat="1" ht="12.75" x14ac:dyDescent="0.2"/>
    <row r="61616" s="197" customFormat="1" ht="12.75" x14ac:dyDescent="0.2"/>
    <row r="61617" s="197" customFormat="1" ht="12.75" x14ac:dyDescent="0.2"/>
    <row r="61618" s="197" customFormat="1" ht="12.75" x14ac:dyDescent="0.2"/>
    <row r="61619" s="197" customFormat="1" ht="12.75" x14ac:dyDescent="0.2"/>
    <row r="61620" s="197" customFormat="1" ht="12.75" x14ac:dyDescent="0.2"/>
    <row r="61621" s="197" customFormat="1" ht="12.75" x14ac:dyDescent="0.2"/>
    <row r="61622" s="197" customFormat="1" ht="12.75" x14ac:dyDescent="0.2"/>
    <row r="61623" s="197" customFormat="1" ht="12.75" x14ac:dyDescent="0.2"/>
    <row r="61624" s="197" customFormat="1" ht="12.75" x14ac:dyDescent="0.2"/>
    <row r="61625" s="197" customFormat="1" ht="12.75" x14ac:dyDescent="0.2"/>
    <row r="61626" s="197" customFormat="1" ht="12.75" x14ac:dyDescent="0.2"/>
    <row r="61627" s="197" customFormat="1" ht="12.75" x14ac:dyDescent="0.2"/>
    <row r="61628" s="197" customFormat="1" ht="12.75" x14ac:dyDescent="0.2"/>
    <row r="61629" s="197" customFormat="1" ht="12.75" x14ac:dyDescent="0.2"/>
    <row r="61630" s="197" customFormat="1" ht="12.75" x14ac:dyDescent="0.2"/>
    <row r="61631" s="197" customFormat="1" ht="12.75" x14ac:dyDescent="0.2"/>
    <row r="61632" s="197" customFormat="1" ht="12.75" x14ac:dyDescent="0.2"/>
    <row r="61633" s="197" customFormat="1" ht="12.75" x14ac:dyDescent="0.2"/>
    <row r="61634" s="197" customFormat="1" ht="12.75" x14ac:dyDescent="0.2"/>
    <row r="61635" s="197" customFormat="1" ht="12.75" x14ac:dyDescent="0.2"/>
    <row r="61636" s="197" customFormat="1" ht="12.75" x14ac:dyDescent="0.2"/>
    <row r="61637" s="197" customFormat="1" ht="12.75" x14ac:dyDescent="0.2"/>
    <row r="61638" s="197" customFormat="1" ht="12.75" x14ac:dyDescent="0.2"/>
    <row r="61639" s="197" customFormat="1" ht="12.75" x14ac:dyDescent="0.2"/>
    <row r="61640" s="197" customFormat="1" ht="12.75" x14ac:dyDescent="0.2"/>
    <row r="61641" s="197" customFormat="1" ht="12.75" x14ac:dyDescent="0.2"/>
    <row r="61642" s="197" customFormat="1" ht="12.75" x14ac:dyDescent="0.2"/>
    <row r="61643" s="197" customFormat="1" ht="12.75" x14ac:dyDescent="0.2"/>
    <row r="61644" s="197" customFormat="1" ht="12.75" x14ac:dyDescent="0.2"/>
    <row r="61645" s="197" customFormat="1" ht="12.75" x14ac:dyDescent="0.2"/>
    <row r="61646" s="197" customFormat="1" ht="12.75" x14ac:dyDescent="0.2"/>
    <row r="61647" s="197" customFormat="1" ht="12.75" x14ac:dyDescent="0.2"/>
    <row r="61648" s="197" customFormat="1" ht="12.75" x14ac:dyDescent="0.2"/>
    <row r="61649" s="197" customFormat="1" ht="12.75" x14ac:dyDescent="0.2"/>
    <row r="61650" s="197" customFormat="1" ht="12.75" x14ac:dyDescent="0.2"/>
    <row r="61651" s="197" customFormat="1" ht="12.75" x14ac:dyDescent="0.2"/>
    <row r="61652" s="197" customFormat="1" ht="12.75" x14ac:dyDescent="0.2"/>
    <row r="61653" s="197" customFormat="1" ht="12.75" x14ac:dyDescent="0.2"/>
    <row r="61654" s="197" customFormat="1" ht="12.75" x14ac:dyDescent="0.2"/>
    <row r="61655" s="197" customFormat="1" ht="12.75" x14ac:dyDescent="0.2"/>
    <row r="61656" s="197" customFormat="1" ht="12.75" x14ac:dyDescent="0.2"/>
    <row r="61657" s="197" customFormat="1" ht="12.75" x14ac:dyDescent="0.2"/>
    <row r="61658" s="197" customFormat="1" ht="12.75" x14ac:dyDescent="0.2"/>
    <row r="61659" s="197" customFormat="1" ht="12.75" x14ac:dyDescent="0.2"/>
    <row r="61660" s="197" customFormat="1" ht="12.75" x14ac:dyDescent="0.2"/>
    <row r="61661" s="197" customFormat="1" ht="12.75" x14ac:dyDescent="0.2"/>
    <row r="61662" s="197" customFormat="1" ht="12.75" x14ac:dyDescent="0.2"/>
    <row r="61663" s="197" customFormat="1" ht="12.75" x14ac:dyDescent="0.2"/>
    <row r="61664" s="197" customFormat="1" ht="12.75" x14ac:dyDescent="0.2"/>
    <row r="61665" s="197" customFormat="1" ht="12.75" x14ac:dyDescent="0.2"/>
    <row r="61666" s="197" customFormat="1" ht="12.75" x14ac:dyDescent="0.2"/>
    <row r="61667" s="197" customFormat="1" ht="12.75" x14ac:dyDescent="0.2"/>
    <row r="61668" s="197" customFormat="1" ht="12.75" x14ac:dyDescent="0.2"/>
    <row r="61669" s="197" customFormat="1" ht="12.75" x14ac:dyDescent="0.2"/>
    <row r="61670" s="197" customFormat="1" ht="12.75" x14ac:dyDescent="0.2"/>
    <row r="61671" s="197" customFormat="1" ht="12.75" x14ac:dyDescent="0.2"/>
    <row r="61672" s="197" customFormat="1" ht="12.75" x14ac:dyDescent="0.2"/>
    <row r="61673" s="197" customFormat="1" ht="12.75" x14ac:dyDescent="0.2"/>
    <row r="61674" s="197" customFormat="1" ht="12.75" x14ac:dyDescent="0.2"/>
    <row r="61675" s="197" customFormat="1" ht="12.75" x14ac:dyDescent="0.2"/>
    <row r="61676" s="197" customFormat="1" ht="12.75" x14ac:dyDescent="0.2"/>
    <row r="61677" s="197" customFormat="1" ht="12.75" x14ac:dyDescent="0.2"/>
    <row r="61678" s="197" customFormat="1" ht="12.75" x14ac:dyDescent="0.2"/>
    <row r="61679" s="197" customFormat="1" ht="12.75" x14ac:dyDescent="0.2"/>
    <row r="61680" s="197" customFormat="1" ht="12.75" x14ac:dyDescent="0.2"/>
    <row r="61681" s="197" customFormat="1" ht="12.75" x14ac:dyDescent="0.2"/>
    <row r="61682" s="197" customFormat="1" ht="12.75" x14ac:dyDescent="0.2"/>
    <row r="61683" s="197" customFormat="1" ht="12.75" x14ac:dyDescent="0.2"/>
    <row r="61684" s="197" customFormat="1" ht="12.75" x14ac:dyDescent="0.2"/>
    <row r="61685" s="197" customFormat="1" ht="12.75" x14ac:dyDescent="0.2"/>
    <row r="61686" s="197" customFormat="1" ht="12.75" x14ac:dyDescent="0.2"/>
    <row r="61687" s="197" customFormat="1" ht="12.75" x14ac:dyDescent="0.2"/>
    <row r="61688" s="197" customFormat="1" ht="12.75" x14ac:dyDescent="0.2"/>
    <row r="61689" s="197" customFormat="1" ht="12.75" x14ac:dyDescent="0.2"/>
    <row r="61690" s="197" customFormat="1" ht="12.75" x14ac:dyDescent="0.2"/>
    <row r="61691" s="197" customFormat="1" ht="12.75" x14ac:dyDescent="0.2"/>
    <row r="61692" s="197" customFormat="1" ht="12.75" x14ac:dyDescent="0.2"/>
    <row r="61693" s="197" customFormat="1" ht="12.75" x14ac:dyDescent="0.2"/>
    <row r="61694" s="197" customFormat="1" ht="12.75" x14ac:dyDescent="0.2"/>
    <row r="61695" s="197" customFormat="1" ht="12.75" x14ac:dyDescent="0.2"/>
    <row r="61696" s="197" customFormat="1" ht="12.75" x14ac:dyDescent="0.2"/>
    <row r="61697" s="197" customFormat="1" ht="12.75" x14ac:dyDescent="0.2"/>
    <row r="61698" s="197" customFormat="1" ht="12.75" x14ac:dyDescent="0.2"/>
    <row r="61699" s="197" customFormat="1" ht="12.75" x14ac:dyDescent="0.2"/>
    <row r="61700" s="197" customFormat="1" ht="12.75" x14ac:dyDescent="0.2"/>
    <row r="61701" s="197" customFormat="1" ht="12.75" x14ac:dyDescent="0.2"/>
    <row r="61702" s="197" customFormat="1" ht="12.75" x14ac:dyDescent="0.2"/>
    <row r="61703" s="197" customFormat="1" ht="12.75" x14ac:dyDescent="0.2"/>
    <row r="61704" s="197" customFormat="1" ht="12.75" x14ac:dyDescent="0.2"/>
    <row r="61705" s="197" customFormat="1" ht="12.75" x14ac:dyDescent="0.2"/>
    <row r="61706" s="197" customFormat="1" ht="12.75" x14ac:dyDescent="0.2"/>
    <row r="61707" s="197" customFormat="1" ht="12.75" x14ac:dyDescent="0.2"/>
    <row r="61708" s="197" customFormat="1" ht="12.75" x14ac:dyDescent="0.2"/>
    <row r="61709" s="197" customFormat="1" ht="12.75" x14ac:dyDescent="0.2"/>
    <row r="61710" s="197" customFormat="1" ht="12.75" x14ac:dyDescent="0.2"/>
    <row r="61711" s="197" customFormat="1" ht="12.75" x14ac:dyDescent="0.2"/>
    <row r="61712" s="197" customFormat="1" ht="12.75" x14ac:dyDescent="0.2"/>
    <row r="61713" s="197" customFormat="1" ht="12.75" x14ac:dyDescent="0.2"/>
    <row r="61714" s="197" customFormat="1" ht="12.75" x14ac:dyDescent="0.2"/>
    <row r="61715" s="197" customFormat="1" ht="12.75" x14ac:dyDescent="0.2"/>
    <row r="61716" s="197" customFormat="1" ht="12.75" x14ac:dyDescent="0.2"/>
    <row r="61717" s="197" customFormat="1" ht="12.75" x14ac:dyDescent="0.2"/>
    <row r="61718" s="197" customFormat="1" ht="12.75" x14ac:dyDescent="0.2"/>
    <row r="61719" s="197" customFormat="1" ht="12.75" x14ac:dyDescent="0.2"/>
    <row r="61720" s="197" customFormat="1" ht="12.75" x14ac:dyDescent="0.2"/>
    <row r="61721" s="197" customFormat="1" ht="12.75" x14ac:dyDescent="0.2"/>
    <row r="61722" s="197" customFormat="1" ht="12.75" x14ac:dyDescent="0.2"/>
    <row r="61723" s="197" customFormat="1" ht="12.75" x14ac:dyDescent="0.2"/>
    <row r="61724" s="197" customFormat="1" ht="12.75" x14ac:dyDescent="0.2"/>
    <row r="61725" s="197" customFormat="1" ht="12.75" x14ac:dyDescent="0.2"/>
    <row r="61726" s="197" customFormat="1" ht="12.75" x14ac:dyDescent="0.2"/>
    <row r="61727" s="197" customFormat="1" ht="12.75" x14ac:dyDescent="0.2"/>
    <row r="61728" s="197" customFormat="1" ht="12.75" x14ac:dyDescent="0.2"/>
    <row r="61729" s="197" customFormat="1" ht="12.75" x14ac:dyDescent="0.2"/>
    <row r="61730" s="197" customFormat="1" ht="12.75" x14ac:dyDescent="0.2"/>
    <row r="61731" s="197" customFormat="1" ht="12.75" x14ac:dyDescent="0.2"/>
    <row r="61732" s="197" customFormat="1" ht="12.75" x14ac:dyDescent="0.2"/>
    <row r="61733" s="197" customFormat="1" ht="12.75" x14ac:dyDescent="0.2"/>
    <row r="61734" s="197" customFormat="1" ht="12.75" x14ac:dyDescent="0.2"/>
    <row r="61735" s="197" customFormat="1" ht="12.75" x14ac:dyDescent="0.2"/>
    <row r="61736" s="197" customFormat="1" ht="12.75" x14ac:dyDescent="0.2"/>
    <row r="61737" s="197" customFormat="1" ht="12.75" x14ac:dyDescent="0.2"/>
    <row r="61738" s="197" customFormat="1" ht="12.75" x14ac:dyDescent="0.2"/>
    <row r="61739" s="197" customFormat="1" ht="12.75" x14ac:dyDescent="0.2"/>
    <row r="61740" s="197" customFormat="1" ht="12.75" x14ac:dyDescent="0.2"/>
    <row r="61741" s="197" customFormat="1" ht="12.75" x14ac:dyDescent="0.2"/>
    <row r="61742" s="197" customFormat="1" ht="12.75" x14ac:dyDescent="0.2"/>
    <row r="61743" s="197" customFormat="1" ht="12.75" x14ac:dyDescent="0.2"/>
    <row r="61744" s="197" customFormat="1" ht="12.75" x14ac:dyDescent="0.2"/>
    <row r="61745" s="197" customFormat="1" ht="12.75" x14ac:dyDescent="0.2"/>
    <row r="61746" s="197" customFormat="1" ht="12.75" x14ac:dyDescent="0.2"/>
    <row r="61747" s="197" customFormat="1" ht="12.75" x14ac:dyDescent="0.2"/>
    <row r="61748" s="197" customFormat="1" ht="12.75" x14ac:dyDescent="0.2"/>
    <row r="61749" s="197" customFormat="1" ht="12.75" x14ac:dyDescent="0.2"/>
    <row r="61750" s="197" customFormat="1" ht="12.75" x14ac:dyDescent="0.2"/>
    <row r="61751" s="197" customFormat="1" ht="12.75" x14ac:dyDescent="0.2"/>
    <row r="61752" s="197" customFormat="1" ht="12.75" x14ac:dyDescent="0.2"/>
    <row r="61753" s="197" customFormat="1" ht="12.75" x14ac:dyDescent="0.2"/>
    <row r="61754" s="197" customFormat="1" ht="12.75" x14ac:dyDescent="0.2"/>
    <row r="61755" s="197" customFormat="1" ht="12.75" x14ac:dyDescent="0.2"/>
    <row r="61756" s="197" customFormat="1" ht="12.75" x14ac:dyDescent="0.2"/>
    <row r="61757" s="197" customFormat="1" ht="12.75" x14ac:dyDescent="0.2"/>
    <row r="61758" s="197" customFormat="1" ht="12.75" x14ac:dyDescent="0.2"/>
    <row r="61759" s="197" customFormat="1" ht="12.75" x14ac:dyDescent="0.2"/>
    <row r="61760" s="197" customFormat="1" ht="12.75" x14ac:dyDescent="0.2"/>
    <row r="61761" s="197" customFormat="1" ht="12.75" x14ac:dyDescent="0.2"/>
    <row r="61762" s="197" customFormat="1" ht="12.75" x14ac:dyDescent="0.2"/>
    <row r="61763" s="197" customFormat="1" ht="12.75" x14ac:dyDescent="0.2"/>
    <row r="61764" s="197" customFormat="1" ht="12.75" x14ac:dyDescent="0.2"/>
    <row r="61765" s="197" customFormat="1" ht="12.75" x14ac:dyDescent="0.2"/>
    <row r="61766" s="197" customFormat="1" ht="12.75" x14ac:dyDescent="0.2"/>
    <row r="61767" s="197" customFormat="1" ht="12.75" x14ac:dyDescent="0.2"/>
    <row r="61768" s="197" customFormat="1" ht="12.75" x14ac:dyDescent="0.2"/>
    <row r="61769" s="197" customFormat="1" ht="12.75" x14ac:dyDescent="0.2"/>
    <row r="61770" s="197" customFormat="1" ht="12.75" x14ac:dyDescent="0.2"/>
    <row r="61771" s="197" customFormat="1" ht="12.75" x14ac:dyDescent="0.2"/>
    <row r="61772" s="197" customFormat="1" ht="12.75" x14ac:dyDescent="0.2"/>
    <row r="61773" s="197" customFormat="1" ht="12.75" x14ac:dyDescent="0.2"/>
    <row r="61774" s="197" customFormat="1" ht="12.75" x14ac:dyDescent="0.2"/>
    <row r="61775" s="197" customFormat="1" ht="12.75" x14ac:dyDescent="0.2"/>
    <row r="61776" s="197" customFormat="1" ht="12.75" x14ac:dyDescent="0.2"/>
    <row r="61777" s="197" customFormat="1" ht="12.75" x14ac:dyDescent="0.2"/>
    <row r="61778" s="197" customFormat="1" ht="12.75" x14ac:dyDescent="0.2"/>
    <row r="61779" s="197" customFormat="1" ht="12.75" x14ac:dyDescent="0.2"/>
    <row r="61780" s="197" customFormat="1" ht="12.75" x14ac:dyDescent="0.2"/>
    <row r="61781" s="197" customFormat="1" ht="12.75" x14ac:dyDescent="0.2"/>
    <row r="61782" s="197" customFormat="1" ht="12.75" x14ac:dyDescent="0.2"/>
    <row r="61783" s="197" customFormat="1" ht="12.75" x14ac:dyDescent="0.2"/>
    <row r="61784" s="197" customFormat="1" ht="12.75" x14ac:dyDescent="0.2"/>
    <row r="61785" s="197" customFormat="1" ht="12.75" x14ac:dyDescent="0.2"/>
    <row r="61786" s="197" customFormat="1" ht="12.75" x14ac:dyDescent="0.2"/>
    <row r="61787" s="197" customFormat="1" ht="12.75" x14ac:dyDescent="0.2"/>
    <row r="61788" s="197" customFormat="1" ht="12.75" x14ac:dyDescent="0.2"/>
    <row r="61789" s="197" customFormat="1" ht="12.75" x14ac:dyDescent="0.2"/>
    <row r="61790" s="197" customFormat="1" ht="12.75" x14ac:dyDescent="0.2"/>
    <row r="61791" s="197" customFormat="1" ht="12.75" x14ac:dyDescent="0.2"/>
    <row r="61792" s="197" customFormat="1" ht="12.75" x14ac:dyDescent="0.2"/>
    <row r="61793" s="197" customFormat="1" ht="12.75" x14ac:dyDescent="0.2"/>
    <row r="61794" s="197" customFormat="1" ht="12.75" x14ac:dyDescent="0.2"/>
    <row r="61795" s="197" customFormat="1" ht="12.75" x14ac:dyDescent="0.2"/>
    <row r="61796" s="197" customFormat="1" ht="12.75" x14ac:dyDescent="0.2"/>
    <row r="61797" s="197" customFormat="1" ht="12.75" x14ac:dyDescent="0.2"/>
    <row r="61798" s="197" customFormat="1" ht="12.75" x14ac:dyDescent="0.2"/>
    <row r="61799" s="197" customFormat="1" ht="12.75" x14ac:dyDescent="0.2"/>
    <row r="61800" s="197" customFormat="1" ht="12.75" x14ac:dyDescent="0.2"/>
    <row r="61801" s="197" customFormat="1" ht="12.75" x14ac:dyDescent="0.2"/>
    <row r="61802" s="197" customFormat="1" ht="12.75" x14ac:dyDescent="0.2"/>
    <row r="61803" s="197" customFormat="1" ht="12.75" x14ac:dyDescent="0.2"/>
    <row r="61804" s="197" customFormat="1" ht="12.75" x14ac:dyDescent="0.2"/>
    <row r="61805" s="197" customFormat="1" ht="12.75" x14ac:dyDescent="0.2"/>
    <row r="61806" s="197" customFormat="1" ht="12.75" x14ac:dyDescent="0.2"/>
    <row r="61807" s="197" customFormat="1" ht="12.75" x14ac:dyDescent="0.2"/>
    <row r="61808" s="197" customFormat="1" ht="12.75" x14ac:dyDescent="0.2"/>
    <row r="61809" s="197" customFormat="1" ht="12.75" x14ac:dyDescent="0.2"/>
    <row r="61810" s="197" customFormat="1" ht="12.75" x14ac:dyDescent="0.2"/>
    <row r="61811" s="197" customFormat="1" ht="12.75" x14ac:dyDescent="0.2"/>
    <row r="61812" s="197" customFormat="1" ht="12.75" x14ac:dyDescent="0.2"/>
    <row r="61813" s="197" customFormat="1" ht="12.75" x14ac:dyDescent="0.2"/>
    <row r="61814" s="197" customFormat="1" ht="12.75" x14ac:dyDescent="0.2"/>
    <row r="61815" s="197" customFormat="1" ht="12.75" x14ac:dyDescent="0.2"/>
    <row r="61816" s="197" customFormat="1" ht="12.75" x14ac:dyDescent="0.2"/>
    <row r="61817" s="197" customFormat="1" ht="12.75" x14ac:dyDescent="0.2"/>
    <row r="61818" s="197" customFormat="1" ht="12.75" x14ac:dyDescent="0.2"/>
    <row r="61819" s="197" customFormat="1" ht="12.75" x14ac:dyDescent="0.2"/>
    <row r="61820" s="197" customFormat="1" ht="12.75" x14ac:dyDescent="0.2"/>
    <row r="61821" s="197" customFormat="1" ht="12.75" x14ac:dyDescent="0.2"/>
    <row r="61822" s="197" customFormat="1" ht="12.75" x14ac:dyDescent="0.2"/>
    <row r="61823" s="197" customFormat="1" ht="12.75" x14ac:dyDescent="0.2"/>
    <row r="61824" s="197" customFormat="1" ht="12.75" x14ac:dyDescent="0.2"/>
    <row r="61825" s="197" customFormat="1" ht="12.75" x14ac:dyDescent="0.2"/>
    <row r="61826" s="197" customFormat="1" ht="12.75" x14ac:dyDescent="0.2"/>
    <row r="61827" s="197" customFormat="1" ht="12.75" x14ac:dyDescent="0.2"/>
    <row r="61828" s="197" customFormat="1" ht="12.75" x14ac:dyDescent="0.2"/>
    <row r="61829" s="197" customFormat="1" ht="12.75" x14ac:dyDescent="0.2"/>
    <row r="61830" s="197" customFormat="1" ht="12.75" x14ac:dyDescent="0.2"/>
    <row r="61831" s="197" customFormat="1" ht="12.75" x14ac:dyDescent="0.2"/>
    <row r="61832" s="197" customFormat="1" ht="12.75" x14ac:dyDescent="0.2"/>
    <row r="61833" s="197" customFormat="1" ht="12.75" x14ac:dyDescent="0.2"/>
    <row r="61834" s="197" customFormat="1" ht="12.75" x14ac:dyDescent="0.2"/>
    <row r="61835" s="197" customFormat="1" ht="12.75" x14ac:dyDescent="0.2"/>
    <row r="61836" s="197" customFormat="1" ht="12.75" x14ac:dyDescent="0.2"/>
    <row r="61837" s="197" customFormat="1" ht="12.75" x14ac:dyDescent="0.2"/>
    <row r="61838" s="197" customFormat="1" ht="12.75" x14ac:dyDescent="0.2"/>
    <row r="61839" s="197" customFormat="1" ht="12.75" x14ac:dyDescent="0.2"/>
    <row r="61840" s="197" customFormat="1" ht="12.75" x14ac:dyDescent="0.2"/>
    <row r="61841" s="197" customFormat="1" ht="12.75" x14ac:dyDescent="0.2"/>
    <row r="61842" s="197" customFormat="1" ht="12.75" x14ac:dyDescent="0.2"/>
    <row r="61843" s="197" customFormat="1" ht="12.75" x14ac:dyDescent="0.2"/>
    <row r="61844" s="197" customFormat="1" ht="12.75" x14ac:dyDescent="0.2"/>
    <row r="61845" s="197" customFormat="1" ht="12.75" x14ac:dyDescent="0.2"/>
    <row r="61846" s="197" customFormat="1" ht="12.75" x14ac:dyDescent="0.2"/>
    <row r="61847" s="197" customFormat="1" ht="12.75" x14ac:dyDescent="0.2"/>
    <row r="61848" s="197" customFormat="1" ht="12.75" x14ac:dyDescent="0.2"/>
    <row r="61849" s="197" customFormat="1" ht="12.75" x14ac:dyDescent="0.2"/>
    <row r="61850" s="197" customFormat="1" ht="12.75" x14ac:dyDescent="0.2"/>
    <row r="61851" s="197" customFormat="1" ht="12.75" x14ac:dyDescent="0.2"/>
    <row r="61852" s="197" customFormat="1" ht="12.75" x14ac:dyDescent="0.2"/>
    <row r="61853" s="197" customFormat="1" ht="12.75" x14ac:dyDescent="0.2"/>
    <row r="61854" s="197" customFormat="1" ht="12.75" x14ac:dyDescent="0.2"/>
    <row r="61855" s="197" customFormat="1" ht="12.75" x14ac:dyDescent="0.2"/>
    <row r="61856" s="197" customFormat="1" ht="12.75" x14ac:dyDescent="0.2"/>
    <row r="61857" s="197" customFormat="1" ht="12.75" x14ac:dyDescent="0.2"/>
    <row r="61858" s="197" customFormat="1" ht="12.75" x14ac:dyDescent="0.2"/>
    <row r="61859" s="197" customFormat="1" ht="12.75" x14ac:dyDescent="0.2"/>
    <row r="61860" s="197" customFormat="1" ht="12.75" x14ac:dyDescent="0.2"/>
    <row r="61861" s="197" customFormat="1" ht="12.75" x14ac:dyDescent="0.2"/>
    <row r="61862" s="197" customFormat="1" ht="12.75" x14ac:dyDescent="0.2"/>
    <row r="61863" s="197" customFormat="1" ht="12.75" x14ac:dyDescent="0.2"/>
    <row r="61864" s="197" customFormat="1" ht="12.75" x14ac:dyDescent="0.2"/>
    <row r="61865" s="197" customFormat="1" ht="12.75" x14ac:dyDescent="0.2"/>
    <row r="61866" s="197" customFormat="1" ht="12.75" x14ac:dyDescent="0.2"/>
    <row r="61867" s="197" customFormat="1" ht="12.75" x14ac:dyDescent="0.2"/>
    <row r="61868" s="197" customFormat="1" ht="12.75" x14ac:dyDescent="0.2"/>
    <row r="61869" s="197" customFormat="1" ht="12.75" x14ac:dyDescent="0.2"/>
    <row r="61870" s="197" customFormat="1" ht="12.75" x14ac:dyDescent="0.2"/>
    <row r="61871" s="197" customFormat="1" ht="12.75" x14ac:dyDescent="0.2"/>
    <row r="61872" s="197" customFormat="1" ht="12.75" x14ac:dyDescent="0.2"/>
    <row r="61873" s="197" customFormat="1" ht="12.75" x14ac:dyDescent="0.2"/>
    <row r="61874" s="197" customFormat="1" ht="12.75" x14ac:dyDescent="0.2"/>
    <row r="61875" s="197" customFormat="1" ht="12.75" x14ac:dyDescent="0.2"/>
    <row r="61876" s="197" customFormat="1" ht="12.75" x14ac:dyDescent="0.2"/>
    <row r="61877" s="197" customFormat="1" ht="12.75" x14ac:dyDescent="0.2"/>
    <row r="61878" s="197" customFormat="1" ht="12.75" x14ac:dyDescent="0.2"/>
    <row r="61879" s="197" customFormat="1" ht="12.75" x14ac:dyDescent="0.2"/>
    <row r="61880" s="197" customFormat="1" ht="12.75" x14ac:dyDescent="0.2"/>
    <row r="61881" s="197" customFormat="1" ht="12.75" x14ac:dyDescent="0.2"/>
    <row r="61882" s="197" customFormat="1" ht="12.75" x14ac:dyDescent="0.2"/>
    <row r="61883" s="197" customFormat="1" ht="12.75" x14ac:dyDescent="0.2"/>
    <row r="61884" s="197" customFormat="1" ht="12.75" x14ac:dyDescent="0.2"/>
    <row r="61885" s="197" customFormat="1" ht="12.75" x14ac:dyDescent="0.2"/>
    <row r="61886" s="197" customFormat="1" ht="12.75" x14ac:dyDescent="0.2"/>
    <row r="61887" s="197" customFormat="1" ht="12.75" x14ac:dyDescent="0.2"/>
    <row r="61888" s="197" customFormat="1" ht="12.75" x14ac:dyDescent="0.2"/>
    <row r="61889" s="197" customFormat="1" ht="12.75" x14ac:dyDescent="0.2"/>
    <row r="61890" s="197" customFormat="1" ht="12.75" x14ac:dyDescent="0.2"/>
    <row r="61891" s="197" customFormat="1" ht="12.75" x14ac:dyDescent="0.2"/>
    <row r="61892" s="197" customFormat="1" ht="12.75" x14ac:dyDescent="0.2"/>
    <row r="61893" s="197" customFormat="1" ht="12.75" x14ac:dyDescent="0.2"/>
    <row r="61894" s="197" customFormat="1" ht="12.75" x14ac:dyDescent="0.2"/>
    <row r="61895" s="197" customFormat="1" ht="12.75" x14ac:dyDescent="0.2"/>
    <row r="61896" s="197" customFormat="1" ht="12.75" x14ac:dyDescent="0.2"/>
    <row r="61897" s="197" customFormat="1" ht="12.75" x14ac:dyDescent="0.2"/>
    <row r="61898" s="197" customFormat="1" ht="12.75" x14ac:dyDescent="0.2"/>
    <row r="61899" s="197" customFormat="1" ht="12.75" x14ac:dyDescent="0.2"/>
    <row r="61900" s="197" customFormat="1" ht="12.75" x14ac:dyDescent="0.2"/>
    <row r="61901" s="197" customFormat="1" ht="12.75" x14ac:dyDescent="0.2"/>
    <row r="61902" s="197" customFormat="1" ht="12.75" x14ac:dyDescent="0.2"/>
    <row r="61903" s="197" customFormat="1" ht="12.75" x14ac:dyDescent="0.2"/>
    <row r="61904" s="197" customFormat="1" ht="12.75" x14ac:dyDescent="0.2"/>
    <row r="61905" s="197" customFormat="1" ht="12.75" x14ac:dyDescent="0.2"/>
    <row r="61906" s="197" customFormat="1" ht="12.75" x14ac:dyDescent="0.2"/>
    <row r="61907" s="197" customFormat="1" ht="12.75" x14ac:dyDescent="0.2"/>
    <row r="61908" s="197" customFormat="1" ht="12.75" x14ac:dyDescent="0.2"/>
    <row r="61909" s="197" customFormat="1" ht="12.75" x14ac:dyDescent="0.2"/>
    <row r="61910" s="197" customFormat="1" ht="12.75" x14ac:dyDescent="0.2"/>
    <row r="61911" s="197" customFormat="1" ht="12.75" x14ac:dyDescent="0.2"/>
    <row r="61912" s="197" customFormat="1" ht="12.75" x14ac:dyDescent="0.2"/>
    <row r="61913" s="197" customFormat="1" ht="12.75" x14ac:dyDescent="0.2"/>
    <row r="61914" s="197" customFormat="1" ht="12.75" x14ac:dyDescent="0.2"/>
    <row r="61915" s="197" customFormat="1" ht="12.75" x14ac:dyDescent="0.2"/>
    <row r="61916" s="197" customFormat="1" ht="12.75" x14ac:dyDescent="0.2"/>
    <row r="61917" s="197" customFormat="1" ht="12.75" x14ac:dyDescent="0.2"/>
    <row r="61918" s="197" customFormat="1" ht="12.75" x14ac:dyDescent="0.2"/>
    <row r="61919" s="197" customFormat="1" ht="12.75" x14ac:dyDescent="0.2"/>
    <row r="61920" s="197" customFormat="1" ht="12.75" x14ac:dyDescent="0.2"/>
    <row r="61921" s="197" customFormat="1" ht="12.75" x14ac:dyDescent="0.2"/>
    <row r="61922" s="197" customFormat="1" ht="12.75" x14ac:dyDescent="0.2"/>
    <row r="61923" s="197" customFormat="1" ht="12.75" x14ac:dyDescent="0.2"/>
    <row r="61924" s="197" customFormat="1" ht="12.75" x14ac:dyDescent="0.2"/>
    <row r="61925" s="197" customFormat="1" ht="12.75" x14ac:dyDescent="0.2"/>
    <row r="61926" s="197" customFormat="1" ht="12.75" x14ac:dyDescent="0.2"/>
    <row r="61927" s="197" customFormat="1" ht="12.75" x14ac:dyDescent="0.2"/>
    <row r="61928" s="197" customFormat="1" ht="12.75" x14ac:dyDescent="0.2"/>
    <row r="61929" s="197" customFormat="1" ht="12.75" x14ac:dyDescent="0.2"/>
    <row r="61930" s="197" customFormat="1" ht="12.75" x14ac:dyDescent="0.2"/>
    <row r="61931" s="197" customFormat="1" ht="12.75" x14ac:dyDescent="0.2"/>
    <row r="61932" s="197" customFormat="1" ht="12.75" x14ac:dyDescent="0.2"/>
    <row r="61933" s="197" customFormat="1" ht="12.75" x14ac:dyDescent="0.2"/>
    <row r="61934" s="197" customFormat="1" ht="12.75" x14ac:dyDescent="0.2"/>
    <row r="61935" s="197" customFormat="1" ht="12.75" x14ac:dyDescent="0.2"/>
    <row r="61936" s="197" customFormat="1" ht="12.75" x14ac:dyDescent="0.2"/>
    <row r="61937" s="197" customFormat="1" ht="12.75" x14ac:dyDescent="0.2"/>
    <row r="61938" s="197" customFormat="1" ht="12.75" x14ac:dyDescent="0.2"/>
    <row r="61939" s="197" customFormat="1" ht="12.75" x14ac:dyDescent="0.2"/>
    <row r="61940" s="197" customFormat="1" ht="12.75" x14ac:dyDescent="0.2"/>
    <row r="61941" s="197" customFormat="1" ht="12.75" x14ac:dyDescent="0.2"/>
    <row r="61942" s="197" customFormat="1" ht="12.75" x14ac:dyDescent="0.2"/>
    <row r="61943" s="197" customFormat="1" ht="12.75" x14ac:dyDescent="0.2"/>
    <row r="61944" s="197" customFormat="1" ht="12.75" x14ac:dyDescent="0.2"/>
    <row r="61945" s="197" customFormat="1" ht="12.75" x14ac:dyDescent="0.2"/>
    <row r="61946" s="197" customFormat="1" ht="12.75" x14ac:dyDescent="0.2"/>
    <row r="61947" s="197" customFormat="1" ht="12.75" x14ac:dyDescent="0.2"/>
    <row r="61948" s="197" customFormat="1" ht="12.75" x14ac:dyDescent="0.2"/>
    <row r="61949" s="197" customFormat="1" ht="12.75" x14ac:dyDescent="0.2"/>
    <row r="61950" s="197" customFormat="1" ht="12.75" x14ac:dyDescent="0.2"/>
    <row r="61951" s="197" customFormat="1" ht="12.75" x14ac:dyDescent="0.2"/>
    <row r="61952" s="197" customFormat="1" ht="12.75" x14ac:dyDescent="0.2"/>
    <row r="61953" s="197" customFormat="1" ht="12.75" x14ac:dyDescent="0.2"/>
    <row r="61954" s="197" customFormat="1" ht="12.75" x14ac:dyDescent="0.2"/>
    <row r="61955" s="197" customFormat="1" ht="12.75" x14ac:dyDescent="0.2"/>
    <row r="61956" s="197" customFormat="1" ht="12.75" x14ac:dyDescent="0.2"/>
    <row r="61957" s="197" customFormat="1" ht="12.75" x14ac:dyDescent="0.2"/>
    <row r="61958" s="197" customFormat="1" ht="12.75" x14ac:dyDescent="0.2"/>
    <row r="61959" s="197" customFormat="1" ht="12.75" x14ac:dyDescent="0.2"/>
    <row r="61960" s="197" customFormat="1" ht="12.75" x14ac:dyDescent="0.2"/>
    <row r="61961" s="197" customFormat="1" ht="12.75" x14ac:dyDescent="0.2"/>
    <row r="61962" s="197" customFormat="1" ht="12.75" x14ac:dyDescent="0.2"/>
    <row r="61963" s="197" customFormat="1" ht="12.75" x14ac:dyDescent="0.2"/>
    <row r="61964" s="197" customFormat="1" ht="12.75" x14ac:dyDescent="0.2"/>
    <row r="61965" s="197" customFormat="1" ht="12.75" x14ac:dyDescent="0.2"/>
    <row r="61966" s="197" customFormat="1" ht="12.75" x14ac:dyDescent="0.2"/>
    <row r="61967" s="197" customFormat="1" ht="12.75" x14ac:dyDescent="0.2"/>
    <row r="61968" s="197" customFormat="1" ht="12.75" x14ac:dyDescent="0.2"/>
    <row r="61969" s="197" customFormat="1" ht="12.75" x14ac:dyDescent="0.2"/>
    <row r="61970" s="197" customFormat="1" ht="12.75" x14ac:dyDescent="0.2"/>
    <row r="61971" s="197" customFormat="1" ht="12.75" x14ac:dyDescent="0.2"/>
    <row r="61972" s="197" customFormat="1" ht="12.75" x14ac:dyDescent="0.2"/>
    <row r="61973" s="197" customFormat="1" ht="12.75" x14ac:dyDescent="0.2"/>
    <row r="61974" s="197" customFormat="1" ht="12.75" x14ac:dyDescent="0.2"/>
    <row r="61975" s="197" customFormat="1" ht="12.75" x14ac:dyDescent="0.2"/>
    <row r="61976" s="197" customFormat="1" ht="12.75" x14ac:dyDescent="0.2"/>
    <row r="61977" s="197" customFormat="1" ht="12.75" x14ac:dyDescent="0.2"/>
    <row r="61978" s="197" customFormat="1" ht="12.75" x14ac:dyDescent="0.2"/>
    <row r="61979" s="197" customFormat="1" ht="12.75" x14ac:dyDescent="0.2"/>
    <row r="61980" s="197" customFormat="1" ht="12.75" x14ac:dyDescent="0.2"/>
    <row r="61981" s="197" customFormat="1" ht="12.75" x14ac:dyDescent="0.2"/>
    <row r="61982" s="197" customFormat="1" ht="12.75" x14ac:dyDescent="0.2"/>
    <row r="61983" s="197" customFormat="1" ht="12.75" x14ac:dyDescent="0.2"/>
    <row r="61984" s="197" customFormat="1" ht="12.75" x14ac:dyDescent="0.2"/>
    <row r="61985" s="197" customFormat="1" ht="12.75" x14ac:dyDescent="0.2"/>
    <row r="61986" s="197" customFormat="1" ht="12.75" x14ac:dyDescent="0.2"/>
    <row r="61987" s="197" customFormat="1" ht="12.75" x14ac:dyDescent="0.2"/>
    <row r="61988" s="197" customFormat="1" ht="12.75" x14ac:dyDescent="0.2"/>
    <row r="61989" s="197" customFormat="1" ht="12.75" x14ac:dyDescent="0.2"/>
    <row r="61990" s="197" customFormat="1" ht="12.75" x14ac:dyDescent="0.2"/>
    <row r="61991" s="197" customFormat="1" ht="12.75" x14ac:dyDescent="0.2"/>
    <row r="61992" s="197" customFormat="1" ht="12.75" x14ac:dyDescent="0.2"/>
    <row r="61993" s="197" customFormat="1" ht="12.75" x14ac:dyDescent="0.2"/>
    <row r="61994" s="197" customFormat="1" ht="12.75" x14ac:dyDescent="0.2"/>
    <row r="61995" s="197" customFormat="1" ht="12.75" x14ac:dyDescent="0.2"/>
    <row r="61996" s="197" customFormat="1" ht="12.75" x14ac:dyDescent="0.2"/>
    <row r="61997" s="197" customFormat="1" ht="12.75" x14ac:dyDescent="0.2"/>
    <row r="61998" s="197" customFormat="1" ht="12.75" x14ac:dyDescent="0.2"/>
    <row r="61999" s="197" customFormat="1" ht="12.75" x14ac:dyDescent="0.2"/>
    <row r="62000" s="197" customFormat="1" ht="12.75" x14ac:dyDescent="0.2"/>
    <row r="62001" s="197" customFormat="1" ht="12.75" x14ac:dyDescent="0.2"/>
    <row r="62002" s="197" customFormat="1" ht="12.75" x14ac:dyDescent="0.2"/>
    <row r="62003" s="197" customFormat="1" ht="12.75" x14ac:dyDescent="0.2"/>
    <row r="62004" s="197" customFormat="1" ht="12.75" x14ac:dyDescent="0.2"/>
    <row r="62005" s="197" customFormat="1" ht="12.75" x14ac:dyDescent="0.2"/>
    <row r="62006" s="197" customFormat="1" ht="12.75" x14ac:dyDescent="0.2"/>
    <row r="62007" s="197" customFormat="1" ht="12.75" x14ac:dyDescent="0.2"/>
    <row r="62008" s="197" customFormat="1" ht="12.75" x14ac:dyDescent="0.2"/>
    <row r="62009" s="197" customFormat="1" ht="12.75" x14ac:dyDescent="0.2"/>
    <row r="62010" s="197" customFormat="1" ht="12.75" x14ac:dyDescent="0.2"/>
    <row r="62011" s="197" customFormat="1" ht="12.75" x14ac:dyDescent="0.2"/>
    <row r="62012" s="197" customFormat="1" ht="12.75" x14ac:dyDescent="0.2"/>
    <row r="62013" s="197" customFormat="1" ht="12.75" x14ac:dyDescent="0.2"/>
    <row r="62014" s="197" customFormat="1" ht="12.75" x14ac:dyDescent="0.2"/>
    <row r="62015" s="197" customFormat="1" ht="12.75" x14ac:dyDescent="0.2"/>
    <row r="62016" s="197" customFormat="1" ht="12.75" x14ac:dyDescent="0.2"/>
    <row r="62017" s="197" customFormat="1" ht="12.75" x14ac:dyDescent="0.2"/>
    <row r="62018" s="197" customFormat="1" ht="12.75" x14ac:dyDescent="0.2"/>
    <row r="62019" s="197" customFormat="1" ht="12.75" x14ac:dyDescent="0.2"/>
    <row r="62020" s="197" customFormat="1" ht="12.75" x14ac:dyDescent="0.2"/>
    <row r="62021" s="197" customFormat="1" ht="12.75" x14ac:dyDescent="0.2"/>
    <row r="62022" s="197" customFormat="1" ht="12.75" x14ac:dyDescent="0.2"/>
    <row r="62023" s="197" customFormat="1" ht="12.75" x14ac:dyDescent="0.2"/>
    <row r="62024" s="197" customFormat="1" ht="12.75" x14ac:dyDescent="0.2"/>
    <row r="62025" s="197" customFormat="1" ht="12.75" x14ac:dyDescent="0.2"/>
    <row r="62026" s="197" customFormat="1" ht="12.75" x14ac:dyDescent="0.2"/>
    <row r="62027" s="197" customFormat="1" ht="12.75" x14ac:dyDescent="0.2"/>
    <row r="62028" s="197" customFormat="1" ht="12.75" x14ac:dyDescent="0.2"/>
    <row r="62029" s="197" customFormat="1" ht="12.75" x14ac:dyDescent="0.2"/>
    <row r="62030" s="197" customFormat="1" ht="12.75" x14ac:dyDescent="0.2"/>
    <row r="62031" s="197" customFormat="1" ht="12.75" x14ac:dyDescent="0.2"/>
    <row r="62032" s="197" customFormat="1" ht="12.75" x14ac:dyDescent="0.2"/>
    <row r="62033" s="197" customFormat="1" ht="12.75" x14ac:dyDescent="0.2"/>
    <row r="62034" s="197" customFormat="1" ht="12.75" x14ac:dyDescent="0.2"/>
    <row r="62035" s="197" customFormat="1" ht="12.75" x14ac:dyDescent="0.2"/>
    <row r="62036" s="197" customFormat="1" ht="12.75" x14ac:dyDescent="0.2"/>
    <row r="62037" s="197" customFormat="1" ht="12.75" x14ac:dyDescent="0.2"/>
    <row r="62038" s="197" customFormat="1" ht="12.75" x14ac:dyDescent="0.2"/>
    <row r="62039" s="197" customFormat="1" ht="12.75" x14ac:dyDescent="0.2"/>
    <row r="62040" s="197" customFormat="1" ht="12.75" x14ac:dyDescent="0.2"/>
    <row r="62041" s="197" customFormat="1" ht="12.75" x14ac:dyDescent="0.2"/>
    <row r="62042" s="197" customFormat="1" ht="12.75" x14ac:dyDescent="0.2"/>
    <row r="62043" s="197" customFormat="1" ht="12.75" x14ac:dyDescent="0.2"/>
    <row r="62044" s="197" customFormat="1" ht="12.75" x14ac:dyDescent="0.2"/>
    <row r="62045" s="197" customFormat="1" ht="12.75" x14ac:dyDescent="0.2"/>
    <row r="62046" s="197" customFormat="1" ht="12.75" x14ac:dyDescent="0.2"/>
    <row r="62047" s="197" customFormat="1" ht="12.75" x14ac:dyDescent="0.2"/>
    <row r="62048" s="197" customFormat="1" ht="12.75" x14ac:dyDescent="0.2"/>
    <row r="62049" s="197" customFormat="1" ht="12.75" x14ac:dyDescent="0.2"/>
    <row r="62050" s="197" customFormat="1" ht="12.75" x14ac:dyDescent="0.2"/>
    <row r="62051" s="197" customFormat="1" ht="12.75" x14ac:dyDescent="0.2"/>
    <row r="62052" s="197" customFormat="1" ht="12.75" x14ac:dyDescent="0.2"/>
    <row r="62053" s="197" customFormat="1" ht="12.75" x14ac:dyDescent="0.2"/>
    <row r="62054" s="197" customFormat="1" ht="12.75" x14ac:dyDescent="0.2"/>
    <row r="62055" s="197" customFormat="1" ht="12.75" x14ac:dyDescent="0.2"/>
    <row r="62056" s="197" customFormat="1" ht="12.75" x14ac:dyDescent="0.2"/>
    <row r="62057" s="197" customFormat="1" ht="12.75" x14ac:dyDescent="0.2"/>
    <row r="62058" s="197" customFormat="1" ht="12.75" x14ac:dyDescent="0.2"/>
    <row r="62059" s="197" customFormat="1" ht="12.75" x14ac:dyDescent="0.2"/>
    <row r="62060" s="197" customFormat="1" ht="12.75" x14ac:dyDescent="0.2"/>
    <row r="62061" s="197" customFormat="1" ht="12.75" x14ac:dyDescent="0.2"/>
    <row r="62062" s="197" customFormat="1" ht="12.75" x14ac:dyDescent="0.2"/>
    <row r="62063" s="197" customFormat="1" ht="12.75" x14ac:dyDescent="0.2"/>
    <row r="62064" s="197" customFormat="1" ht="12.75" x14ac:dyDescent="0.2"/>
    <row r="62065" s="197" customFormat="1" ht="12.75" x14ac:dyDescent="0.2"/>
    <row r="62066" s="197" customFormat="1" ht="12.75" x14ac:dyDescent="0.2"/>
    <row r="62067" s="197" customFormat="1" ht="12.75" x14ac:dyDescent="0.2"/>
    <row r="62068" s="197" customFormat="1" ht="12.75" x14ac:dyDescent="0.2"/>
    <row r="62069" s="197" customFormat="1" ht="12.75" x14ac:dyDescent="0.2"/>
    <row r="62070" s="197" customFormat="1" ht="12.75" x14ac:dyDescent="0.2"/>
    <row r="62071" s="197" customFormat="1" ht="12.75" x14ac:dyDescent="0.2"/>
    <row r="62072" s="197" customFormat="1" ht="12.75" x14ac:dyDescent="0.2"/>
    <row r="62073" s="197" customFormat="1" ht="12.75" x14ac:dyDescent="0.2"/>
    <row r="62074" s="197" customFormat="1" ht="12.75" x14ac:dyDescent="0.2"/>
    <row r="62075" s="197" customFormat="1" ht="12.75" x14ac:dyDescent="0.2"/>
    <row r="62076" s="197" customFormat="1" ht="12.75" x14ac:dyDescent="0.2"/>
    <row r="62077" s="197" customFormat="1" ht="12.75" x14ac:dyDescent="0.2"/>
    <row r="62078" s="197" customFormat="1" ht="12.75" x14ac:dyDescent="0.2"/>
    <row r="62079" s="197" customFormat="1" ht="12.75" x14ac:dyDescent="0.2"/>
    <row r="62080" s="197" customFormat="1" ht="12.75" x14ac:dyDescent="0.2"/>
    <row r="62081" s="197" customFormat="1" ht="12.75" x14ac:dyDescent="0.2"/>
    <row r="62082" s="197" customFormat="1" ht="12.75" x14ac:dyDescent="0.2"/>
    <row r="62083" s="197" customFormat="1" ht="12.75" x14ac:dyDescent="0.2"/>
    <row r="62084" s="197" customFormat="1" ht="12.75" x14ac:dyDescent="0.2"/>
    <row r="62085" s="197" customFormat="1" ht="12.75" x14ac:dyDescent="0.2"/>
    <row r="62086" s="197" customFormat="1" ht="12.75" x14ac:dyDescent="0.2"/>
    <row r="62087" s="197" customFormat="1" ht="12.75" x14ac:dyDescent="0.2"/>
    <row r="62088" s="197" customFormat="1" ht="12.75" x14ac:dyDescent="0.2"/>
    <row r="62089" s="197" customFormat="1" ht="12.75" x14ac:dyDescent="0.2"/>
    <row r="62090" s="197" customFormat="1" ht="12.75" x14ac:dyDescent="0.2"/>
    <row r="62091" s="197" customFormat="1" ht="12.75" x14ac:dyDescent="0.2"/>
    <row r="62092" s="197" customFormat="1" ht="12.75" x14ac:dyDescent="0.2"/>
    <row r="62093" s="197" customFormat="1" ht="12.75" x14ac:dyDescent="0.2"/>
    <row r="62094" s="197" customFormat="1" ht="12.75" x14ac:dyDescent="0.2"/>
    <row r="62095" s="197" customFormat="1" ht="12.75" x14ac:dyDescent="0.2"/>
    <row r="62096" s="197" customFormat="1" ht="12.75" x14ac:dyDescent="0.2"/>
    <row r="62097" s="197" customFormat="1" ht="12.75" x14ac:dyDescent="0.2"/>
    <row r="62098" s="197" customFormat="1" ht="12.75" x14ac:dyDescent="0.2"/>
    <row r="62099" s="197" customFormat="1" ht="12.75" x14ac:dyDescent="0.2"/>
    <row r="62100" s="197" customFormat="1" ht="12.75" x14ac:dyDescent="0.2"/>
    <row r="62101" s="197" customFormat="1" ht="12.75" x14ac:dyDescent="0.2"/>
    <row r="62102" s="197" customFormat="1" ht="12.75" x14ac:dyDescent="0.2"/>
    <row r="62103" s="197" customFormat="1" ht="12.75" x14ac:dyDescent="0.2"/>
    <row r="62104" s="197" customFormat="1" ht="12.75" x14ac:dyDescent="0.2"/>
    <row r="62105" s="197" customFormat="1" ht="12.75" x14ac:dyDescent="0.2"/>
    <row r="62106" s="197" customFormat="1" ht="12.75" x14ac:dyDescent="0.2"/>
    <row r="62107" s="197" customFormat="1" ht="12.75" x14ac:dyDescent="0.2"/>
    <row r="62108" s="197" customFormat="1" ht="12.75" x14ac:dyDescent="0.2"/>
    <row r="62109" s="197" customFormat="1" ht="12.75" x14ac:dyDescent="0.2"/>
    <row r="62110" s="197" customFormat="1" ht="12.75" x14ac:dyDescent="0.2"/>
    <row r="62111" s="197" customFormat="1" ht="12.75" x14ac:dyDescent="0.2"/>
    <row r="62112" s="197" customFormat="1" ht="12.75" x14ac:dyDescent="0.2"/>
    <row r="62113" s="197" customFormat="1" ht="12.75" x14ac:dyDescent="0.2"/>
    <row r="62114" s="197" customFormat="1" ht="12.75" x14ac:dyDescent="0.2"/>
    <row r="62115" s="197" customFormat="1" ht="12.75" x14ac:dyDescent="0.2"/>
    <row r="62116" s="197" customFormat="1" ht="12.75" x14ac:dyDescent="0.2"/>
    <row r="62117" s="197" customFormat="1" ht="12.75" x14ac:dyDescent="0.2"/>
    <row r="62118" s="197" customFormat="1" ht="12.75" x14ac:dyDescent="0.2"/>
    <row r="62119" s="197" customFormat="1" ht="12.75" x14ac:dyDescent="0.2"/>
    <row r="62120" s="197" customFormat="1" ht="12.75" x14ac:dyDescent="0.2"/>
    <row r="62121" s="197" customFormat="1" ht="12.75" x14ac:dyDescent="0.2"/>
    <row r="62122" s="197" customFormat="1" ht="12.75" x14ac:dyDescent="0.2"/>
    <row r="62123" s="197" customFormat="1" ht="12.75" x14ac:dyDescent="0.2"/>
    <row r="62124" s="197" customFormat="1" ht="12.75" x14ac:dyDescent="0.2"/>
    <row r="62125" s="197" customFormat="1" ht="12.75" x14ac:dyDescent="0.2"/>
    <row r="62126" s="197" customFormat="1" ht="12.75" x14ac:dyDescent="0.2"/>
    <row r="62127" s="197" customFormat="1" ht="12.75" x14ac:dyDescent="0.2"/>
    <row r="62128" s="197" customFormat="1" ht="12.75" x14ac:dyDescent="0.2"/>
    <row r="62129" s="197" customFormat="1" ht="12.75" x14ac:dyDescent="0.2"/>
    <row r="62130" s="197" customFormat="1" ht="12.75" x14ac:dyDescent="0.2"/>
    <row r="62131" s="197" customFormat="1" ht="12.75" x14ac:dyDescent="0.2"/>
    <row r="62132" s="197" customFormat="1" ht="12.75" x14ac:dyDescent="0.2"/>
    <row r="62133" s="197" customFormat="1" ht="12.75" x14ac:dyDescent="0.2"/>
    <row r="62134" s="197" customFormat="1" ht="12.75" x14ac:dyDescent="0.2"/>
    <row r="62135" s="197" customFormat="1" ht="12.75" x14ac:dyDescent="0.2"/>
    <row r="62136" s="197" customFormat="1" ht="12.75" x14ac:dyDescent="0.2"/>
    <row r="62137" s="197" customFormat="1" ht="12.75" x14ac:dyDescent="0.2"/>
    <row r="62138" s="197" customFormat="1" ht="12.75" x14ac:dyDescent="0.2"/>
    <row r="62139" s="197" customFormat="1" ht="12.75" x14ac:dyDescent="0.2"/>
    <row r="62140" s="197" customFormat="1" ht="12.75" x14ac:dyDescent="0.2"/>
    <row r="62141" s="197" customFormat="1" ht="12.75" x14ac:dyDescent="0.2"/>
    <row r="62142" s="197" customFormat="1" ht="12.75" x14ac:dyDescent="0.2"/>
    <row r="62143" s="197" customFormat="1" ht="12.75" x14ac:dyDescent="0.2"/>
    <row r="62144" s="197" customFormat="1" ht="12.75" x14ac:dyDescent="0.2"/>
    <row r="62145" s="197" customFormat="1" ht="12.75" x14ac:dyDescent="0.2"/>
    <row r="62146" s="197" customFormat="1" ht="12.75" x14ac:dyDescent="0.2"/>
    <row r="62147" s="197" customFormat="1" ht="12.75" x14ac:dyDescent="0.2"/>
    <row r="62148" s="197" customFormat="1" ht="12.75" x14ac:dyDescent="0.2"/>
    <row r="62149" s="197" customFormat="1" ht="12.75" x14ac:dyDescent="0.2"/>
    <row r="62150" s="197" customFormat="1" ht="12.75" x14ac:dyDescent="0.2"/>
    <row r="62151" s="197" customFormat="1" ht="12.75" x14ac:dyDescent="0.2"/>
    <row r="62152" s="197" customFormat="1" ht="12.75" x14ac:dyDescent="0.2"/>
    <row r="62153" s="197" customFormat="1" ht="12.75" x14ac:dyDescent="0.2"/>
    <row r="62154" s="197" customFormat="1" ht="12.75" x14ac:dyDescent="0.2"/>
    <row r="62155" s="197" customFormat="1" ht="12.75" x14ac:dyDescent="0.2"/>
    <row r="62156" s="197" customFormat="1" ht="12.75" x14ac:dyDescent="0.2"/>
    <row r="62157" s="197" customFormat="1" ht="12.75" x14ac:dyDescent="0.2"/>
    <row r="62158" s="197" customFormat="1" ht="12.75" x14ac:dyDescent="0.2"/>
    <row r="62159" s="197" customFormat="1" ht="12.75" x14ac:dyDescent="0.2"/>
    <row r="62160" s="197" customFormat="1" ht="12.75" x14ac:dyDescent="0.2"/>
    <row r="62161" s="197" customFormat="1" ht="12.75" x14ac:dyDescent="0.2"/>
    <row r="62162" s="197" customFormat="1" ht="12.75" x14ac:dyDescent="0.2"/>
    <row r="62163" s="197" customFormat="1" ht="12.75" x14ac:dyDescent="0.2"/>
    <row r="62164" s="197" customFormat="1" ht="12.75" x14ac:dyDescent="0.2"/>
    <row r="62165" s="197" customFormat="1" ht="12.75" x14ac:dyDescent="0.2"/>
    <row r="62166" s="197" customFormat="1" ht="12.75" x14ac:dyDescent="0.2"/>
    <row r="62167" s="197" customFormat="1" ht="12.75" x14ac:dyDescent="0.2"/>
    <row r="62168" s="197" customFormat="1" ht="12.75" x14ac:dyDescent="0.2"/>
    <row r="62169" s="197" customFormat="1" ht="12.75" x14ac:dyDescent="0.2"/>
    <row r="62170" s="197" customFormat="1" ht="12.75" x14ac:dyDescent="0.2"/>
    <row r="62171" s="197" customFormat="1" ht="12.75" x14ac:dyDescent="0.2"/>
    <row r="62172" s="197" customFormat="1" ht="12.75" x14ac:dyDescent="0.2"/>
    <row r="62173" s="197" customFormat="1" ht="12.75" x14ac:dyDescent="0.2"/>
    <row r="62174" s="197" customFormat="1" ht="12.75" x14ac:dyDescent="0.2"/>
    <row r="62175" s="197" customFormat="1" ht="12.75" x14ac:dyDescent="0.2"/>
    <row r="62176" s="197" customFormat="1" ht="12.75" x14ac:dyDescent="0.2"/>
    <row r="62177" s="197" customFormat="1" ht="12.75" x14ac:dyDescent="0.2"/>
    <row r="62178" s="197" customFormat="1" ht="12.75" x14ac:dyDescent="0.2"/>
    <row r="62179" s="197" customFormat="1" ht="12.75" x14ac:dyDescent="0.2"/>
    <row r="62180" s="197" customFormat="1" ht="12.75" x14ac:dyDescent="0.2"/>
    <row r="62181" s="197" customFormat="1" ht="12.75" x14ac:dyDescent="0.2"/>
    <row r="62182" s="197" customFormat="1" ht="12.75" x14ac:dyDescent="0.2"/>
    <row r="62183" s="197" customFormat="1" ht="12.75" x14ac:dyDescent="0.2"/>
    <row r="62184" s="197" customFormat="1" ht="12.75" x14ac:dyDescent="0.2"/>
    <row r="62185" s="197" customFormat="1" ht="12.75" x14ac:dyDescent="0.2"/>
    <row r="62186" s="197" customFormat="1" ht="12.75" x14ac:dyDescent="0.2"/>
    <row r="62187" s="197" customFormat="1" ht="12.75" x14ac:dyDescent="0.2"/>
    <row r="62188" s="197" customFormat="1" ht="12.75" x14ac:dyDescent="0.2"/>
    <row r="62189" s="197" customFormat="1" ht="12.75" x14ac:dyDescent="0.2"/>
    <row r="62190" s="197" customFormat="1" ht="12.75" x14ac:dyDescent="0.2"/>
    <row r="62191" s="197" customFormat="1" ht="12.75" x14ac:dyDescent="0.2"/>
    <row r="62192" s="197" customFormat="1" ht="12.75" x14ac:dyDescent="0.2"/>
    <row r="62193" s="197" customFormat="1" ht="12.75" x14ac:dyDescent="0.2"/>
    <row r="62194" s="197" customFormat="1" ht="12.75" x14ac:dyDescent="0.2"/>
    <row r="62195" s="197" customFormat="1" ht="12.75" x14ac:dyDescent="0.2"/>
    <row r="62196" s="197" customFormat="1" ht="12.75" x14ac:dyDescent="0.2"/>
    <row r="62197" s="197" customFormat="1" ht="12.75" x14ac:dyDescent="0.2"/>
    <row r="62198" s="197" customFormat="1" ht="12.75" x14ac:dyDescent="0.2"/>
    <row r="62199" s="197" customFormat="1" ht="12.75" x14ac:dyDescent="0.2"/>
    <row r="62200" s="197" customFormat="1" ht="12.75" x14ac:dyDescent="0.2"/>
    <row r="62201" s="197" customFormat="1" ht="12.75" x14ac:dyDescent="0.2"/>
    <row r="62202" s="197" customFormat="1" ht="12.75" x14ac:dyDescent="0.2"/>
    <row r="62203" s="197" customFormat="1" ht="12.75" x14ac:dyDescent="0.2"/>
    <row r="62204" s="197" customFormat="1" ht="12.75" x14ac:dyDescent="0.2"/>
    <row r="62205" s="197" customFormat="1" ht="12.75" x14ac:dyDescent="0.2"/>
    <row r="62206" s="197" customFormat="1" ht="12.75" x14ac:dyDescent="0.2"/>
    <row r="62207" s="197" customFormat="1" ht="12.75" x14ac:dyDescent="0.2"/>
    <row r="62208" s="197" customFormat="1" ht="12.75" x14ac:dyDescent="0.2"/>
    <row r="62209" s="197" customFormat="1" ht="12.75" x14ac:dyDescent="0.2"/>
    <row r="62210" s="197" customFormat="1" ht="12.75" x14ac:dyDescent="0.2"/>
    <row r="62211" s="197" customFormat="1" ht="12.75" x14ac:dyDescent="0.2"/>
    <row r="62212" s="197" customFormat="1" ht="12.75" x14ac:dyDescent="0.2"/>
    <row r="62213" s="197" customFormat="1" ht="12.75" x14ac:dyDescent="0.2"/>
    <row r="62214" s="197" customFormat="1" ht="12.75" x14ac:dyDescent="0.2"/>
    <row r="62215" s="197" customFormat="1" ht="12.75" x14ac:dyDescent="0.2"/>
    <row r="62216" s="197" customFormat="1" ht="12.75" x14ac:dyDescent="0.2"/>
    <row r="62217" s="197" customFormat="1" ht="12.75" x14ac:dyDescent="0.2"/>
    <row r="62218" s="197" customFormat="1" ht="12.75" x14ac:dyDescent="0.2"/>
    <row r="62219" s="197" customFormat="1" ht="12.75" x14ac:dyDescent="0.2"/>
    <row r="62220" s="197" customFormat="1" ht="12.75" x14ac:dyDescent="0.2"/>
    <row r="62221" s="197" customFormat="1" ht="12.75" x14ac:dyDescent="0.2"/>
    <row r="62222" s="197" customFormat="1" ht="12.75" x14ac:dyDescent="0.2"/>
    <row r="62223" s="197" customFormat="1" ht="12.75" x14ac:dyDescent="0.2"/>
    <row r="62224" s="197" customFormat="1" ht="12.75" x14ac:dyDescent="0.2"/>
    <row r="62225" s="197" customFormat="1" ht="12.75" x14ac:dyDescent="0.2"/>
    <row r="62226" s="197" customFormat="1" ht="12.75" x14ac:dyDescent="0.2"/>
    <row r="62227" s="197" customFormat="1" ht="12.75" x14ac:dyDescent="0.2"/>
    <row r="62228" s="197" customFormat="1" ht="12.75" x14ac:dyDescent="0.2"/>
    <row r="62229" s="197" customFormat="1" ht="12.75" x14ac:dyDescent="0.2"/>
    <row r="62230" s="197" customFormat="1" ht="12.75" x14ac:dyDescent="0.2"/>
    <row r="62231" s="197" customFormat="1" ht="12.75" x14ac:dyDescent="0.2"/>
    <row r="62232" s="197" customFormat="1" ht="12.75" x14ac:dyDescent="0.2"/>
    <row r="62233" s="197" customFormat="1" ht="12.75" x14ac:dyDescent="0.2"/>
    <row r="62234" s="197" customFormat="1" ht="12.75" x14ac:dyDescent="0.2"/>
    <row r="62235" s="197" customFormat="1" ht="12.75" x14ac:dyDescent="0.2"/>
    <row r="62236" s="197" customFormat="1" ht="12.75" x14ac:dyDescent="0.2"/>
    <row r="62237" s="197" customFormat="1" ht="12.75" x14ac:dyDescent="0.2"/>
    <row r="62238" s="197" customFormat="1" ht="12.75" x14ac:dyDescent="0.2"/>
    <row r="62239" s="197" customFormat="1" ht="12.75" x14ac:dyDescent="0.2"/>
    <row r="62240" s="197" customFormat="1" ht="12.75" x14ac:dyDescent="0.2"/>
    <row r="62241" s="197" customFormat="1" ht="12.75" x14ac:dyDescent="0.2"/>
    <row r="62242" s="197" customFormat="1" ht="12.75" x14ac:dyDescent="0.2"/>
    <row r="62243" s="197" customFormat="1" ht="12.75" x14ac:dyDescent="0.2"/>
    <row r="62244" s="197" customFormat="1" ht="12.75" x14ac:dyDescent="0.2"/>
    <row r="62245" s="197" customFormat="1" ht="12.75" x14ac:dyDescent="0.2"/>
    <row r="62246" s="197" customFormat="1" ht="12.75" x14ac:dyDescent="0.2"/>
    <row r="62247" s="197" customFormat="1" ht="12.75" x14ac:dyDescent="0.2"/>
    <row r="62248" s="197" customFormat="1" ht="12.75" x14ac:dyDescent="0.2"/>
    <row r="62249" s="197" customFormat="1" ht="12.75" x14ac:dyDescent="0.2"/>
    <row r="62250" s="197" customFormat="1" ht="12.75" x14ac:dyDescent="0.2"/>
    <row r="62251" s="197" customFormat="1" ht="12.75" x14ac:dyDescent="0.2"/>
    <row r="62252" s="197" customFormat="1" ht="12.75" x14ac:dyDescent="0.2"/>
    <row r="62253" s="197" customFormat="1" ht="12.75" x14ac:dyDescent="0.2"/>
    <row r="62254" s="197" customFormat="1" ht="12.75" x14ac:dyDescent="0.2"/>
    <row r="62255" s="197" customFormat="1" ht="12.75" x14ac:dyDescent="0.2"/>
    <row r="62256" s="197" customFormat="1" ht="12.75" x14ac:dyDescent="0.2"/>
    <row r="62257" s="197" customFormat="1" ht="12.75" x14ac:dyDescent="0.2"/>
    <row r="62258" s="197" customFormat="1" ht="12.75" x14ac:dyDescent="0.2"/>
    <row r="62259" s="197" customFormat="1" ht="12.75" x14ac:dyDescent="0.2"/>
    <row r="62260" s="197" customFormat="1" ht="12.75" x14ac:dyDescent="0.2"/>
    <row r="62261" s="197" customFormat="1" ht="12.75" x14ac:dyDescent="0.2"/>
    <row r="62262" s="197" customFormat="1" ht="12.75" x14ac:dyDescent="0.2"/>
    <row r="62263" s="197" customFormat="1" ht="12.75" x14ac:dyDescent="0.2"/>
    <row r="62264" s="197" customFormat="1" ht="12.75" x14ac:dyDescent="0.2"/>
    <row r="62265" s="197" customFormat="1" ht="12.75" x14ac:dyDescent="0.2"/>
    <row r="62266" s="197" customFormat="1" ht="12.75" x14ac:dyDescent="0.2"/>
    <row r="62267" s="197" customFormat="1" ht="12.75" x14ac:dyDescent="0.2"/>
    <row r="62268" s="197" customFormat="1" ht="12.75" x14ac:dyDescent="0.2"/>
    <row r="62269" s="197" customFormat="1" ht="12.75" x14ac:dyDescent="0.2"/>
    <row r="62270" s="197" customFormat="1" ht="12.75" x14ac:dyDescent="0.2"/>
    <row r="62271" s="197" customFormat="1" ht="12.75" x14ac:dyDescent="0.2"/>
    <row r="62272" s="197" customFormat="1" ht="12.75" x14ac:dyDescent="0.2"/>
    <row r="62273" s="197" customFormat="1" ht="12.75" x14ac:dyDescent="0.2"/>
    <row r="62274" s="197" customFormat="1" ht="12.75" x14ac:dyDescent="0.2"/>
    <row r="62275" s="197" customFormat="1" ht="12.75" x14ac:dyDescent="0.2"/>
    <row r="62276" s="197" customFormat="1" ht="12.75" x14ac:dyDescent="0.2"/>
    <row r="62277" s="197" customFormat="1" ht="12.75" x14ac:dyDescent="0.2"/>
    <row r="62278" s="197" customFormat="1" ht="12.75" x14ac:dyDescent="0.2"/>
    <row r="62279" s="197" customFormat="1" ht="12.75" x14ac:dyDescent="0.2"/>
    <row r="62280" s="197" customFormat="1" ht="12.75" x14ac:dyDescent="0.2"/>
    <row r="62281" s="197" customFormat="1" ht="12.75" x14ac:dyDescent="0.2"/>
    <row r="62282" s="197" customFormat="1" ht="12.75" x14ac:dyDescent="0.2"/>
    <row r="62283" s="197" customFormat="1" ht="12.75" x14ac:dyDescent="0.2"/>
    <row r="62284" s="197" customFormat="1" ht="12.75" x14ac:dyDescent="0.2"/>
    <row r="62285" s="197" customFormat="1" ht="12.75" x14ac:dyDescent="0.2"/>
    <row r="62286" s="197" customFormat="1" ht="12.75" x14ac:dyDescent="0.2"/>
    <row r="62287" s="197" customFormat="1" ht="12.75" x14ac:dyDescent="0.2"/>
    <row r="62288" s="197" customFormat="1" ht="12.75" x14ac:dyDescent="0.2"/>
    <row r="62289" s="197" customFormat="1" ht="12.75" x14ac:dyDescent="0.2"/>
    <row r="62290" s="197" customFormat="1" ht="12.75" x14ac:dyDescent="0.2"/>
    <row r="62291" s="197" customFormat="1" ht="12.75" x14ac:dyDescent="0.2"/>
    <row r="62292" s="197" customFormat="1" ht="12.75" x14ac:dyDescent="0.2"/>
    <row r="62293" s="197" customFormat="1" ht="12.75" x14ac:dyDescent="0.2"/>
    <row r="62294" s="197" customFormat="1" ht="12.75" x14ac:dyDescent="0.2"/>
    <row r="62295" s="197" customFormat="1" ht="12.75" x14ac:dyDescent="0.2"/>
    <row r="62296" s="197" customFormat="1" ht="12.75" x14ac:dyDescent="0.2"/>
    <row r="62297" s="197" customFormat="1" ht="12.75" x14ac:dyDescent="0.2"/>
    <row r="62298" s="197" customFormat="1" ht="12.75" x14ac:dyDescent="0.2"/>
    <row r="62299" s="197" customFormat="1" ht="12.75" x14ac:dyDescent="0.2"/>
    <row r="62300" s="197" customFormat="1" ht="12.75" x14ac:dyDescent="0.2"/>
    <row r="62301" s="197" customFormat="1" ht="12.75" x14ac:dyDescent="0.2"/>
    <row r="62302" s="197" customFormat="1" ht="12.75" x14ac:dyDescent="0.2"/>
    <row r="62303" s="197" customFormat="1" ht="12.75" x14ac:dyDescent="0.2"/>
    <row r="62304" s="197" customFormat="1" ht="12.75" x14ac:dyDescent="0.2"/>
    <row r="62305" s="197" customFormat="1" ht="12.75" x14ac:dyDescent="0.2"/>
    <row r="62306" s="197" customFormat="1" ht="12.75" x14ac:dyDescent="0.2"/>
    <row r="62307" s="197" customFormat="1" ht="12.75" x14ac:dyDescent="0.2"/>
    <row r="62308" s="197" customFormat="1" ht="12.75" x14ac:dyDescent="0.2"/>
    <row r="62309" s="197" customFormat="1" ht="12.75" x14ac:dyDescent="0.2"/>
    <row r="62310" s="197" customFormat="1" ht="12.75" x14ac:dyDescent="0.2"/>
    <row r="62311" s="197" customFormat="1" ht="12.75" x14ac:dyDescent="0.2"/>
    <row r="62312" s="197" customFormat="1" ht="12.75" x14ac:dyDescent="0.2"/>
    <row r="62313" s="197" customFormat="1" ht="12.75" x14ac:dyDescent="0.2"/>
    <row r="62314" s="197" customFormat="1" ht="12.75" x14ac:dyDescent="0.2"/>
    <row r="62315" s="197" customFormat="1" ht="12.75" x14ac:dyDescent="0.2"/>
    <row r="62316" s="197" customFormat="1" ht="12.75" x14ac:dyDescent="0.2"/>
    <row r="62317" s="197" customFormat="1" ht="12.75" x14ac:dyDescent="0.2"/>
    <row r="62318" s="197" customFormat="1" ht="12.75" x14ac:dyDescent="0.2"/>
    <row r="62319" s="197" customFormat="1" ht="12.75" x14ac:dyDescent="0.2"/>
    <row r="62320" s="197" customFormat="1" ht="12.75" x14ac:dyDescent="0.2"/>
    <row r="62321" s="197" customFormat="1" ht="12.75" x14ac:dyDescent="0.2"/>
    <row r="62322" s="197" customFormat="1" ht="12.75" x14ac:dyDescent="0.2"/>
    <row r="62323" s="197" customFormat="1" ht="12.75" x14ac:dyDescent="0.2"/>
    <row r="62324" s="197" customFormat="1" ht="12.75" x14ac:dyDescent="0.2"/>
    <row r="62325" s="197" customFormat="1" ht="12.75" x14ac:dyDescent="0.2"/>
    <row r="62326" s="197" customFormat="1" ht="12.75" x14ac:dyDescent="0.2"/>
    <row r="62327" s="197" customFormat="1" ht="12.75" x14ac:dyDescent="0.2"/>
    <row r="62328" s="197" customFormat="1" ht="12.75" x14ac:dyDescent="0.2"/>
    <row r="62329" s="197" customFormat="1" ht="12.75" x14ac:dyDescent="0.2"/>
    <row r="62330" s="197" customFormat="1" ht="12.75" x14ac:dyDescent="0.2"/>
    <row r="62331" s="197" customFormat="1" ht="12.75" x14ac:dyDescent="0.2"/>
    <row r="62332" s="197" customFormat="1" ht="12.75" x14ac:dyDescent="0.2"/>
    <row r="62333" s="197" customFormat="1" ht="12.75" x14ac:dyDescent="0.2"/>
    <row r="62334" s="197" customFormat="1" ht="12.75" x14ac:dyDescent="0.2"/>
    <row r="62335" s="197" customFormat="1" ht="12.75" x14ac:dyDescent="0.2"/>
    <row r="62336" s="197" customFormat="1" ht="12.75" x14ac:dyDescent="0.2"/>
    <row r="62337" s="197" customFormat="1" ht="12.75" x14ac:dyDescent="0.2"/>
    <row r="62338" s="197" customFormat="1" ht="12.75" x14ac:dyDescent="0.2"/>
    <row r="62339" s="197" customFormat="1" ht="12.75" x14ac:dyDescent="0.2"/>
    <row r="62340" s="197" customFormat="1" ht="12.75" x14ac:dyDescent="0.2"/>
    <row r="62341" s="197" customFormat="1" ht="12.75" x14ac:dyDescent="0.2"/>
    <row r="62342" s="197" customFormat="1" ht="12.75" x14ac:dyDescent="0.2"/>
    <row r="62343" s="197" customFormat="1" ht="12.75" x14ac:dyDescent="0.2"/>
    <row r="62344" s="197" customFormat="1" ht="12.75" x14ac:dyDescent="0.2"/>
    <row r="62345" s="197" customFormat="1" ht="12.75" x14ac:dyDescent="0.2"/>
    <row r="62346" s="197" customFormat="1" ht="12.75" x14ac:dyDescent="0.2"/>
    <row r="62347" s="197" customFormat="1" ht="12.75" x14ac:dyDescent="0.2"/>
    <row r="62348" s="197" customFormat="1" ht="12.75" x14ac:dyDescent="0.2"/>
    <row r="62349" s="197" customFormat="1" ht="12.75" x14ac:dyDescent="0.2"/>
    <row r="62350" s="197" customFormat="1" ht="12.75" x14ac:dyDescent="0.2"/>
    <row r="62351" s="197" customFormat="1" ht="12.75" x14ac:dyDescent="0.2"/>
    <row r="62352" s="197" customFormat="1" ht="12.75" x14ac:dyDescent="0.2"/>
    <row r="62353" s="197" customFormat="1" ht="12.75" x14ac:dyDescent="0.2"/>
    <row r="62354" s="197" customFormat="1" ht="12.75" x14ac:dyDescent="0.2"/>
    <row r="62355" s="197" customFormat="1" ht="12.75" x14ac:dyDescent="0.2"/>
    <row r="62356" s="197" customFormat="1" ht="12.75" x14ac:dyDescent="0.2"/>
    <row r="62357" s="197" customFormat="1" ht="12.75" x14ac:dyDescent="0.2"/>
    <row r="62358" s="197" customFormat="1" ht="12.75" x14ac:dyDescent="0.2"/>
    <row r="62359" s="197" customFormat="1" ht="12.75" x14ac:dyDescent="0.2"/>
    <row r="62360" s="197" customFormat="1" ht="12.75" x14ac:dyDescent="0.2"/>
    <row r="62361" s="197" customFormat="1" ht="12.75" x14ac:dyDescent="0.2"/>
    <row r="62362" s="197" customFormat="1" ht="12.75" x14ac:dyDescent="0.2"/>
    <row r="62363" s="197" customFormat="1" ht="12.75" x14ac:dyDescent="0.2"/>
    <row r="62364" s="197" customFormat="1" ht="12.75" x14ac:dyDescent="0.2"/>
    <row r="62365" s="197" customFormat="1" ht="12.75" x14ac:dyDescent="0.2"/>
    <row r="62366" s="197" customFormat="1" ht="12.75" x14ac:dyDescent="0.2"/>
    <row r="62367" s="197" customFormat="1" ht="12.75" x14ac:dyDescent="0.2"/>
    <row r="62368" s="197" customFormat="1" ht="12.75" x14ac:dyDescent="0.2"/>
    <row r="62369" s="197" customFormat="1" ht="12.75" x14ac:dyDescent="0.2"/>
    <row r="62370" s="197" customFormat="1" ht="12.75" x14ac:dyDescent="0.2"/>
    <row r="62371" s="197" customFormat="1" ht="12.75" x14ac:dyDescent="0.2"/>
    <row r="62372" s="197" customFormat="1" ht="12.75" x14ac:dyDescent="0.2"/>
    <row r="62373" s="197" customFormat="1" ht="12.75" x14ac:dyDescent="0.2"/>
    <row r="62374" s="197" customFormat="1" ht="12.75" x14ac:dyDescent="0.2"/>
    <row r="62375" s="197" customFormat="1" ht="12.75" x14ac:dyDescent="0.2"/>
    <row r="62376" s="197" customFormat="1" ht="12.75" x14ac:dyDescent="0.2"/>
    <row r="62377" s="197" customFormat="1" ht="12.75" x14ac:dyDescent="0.2"/>
    <row r="62378" s="197" customFormat="1" ht="12.75" x14ac:dyDescent="0.2"/>
    <row r="62379" s="197" customFormat="1" ht="12.75" x14ac:dyDescent="0.2"/>
    <row r="62380" s="197" customFormat="1" ht="12.75" x14ac:dyDescent="0.2"/>
    <row r="62381" s="197" customFormat="1" ht="12.75" x14ac:dyDescent="0.2"/>
    <row r="62382" s="197" customFormat="1" ht="12.75" x14ac:dyDescent="0.2"/>
    <row r="62383" s="197" customFormat="1" ht="12.75" x14ac:dyDescent="0.2"/>
    <row r="62384" s="197" customFormat="1" ht="12.75" x14ac:dyDescent="0.2"/>
    <row r="62385" s="197" customFormat="1" ht="12.75" x14ac:dyDescent="0.2"/>
    <row r="62386" s="197" customFormat="1" ht="12.75" x14ac:dyDescent="0.2"/>
    <row r="62387" s="197" customFormat="1" ht="12.75" x14ac:dyDescent="0.2"/>
    <row r="62388" s="197" customFormat="1" ht="12.75" x14ac:dyDescent="0.2"/>
    <row r="62389" s="197" customFormat="1" ht="12.75" x14ac:dyDescent="0.2"/>
    <row r="62390" s="197" customFormat="1" ht="12.75" x14ac:dyDescent="0.2"/>
    <row r="62391" s="197" customFormat="1" ht="12.75" x14ac:dyDescent="0.2"/>
    <row r="62392" s="197" customFormat="1" ht="12.75" x14ac:dyDescent="0.2"/>
    <row r="62393" s="197" customFormat="1" ht="12.75" x14ac:dyDescent="0.2"/>
    <row r="62394" s="197" customFormat="1" ht="12.75" x14ac:dyDescent="0.2"/>
    <row r="62395" s="197" customFormat="1" ht="12.75" x14ac:dyDescent="0.2"/>
    <row r="62396" s="197" customFormat="1" ht="12.75" x14ac:dyDescent="0.2"/>
    <row r="62397" s="197" customFormat="1" ht="12.75" x14ac:dyDescent="0.2"/>
    <row r="62398" s="197" customFormat="1" ht="12.75" x14ac:dyDescent="0.2"/>
    <row r="62399" s="197" customFormat="1" ht="12.75" x14ac:dyDescent="0.2"/>
    <row r="62400" s="197" customFormat="1" ht="12.75" x14ac:dyDescent="0.2"/>
    <row r="62401" s="197" customFormat="1" ht="12.75" x14ac:dyDescent="0.2"/>
    <row r="62402" s="197" customFormat="1" ht="12.75" x14ac:dyDescent="0.2"/>
    <row r="62403" s="197" customFormat="1" ht="12.75" x14ac:dyDescent="0.2"/>
    <row r="62404" s="197" customFormat="1" ht="12.75" x14ac:dyDescent="0.2"/>
    <row r="62405" s="197" customFormat="1" ht="12.75" x14ac:dyDescent="0.2"/>
    <row r="62406" s="197" customFormat="1" ht="12.75" x14ac:dyDescent="0.2"/>
    <row r="62407" s="197" customFormat="1" ht="12.75" x14ac:dyDescent="0.2"/>
    <row r="62408" s="197" customFormat="1" ht="12.75" x14ac:dyDescent="0.2"/>
    <row r="62409" s="197" customFormat="1" ht="12.75" x14ac:dyDescent="0.2"/>
    <row r="62410" s="197" customFormat="1" ht="12.75" x14ac:dyDescent="0.2"/>
    <row r="62411" s="197" customFormat="1" ht="12.75" x14ac:dyDescent="0.2"/>
    <row r="62412" s="197" customFormat="1" ht="12.75" x14ac:dyDescent="0.2"/>
    <row r="62413" s="197" customFormat="1" ht="12.75" x14ac:dyDescent="0.2"/>
    <row r="62414" s="197" customFormat="1" ht="12.75" x14ac:dyDescent="0.2"/>
    <row r="62415" s="197" customFormat="1" ht="12.75" x14ac:dyDescent="0.2"/>
    <row r="62416" s="197" customFormat="1" ht="12.75" x14ac:dyDescent="0.2"/>
    <row r="62417" s="197" customFormat="1" ht="12.75" x14ac:dyDescent="0.2"/>
    <row r="62418" s="197" customFormat="1" ht="12.75" x14ac:dyDescent="0.2"/>
    <row r="62419" s="197" customFormat="1" ht="12.75" x14ac:dyDescent="0.2"/>
    <row r="62420" s="197" customFormat="1" ht="12.75" x14ac:dyDescent="0.2"/>
    <row r="62421" s="197" customFormat="1" ht="12.75" x14ac:dyDescent="0.2"/>
    <row r="62422" s="197" customFormat="1" ht="12.75" x14ac:dyDescent="0.2"/>
    <row r="62423" s="197" customFormat="1" ht="12.75" x14ac:dyDescent="0.2"/>
    <row r="62424" s="197" customFormat="1" ht="12.75" x14ac:dyDescent="0.2"/>
    <row r="62425" s="197" customFormat="1" ht="12.75" x14ac:dyDescent="0.2"/>
    <row r="62426" s="197" customFormat="1" ht="12.75" x14ac:dyDescent="0.2"/>
    <row r="62427" s="197" customFormat="1" ht="12.75" x14ac:dyDescent="0.2"/>
    <row r="62428" s="197" customFormat="1" ht="12.75" x14ac:dyDescent="0.2"/>
    <row r="62429" s="197" customFormat="1" ht="12.75" x14ac:dyDescent="0.2"/>
    <row r="62430" s="197" customFormat="1" ht="12.75" x14ac:dyDescent="0.2"/>
    <row r="62431" s="197" customFormat="1" ht="12.75" x14ac:dyDescent="0.2"/>
    <row r="62432" s="197" customFormat="1" ht="12.75" x14ac:dyDescent="0.2"/>
    <row r="62433" s="197" customFormat="1" ht="12.75" x14ac:dyDescent="0.2"/>
    <row r="62434" s="197" customFormat="1" ht="12.75" x14ac:dyDescent="0.2"/>
    <row r="62435" s="197" customFormat="1" ht="12.75" x14ac:dyDescent="0.2"/>
    <row r="62436" s="197" customFormat="1" ht="12.75" x14ac:dyDescent="0.2"/>
    <row r="62437" s="197" customFormat="1" ht="12.75" x14ac:dyDescent="0.2"/>
    <row r="62438" s="197" customFormat="1" ht="12.75" x14ac:dyDescent="0.2"/>
    <row r="62439" s="197" customFormat="1" ht="12.75" x14ac:dyDescent="0.2"/>
    <row r="62440" s="197" customFormat="1" ht="12.75" x14ac:dyDescent="0.2"/>
    <row r="62441" s="197" customFormat="1" ht="12.75" x14ac:dyDescent="0.2"/>
    <row r="62442" s="197" customFormat="1" ht="12.75" x14ac:dyDescent="0.2"/>
    <row r="62443" s="197" customFormat="1" ht="12.75" x14ac:dyDescent="0.2"/>
    <row r="62444" s="197" customFormat="1" ht="12.75" x14ac:dyDescent="0.2"/>
    <row r="62445" s="197" customFormat="1" ht="12.75" x14ac:dyDescent="0.2"/>
    <row r="62446" s="197" customFormat="1" ht="12.75" x14ac:dyDescent="0.2"/>
    <row r="62447" s="197" customFormat="1" ht="12.75" x14ac:dyDescent="0.2"/>
    <row r="62448" s="197" customFormat="1" ht="12.75" x14ac:dyDescent="0.2"/>
    <row r="62449" s="197" customFormat="1" ht="12.75" x14ac:dyDescent="0.2"/>
    <row r="62450" s="197" customFormat="1" ht="12.75" x14ac:dyDescent="0.2"/>
    <row r="62451" s="197" customFormat="1" ht="12.75" x14ac:dyDescent="0.2"/>
    <row r="62452" s="197" customFormat="1" ht="12.75" x14ac:dyDescent="0.2"/>
    <row r="62453" s="197" customFormat="1" ht="12.75" x14ac:dyDescent="0.2"/>
    <row r="62454" s="197" customFormat="1" ht="12.75" x14ac:dyDescent="0.2"/>
    <row r="62455" s="197" customFormat="1" ht="12.75" x14ac:dyDescent="0.2"/>
    <row r="62456" s="197" customFormat="1" ht="12.75" x14ac:dyDescent="0.2"/>
    <row r="62457" s="197" customFormat="1" ht="12.75" x14ac:dyDescent="0.2"/>
    <row r="62458" s="197" customFormat="1" ht="12.75" x14ac:dyDescent="0.2"/>
    <row r="62459" s="197" customFormat="1" ht="12.75" x14ac:dyDescent="0.2"/>
    <row r="62460" s="197" customFormat="1" ht="12.75" x14ac:dyDescent="0.2"/>
    <row r="62461" s="197" customFormat="1" ht="12.75" x14ac:dyDescent="0.2"/>
    <row r="62462" s="197" customFormat="1" ht="12.75" x14ac:dyDescent="0.2"/>
    <row r="62463" s="197" customFormat="1" ht="12.75" x14ac:dyDescent="0.2"/>
    <row r="62464" s="197" customFormat="1" ht="12.75" x14ac:dyDescent="0.2"/>
    <row r="62465" s="197" customFormat="1" ht="12.75" x14ac:dyDescent="0.2"/>
    <row r="62466" s="197" customFormat="1" ht="12.75" x14ac:dyDescent="0.2"/>
    <row r="62467" s="197" customFormat="1" ht="12.75" x14ac:dyDescent="0.2"/>
    <row r="62468" s="197" customFormat="1" ht="12.75" x14ac:dyDescent="0.2"/>
    <row r="62469" s="197" customFormat="1" ht="12.75" x14ac:dyDescent="0.2"/>
    <row r="62470" s="197" customFormat="1" ht="12.75" x14ac:dyDescent="0.2"/>
    <row r="62471" s="197" customFormat="1" ht="12.75" x14ac:dyDescent="0.2"/>
    <row r="62472" s="197" customFormat="1" ht="12.75" x14ac:dyDescent="0.2"/>
    <row r="62473" s="197" customFormat="1" ht="12.75" x14ac:dyDescent="0.2"/>
    <row r="62474" s="197" customFormat="1" ht="12.75" x14ac:dyDescent="0.2"/>
    <row r="62475" s="197" customFormat="1" ht="12.75" x14ac:dyDescent="0.2"/>
    <row r="62476" s="197" customFormat="1" ht="12.75" x14ac:dyDescent="0.2"/>
    <row r="62477" s="197" customFormat="1" ht="12.75" x14ac:dyDescent="0.2"/>
    <row r="62478" s="197" customFormat="1" ht="12.75" x14ac:dyDescent="0.2"/>
    <row r="62479" s="197" customFormat="1" ht="12.75" x14ac:dyDescent="0.2"/>
    <row r="62480" s="197" customFormat="1" ht="12.75" x14ac:dyDescent="0.2"/>
    <row r="62481" s="197" customFormat="1" ht="12.75" x14ac:dyDescent="0.2"/>
    <row r="62482" s="197" customFormat="1" ht="12.75" x14ac:dyDescent="0.2"/>
    <row r="62483" s="197" customFormat="1" ht="12.75" x14ac:dyDescent="0.2"/>
    <row r="62484" s="197" customFormat="1" ht="12.75" x14ac:dyDescent="0.2"/>
    <row r="62485" s="197" customFormat="1" ht="12.75" x14ac:dyDescent="0.2"/>
    <row r="62486" s="197" customFormat="1" ht="12.75" x14ac:dyDescent="0.2"/>
    <row r="62487" s="197" customFormat="1" ht="12.75" x14ac:dyDescent="0.2"/>
    <row r="62488" s="197" customFormat="1" ht="12.75" x14ac:dyDescent="0.2"/>
    <row r="62489" s="197" customFormat="1" ht="12.75" x14ac:dyDescent="0.2"/>
    <row r="62490" s="197" customFormat="1" ht="12.75" x14ac:dyDescent="0.2"/>
    <row r="62491" s="197" customFormat="1" ht="12.75" x14ac:dyDescent="0.2"/>
    <row r="62492" s="197" customFormat="1" ht="12.75" x14ac:dyDescent="0.2"/>
    <row r="62493" s="197" customFormat="1" ht="12.75" x14ac:dyDescent="0.2"/>
    <row r="62494" s="197" customFormat="1" ht="12.75" x14ac:dyDescent="0.2"/>
    <row r="62495" s="197" customFormat="1" ht="12.75" x14ac:dyDescent="0.2"/>
    <row r="62496" s="197" customFormat="1" ht="12.75" x14ac:dyDescent="0.2"/>
    <row r="62497" s="197" customFormat="1" ht="12.75" x14ac:dyDescent="0.2"/>
    <row r="62498" s="197" customFormat="1" ht="12.75" x14ac:dyDescent="0.2"/>
    <row r="62499" s="197" customFormat="1" ht="12.75" x14ac:dyDescent="0.2"/>
    <row r="62500" s="197" customFormat="1" ht="12.75" x14ac:dyDescent="0.2"/>
    <row r="62501" s="197" customFormat="1" ht="12.75" x14ac:dyDescent="0.2"/>
    <row r="62502" s="197" customFormat="1" ht="12.75" x14ac:dyDescent="0.2"/>
    <row r="62503" s="197" customFormat="1" ht="12.75" x14ac:dyDescent="0.2"/>
    <row r="62504" s="197" customFormat="1" ht="12.75" x14ac:dyDescent="0.2"/>
    <row r="62505" s="197" customFormat="1" ht="12.75" x14ac:dyDescent="0.2"/>
    <row r="62506" s="197" customFormat="1" ht="12.75" x14ac:dyDescent="0.2"/>
    <row r="62507" s="197" customFormat="1" ht="12.75" x14ac:dyDescent="0.2"/>
    <row r="62508" s="197" customFormat="1" ht="12.75" x14ac:dyDescent="0.2"/>
    <row r="62509" s="197" customFormat="1" ht="12.75" x14ac:dyDescent="0.2"/>
    <row r="62510" s="197" customFormat="1" ht="12.75" x14ac:dyDescent="0.2"/>
    <row r="62511" s="197" customFormat="1" ht="12.75" x14ac:dyDescent="0.2"/>
    <row r="62512" s="197" customFormat="1" ht="12.75" x14ac:dyDescent="0.2"/>
    <row r="62513" s="197" customFormat="1" ht="12.75" x14ac:dyDescent="0.2"/>
    <row r="62514" s="197" customFormat="1" ht="12.75" x14ac:dyDescent="0.2"/>
    <row r="62515" s="197" customFormat="1" ht="12.75" x14ac:dyDescent="0.2"/>
    <row r="62516" s="197" customFormat="1" ht="12.75" x14ac:dyDescent="0.2"/>
    <row r="62517" s="197" customFormat="1" ht="12.75" x14ac:dyDescent="0.2"/>
    <row r="62518" s="197" customFormat="1" ht="12.75" x14ac:dyDescent="0.2"/>
    <row r="62519" s="197" customFormat="1" ht="12.75" x14ac:dyDescent="0.2"/>
    <row r="62520" s="197" customFormat="1" ht="12.75" x14ac:dyDescent="0.2"/>
    <row r="62521" s="197" customFormat="1" ht="12.75" x14ac:dyDescent="0.2"/>
    <row r="62522" s="197" customFormat="1" ht="12.75" x14ac:dyDescent="0.2"/>
    <row r="62523" s="197" customFormat="1" ht="12.75" x14ac:dyDescent="0.2"/>
    <row r="62524" s="197" customFormat="1" ht="12.75" x14ac:dyDescent="0.2"/>
    <row r="62525" s="197" customFormat="1" ht="12.75" x14ac:dyDescent="0.2"/>
    <row r="62526" s="197" customFormat="1" ht="12.75" x14ac:dyDescent="0.2"/>
    <row r="62527" s="197" customFormat="1" ht="12.75" x14ac:dyDescent="0.2"/>
    <row r="62528" s="197" customFormat="1" ht="12.75" x14ac:dyDescent="0.2"/>
    <row r="62529" s="197" customFormat="1" ht="12.75" x14ac:dyDescent="0.2"/>
    <row r="62530" s="197" customFormat="1" ht="12.75" x14ac:dyDescent="0.2"/>
    <row r="62531" s="197" customFormat="1" ht="12.75" x14ac:dyDescent="0.2"/>
    <row r="62532" s="197" customFormat="1" ht="12.75" x14ac:dyDescent="0.2"/>
    <row r="62533" s="197" customFormat="1" ht="12.75" x14ac:dyDescent="0.2"/>
    <row r="62534" s="197" customFormat="1" ht="12.75" x14ac:dyDescent="0.2"/>
    <row r="62535" s="197" customFormat="1" ht="12.75" x14ac:dyDescent="0.2"/>
    <row r="62536" s="197" customFormat="1" ht="12.75" x14ac:dyDescent="0.2"/>
    <row r="62537" s="197" customFormat="1" ht="12.75" x14ac:dyDescent="0.2"/>
    <row r="62538" s="197" customFormat="1" ht="12.75" x14ac:dyDescent="0.2"/>
    <row r="62539" s="197" customFormat="1" ht="12.75" x14ac:dyDescent="0.2"/>
    <row r="62540" s="197" customFormat="1" ht="12.75" x14ac:dyDescent="0.2"/>
    <row r="62541" s="197" customFormat="1" ht="12.75" x14ac:dyDescent="0.2"/>
    <row r="62542" s="197" customFormat="1" ht="12.75" x14ac:dyDescent="0.2"/>
    <row r="62543" s="197" customFormat="1" ht="12.75" x14ac:dyDescent="0.2"/>
    <row r="62544" s="197" customFormat="1" ht="12.75" x14ac:dyDescent="0.2"/>
    <row r="62545" s="197" customFormat="1" ht="12.75" x14ac:dyDescent="0.2"/>
    <row r="62546" s="197" customFormat="1" ht="12.75" x14ac:dyDescent="0.2"/>
    <row r="62547" s="197" customFormat="1" ht="12.75" x14ac:dyDescent="0.2"/>
    <row r="62548" s="197" customFormat="1" ht="12.75" x14ac:dyDescent="0.2"/>
    <row r="62549" s="197" customFormat="1" ht="12.75" x14ac:dyDescent="0.2"/>
    <row r="62550" s="197" customFormat="1" ht="12.75" x14ac:dyDescent="0.2"/>
    <row r="62551" s="197" customFormat="1" ht="12.75" x14ac:dyDescent="0.2"/>
    <row r="62552" s="197" customFormat="1" ht="12.75" x14ac:dyDescent="0.2"/>
    <row r="62553" s="197" customFormat="1" ht="12.75" x14ac:dyDescent="0.2"/>
    <row r="62554" s="197" customFormat="1" ht="12.75" x14ac:dyDescent="0.2"/>
    <row r="62555" s="197" customFormat="1" ht="12.75" x14ac:dyDescent="0.2"/>
    <row r="62556" s="197" customFormat="1" ht="12.75" x14ac:dyDescent="0.2"/>
    <row r="62557" s="197" customFormat="1" ht="12.75" x14ac:dyDescent="0.2"/>
    <row r="62558" s="197" customFormat="1" ht="12.75" x14ac:dyDescent="0.2"/>
    <row r="62559" s="197" customFormat="1" ht="12.75" x14ac:dyDescent="0.2"/>
    <row r="62560" s="197" customFormat="1" ht="12.75" x14ac:dyDescent="0.2"/>
    <row r="62561" s="197" customFormat="1" ht="12.75" x14ac:dyDescent="0.2"/>
    <row r="62562" s="197" customFormat="1" ht="12.75" x14ac:dyDescent="0.2"/>
    <row r="62563" s="197" customFormat="1" ht="12.75" x14ac:dyDescent="0.2"/>
    <row r="62564" s="197" customFormat="1" ht="12.75" x14ac:dyDescent="0.2"/>
    <row r="62565" s="197" customFormat="1" ht="12.75" x14ac:dyDescent="0.2"/>
    <row r="62566" s="197" customFormat="1" ht="12.75" x14ac:dyDescent="0.2"/>
    <row r="62567" s="197" customFormat="1" ht="12.75" x14ac:dyDescent="0.2"/>
    <row r="62568" s="197" customFormat="1" ht="12.75" x14ac:dyDescent="0.2"/>
    <row r="62569" s="197" customFormat="1" ht="12.75" x14ac:dyDescent="0.2"/>
    <row r="62570" s="197" customFormat="1" ht="12.75" x14ac:dyDescent="0.2"/>
    <row r="62571" s="197" customFormat="1" ht="12.75" x14ac:dyDescent="0.2"/>
    <row r="62572" s="197" customFormat="1" ht="12.75" x14ac:dyDescent="0.2"/>
    <row r="62573" s="197" customFormat="1" ht="12.75" x14ac:dyDescent="0.2"/>
    <row r="62574" s="197" customFormat="1" ht="12.75" x14ac:dyDescent="0.2"/>
    <row r="62575" s="197" customFormat="1" ht="12.75" x14ac:dyDescent="0.2"/>
    <row r="62576" s="197" customFormat="1" ht="12.75" x14ac:dyDescent="0.2"/>
    <row r="62577" s="197" customFormat="1" ht="12.75" x14ac:dyDescent="0.2"/>
    <row r="62578" s="197" customFormat="1" ht="12.75" x14ac:dyDescent="0.2"/>
    <row r="62579" s="197" customFormat="1" ht="12.75" x14ac:dyDescent="0.2"/>
    <row r="62580" s="197" customFormat="1" ht="12.75" x14ac:dyDescent="0.2"/>
    <row r="62581" s="197" customFormat="1" ht="12.75" x14ac:dyDescent="0.2"/>
    <row r="62582" s="197" customFormat="1" ht="12.75" x14ac:dyDescent="0.2"/>
    <row r="62583" s="197" customFormat="1" ht="12.75" x14ac:dyDescent="0.2"/>
    <row r="62584" s="197" customFormat="1" ht="12.75" x14ac:dyDescent="0.2"/>
    <row r="62585" s="197" customFormat="1" ht="12.75" x14ac:dyDescent="0.2"/>
    <row r="62586" s="197" customFormat="1" ht="12.75" x14ac:dyDescent="0.2"/>
    <row r="62587" s="197" customFormat="1" ht="12.75" x14ac:dyDescent="0.2"/>
    <row r="62588" s="197" customFormat="1" ht="12.75" x14ac:dyDescent="0.2"/>
    <row r="62589" s="197" customFormat="1" ht="12.75" x14ac:dyDescent="0.2"/>
    <row r="62590" s="197" customFormat="1" ht="12.75" x14ac:dyDescent="0.2"/>
    <row r="62591" s="197" customFormat="1" ht="12.75" x14ac:dyDescent="0.2"/>
    <row r="62592" s="197" customFormat="1" ht="12.75" x14ac:dyDescent="0.2"/>
    <row r="62593" s="197" customFormat="1" ht="12.75" x14ac:dyDescent="0.2"/>
    <row r="62594" s="197" customFormat="1" ht="12.75" x14ac:dyDescent="0.2"/>
    <row r="62595" s="197" customFormat="1" ht="12.75" x14ac:dyDescent="0.2"/>
    <row r="62596" s="197" customFormat="1" ht="12.75" x14ac:dyDescent="0.2"/>
    <row r="62597" s="197" customFormat="1" ht="12.75" x14ac:dyDescent="0.2"/>
    <row r="62598" s="197" customFormat="1" ht="12.75" x14ac:dyDescent="0.2"/>
    <row r="62599" s="197" customFormat="1" ht="12.75" x14ac:dyDescent="0.2"/>
    <row r="62600" s="197" customFormat="1" ht="12.75" x14ac:dyDescent="0.2"/>
    <row r="62601" s="197" customFormat="1" ht="12.75" x14ac:dyDescent="0.2"/>
    <row r="62602" s="197" customFormat="1" ht="12.75" x14ac:dyDescent="0.2"/>
    <row r="62603" s="197" customFormat="1" ht="12.75" x14ac:dyDescent="0.2"/>
    <row r="62604" s="197" customFormat="1" ht="12.75" x14ac:dyDescent="0.2"/>
    <row r="62605" s="197" customFormat="1" ht="12.75" x14ac:dyDescent="0.2"/>
    <row r="62606" s="197" customFormat="1" ht="12.75" x14ac:dyDescent="0.2"/>
    <row r="62607" s="197" customFormat="1" ht="12.75" x14ac:dyDescent="0.2"/>
    <row r="62608" s="197" customFormat="1" ht="12.75" x14ac:dyDescent="0.2"/>
    <row r="62609" s="197" customFormat="1" ht="12.75" x14ac:dyDescent="0.2"/>
    <row r="62610" s="197" customFormat="1" ht="12.75" x14ac:dyDescent="0.2"/>
    <row r="62611" s="197" customFormat="1" ht="12.75" x14ac:dyDescent="0.2"/>
    <row r="62612" s="197" customFormat="1" ht="12.75" x14ac:dyDescent="0.2"/>
    <row r="62613" s="197" customFormat="1" ht="12.75" x14ac:dyDescent="0.2"/>
    <row r="62614" s="197" customFormat="1" ht="12.75" x14ac:dyDescent="0.2"/>
    <row r="62615" s="197" customFormat="1" ht="12.75" x14ac:dyDescent="0.2"/>
    <row r="62616" s="197" customFormat="1" ht="12.75" x14ac:dyDescent="0.2"/>
    <row r="62617" s="197" customFormat="1" ht="12.75" x14ac:dyDescent="0.2"/>
    <row r="62618" s="197" customFormat="1" ht="12.75" x14ac:dyDescent="0.2"/>
    <row r="62619" s="197" customFormat="1" ht="12.75" x14ac:dyDescent="0.2"/>
    <row r="62620" s="197" customFormat="1" ht="12.75" x14ac:dyDescent="0.2"/>
    <row r="62621" s="197" customFormat="1" ht="12.75" x14ac:dyDescent="0.2"/>
    <row r="62622" s="197" customFormat="1" ht="12.75" x14ac:dyDescent="0.2"/>
    <row r="62623" s="197" customFormat="1" ht="12.75" x14ac:dyDescent="0.2"/>
    <row r="62624" s="197" customFormat="1" ht="12.75" x14ac:dyDescent="0.2"/>
    <row r="62625" s="197" customFormat="1" ht="12.75" x14ac:dyDescent="0.2"/>
    <row r="62626" s="197" customFormat="1" ht="12.75" x14ac:dyDescent="0.2"/>
    <row r="62627" s="197" customFormat="1" ht="12.75" x14ac:dyDescent="0.2"/>
    <row r="62628" s="197" customFormat="1" ht="12.75" x14ac:dyDescent="0.2"/>
    <row r="62629" s="197" customFormat="1" ht="12.75" x14ac:dyDescent="0.2"/>
    <row r="62630" s="197" customFormat="1" ht="12.75" x14ac:dyDescent="0.2"/>
    <row r="62631" s="197" customFormat="1" ht="12.75" x14ac:dyDescent="0.2"/>
    <row r="62632" s="197" customFormat="1" ht="12.75" x14ac:dyDescent="0.2"/>
    <row r="62633" s="197" customFormat="1" ht="12.75" x14ac:dyDescent="0.2"/>
    <row r="62634" s="197" customFormat="1" ht="12.75" x14ac:dyDescent="0.2"/>
    <row r="62635" s="197" customFormat="1" ht="12.75" x14ac:dyDescent="0.2"/>
    <row r="62636" s="197" customFormat="1" ht="12.75" x14ac:dyDescent="0.2"/>
    <row r="62637" s="197" customFormat="1" ht="12.75" x14ac:dyDescent="0.2"/>
    <row r="62638" s="197" customFormat="1" ht="12.75" x14ac:dyDescent="0.2"/>
    <row r="62639" s="197" customFormat="1" ht="12.75" x14ac:dyDescent="0.2"/>
    <row r="62640" s="197" customFormat="1" ht="12.75" x14ac:dyDescent="0.2"/>
    <row r="62641" s="197" customFormat="1" ht="12.75" x14ac:dyDescent="0.2"/>
    <row r="62642" s="197" customFormat="1" ht="12.75" x14ac:dyDescent="0.2"/>
    <row r="62643" s="197" customFormat="1" ht="12.75" x14ac:dyDescent="0.2"/>
    <row r="62644" s="197" customFormat="1" ht="12.75" x14ac:dyDescent="0.2"/>
    <row r="62645" s="197" customFormat="1" ht="12.75" x14ac:dyDescent="0.2"/>
    <row r="62646" s="197" customFormat="1" ht="12.75" x14ac:dyDescent="0.2"/>
    <row r="62647" s="197" customFormat="1" ht="12.75" x14ac:dyDescent="0.2"/>
    <row r="62648" s="197" customFormat="1" ht="12.75" x14ac:dyDescent="0.2"/>
    <row r="62649" s="197" customFormat="1" ht="12.75" x14ac:dyDescent="0.2"/>
    <row r="62650" s="197" customFormat="1" ht="12.75" x14ac:dyDescent="0.2"/>
    <row r="62651" s="197" customFormat="1" ht="12.75" x14ac:dyDescent="0.2"/>
    <row r="62652" s="197" customFormat="1" ht="12.75" x14ac:dyDescent="0.2"/>
    <row r="62653" s="197" customFormat="1" ht="12.75" x14ac:dyDescent="0.2"/>
    <row r="62654" s="197" customFormat="1" ht="12.75" x14ac:dyDescent="0.2"/>
    <row r="62655" s="197" customFormat="1" ht="12.75" x14ac:dyDescent="0.2"/>
    <row r="62656" s="197" customFormat="1" ht="12.75" x14ac:dyDescent="0.2"/>
    <row r="62657" s="197" customFormat="1" ht="12.75" x14ac:dyDescent="0.2"/>
    <row r="62658" s="197" customFormat="1" ht="12.75" x14ac:dyDescent="0.2"/>
    <row r="62659" s="197" customFormat="1" ht="12.75" x14ac:dyDescent="0.2"/>
    <row r="62660" s="197" customFormat="1" ht="12.75" x14ac:dyDescent="0.2"/>
    <row r="62661" s="197" customFormat="1" ht="12.75" x14ac:dyDescent="0.2"/>
    <row r="62662" s="197" customFormat="1" ht="12.75" x14ac:dyDescent="0.2"/>
    <row r="62663" s="197" customFormat="1" ht="12.75" x14ac:dyDescent="0.2"/>
    <row r="62664" s="197" customFormat="1" ht="12.75" x14ac:dyDescent="0.2"/>
    <row r="62665" s="197" customFormat="1" ht="12.75" x14ac:dyDescent="0.2"/>
    <row r="62666" s="197" customFormat="1" ht="12.75" x14ac:dyDescent="0.2"/>
    <row r="62667" s="197" customFormat="1" ht="12.75" x14ac:dyDescent="0.2"/>
    <row r="62668" s="197" customFormat="1" ht="12.75" x14ac:dyDescent="0.2"/>
    <row r="62669" s="197" customFormat="1" ht="12.75" x14ac:dyDescent="0.2"/>
    <row r="62670" s="197" customFormat="1" ht="12.75" x14ac:dyDescent="0.2"/>
    <row r="62671" s="197" customFormat="1" ht="12.75" x14ac:dyDescent="0.2"/>
    <row r="62672" s="197" customFormat="1" ht="12.75" x14ac:dyDescent="0.2"/>
    <row r="62673" s="197" customFormat="1" ht="12.75" x14ac:dyDescent="0.2"/>
    <row r="62674" s="197" customFormat="1" ht="12.75" x14ac:dyDescent="0.2"/>
    <row r="62675" s="197" customFormat="1" ht="12.75" x14ac:dyDescent="0.2"/>
    <row r="62676" s="197" customFormat="1" ht="12.75" x14ac:dyDescent="0.2"/>
    <row r="62677" s="197" customFormat="1" ht="12.75" x14ac:dyDescent="0.2"/>
    <row r="62678" s="197" customFormat="1" ht="12.75" x14ac:dyDescent="0.2"/>
    <row r="62679" s="197" customFormat="1" ht="12.75" x14ac:dyDescent="0.2"/>
    <row r="62680" s="197" customFormat="1" ht="12.75" x14ac:dyDescent="0.2"/>
    <row r="62681" s="197" customFormat="1" ht="12.75" x14ac:dyDescent="0.2"/>
    <row r="62682" s="197" customFormat="1" ht="12.75" x14ac:dyDescent="0.2"/>
    <row r="62683" s="197" customFormat="1" ht="12.75" x14ac:dyDescent="0.2"/>
    <row r="62684" s="197" customFormat="1" ht="12.75" x14ac:dyDescent="0.2"/>
    <row r="62685" s="197" customFormat="1" ht="12.75" x14ac:dyDescent="0.2"/>
    <row r="62686" s="197" customFormat="1" ht="12.75" x14ac:dyDescent="0.2"/>
    <row r="62687" s="197" customFormat="1" ht="12.75" x14ac:dyDescent="0.2"/>
    <row r="62688" s="197" customFormat="1" ht="12.75" x14ac:dyDescent="0.2"/>
    <row r="62689" s="197" customFormat="1" ht="12.75" x14ac:dyDescent="0.2"/>
    <row r="62690" s="197" customFormat="1" ht="12.75" x14ac:dyDescent="0.2"/>
    <row r="62691" s="197" customFormat="1" ht="12.75" x14ac:dyDescent="0.2"/>
    <row r="62692" s="197" customFormat="1" ht="12.75" x14ac:dyDescent="0.2"/>
    <row r="62693" s="197" customFormat="1" ht="12.75" x14ac:dyDescent="0.2"/>
    <row r="62694" s="197" customFormat="1" ht="12.75" x14ac:dyDescent="0.2"/>
    <row r="62695" s="197" customFormat="1" ht="12.75" x14ac:dyDescent="0.2"/>
    <row r="62696" s="197" customFormat="1" ht="12.75" x14ac:dyDescent="0.2"/>
    <row r="62697" s="197" customFormat="1" ht="12.75" x14ac:dyDescent="0.2"/>
    <row r="62698" s="197" customFormat="1" ht="12.75" x14ac:dyDescent="0.2"/>
    <row r="62699" s="197" customFormat="1" ht="12.75" x14ac:dyDescent="0.2"/>
    <row r="62700" s="197" customFormat="1" ht="12.75" x14ac:dyDescent="0.2"/>
    <row r="62701" s="197" customFormat="1" ht="12.75" x14ac:dyDescent="0.2"/>
    <row r="62702" s="197" customFormat="1" ht="12.75" x14ac:dyDescent="0.2"/>
    <row r="62703" s="197" customFormat="1" ht="12.75" x14ac:dyDescent="0.2"/>
    <row r="62704" s="197" customFormat="1" ht="12.75" x14ac:dyDescent="0.2"/>
    <row r="62705" s="197" customFormat="1" ht="12.75" x14ac:dyDescent="0.2"/>
    <row r="62706" s="197" customFormat="1" ht="12.75" x14ac:dyDescent="0.2"/>
    <row r="62707" s="197" customFormat="1" ht="12.75" x14ac:dyDescent="0.2"/>
    <row r="62708" s="197" customFormat="1" ht="12.75" x14ac:dyDescent="0.2"/>
    <row r="62709" s="197" customFormat="1" ht="12.75" x14ac:dyDescent="0.2"/>
    <row r="62710" s="197" customFormat="1" ht="12.75" x14ac:dyDescent="0.2"/>
    <row r="62711" s="197" customFormat="1" ht="12.75" x14ac:dyDescent="0.2"/>
    <row r="62712" s="197" customFormat="1" ht="12.75" x14ac:dyDescent="0.2"/>
    <row r="62713" s="197" customFormat="1" ht="12.75" x14ac:dyDescent="0.2"/>
    <row r="62714" s="197" customFormat="1" ht="12.75" x14ac:dyDescent="0.2"/>
    <row r="62715" s="197" customFormat="1" ht="12.75" x14ac:dyDescent="0.2"/>
    <row r="62716" s="197" customFormat="1" ht="12.75" x14ac:dyDescent="0.2"/>
    <row r="62717" s="197" customFormat="1" ht="12.75" x14ac:dyDescent="0.2"/>
    <row r="62718" s="197" customFormat="1" ht="12.75" x14ac:dyDescent="0.2"/>
    <row r="62719" s="197" customFormat="1" ht="12.75" x14ac:dyDescent="0.2"/>
    <row r="62720" s="197" customFormat="1" ht="12.75" x14ac:dyDescent="0.2"/>
    <row r="62721" s="197" customFormat="1" ht="12.75" x14ac:dyDescent="0.2"/>
    <row r="62722" s="197" customFormat="1" ht="12.75" x14ac:dyDescent="0.2"/>
    <row r="62723" s="197" customFormat="1" ht="12.75" x14ac:dyDescent="0.2"/>
    <row r="62724" s="197" customFormat="1" ht="12.75" x14ac:dyDescent="0.2"/>
    <row r="62725" s="197" customFormat="1" ht="12.75" x14ac:dyDescent="0.2"/>
    <row r="62726" s="197" customFormat="1" ht="12.75" x14ac:dyDescent="0.2"/>
    <row r="62727" s="197" customFormat="1" ht="12.75" x14ac:dyDescent="0.2"/>
    <row r="62728" s="197" customFormat="1" ht="12.75" x14ac:dyDescent="0.2"/>
    <row r="62729" s="197" customFormat="1" ht="12.75" x14ac:dyDescent="0.2"/>
    <row r="62730" s="197" customFormat="1" ht="12.75" x14ac:dyDescent="0.2"/>
    <row r="62731" s="197" customFormat="1" ht="12.75" x14ac:dyDescent="0.2"/>
    <row r="62732" s="197" customFormat="1" ht="12.75" x14ac:dyDescent="0.2"/>
    <row r="62733" s="197" customFormat="1" ht="12.75" x14ac:dyDescent="0.2"/>
    <row r="62734" s="197" customFormat="1" ht="12.75" x14ac:dyDescent="0.2"/>
    <row r="62735" s="197" customFormat="1" ht="12.75" x14ac:dyDescent="0.2"/>
    <row r="62736" s="197" customFormat="1" ht="12.75" x14ac:dyDescent="0.2"/>
    <row r="62737" s="197" customFormat="1" ht="12.75" x14ac:dyDescent="0.2"/>
    <row r="62738" s="197" customFormat="1" ht="12.75" x14ac:dyDescent="0.2"/>
    <row r="62739" s="197" customFormat="1" ht="12.75" x14ac:dyDescent="0.2"/>
    <row r="62740" s="197" customFormat="1" ht="12.75" x14ac:dyDescent="0.2"/>
    <row r="62741" s="197" customFormat="1" ht="12.75" x14ac:dyDescent="0.2"/>
    <row r="62742" s="197" customFormat="1" ht="12.75" x14ac:dyDescent="0.2"/>
    <row r="62743" s="197" customFormat="1" ht="12.75" x14ac:dyDescent="0.2"/>
    <row r="62744" s="197" customFormat="1" ht="12.75" x14ac:dyDescent="0.2"/>
    <row r="62745" s="197" customFormat="1" ht="12.75" x14ac:dyDescent="0.2"/>
    <row r="62746" s="197" customFormat="1" ht="12.75" x14ac:dyDescent="0.2"/>
    <row r="62747" s="197" customFormat="1" ht="12.75" x14ac:dyDescent="0.2"/>
    <row r="62748" s="197" customFormat="1" ht="12.75" x14ac:dyDescent="0.2"/>
    <row r="62749" s="197" customFormat="1" ht="12.75" x14ac:dyDescent="0.2"/>
    <row r="62750" s="197" customFormat="1" ht="12.75" x14ac:dyDescent="0.2"/>
    <row r="62751" s="197" customFormat="1" ht="12.75" x14ac:dyDescent="0.2"/>
    <row r="62752" s="197" customFormat="1" ht="12.75" x14ac:dyDescent="0.2"/>
    <row r="62753" s="197" customFormat="1" ht="12.75" x14ac:dyDescent="0.2"/>
    <row r="62754" s="197" customFormat="1" ht="12.75" x14ac:dyDescent="0.2"/>
    <row r="62755" s="197" customFormat="1" ht="12.75" x14ac:dyDescent="0.2"/>
    <row r="62756" s="197" customFormat="1" ht="12.75" x14ac:dyDescent="0.2"/>
    <row r="62757" s="197" customFormat="1" ht="12.75" x14ac:dyDescent="0.2"/>
    <row r="62758" s="197" customFormat="1" ht="12.75" x14ac:dyDescent="0.2"/>
    <row r="62759" s="197" customFormat="1" ht="12.75" x14ac:dyDescent="0.2"/>
    <row r="62760" s="197" customFormat="1" ht="12.75" x14ac:dyDescent="0.2"/>
    <row r="62761" s="197" customFormat="1" ht="12.75" x14ac:dyDescent="0.2"/>
    <row r="62762" s="197" customFormat="1" ht="12.75" x14ac:dyDescent="0.2"/>
    <row r="62763" s="197" customFormat="1" ht="12.75" x14ac:dyDescent="0.2"/>
    <row r="62764" s="197" customFormat="1" ht="12.75" x14ac:dyDescent="0.2"/>
    <row r="62765" s="197" customFormat="1" ht="12.75" x14ac:dyDescent="0.2"/>
    <row r="62766" s="197" customFormat="1" ht="12.75" x14ac:dyDescent="0.2"/>
    <row r="62767" s="197" customFormat="1" ht="12.75" x14ac:dyDescent="0.2"/>
    <row r="62768" s="197" customFormat="1" ht="12.75" x14ac:dyDescent="0.2"/>
    <row r="62769" s="197" customFormat="1" ht="12.75" x14ac:dyDescent="0.2"/>
    <row r="62770" s="197" customFormat="1" ht="12.75" x14ac:dyDescent="0.2"/>
    <row r="62771" s="197" customFormat="1" ht="12.75" x14ac:dyDescent="0.2"/>
    <row r="62772" s="197" customFormat="1" ht="12.75" x14ac:dyDescent="0.2"/>
    <row r="62773" s="197" customFormat="1" ht="12.75" x14ac:dyDescent="0.2"/>
    <row r="62774" s="197" customFormat="1" ht="12.75" x14ac:dyDescent="0.2"/>
    <row r="62775" s="197" customFormat="1" ht="12.75" x14ac:dyDescent="0.2"/>
    <row r="62776" s="197" customFormat="1" ht="12.75" x14ac:dyDescent="0.2"/>
    <row r="62777" s="197" customFormat="1" ht="12.75" x14ac:dyDescent="0.2"/>
    <row r="62778" s="197" customFormat="1" ht="12.75" x14ac:dyDescent="0.2"/>
    <row r="62779" s="197" customFormat="1" ht="12.75" x14ac:dyDescent="0.2"/>
    <row r="62780" s="197" customFormat="1" ht="12.75" x14ac:dyDescent="0.2"/>
    <row r="62781" s="197" customFormat="1" ht="12.75" x14ac:dyDescent="0.2"/>
    <row r="62782" s="197" customFormat="1" ht="12.75" x14ac:dyDescent="0.2"/>
    <row r="62783" s="197" customFormat="1" ht="12.75" x14ac:dyDescent="0.2"/>
    <row r="62784" s="197" customFormat="1" ht="12.75" x14ac:dyDescent="0.2"/>
    <row r="62785" s="197" customFormat="1" ht="12.75" x14ac:dyDescent="0.2"/>
    <row r="62786" s="197" customFormat="1" ht="12.75" x14ac:dyDescent="0.2"/>
    <row r="62787" s="197" customFormat="1" ht="12.75" x14ac:dyDescent="0.2"/>
    <row r="62788" s="197" customFormat="1" ht="12.75" x14ac:dyDescent="0.2"/>
    <row r="62789" s="197" customFormat="1" ht="12.75" x14ac:dyDescent="0.2"/>
    <row r="62790" s="197" customFormat="1" ht="12.75" x14ac:dyDescent="0.2"/>
    <row r="62791" s="197" customFormat="1" ht="12.75" x14ac:dyDescent="0.2"/>
    <row r="62792" s="197" customFormat="1" ht="12.75" x14ac:dyDescent="0.2"/>
    <row r="62793" s="197" customFormat="1" ht="12.75" x14ac:dyDescent="0.2"/>
    <row r="62794" s="197" customFormat="1" ht="12.75" x14ac:dyDescent="0.2"/>
    <row r="62795" s="197" customFormat="1" ht="12.75" x14ac:dyDescent="0.2"/>
    <row r="62796" s="197" customFormat="1" ht="12.75" x14ac:dyDescent="0.2"/>
    <row r="62797" s="197" customFormat="1" ht="12.75" x14ac:dyDescent="0.2"/>
    <row r="62798" s="197" customFormat="1" ht="12.75" x14ac:dyDescent="0.2"/>
    <row r="62799" s="197" customFormat="1" ht="12.75" x14ac:dyDescent="0.2"/>
    <row r="62800" s="197" customFormat="1" ht="12.75" x14ac:dyDescent="0.2"/>
    <row r="62801" s="197" customFormat="1" ht="12.75" x14ac:dyDescent="0.2"/>
    <row r="62802" s="197" customFormat="1" ht="12.75" x14ac:dyDescent="0.2"/>
    <row r="62803" s="197" customFormat="1" ht="12.75" x14ac:dyDescent="0.2"/>
    <row r="62804" s="197" customFormat="1" ht="12.75" x14ac:dyDescent="0.2"/>
    <row r="62805" s="197" customFormat="1" ht="12.75" x14ac:dyDescent="0.2"/>
    <row r="62806" s="197" customFormat="1" ht="12.75" x14ac:dyDescent="0.2"/>
    <row r="62807" s="197" customFormat="1" ht="12.75" x14ac:dyDescent="0.2"/>
    <row r="62808" s="197" customFormat="1" ht="12.75" x14ac:dyDescent="0.2"/>
    <row r="62809" s="197" customFormat="1" ht="12.75" x14ac:dyDescent="0.2"/>
    <row r="62810" s="197" customFormat="1" ht="12.75" x14ac:dyDescent="0.2"/>
    <row r="62811" s="197" customFormat="1" ht="12.75" x14ac:dyDescent="0.2"/>
    <row r="62812" s="197" customFormat="1" ht="12.75" x14ac:dyDescent="0.2"/>
    <row r="62813" s="197" customFormat="1" ht="12.75" x14ac:dyDescent="0.2"/>
    <row r="62814" s="197" customFormat="1" ht="12.75" x14ac:dyDescent="0.2"/>
    <row r="62815" s="197" customFormat="1" ht="12.75" x14ac:dyDescent="0.2"/>
    <row r="62816" s="197" customFormat="1" ht="12.75" x14ac:dyDescent="0.2"/>
    <row r="62817" s="197" customFormat="1" ht="12.75" x14ac:dyDescent="0.2"/>
    <row r="62818" s="197" customFormat="1" ht="12.75" x14ac:dyDescent="0.2"/>
    <row r="62819" s="197" customFormat="1" ht="12.75" x14ac:dyDescent="0.2"/>
    <row r="62820" s="197" customFormat="1" ht="12.75" x14ac:dyDescent="0.2"/>
    <row r="62821" s="197" customFormat="1" ht="12.75" x14ac:dyDescent="0.2"/>
    <row r="62822" s="197" customFormat="1" ht="12.75" x14ac:dyDescent="0.2"/>
    <row r="62823" s="197" customFormat="1" ht="12.75" x14ac:dyDescent="0.2"/>
    <row r="62824" s="197" customFormat="1" ht="12.75" x14ac:dyDescent="0.2"/>
    <row r="62825" s="197" customFormat="1" ht="12.75" x14ac:dyDescent="0.2"/>
    <row r="62826" s="197" customFormat="1" ht="12.75" x14ac:dyDescent="0.2"/>
    <row r="62827" s="197" customFormat="1" ht="12.75" x14ac:dyDescent="0.2"/>
    <row r="62828" s="197" customFormat="1" ht="12.75" x14ac:dyDescent="0.2"/>
    <row r="62829" s="197" customFormat="1" ht="12.75" x14ac:dyDescent="0.2"/>
    <row r="62830" s="197" customFormat="1" ht="12.75" x14ac:dyDescent="0.2"/>
    <row r="62831" s="197" customFormat="1" ht="12.75" x14ac:dyDescent="0.2"/>
    <row r="62832" s="197" customFormat="1" ht="12.75" x14ac:dyDescent="0.2"/>
    <row r="62833" s="197" customFormat="1" ht="12.75" x14ac:dyDescent="0.2"/>
    <row r="62834" s="197" customFormat="1" ht="12.75" x14ac:dyDescent="0.2"/>
    <row r="62835" s="197" customFormat="1" ht="12.75" x14ac:dyDescent="0.2"/>
    <row r="62836" s="197" customFormat="1" ht="12.75" x14ac:dyDescent="0.2"/>
    <row r="62837" s="197" customFormat="1" ht="12.75" x14ac:dyDescent="0.2"/>
    <row r="62838" s="197" customFormat="1" ht="12.75" x14ac:dyDescent="0.2"/>
    <row r="62839" s="197" customFormat="1" ht="12.75" x14ac:dyDescent="0.2"/>
    <row r="62840" s="197" customFormat="1" ht="12.75" x14ac:dyDescent="0.2"/>
    <row r="62841" s="197" customFormat="1" ht="12.75" x14ac:dyDescent="0.2"/>
    <row r="62842" s="197" customFormat="1" ht="12.75" x14ac:dyDescent="0.2"/>
    <row r="62843" s="197" customFormat="1" ht="12.75" x14ac:dyDescent="0.2"/>
    <row r="62844" s="197" customFormat="1" ht="12.75" x14ac:dyDescent="0.2"/>
    <row r="62845" s="197" customFormat="1" ht="12.75" x14ac:dyDescent="0.2"/>
    <row r="62846" s="197" customFormat="1" ht="12.75" x14ac:dyDescent="0.2"/>
    <row r="62847" s="197" customFormat="1" ht="12.75" x14ac:dyDescent="0.2"/>
    <row r="62848" s="197" customFormat="1" ht="12.75" x14ac:dyDescent="0.2"/>
    <row r="62849" s="197" customFormat="1" ht="12.75" x14ac:dyDescent="0.2"/>
    <row r="62850" s="197" customFormat="1" ht="12.75" x14ac:dyDescent="0.2"/>
    <row r="62851" s="197" customFormat="1" ht="12.75" x14ac:dyDescent="0.2"/>
    <row r="62852" s="197" customFormat="1" ht="12.75" x14ac:dyDescent="0.2"/>
    <row r="62853" s="197" customFormat="1" ht="12.75" x14ac:dyDescent="0.2"/>
    <row r="62854" s="197" customFormat="1" ht="12.75" x14ac:dyDescent="0.2"/>
    <row r="62855" s="197" customFormat="1" ht="12.75" x14ac:dyDescent="0.2"/>
    <row r="62856" s="197" customFormat="1" ht="12.75" x14ac:dyDescent="0.2"/>
    <row r="62857" s="197" customFormat="1" ht="12.75" x14ac:dyDescent="0.2"/>
    <row r="62858" s="197" customFormat="1" ht="12.75" x14ac:dyDescent="0.2"/>
    <row r="62859" s="197" customFormat="1" ht="12.75" x14ac:dyDescent="0.2"/>
    <row r="62860" s="197" customFormat="1" ht="12.75" x14ac:dyDescent="0.2"/>
    <row r="62861" s="197" customFormat="1" ht="12.75" x14ac:dyDescent="0.2"/>
    <row r="62862" s="197" customFormat="1" ht="12.75" x14ac:dyDescent="0.2"/>
    <row r="62863" s="197" customFormat="1" ht="12.75" x14ac:dyDescent="0.2"/>
    <row r="62864" s="197" customFormat="1" ht="12.75" x14ac:dyDescent="0.2"/>
    <row r="62865" s="197" customFormat="1" ht="12.75" x14ac:dyDescent="0.2"/>
    <row r="62866" s="197" customFormat="1" ht="12.75" x14ac:dyDescent="0.2"/>
    <row r="62867" s="197" customFormat="1" ht="12.75" x14ac:dyDescent="0.2"/>
    <row r="62868" s="197" customFormat="1" ht="12.75" x14ac:dyDescent="0.2"/>
    <row r="62869" s="197" customFormat="1" ht="12.75" x14ac:dyDescent="0.2"/>
    <row r="62870" s="197" customFormat="1" ht="12.75" x14ac:dyDescent="0.2"/>
    <row r="62871" s="197" customFormat="1" ht="12.75" x14ac:dyDescent="0.2"/>
    <row r="62872" s="197" customFormat="1" ht="12.75" x14ac:dyDescent="0.2"/>
    <row r="62873" s="197" customFormat="1" ht="12.75" x14ac:dyDescent="0.2"/>
    <row r="62874" s="197" customFormat="1" ht="12.75" x14ac:dyDescent="0.2"/>
    <row r="62875" s="197" customFormat="1" ht="12.75" x14ac:dyDescent="0.2"/>
    <row r="62876" s="197" customFormat="1" ht="12.75" x14ac:dyDescent="0.2"/>
    <row r="62877" s="197" customFormat="1" ht="12.75" x14ac:dyDescent="0.2"/>
    <row r="62878" s="197" customFormat="1" ht="12.75" x14ac:dyDescent="0.2"/>
    <row r="62879" s="197" customFormat="1" ht="12.75" x14ac:dyDescent="0.2"/>
    <row r="62880" s="197" customFormat="1" ht="12.75" x14ac:dyDescent="0.2"/>
    <row r="62881" s="197" customFormat="1" ht="12.75" x14ac:dyDescent="0.2"/>
    <row r="62882" s="197" customFormat="1" ht="12.75" x14ac:dyDescent="0.2"/>
    <row r="62883" s="197" customFormat="1" ht="12.75" x14ac:dyDescent="0.2"/>
    <row r="62884" s="197" customFormat="1" ht="12.75" x14ac:dyDescent="0.2"/>
    <row r="62885" s="197" customFormat="1" ht="12.75" x14ac:dyDescent="0.2"/>
    <row r="62886" s="197" customFormat="1" ht="12.75" x14ac:dyDescent="0.2"/>
    <row r="62887" s="197" customFormat="1" ht="12.75" x14ac:dyDescent="0.2"/>
    <row r="62888" s="197" customFormat="1" ht="12.75" x14ac:dyDescent="0.2"/>
    <row r="62889" s="197" customFormat="1" ht="12.75" x14ac:dyDescent="0.2"/>
    <row r="62890" s="197" customFormat="1" ht="12.75" x14ac:dyDescent="0.2"/>
    <row r="62891" s="197" customFormat="1" ht="12.75" x14ac:dyDescent="0.2"/>
    <row r="62892" s="197" customFormat="1" ht="12.75" x14ac:dyDescent="0.2"/>
    <row r="62893" s="197" customFormat="1" ht="12.75" x14ac:dyDescent="0.2"/>
    <row r="62894" s="197" customFormat="1" ht="12.75" x14ac:dyDescent="0.2"/>
    <row r="62895" s="197" customFormat="1" ht="12.75" x14ac:dyDescent="0.2"/>
    <row r="62896" s="197" customFormat="1" ht="12.75" x14ac:dyDescent="0.2"/>
    <row r="62897" s="197" customFormat="1" ht="12.75" x14ac:dyDescent="0.2"/>
    <row r="62898" s="197" customFormat="1" ht="12.75" x14ac:dyDescent="0.2"/>
    <row r="62899" s="197" customFormat="1" ht="12.75" x14ac:dyDescent="0.2"/>
    <row r="62900" s="197" customFormat="1" ht="12.75" x14ac:dyDescent="0.2"/>
    <row r="62901" s="197" customFormat="1" ht="12.75" x14ac:dyDescent="0.2"/>
    <row r="62902" s="197" customFormat="1" ht="12.75" x14ac:dyDescent="0.2"/>
    <row r="62903" s="197" customFormat="1" ht="12.75" x14ac:dyDescent="0.2"/>
    <row r="62904" s="197" customFormat="1" ht="12.75" x14ac:dyDescent="0.2"/>
    <row r="62905" s="197" customFormat="1" ht="12.75" x14ac:dyDescent="0.2"/>
    <row r="62906" s="197" customFormat="1" ht="12.75" x14ac:dyDescent="0.2"/>
    <row r="62907" s="197" customFormat="1" ht="12.75" x14ac:dyDescent="0.2"/>
    <row r="62908" s="197" customFormat="1" ht="12.75" x14ac:dyDescent="0.2"/>
    <row r="62909" s="197" customFormat="1" ht="12.75" x14ac:dyDescent="0.2"/>
    <row r="62910" s="197" customFormat="1" ht="12.75" x14ac:dyDescent="0.2"/>
    <row r="62911" s="197" customFormat="1" ht="12.75" x14ac:dyDescent="0.2"/>
    <row r="62912" s="197" customFormat="1" ht="12.75" x14ac:dyDescent="0.2"/>
    <row r="62913" s="197" customFormat="1" ht="12.75" x14ac:dyDescent="0.2"/>
    <row r="62914" s="197" customFormat="1" ht="12.75" x14ac:dyDescent="0.2"/>
    <row r="62915" s="197" customFormat="1" ht="12.75" x14ac:dyDescent="0.2"/>
    <row r="62916" s="197" customFormat="1" ht="12.75" x14ac:dyDescent="0.2"/>
    <row r="62917" s="197" customFormat="1" ht="12.75" x14ac:dyDescent="0.2"/>
    <row r="62918" s="197" customFormat="1" ht="12.75" x14ac:dyDescent="0.2"/>
    <row r="62919" s="197" customFormat="1" ht="12.75" x14ac:dyDescent="0.2"/>
    <row r="62920" s="197" customFormat="1" ht="12.75" x14ac:dyDescent="0.2"/>
    <row r="62921" s="197" customFormat="1" ht="12.75" x14ac:dyDescent="0.2"/>
    <row r="62922" s="197" customFormat="1" ht="12.75" x14ac:dyDescent="0.2"/>
    <row r="62923" s="197" customFormat="1" ht="12.75" x14ac:dyDescent="0.2"/>
    <row r="62924" s="197" customFormat="1" ht="12.75" x14ac:dyDescent="0.2"/>
    <row r="62925" s="197" customFormat="1" ht="12.75" x14ac:dyDescent="0.2"/>
    <row r="62926" s="197" customFormat="1" ht="12.75" x14ac:dyDescent="0.2"/>
    <row r="62927" s="197" customFormat="1" ht="12.75" x14ac:dyDescent="0.2"/>
    <row r="62928" s="197" customFormat="1" ht="12.75" x14ac:dyDescent="0.2"/>
    <row r="62929" s="197" customFormat="1" ht="12.75" x14ac:dyDescent="0.2"/>
    <row r="62930" s="197" customFormat="1" ht="12.75" x14ac:dyDescent="0.2"/>
    <row r="62931" s="197" customFormat="1" ht="12.75" x14ac:dyDescent="0.2"/>
    <row r="62932" s="197" customFormat="1" ht="12.75" x14ac:dyDescent="0.2"/>
    <row r="62933" s="197" customFormat="1" ht="12.75" x14ac:dyDescent="0.2"/>
    <row r="62934" s="197" customFormat="1" ht="12.75" x14ac:dyDescent="0.2"/>
    <row r="62935" s="197" customFormat="1" ht="12.75" x14ac:dyDescent="0.2"/>
    <row r="62936" s="197" customFormat="1" ht="12.75" x14ac:dyDescent="0.2"/>
    <row r="62937" s="197" customFormat="1" ht="12.75" x14ac:dyDescent="0.2"/>
    <row r="62938" s="197" customFormat="1" ht="12.75" x14ac:dyDescent="0.2"/>
    <row r="62939" s="197" customFormat="1" ht="12.75" x14ac:dyDescent="0.2"/>
    <row r="62940" s="197" customFormat="1" ht="12.75" x14ac:dyDescent="0.2"/>
    <row r="62941" s="197" customFormat="1" ht="12.75" x14ac:dyDescent="0.2"/>
    <row r="62942" s="197" customFormat="1" ht="12.75" x14ac:dyDescent="0.2"/>
    <row r="62943" s="197" customFormat="1" ht="12.75" x14ac:dyDescent="0.2"/>
    <row r="62944" s="197" customFormat="1" ht="12.75" x14ac:dyDescent="0.2"/>
    <row r="62945" s="197" customFormat="1" ht="12.75" x14ac:dyDescent="0.2"/>
    <row r="62946" s="197" customFormat="1" ht="12.75" x14ac:dyDescent="0.2"/>
    <row r="62947" s="197" customFormat="1" ht="12.75" x14ac:dyDescent="0.2"/>
    <row r="62948" s="197" customFormat="1" ht="12.75" x14ac:dyDescent="0.2"/>
    <row r="62949" s="197" customFormat="1" ht="12.75" x14ac:dyDescent="0.2"/>
    <row r="62950" s="197" customFormat="1" ht="12.75" x14ac:dyDescent="0.2"/>
    <row r="62951" s="197" customFormat="1" ht="12.75" x14ac:dyDescent="0.2"/>
    <row r="62952" s="197" customFormat="1" ht="12.75" x14ac:dyDescent="0.2"/>
    <row r="62953" s="197" customFormat="1" ht="12.75" x14ac:dyDescent="0.2"/>
    <row r="62954" s="197" customFormat="1" ht="12.75" x14ac:dyDescent="0.2"/>
    <row r="62955" s="197" customFormat="1" ht="12.75" x14ac:dyDescent="0.2"/>
    <row r="62956" s="197" customFormat="1" ht="12.75" x14ac:dyDescent="0.2"/>
    <row r="62957" s="197" customFormat="1" ht="12.75" x14ac:dyDescent="0.2"/>
    <row r="62958" s="197" customFormat="1" ht="12.75" x14ac:dyDescent="0.2"/>
    <row r="62959" s="197" customFormat="1" ht="12.75" x14ac:dyDescent="0.2"/>
    <row r="62960" s="197" customFormat="1" ht="12.75" x14ac:dyDescent="0.2"/>
    <row r="62961" s="197" customFormat="1" ht="12.75" x14ac:dyDescent="0.2"/>
    <row r="62962" s="197" customFormat="1" ht="12.75" x14ac:dyDescent="0.2"/>
    <row r="62963" s="197" customFormat="1" ht="12.75" x14ac:dyDescent="0.2"/>
    <row r="62964" s="197" customFormat="1" ht="12.75" x14ac:dyDescent="0.2"/>
    <row r="62965" s="197" customFormat="1" ht="12.75" x14ac:dyDescent="0.2"/>
    <row r="62966" s="197" customFormat="1" ht="12.75" x14ac:dyDescent="0.2"/>
    <row r="62967" s="197" customFormat="1" ht="12.75" x14ac:dyDescent="0.2"/>
    <row r="62968" s="197" customFormat="1" ht="12.75" x14ac:dyDescent="0.2"/>
    <row r="62969" s="197" customFormat="1" ht="12.75" x14ac:dyDescent="0.2"/>
    <row r="62970" s="197" customFormat="1" ht="12.75" x14ac:dyDescent="0.2"/>
    <row r="62971" s="197" customFormat="1" ht="12.75" x14ac:dyDescent="0.2"/>
    <row r="62972" s="197" customFormat="1" ht="12.75" x14ac:dyDescent="0.2"/>
    <row r="62973" s="197" customFormat="1" ht="12.75" x14ac:dyDescent="0.2"/>
    <row r="62974" s="197" customFormat="1" ht="12.75" x14ac:dyDescent="0.2"/>
    <row r="62975" s="197" customFormat="1" ht="12.75" x14ac:dyDescent="0.2"/>
    <row r="62976" s="197" customFormat="1" ht="12.75" x14ac:dyDescent="0.2"/>
    <row r="62977" s="197" customFormat="1" ht="12.75" x14ac:dyDescent="0.2"/>
    <row r="62978" s="197" customFormat="1" ht="12.75" x14ac:dyDescent="0.2"/>
    <row r="62979" s="197" customFormat="1" ht="12.75" x14ac:dyDescent="0.2"/>
    <row r="62980" s="197" customFormat="1" ht="12.75" x14ac:dyDescent="0.2"/>
    <row r="62981" s="197" customFormat="1" ht="12.75" x14ac:dyDescent="0.2"/>
    <row r="62982" s="197" customFormat="1" ht="12.75" x14ac:dyDescent="0.2"/>
    <row r="62983" s="197" customFormat="1" ht="12.75" x14ac:dyDescent="0.2"/>
    <row r="62984" s="197" customFormat="1" ht="12.75" x14ac:dyDescent="0.2"/>
    <row r="62985" s="197" customFormat="1" ht="12.75" x14ac:dyDescent="0.2"/>
    <row r="62986" s="197" customFormat="1" ht="12.75" x14ac:dyDescent="0.2"/>
    <row r="62987" s="197" customFormat="1" ht="12.75" x14ac:dyDescent="0.2"/>
    <row r="62988" s="197" customFormat="1" ht="12.75" x14ac:dyDescent="0.2"/>
    <row r="62989" s="197" customFormat="1" ht="12.75" x14ac:dyDescent="0.2"/>
    <row r="62990" s="197" customFormat="1" ht="12.75" x14ac:dyDescent="0.2"/>
    <row r="62991" s="197" customFormat="1" ht="12.75" x14ac:dyDescent="0.2"/>
    <row r="62992" s="197" customFormat="1" ht="12.75" x14ac:dyDescent="0.2"/>
    <row r="62993" s="197" customFormat="1" ht="12.75" x14ac:dyDescent="0.2"/>
    <row r="62994" s="197" customFormat="1" ht="12.75" x14ac:dyDescent="0.2"/>
    <row r="62995" s="197" customFormat="1" ht="12.75" x14ac:dyDescent="0.2"/>
    <row r="62996" s="197" customFormat="1" ht="12.75" x14ac:dyDescent="0.2"/>
    <row r="62997" s="197" customFormat="1" ht="12.75" x14ac:dyDescent="0.2"/>
    <row r="62998" s="197" customFormat="1" ht="12.75" x14ac:dyDescent="0.2"/>
    <row r="62999" s="197" customFormat="1" ht="12.75" x14ac:dyDescent="0.2"/>
    <row r="63000" s="197" customFormat="1" ht="12.75" x14ac:dyDescent="0.2"/>
    <row r="63001" s="197" customFormat="1" ht="12.75" x14ac:dyDescent="0.2"/>
    <row r="63002" s="197" customFormat="1" ht="12.75" x14ac:dyDescent="0.2"/>
    <row r="63003" s="197" customFormat="1" ht="12.75" x14ac:dyDescent="0.2"/>
    <row r="63004" s="197" customFormat="1" ht="12.75" x14ac:dyDescent="0.2"/>
    <row r="63005" s="197" customFormat="1" ht="12.75" x14ac:dyDescent="0.2"/>
    <row r="63006" s="197" customFormat="1" ht="12.75" x14ac:dyDescent="0.2"/>
    <row r="63007" s="197" customFormat="1" ht="12.75" x14ac:dyDescent="0.2"/>
    <row r="63008" s="197" customFormat="1" ht="12.75" x14ac:dyDescent="0.2"/>
    <row r="63009" s="197" customFormat="1" ht="12.75" x14ac:dyDescent="0.2"/>
    <row r="63010" s="197" customFormat="1" ht="12.75" x14ac:dyDescent="0.2"/>
    <row r="63011" s="197" customFormat="1" ht="12.75" x14ac:dyDescent="0.2"/>
    <row r="63012" s="197" customFormat="1" ht="12.75" x14ac:dyDescent="0.2"/>
    <row r="63013" s="197" customFormat="1" ht="12.75" x14ac:dyDescent="0.2"/>
    <row r="63014" s="197" customFormat="1" ht="12.75" x14ac:dyDescent="0.2"/>
    <row r="63015" s="197" customFormat="1" ht="12.75" x14ac:dyDescent="0.2"/>
    <row r="63016" s="197" customFormat="1" ht="12.75" x14ac:dyDescent="0.2"/>
    <row r="63017" s="197" customFormat="1" ht="12.75" x14ac:dyDescent="0.2"/>
    <row r="63018" s="197" customFormat="1" ht="12.75" x14ac:dyDescent="0.2"/>
    <row r="63019" s="197" customFormat="1" ht="12.75" x14ac:dyDescent="0.2"/>
    <row r="63020" s="197" customFormat="1" ht="12.75" x14ac:dyDescent="0.2"/>
    <row r="63021" s="197" customFormat="1" ht="12.75" x14ac:dyDescent="0.2"/>
    <row r="63022" s="197" customFormat="1" ht="12.75" x14ac:dyDescent="0.2"/>
    <row r="63023" s="197" customFormat="1" ht="12.75" x14ac:dyDescent="0.2"/>
    <row r="63024" s="197" customFormat="1" ht="12.75" x14ac:dyDescent="0.2"/>
    <row r="63025" s="197" customFormat="1" ht="12.75" x14ac:dyDescent="0.2"/>
    <row r="63026" s="197" customFormat="1" ht="12.75" x14ac:dyDescent="0.2"/>
    <row r="63027" s="197" customFormat="1" ht="12.75" x14ac:dyDescent="0.2"/>
    <row r="63028" s="197" customFormat="1" ht="12.75" x14ac:dyDescent="0.2"/>
    <row r="63029" s="197" customFormat="1" ht="12.75" x14ac:dyDescent="0.2"/>
    <row r="63030" s="197" customFormat="1" ht="12.75" x14ac:dyDescent="0.2"/>
    <row r="63031" s="197" customFormat="1" ht="12.75" x14ac:dyDescent="0.2"/>
    <row r="63032" s="197" customFormat="1" ht="12.75" x14ac:dyDescent="0.2"/>
    <row r="63033" s="197" customFormat="1" ht="12.75" x14ac:dyDescent="0.2"/>
    <row r="63034" s="197" customFormat="1" ht="12.75" x14ac:dyDescent="0.2"/>
    <row r="63035" s="197" customFormat="1" ht="12.75" x14ac:dyDescent="0.2"/>
    <row r="63036" s="197" customFormat="1" ht="12.75" x14ac:dyDescent="0.2"/>
    <row r="63037" s="197" customFormat="1" ht="12.75" x14ac:dyDescent="0.2"/>
    <row r="63038" s="197" customFormat="1" ht="12.75" x14ac:dyDescent="0.2"/>
    <row r="63039" s="197" customFormat="1" ht="12.75" x14ac:dyDescent="0.2"/>
    <row r="63040" s="197" customFormat="1" ht="12.75" x14ac:dyDescent="0.2"/>
    <row r="63041" s="197" customFormat="1" ht="12.75" x14ac:dyDescent="0.2"/>
    <row r="63042" s="197" customFormat="1" ht="12.75" x14ac:dyDescent="0.2"/>
    <row r="63043" s="197" customFormat="1" ht="12.75" x14ac:dyDescent="0.2"/>
    <row r="63044" s="197" customFormat="1" ht="12.75" x14ac:dyDescent="0.2"/>
    <row r="63045" s="197" customFormat="1" ht="12.75" x14ac:dyDescent="0.2"/>
    <row r="63046" s="197" customFormat="1" ht="12.75" x14ac:dyDescent="0.2"/>
    <row r="63047" s="197" customFormat="1" ht="12.75" x14ac:dyDescent="0.2"/>
    <row r="63048" s="197" customFormat="1" ht="12.75" x14ac:dyDescent="0.2"/>
    <row r="63049" s="197" customFormat="1" ht="12.75" x14ac:dyDescent="0.2"/>
    <row r="63050" s="197" customFormat="1" ht="12.75" x14ac:dyDescent="0.2"/>
    <row r="63051" s="197" customFormat="1" ht="12.75" x14ac:dyDescent="0.2"/>
    <row r="63052" s="197" customFormat="1" ht="12.75" x14ac:dyDescent="0.2"/>
    <row r="63053" s="197" customFormat="1" ht="12.75" x14ac:dyDescent="0.2"/>
    <row r="63054" s="197" customFormat="1" ht="12.75" x14ac:dyDescent="0.2"/>
    <row r="63055" s="197" customFormat="1" ht="12.75" x14ac:dyDescent="0.2"/>
    <row r="63056" s="197" customFormat="1" ht="12.75" x14ac:dyDescent="0.2"/>
    <row r="63057" s="197" customFormat="1" ht="12.75" x14ac:dyDescent="0.2"/>
    <row r="63058" s="197" customFormat="1" ht="12.75" x14ac:dyDescent="0.2"/>
    <row r="63059" s="197" customFormat="1" ht="12.75" x14ac:dyDescent="0.2"/>
    <row r="63060" s="197" customFormat="1" ht="12.75" x14ac:dyDescent="0.2"/>
    <row r="63061" s="197" customFormat="1" ht="12.75" x14ac:dyDescent="0.2"/>
    <row r="63062" s="197" customFormat="1" ht="12.75" x14ac:dyDescent="0.2"/>
    <row r="63063" s="197" customFormat="1" ht="12.75" x14ac:dyDescent="0.2"/>
    <row r="63064" s="197" customFormat="1" ht="12.75" x14ac:dyDescent="0.2"/>
    <row r="63065" s="197" customFormat="1" ht="12.75" x14ac:dyDescent="0.2"/>
    <row r="63066" s="197" customFormat="1" ht="12.75" x14ac:dyDescent="0.2"/>
    <row r="63067" s="197" customFormat="1" ht="12.75" x14ac:dyDescent="0.2"/>
    <row r="63068" s="197" customFormat="1" ht="12.75" x14ac:dyDescent="0.2"/>
    <row r="63069" s="197" customFormat="1" ht="12.75" x14ac:dyDescent="0.2"/>
    <row r="63070" s="197" customFormat="1" ht="12.75" x14ac:dyDescent="0.2"/>
    <row r="63071" s="197" customFormat="1" ht="12.75" x14ac:dyDescent="0.2"/>
    <row r="63072" s="197" customFormat="1" ht="12.75" x14ac:dyDescent="0.2"/>
    <row r="63073" s="197" customFormat="1" ht="12.75" x14ac:dyDescent="0.2"/>
    <row r="63074" s="197" customFormat="1" ht="12.75" x14ac:dyDescent="0.2"/>
    <row r="63075" s="197" customFormat="1" ht="12.75" x14ac:dyDescent="0.2"/>
    <row r="63076" s="197" customFormat="1" ht="12.75" x14ac:dyDescent="0.2"/>
    <row r="63077" s="197" customFormat="1" ht="12.75" x14ac:dyDescent="0.2"/>
    <row r="63078" s="197" customFormat="1" ht="12.75" x14ac:dyDescent="0.2"/>
    <row r="63079" s="197" customFormat="1" ht="12.75" x14ac:dyDescent="0.2"/>
    <row r="63080" s="197" customFormat="1" ht="12.75" x14ac:dyDescent="0.2"/>
    <row r="63081" s="197" customFormat="1" ht="12.75" x14ac:dyDescent="0.2"/>
    <row r="63082" s="197" customFormat="1" ht="12.75" x14ac:dyDescent="0.2"/>
    <row r="63083" s="197" customFormat="1" ht="12.75" x14ac:dyDescent="0.2"/>
    <row r="63084" s="197" customFormat="1" ht="12.75" x14ac:dyDescent="0.2"/>
    <row r="63085" s="197" customFormat="1" ht="12.75" x14ac:dyDescent="0.2"/>
    <row r="63086" s="197" customFormat="1" ht="12.75" x14ac:dyDescent="0.2"/>
    <row r="63087" s="197" customFormat="1" ht="12.75" x14ac:dyDescent="0.2"/>
    <row r="63088" s="197" customFormat="1" ht="12.75" x14ac:dyDescent="0.2"/>
    <row r="63089" s="197" customFormat="1" ht="12.75" x14ac:dyDescent="0.2"/>
    <row r="63090" s="197" customFormat="1" ht="12.75" x14ac:dyDescent="0.2"/>
    <row r="63091" s="197" customFormat="1" ht="12.75" x14ac:dyDescent="0.2"/>
    <row r="63092" s="197" customFormat="1" ht="12.75" x14ac:dyDescent="0.2"/>
    <row r="63093" s="197" customFormat="1" ht="12.75" x14ac:dyDescent="0.2"/>
    <row r="63094" s="197" customFormat="1" ht="12.75" x14ac:dyDescent="0.2"/>
    <row r="63095" s="197" customFormat="1" ht="12.75" x14ac:dyDescent="0.2"/>
    <row r="63096" s="197" customFormat="1" ht="12.75" x14ac:dyDescent="0.2"/>
    <row r="63097" s="197" customFormat="1" ht="12.75" x14ac:dyDescent="0.2"/>
    <row r="63098" s="197" customFormat="1" ht="12.75" x14ac:dyDescent="0.2"/>
    <row r="63099" s="197" customFormat="1" ht="12.75" x14ac:dyDescent="0.2"/>
    <row r="63100" s="197" customFormat="1" ht="12.75" x14ac:dyDescent="0.2"/>
    <row r="63101" s="197" customFormat="1" ht="12.75" x14ac:dyDescent="0.2"/>
    <row r="63102" s="197" customFormat="1" ht="12.75" x14ac:dyDescent="0.2"/>
    <row r="63103" s="197" customFormat="1" ht="12.75" x14ac:dyDescent="0.2"/>
    <row r="63104" s="197" customFormat="1" ht="12.75" x14ac:dyDescent="0.2"/>
    <row r="63105" s="197" customFormat="1" ht="12.75" x14ac:dyDescent="0.2"/>
    <row r="63106" s="197" customFormat="1" ht="12.75" x14ac:dyDescent="0.2"/>
    <row r="63107" s="197" customFormat="1" ht="12.75" x14ac:dyDescent="0.2"/>
    <row r="63108" s="197" customFormat="1" ht="12.75" x14ac:dyDescent="0.2"/>
    <row r="63109" s="197" customFormat="1" ht="12.75" x14ac:dyDescent="0.2"/>
    <row r="63110" s="197" customFormat="1" ht="12.75" x14ac:dyDescent="0.2"/>
    <row r="63111" s="197" customFormat="1" ht="12.75" x14ac:dyDescent="0.2"/>
    <row r="63112" s="197" customFormat="1" ht="12.75" x14ac:dyDescent="0.2"/>
    <row r="63113" s="197" customFormat="1" ht="12.75" x14ac:dyDescent="0.2"/>
    <row r="63114" s="197" customFormat="1" ht="12.75" x14ac:dyDescent="0.2"/>
    <row r="63115" s="197" customFormat="1" ht="12.75" x14ac:dyDescent="0.2"/>
    <row r="63116" s="197" customFormat="1" ht="12.75" x14ac:dyDescent="0.2"/>
    <row r="63117" s="197" customFormat="1" ht="12.75" x14ac:dyDescent="0.2"/>
    <row r="63118" s="197" customFormat="1" ht="12.75" x14ac:dyDescent="0.2"/>
    <row r="63119" s="197" customFormat="1" ht="12.75" x14ac:dyDescent="0.2"/>
    <row r="63120" s="197" customFormat="1" ht="12.75" x14ac:dyDescent="0.2"/>
    <row r="63121" s="197" customFormat="1" ht="12.75" x14ac:dyDescent="0.2"/>
    <row r="63122" s="197" customFormat="1" ht="12.75" x14ac:dyDescent="0.2"/>
    <row r="63123" s="197" customFormat="1" ht="12.75" x14ac:dyDescent="0.2"/>
    <row r="63124" s="197" customFormat="1" ht="12.75" x14ac:dyDescent="0.2"/>
    <row r="63125" s="197" customFormat="1" ht="12.75" x14ac:dyDescent="0.2"/>
    <row r="63126" s="197" customFormat="1" ht="12.75" x14ac:dyDescent="0.2"/>
    <row r="63127" s="197" customFormat="1" ht="12.75" x14ac:dyDescent="0.2"/>
    <row r="63128" s="197" customFormat="1" ht="12.75" x14ac:dyDescent="0.2"/>
    <row r="63129" s="197" customFormat="1" ht="12.75" x14ac:dyDescent="0.2"/>
    <row r="63130" s="197" customFormat="1" ht="12.75" x14ac:dyDescent="0.2"/>
    <row r="63131" s="197" customFormat="1" ht="12.75" x14ac:dyDescent="0.2"/>
    <row r="63132" s="197" customFormat="1" ht="12.75" x14ac:dyDescent="0.2"/>
    <row r="63133" s="197" customFormat="1" ht="12.75" x14ac:dyDescent="0.2"/>
    <row r="63134" s="197" customFormat="1" ht="12.75" x14ac:dyDescent="0.2"/>
    <row r="63135" s="197" customFormat="1" ht="12.75" x14ac:dyDescent="0.2"/>
    <row r="63136" s="197" customFormat="1" ht="12.75" x14ac:dyDescent="0.2"/>
    <row r="63137" s="197" customFormat="1" ht="12.75" x14ac:dyDescent="0.2"/>
    <row r="63138" s="197" customFormat="1" ht="12.75" x14ac:dyDescent="0.2"/>
    <row r="63139" s="197" customFormat="1" ht="12.75" x14ac:dyDescent="0.2"/>
    <row r="63140" s="197" customFormat="1" ht="12.75" x14ac:dyDescent="0.2"/>
    <row r="63141" s="197" customFormat="1" ht="12.75" x14ac:dyDescent="0.2"/>
    <row r="63142" s="197" customFormat="1" ht="12.75" x14ac:dyDescent="0.2"/>
    <row r="63143" s="197" customFormat="1" ht="12.75" x14ac:dyDescent="0.2"/>
    <row r="63144" s="197" customFormat="1" ht="12.75" x14ac:dyDescent="0.2"/>
    <row r="63145" s="197" customFormat="1" ht="12.75" x14ac:dyDescent="0.2"/>
    <row r="63146" s="197" customFormat="1" ht="12.75" x14ac:dyDescent="0.2"/>
    <row r="63147" s="197" customFormat="1" ht="12.75" x14ac:dyDescent="0.2"/>
    <row r="63148" s="197" customFormat="1" ht="12.75" x14ac:dyDescent="0.2"/>
    <row r="63149" s="197" customFormat="1" ht="12.75" x14ac:dyDescent="0.2"/>
    <row r="63150" s="197" customFormat="1" ht="12.75" x14ac:dyDescent="0.2"/>
    <row r="63151" s="197" customFormat="1" ht="12.75" x14ac:dyDescent="0.2"/>
    <row r="63152" s="197" customFormat="1" ht="12.75" x14ac:dyDescent="0.2"/>
    <row r="63153" s="197" customFormat="1" ht="12.75" x14ac:dyDescent="0.2"/>
    <row r="63154" s="197" customFormat="1" ht="12.75" x14ac:dyDescent="0.2"/>
    <row r="63155" s="197" customFormat="1" ht="12.75" x14ac:dyDescent="0.2"/>
    <row r="63156" s="197" customFormat="1" ht="12.75" x14ac:dyDescent="0.2"/>
    <row r="63157" s="197" customFormat="1" ht="12.75" x14ac:dyDescent="0.2"/>
    <row r="63158" s="197" customFormat="1" ht="12.75" x14ac:dyDescent="0.2"/>
    <row r="63159" s="197" customFormat="1" ht="12.75" x14ac:dyDescent="0.2"/>
    <row r="63160" s="197" customFormat="1" ht="12.75" x14ac:dyDescent="0.2"/>
    <row r="63161" s="197" customFormat="1" ht="12.75" x14ac:dyDescent="0.2"/>
    <row r="63162" s="197" customFormat="1" ht="12.75" x14ac:dyDescent="0.2"/>
    <row r="63163" s="197" customFormat="1" ht="12.75" x14ac:dyDescent="0.2"/>
    <row r="63164" s="197" customFormat="1" ht="12.75" x14ac:dyDescent="0.2"/>
    <row r="63165" s="197" customFormat="1" ht="12.75" x14ac:dyDescent="0.2"/>
    <row r="63166" s="197" customFormat="1" ht="12.75" x14ac:dyDescent="0.2"/>
    <row r="63167" s="197" customFormat="1" ht="12.75" x14ac:dyDescent="0.2"/>
    <row r="63168" s="197" customFormat="1" ht="12.75" x14ac:dyDescent="0.2"/>
    <row r="63169" s="197" customFormat="1" ht="12.75" x14ac:dyDescent="0.2"/>
    <row r="63170" s="197" customFormat="1" ht="12.75" x14ac:dyDescent="0.2"/>
    <row r="63171" s="197" customFormat="1" ht="12.75" x14ac:dyDescent="0.2"/>
    <row r="63172" s="197" customFormat="1" ht="12.75" x14ac:dyDescent="0.2"/>
    <row r="63173" s="197" customFormat="1" ht="12.75" x14ac:dyDescent="0.2"/>
    <row r="63174" s="197" customFormat="1" ht="12.75" x14ac:dyDescent="0.2"/>
    <row r="63175" s="197" customFormat="1" ht="12.75" x14ac:dyDescent="0.2"/>
    <row r="63176" s="197" customFormat="1" ht="12.75" x14ac:dyDescent="0.2"/>
    <row r="63177" s="197" customFormat="1" ht="12.75" x14ac:dyDescent="0.2"/>
    <row r="63178" s="197" customFormat="1" ht="12.75" x14ac:dyDescent="0.2"/>
    <row r="63179" s="197" customFormat="1" ht="12.75" x14ac:dyDescent="0.2"/>
    <row r="63180" s="197" customFormat="1" ht="12.75" x14ac:dyDescent="0.2"/>
    <row r="63181" s="197" customFormat="1" ht="12.75" x14ac:dyDescent="0.2"/>
    <row r="63182" s="197" customFormat="1" ht="12.75" x14ac:dyDescent="0.2"/>
    <row r="63183" s="197" customFormat="1" ht="12.75" x14ac:dyDescent="0.2"/>
    <row r="63184" s="197" customFormat="1" ht="12.75" x14ac:dyDescent="0.2"/>
    <row r="63185" s="197" customFormat="1" ht="12.75" x14ac:dyDescent="0.2"/>
    <row r="63186" s="197" customFormat="1" ht="12.75" x14ac:dyDescent="0.2"/>
    <row r="63187" s="197" customFormat="1" ht="12.75" x14ac:dyDescent="0.2"/>
    <row r="63188" s="197" customFormat="1" ht="12.75" x14ac:dyDescent="0.2"/>
    <row r="63189" s="197" customFormat="1" ht="12.75" x14ac:dyDescent="0.2"/>
    <row r="63190" s="197" customFormat="1" ht="12.75" x14ac:dyDescent="0.2"/>
    <row r="63191" s="197" customFormat="1" ht="12.75" x14ac:dyDescent="0.2"/>
    <row r="63192" s="197" customFormat="1" ht="12.75" x14ac:dyDescent="0.2"/>
    <row r="63193" s="197" customFormat="1" ht="12.75" x14ac:dyDescent="0.2"/>
    <row r="63194" s="197" customFormat="1" ht="12.75" x14ac:dyDescent="0.2"/>
    <row r="63195" s="197" customFormat="1" ht="12.75" x14ac:dyDescent="0.2"/>
    <row r="63196" s="197" customFormat="1" ht="12.75" x14ac:dyDescent="0.2"/>
    <row r="63197" s="197" customFormat="1" ht="12.75" x14ac:dyDescent="0.2"/>
    <row r="63198" s="197" customFormat="1" ht="12.75" x14ac:dyDescent="0.2"/>
    <row r="63199" s="197" customFormat="1" ht="12.75" x14ac:dyDescent="0.2"/>
    <row r="63200" s="197" customFormat="1" ht="12.75" x14ac:dyDescent="0.2"/>
    <row r="63201" s="197" customFormat="1" ht="12.75" x14ac:dyDescent="0.2"/>
    <row r="63202" s="197" customFormat="1" ht="12.75" x14ac:dyDescent="0.2"/>
    <row r="63203" s="197" customFormat="1" ht="12.75" x14ac:dyDescent="0.2"/>
    <row r="63204" s="197" customFormat="1" ht="12.75" x14ac:dyDescent="0.2"/>
    <row r="63205" s="197" customFormat="1" ht="12.75" x14ac:dyDescent="0.2"/>
    <row r="63206" s="197" customFormat="1" ht="12.75" x14ac:dyDescent="0.2"/>
    <row r="63207" s="197" customFormat="1" ht="12.75" x14ac:dyDescent="0.2"/>
    <row r="63208" s="197" customFormat="1" ht="12.75" x14ac:dyDescent="0.2"/>
    <row r="63209" s="197" customFormat="1" ht="12.75" x14ac:dyDescent="0.2"/>
    <row r="63210" s="197" customFormat="1" ht="12.75" x14ac:dyDescent="0.2"/>
    <row r="63211" s="197" customFormat="1" ht="12.75" x14ac:dyDescent="0.2"/>
    <row r="63212" s="197" customFormat="1" ht="12.75" x14ac:dyDescent="0.2"/>
    <row r="63213" s="197" customFormat="1" ht="12.75" x14ac:dyDescent="0.2"/>
    <row r="63214" s="197" customFormat="1" ht="12.75" x14ac:dyDescent="0.2"/>
    <row r="63215" s="197" customFormat="1" ht="12.75" x14ac:dyDescent="0.2"/>
    <row r="63216" s="197" customFormat="1" ht="12.75" x14ac:dyDescent="0.2"/>
    <row r="63217" s="197" customFormat="1" ht="12.75" x14ac:dyDescent="0.2"/>
    <row r="63218" s="197" customFormat="1" ht="12.75" x14ac:dyDescent="0.2"/>
    <row r="63219" s="197" customFormat="1" ht="12.75" x14ac:dyDescent="0.2"/>
    <row r="63220" s="197" customFormat="1" ht="12.75" x14ac:dyDescent="0.2"/>
    <row r="63221" s="197" customFormat="1" ht="12.75" x14ac:dyDescent="0.2"/>
    <row r="63222" s="197" customFormat="1" ht="12.75" x14ac:dyDescent="0.2"/>
    <row r="63223" s="197" customFormat="1" ht="12.75" x14ac:dyDescent="0.2"/>
    <row r="63224" s="197" customFormat="1" ht="12.75" x14ac:dyDescent="0.2"/>
    <row r="63225" s="197" customFormat="1" ht="12.75" x14ac:dyDescent="0.2"/>
    <row r="63226" s="197" customFormat="1" ht="12.75" x14ac:dyDescent="0.2"/>
    <row r="63227" s="197" customFormat="1" ht="12.75" x14ac:dyDescent="0.2"/>
    <row r="63228" s="197" customFormat="1" ht="12.75" x14ac:dyDescent="0.2"/>
    <row r="63229" s="197" customFormat="1" ht="12.75" x14ac:dyDescent="0.2"/>
    <row r="63230" s="197" customFormat="1" ht="12.75" x14ac:dyDescent="0.2"/>
    <row r="63231" s="197" customFormat="1" ht="12.75" x14ac:dyDescent="0.2"/>
    <row r="63232" s="197" customFormat="1" ht="12.75" x14ac:dyDescent="0.2"/>
    <row r="63233" s="197" customFormat="1" ht="12.75" x14ac:dyDescent="0.2"/>
    <row r="63234" s="197" customFormat="1" ht="12.75" x14ac:dyDescent="0.2"/>
    <row r="63235" s="197" customFormat="1" ht="12.75" x14ac:dyDescent="0.2"/>
    <row r="63236" s="197" customFormat="1" ht="12.75" x14ac:dyDescent="0.2"/>
    <row r="63237" s="197" customFormat="1" ht="12.75" x14ac:dyDescent="0.2"/>
    <row r="63238" s="197" customFormat="1" ht="12.75" x14ac:dyDescent="0.2"/>
    <row r="63239" s="197" customFormat="1" ht="12.75" x14ac:dyDescent="0.2"/>
    <row r="63240" s="197" customFormat="1" ht="12.75" x14ac:dyDescent="0.2"/>
    <row r="63241" s="197" customFormat="1" ht="12.75" x14ac:dyDescent="0.2"/>
    <row r="63242" s="197" customFormat="1" ht="12.75" x14ac:dyDescent="0.2"/>
    <row r="63243" s="197" customFormat="1" ht="12.75" x14ac:dyDescent="0.2"/>
    <row r="63244" s="197" customFormat="1" ht="12.75" x14ac:dyDescent="0.2"/>
    <row r="63245" s="197" customFormat="1" ht="12.75" x14ac:dyDescent="0.2"/>
    <row r="63246" s="197" customFormat="1" ht="12.75" x14ac:dyDescent="0.2"/>
    <row r="63247" s="197" customFormat="1" ht="12.75" x14ac:dyDescent="0.2"/>
    <row r="63248" s="197" customFormat="1" ht="12.75" x14ac:dyDescent="0.2"/>
    <row r="63249" s="197" customFormat="1" ht="12.75" x14ac:dyDescent="0.2"/>
    <row r="63250" s="197" customFormat="1" ht="12.75" x14ac:dyDescent="0.2"/>
    <row r="63251" s="197" customFormat="1" ht="12.75" x14ac:dyDescent="0.2"/>
    <row r="63252" s="197" customFormat="1" ht="12.75" x14ac:dyDescent="0.2"/>
    <row r="63253" s="197" customFormat="1" ht="12.75" x14ac:dyDescent="0.2"/>
    <row r="63254" s="197" customFormat="1" ht="12.75" x14ac:dyDescent="0.2"/>
    <row r="63255" s="197" customFormat="1" ht="12.75" x14ac:dyDescent="0.2"/>
    <row r="63256" s="197" customFormat="1" ht="12.75" x14ac:dyDescent="0.2"/>
    <row r="63257" s="197" customFormat="1" ht="12.75" x14ac:dyDescent="0.2"/>
    <row r="63258" s="197" customFormat="1" ht="12.75" x14ac:dyDescent="0.2"/>
    <row r="63259" s="197" customFormat="1" ht="12.75" x14ac:dyDescent="0.2"/>
    <row r="63260" s="197" customFormat="1" ht="12.75" x14ac:dyDescent="0.2"/>
    <row r="63261" s="197" customFormat="1" ht="12.75" x14ac:dyDescent="0.2"/>
    <row r="63262" s="197" customFormat="1" ht="12.75" x14ac:dyDescent="0.2"/>
    <row r="63263" s="197" customFormat="1" ht="12.75" x14ac:dyDescent="0.2"/>
    <row r="63264" s="197" customFormat="1" ht="12.75" x14ac:dyDescent="0.2"/>
    <row r="63265" s="197" customFormat="1" ht="12.75" x14ac:dyDescent="0.2"/>
    <row r="63266" s="197" customFormat="1" ht="12.75" x14ac:dyDescent="0.2"/>
    <row r="63267" s="197" customFormat="1" ht="12.75" x14ac:dyDescent="0.2"/>
    <row r="63268" s="197" customFormat="1" ht="12.75" x14ac:dyDescent="0.2"/>
    <row r="63269" s="197" customFormat="1" ht="12.75" x14ac:dyDescent="0.2"/>
    <row r="63270" s="197" customFormat="1" ht="12.75" x14ac:dyDescent="0.2"/>
    <row r="63271" s="197" customFormat="1" ht="12.75" x14ac:dyDescent="0.2"/>
    <row r="63272" s="197" customFormat="1" ht="12.75" x14ac:dyDescent="0.2"/>
    <row r="63273" s="197" customFormat="1" ht="12.75" x14ac:dyDescent="0.2"/>
    <row r="63274" s="197" customFormat="1" ht="12.75" x14ac:dyDescent="0.2"/>
    <row r="63275" s="197" customFormat="1" ht="12.75" x14ac:dyDescent="0.2"/>
    <row r="63276" s="197" customFormat="1" ht="12.75" x14ac:dyDescent="0.2"/>
    <row r="63277" s="197" customFormat="1" ht="12.75" x14ac:dyDescent="0.2"/>
    <row r="63278" s="197" customFormat="1" ht="12.75" x14ac:dyDescent="0.2"/>
    <row r="63279" s="197" customFormat="1" ht="12.75" x14ac:dyDescent="0.2"/>
    <row r="63280" s="197" customFormat="1" ht="12.75" x14ac:dyDescent="0.2"/>
    <row r="63281" s="197" customFormat="1" ht="12.75" x14ac:dyDescent="0.2"/>
    <row r="63282" s="197" customFormat="1" ht="12.75" x14ac:dyDescent="0.2"/>
    <row r="63283" s="197" customFormat="1" ht="12.75" x14ac:dyDescent="0.2"/>
    <row r="63284" s="197" customFormat="1" ht="12.75" x14ac:dyDescent="0.2"/>
    <row r="63285" s="197" customFormat="1" ht="12.75" x14ac:dyDescent="0.2"/>
    <row r="63286" s="197" customFormat="1" ht="12.75" x14ac:dyDescent="0.2"/>
    <row r="63287" s="197" customFormat="1" ht="12.75" x14ac:dyDescent="0.2"/>
    <row r="63288" s="197" customFormat="1" ht="12.75" x14ac:dyDescent="0.2"/>
    <row r="63289" s="197" customFormat="1" ht="12.75" x14ac:dyDescent="0.2"/>
    <row r="63290" s="197" customFormat="1" ht="12.75" x14ac:dyDescent="0.2"/>
    <row r="63291" s="197" customFormat="1" ht="12.75" x14ac:dyDescent="0.2"/>
    <row r="63292" s="197" customFormat="1" ht="12.75" x14ac:dyDescent="0.2"/>
    <row r="63293" s="197" customFormat="1" ht="12.75" x14ac:dyDescent="0.2"/>
    <row r="63294" s="197" customFormat="1" ht="12.75" x14ac:dyDescent="0.2"/>
    <row r="63295" s="197" customFormat="1" ht="12.75" x14ac:dyDescent="0.2"/>
    <row r="63296" s="197" customFormat="1" ht="12.75" x14ac:dyDescent="0.2"/>
    <row r="63297" s="197" customFormat="1" ht="12.75" x14ac:dyDescent="0.2"/>
    <row r="63298" s="197" customFormat="1" ht="12.75" x14ac:dyDescent="0.2"/>
    <row r="63299" s="197" customFormat="1" ht="12.75" x14ac:dyDescent="0.2"/>
    <row r="63300" s="197" customFormat="1" ht="12.75" x14ac:dyDescent="0.2"/>
    <row r="63301" s="197" customFormat="1" ht="12.75" x14ac:dyDescent="0.2"/>
    <row r="63302" s="197" customFormat="1" ht="12.75" x14ac:dyDescent="0.2"/>
    <row r="63303" s="197" customFormat="1" ht="12.75" x14ac:dyDescent="0.2"/>
    <row r="63304" s="197" customFormat="1" ht="12.75" x14ac:dyDescent="0.2"/>
    <row r="63305" s="197" customFormat="1" ht="12.75" x14ac:dyDescent="0.2"/>
    <row r="63306" s="197" customFormat="1" ht="12.75" x14ac:dyDescent="0.2"/>
    <row r="63307" s="197" customFormat="1" ht="12.75" x14ac:dyDescent="0.2"/>
    <row r="63308" s="197" customFormat="1" ht="12.75" x14ac:dyDescent="0.2"/>
    <row r="63309" s="197" customFormat="1" ht="12.75" x14ac:dyDescent="0.2"/>
    <row r="63310" s="197" customFormat="1" ht="12.75" x14ac:dyDescent="0.2"/>
    <row r="63311" s="197" customFormat="1" ht="12.75" x14ac:dyDescent="0.2"/>
    <row r="63312" s="197" customFormat="1" ht="12.75" x14ac:dyDescent="0.2"/>
    <row r="63313" s="197" customFormat="1" ht="12.75" x14ac:dyDescent="0.2"/>
    <row r="63314" s="197" customFormat="1" ht="12.75" x14ac:dyDescent="0.2"/>
    <row r="63315" s="197" customFormat="1" ht="12.75" x14ac:dyDescent="0.2"/>
    <row r="63316" s="197" customFormat="1" ht="12.75" x14ac:dyDescent="0.2"/>
    <row r="63317" s="197" customFormat="1" ht="12.75" x14ac:dyDescent="0.2"/>
    <row r="63318" s="197" customFormat="1" ht="12.75" x14ac:dyDescent="0.2"/>
    <row r="63319" s="197" customFormat="1" ht="12.75" x14ac:dyDescent="0.2"/>
    <row r="63320" s="197" customFormat="1" ht="12.75" x14ac:dyDescent="0.2"/>
    <row r="63321" s="197" customFormat="1" ht="12.75" x14ac:dyDescent="0.2"/>
    <row r="63322" s="197" customFormat="1" ht="12.75" x14ac:dyDescent="0.2"/>
    <row r="63323" s="197" customFormat="1" ht="12.75" x14ac:dyDescent="0.2"/>
    <row r="63324" s="197" customFormat="1" ht="12.75" x14ac:dyDescent="0.2"/>
    <row r="63325" s="197" customFormat="1" ht="12.75" x14ac:dyDescent="0.2"/>
    <row r="63326" s="197" customFormat="1" ht="12.75" x14ac:dyDescent="0.2"/>
    <row r="63327" s="197" customFormat="1" ht="12.75" x14ac:dyDescent="0.2"/>
    <row r="63328" s="197" customFormat="1" ht="12.75" x14ac:dyDescent="0.2"/>
    <row r="63329" s="197" customFormat="1" ht="12.75" x14ac:dyDescent="0.2"/>
    <row r="63330" s="197" customFormat="1" ht="12.75" x14ac:dyDescent="0.2"/>
    <row r="63331" s="197" customFormat="1" ht="12.75" x14ac:dyDescent="0.2"/>
    <row r="63332" s="197" customFormat="1" ht="12.75" x14ac:dyDescent="0.2"/>
    <row r="63333" s="197" customFormat="1" ht="12.75" x14ac:dyDescent="0.2"/>
    <row r="63334" s="197" customFormat="1" ht="12.75" x14ac:dyDescent="0.2"/>
    <row r="63335" s="197" customFormat="1" ht="12.75" x14ac:dyDescent="0.2"/>
    <row r="63336" s="197" customFormat="1" ht="12.75" x14ac:dyDescent="0.2"/>
    <row r="63337" s="197" customFormat="1" ht="12.75" x14ac:dyDescent="0.2"/>
    <row r="63338" s="197" customFormat="1" ht="12.75" x14ac:dyDescent="0.2"/>
    <row r="63339" s="197" customFormat="1" ht="12.75" x14ac:dyDescent="0.2"/>
    <row r="63340" s="197" customFormat="1" ht="12.75" x14ac:dyDescent="0.2"/>
    <row r="63341" s="197" customFormat="1" ht="12.75" x14ac:dyDescent="0.2"/>
    <row r="63342" s="197" customFormat="1" ht="12.75" x14ac:dyDescent="0.2"/>
    <row r="63343" s="197" customFormat="1" ht="12.75" x14ac:dyDescent="0.2"/>
    <row r="63344" s="197" customFormat="1" ht="12.75" x14ac:dyDescent="0.2"/>
    <row r="63345" s="197" customFormat="1" ht="12.75" x14ac:dyDescent="0.2"/>
    <row r="63346" s="197" customFormat="1" ht="12.75" x14ac:dyDescent="0.2"/>
    <row r="63347" s="197" customFormat="1" ht="12.75" x14ac:dyDescent="0.2"/>
    <row r="63348" s="197" customFormat="1" ht="12.75" x14ac:dyDescent="0.2"/>
    <row r="63349" s="197" customFormat="1" ht="12.75" x14ac:dyDescent="0.2"/>
    <row r="63350" s="197" customFormat="1" ht="12.75" x14ac:dyDescent="0.2"/>
    <row r="63351" s="197" customFormat="1" ht="12.75" x14ac:dyDescent="0.2"/>
    <row r="63352" s="197" customFormat="1" ht="12.75" x14ac:dyDescent="0.2"/>
    <row r="63353" s="197" customFormat="1" ht="12.75" x14ac:dyDescent="0.2"/>
    <row r="63354" s="197" customFormat="1" ht="12.75" x14ac:dyDescent="0.2"/>
    <row r="63355" s="197" customFormat="1" ht="12.75" x14ac:dyDescent="0.2"/>
    <row r="63356" s="197" customFormat="1" ht="12.75" x14ac:dyDescent="0.2"/>
    <row r="63357" s="197" customFormat="1" ht="12.75" x14ac:dyDescent="0.2"/>
    <row r="63358" s="197" customFormat="1" ht="12.75" x14ac:dyDescent="0.2"/>
    <row r="63359" s="197" customFormat="1" ht="12.75" x14ac:dyDescent="0.2"/>
    <row r="63360" s="197" customFormat="1" ht="12.75" x14ac:dyDescent="0.2"/>
    <row r="63361" s="197" customFormat="1" ht="12.75" x14ac:dyDescent="0.2"/>
    <row r="63362" s="197" customFormat="1" ht="12.75" x14ac:dyDescent="0.2"/>
    <row r="63363" s="197" customFormat="1" ht="12.75" x14ac:dyDescent="0.2"/>
    <row r="63364" s="197" customFormat="1" ht="12.75" x14ac:dyDescent="0.2"/>
    <row r="63365" s="197" customFormat="1" ht="12.75" x14ac:dyDescent="0.2"/>
    <row r="63366" s="197" customFormat="1" ht="12.75" x14ac:dyDescent="0.2"/>
    <row r="63367" s="197" customFormat="1" ht="12.75" x14ac:dyDescent="0.2"/>
    <row r="63368" s="197" customFormat="1" ht="12.75" x14ac:dyDescent="0.2"/>
    <row r="63369" s="197" customFormat="1" ht="12.75" x14ac:dyDescent="0.2"/>
    <row r="63370" s="197" customFormat="1" ht="12.75" x14ac:dyDescent="0.2"/>
    <row r="63371" s="197" customFormat="1" ht="12.75" x14ac:dyDescent="0.2"/>
    <row r="63372" s="197" customFormat="1" ht="12.75" x14ac:dyDescent="0.2"/>
    <row r="63373" s="197" customFormat="1" ht="12.75" x14ac:dyDescent="0.2"/>
    <row r="63374" s="197" customFormat="1" ht="12.75" x14ac:dyDescent="0.2"/>
    <row r="63375" s="197" customFormat="1" ht="12.75" x14ac:dyDescent="0.2"/>
    <row r="63376" s="197" customFormat="1" ht="12.75" x14ac:dyDescent="0.2"/>
    <row r="63377" s="197" customFormat="1" ht="12.75" x14ac:dyDescent="0.2"/>
    <row r="63378" s="197" customFormat="1" ht="12.75" x14ac:dyDescent="0.2"/>
    <row r="63379" s="197" customFormat="1" ht="12.75" x14ac:dyDescent="0.2"/>
    <row r="63380" s="197" customFormat="1" ht="12.75" x14ac:dyDescent="0.2"/>
    <row r="63381" s="197" customFormat="1" ht="12.75" x14ac:dyDescent="0.2"/>
    <row r="63382" s="197" customFormat="1" ht="12.75" x14ac:dyDescent="0.2"/>
    <row r="63383" s="197" customFormat="1" ht="12.75" x14ac:dyDescent="0.2"/>
    <row r="63384" s="197" customFormat="1" ht="12.75" x14ac:dyDescent="0.2"/>
    <row r="63385" s="197" customFormat="1" ht="12.75" x14ac:dyDescent="0.2"/>
    <row r="63386" s="197" customFormat="1" ht="12.75" x14ac:dyDescent="0.2"/>
    <row r="63387" s="197" customFormat="1" ht="12.75" x14ac:dyDescent="0.2"/>
    <row r="63388" s="197" customFormat="1" ht="12.75" x14ac:dyDescent="0.2"/>
    <row r="63389" s="197" customFormat="1" ht="12.75" x14ac:dyDescent="0.2"/>
    <row r="63390" s="197" customFormat="1" ht="12.75" x14ac:dyDescent="0.2"/>
    <row r="63391" s="197" customFormat="1" ht="12.75" x14ac:dyDescent="0.2"/>
    <row r="63392" s="197" customFormat="1" ht="12.75" x14ac:dyDescent="0.2"/>
    <row r="63393" s="197" customFormat="1" ht="12.75" x14ac:dyDescent="0.2"/>
    <row r="63394" s="197" customFormat="1" ht="12.75" x14ac:dyDescent="0.2"/>
    <row r="63395" s="197" customFormat="1" ht="12.75" x14ac:dyDescent="0.2"/>
    <row r="63396" s="197" customFormat="1" ht="12.75" x14ac:dyDescent="0.2"/>
    <row r="63397" s="197" customFormat="1" ht="12.75" x14ac:dyDescent="0.2"/>
    <row r="63398" s="197" customFormat="1" ht="12.75" x14ac:dyDescent="0.2"/>
    <row r="63399" s="197" customFormat="1" ht="12.75" x14ac:dyDescent="0.2"/>
    <row r="63400" s="197" customFormat="1" ht="12.75" x14ac:dyDescent="0.2"/>
    <row r="63401" s="197" customFormat="1" ht="12.75" x14ac:dyDescent="0.2"/>
    <row r="63402" s="197" customFormat="1" ht="12.75" x14ac:dyDescent="0.2"/>
    <row r="63403" s="197" customFormat="1" ht="12.75" x14ac:dyDescent="0.2"/>
    <row r="63404" s="197" customFormat="1" ht="12.75" x14ac:dyDescent="0.2"/>
    <row r="63405" s="197" customFormat="1" ht="12.75" x14ac:dyDescent="0.2"/>
    <row r="63406" s="197" customFormat="1" ht="12.75" x14ac:dyDescent="0.2"/>
    <row r="63407" s="197" customFormat="1" ht="12.75" x14ac:dyDescent="0.2"/>
    <row r="63408" s="197" customFormat="1" ht="12.75" x14ac:dyDescent="0.2"/>
    <row r="63409" s="197" customFormat="1" ht="12.75" x14ac:dyDescent="0.2"/>
    <row r="63410" s="197" customFormat="1" ht="12.75" x14ac:dyDescent="0.2"/>
    <row r="63411" s="197" customFormat="1" ht="12.75" x14ac:dyDescent="0.2"/>
    <row r="63412" s="197" customFormat="1" ht="12.75" x14ac:dyDescent="0.2"/>
    <row r="63413" s="197" customFormat="1" ht="12.75" x14ac:dyDescent="0.2"/>
    <row r="63414" s="197" customFormat="1" ht="12.75" x14ac:dyDescent="0.2"/>
    <row r="63415" s="197" customFormat="1" ht="12.75" x14ac:dyDescent="0.2"/>
    <row r="63416" s="197" customFormat="1" ht="12.75" x14ac:dyDescent="0.2"/>
    <row r="63417" s="197" customFormat="1" ht="12.75" x14ac:dyDescent="0.2"/>
    <row r="63418" s="197" customFormat="1" ht="12.75" x14ac:dyDescent="0.2"/>
    <row r="63419" s="197" customFormat="1" ht="12.75" x14ac:dyDescent="0.2"/>
    <row r="63420" s="197" customFormat="1" ht="12.75" x14ac:dyDescent="0.2"/>
    <row r="63421" s="197" customFormat="1" ht="12.75" x14ac:dyDescent="0.2"/>
    <row r="63422" s="197" customFormat="1" ht="12.75" x14ac:dyDescent="0.2"/>
    <row r="63423" s="197" customFormat="1" ht="12.75" x14ac:dyDescent="0.2"/>
    <row r="63424" s="197" customFormat="1" ht="12.75" x14ac:dyDescent="0.2"/>
    <row r="63425" s="197" customFormat="1" ht="12.75" x14ac:dyDescent="0.2"/>
    <row r="63426" s="197" customFormat="1" ht="12.75" x14ac:dyDescent="0.2"/>
    <row r="63427" s="197" customFormat="1" ht="12.75" x14ac:dyDescent="0.2"/>
    <row r="63428" s="197" customFormat="1" ht="12.75" x14ac:dyDescent="0.2"/>
    <row r="63429" s="197" customFormat="1" ht="12.75" x14ac:dyDescent="0.2"/>
    <row r="63430" s="197" customFormat="1" ht="12.75" x14ac:dyDescent="0.2"/>
    <row r="63431" s="197" customFormat="1" ht="12.75" x14ac:dyDescent="0.2"/>
    <row r="63432" s="197" customFormat="1" ht="12.75" x14ac:dyDescent="0.2"/>
    <row r="63433" s="197" customFormat="1" ht="12.75" x14ac:dyDescent="0.2"/>
    <row r="63434" s="197" customFormat="1" ht="12.75" x14ac:dyDescent="0.2"/>
    <row r="63435" s="197" customFormat="1" ht="12.75" x14ac:dyDescent="0.2"/>
    <row r="63436" s="197" customFormat="1" ht="12.75" x14ac:dyDescent="0.2"/>
    <row r="63437" s="197" customFormat="1" ht="12.75" x14ac:dyDescent="0.2"/>
    <row r="63438" s="197" customFormat="1" ht="12.75" x14ac:dyDescent="0.2"/>
    <row r="63439" s="197" customFormat="1" ht="12.75" x14ac:dyDescent="0.2"/>
    <row r="63440" s="197" customFormat="1" ht="12.75" x14ac:dyDescent="0.2"/>
    <row r="63441" s="197" customFormat="1" ht="12.75" x14ac:dyDescent="0.2"/>
    <row r="63442" s="197" customFormat="1" ht="12.75" x14ac:dyDescent="0.2"/>
    <row r="63443" s="197" customFormat="1" ht="12.75" x14ac:dyDescent="0.2"/>
    <row r="63444" s="197" customFormat="1" ht="12.75" x14ac:dyDescent="0.2"/>
    <row r="63445" s="197" customFormat="1" ht="12.75" x14ac:dyDescent="0.2"/>
    <row r="63446" s="197" customFormat="1" ht="12.75" x14ac:dyDescent="0.2"/>
    <row r="63447" s="197" customFormat="1" ht="12.75" x14ac:dyDescent="0.2"/>
    <row r="63448" s="197" customFormat="1" ht="12.75" x14ac:dyDescent="0.2"/>
    <row r="63449" s="197" customFormat="1" ht="12.75" x14ac:dyDescent="0.2"/>
    <row r="63450" s="197" customFormat="1" ht="12.75" x14ac:dyDescent="0.2"/>
    <row r="63451" s="197" customFormat="1" ht="12.75" x14ac:dyDescent="0.2"/>
    <row r="63452" s="197" customFormat="1" ht="12.75" x14ac:dyDescent="0.2"/>
    <row r="63453" s="197" customFormat="1" ht="12.75" x14ac:dyDescent="0.2"/>
    <row r="63454" s="197" customFormat="1" ht="12.75" x14ac:dyDescent="0.2"/>
    <row r="63455" s="197" customFormat="1" ht="12.75" x14ac:dyDescent="0.2"/>
    <row r="63456" s="197" customFormat="1" ht="12.75" x14ac:dyDescent="0.2"/>
    <row r="63457" s="197" customFormat="1" ht="12.75" x14ac:dyDescent="0.2"/>
    <row r="63458" s="197" customFormat="1" ht="12.75" x14ac:dyDescent="0.2"/>
    <row r="63459" s="197" customFormat="1" ht="12.75" x14ac:dyDescent="0.2"/>
    <row r="63460" s="197" customFormat="1" ht="12.75" x14ac:dyDescent="0.2"/>
    <row r="63461" s="197" customFormat="1" ht="12.75" x14ac:dyDescent="0.2"/>
    <row r="63462" s="197" customFormat="1" ht="12.75" x14ac:dyDescent="0.2"/>
    <row r="63463" s="197" customFormat="1" ht="12.75" x14ac:dyDescent="0.2"/>
    <row r="63464" s="197" customFormat="1" ht="12.75" x14ac:dyDescent="0.2"/>
    <row r="63465" s="197" customFormat="1" ht="12.75" x14ac:dyDescent="0.2"/>
    <row r="63466" s="197" customFormat="1" ht="12.75" x14ac:dyDescent="0.2"/>
    <row r="63467" s="197" customFormat="1" ht="12.75" x14ac:dyDescent="0.2"/>
    <row r="63468" s="197" customFormat="1" ht="12.75" x14ac:dyDescent="0.2"/>
    <row r="63469" s="197" customFormat="1" ht="12.75" x14ac:dyDescent="0.2"/>
    <row r="63470" s="197" customFormat="1" ht="12.75" x14ac:dyDescent="0.2"/>
    <row r="63471" s="197" customFormat="1" ht="12.75" x14ac:dyDescent="0.2"/>
    <row r="63472" s="197" customFormat="1" ht="12.75" x14ac:dyDescent="0.2"/>
    <row r="63473" s="197" customFormat="1" ht="12.75" x14ac:dyDescent="0.2"/>
    <row r="63474" s="197" customFormat="1" ht="12.75" x14ac:dyDescent="0.2"/>
    <row r="63475" s="197" customFormat="1" ht="12.75" x14ac:dyDescent="0.2"/>
    <row r="63476" s="197" customFormat="1" ht="12.75" x14ac:dyDescent="0.2"/>
    <row r="63477" s="197" customFormat="1" ht="12.75" x14ac:dyDescent="0.2"/>
    <row r="63478" s="197" customFormat="1" ht="12.75" x14ac:dyDescent="0.2"/>
    <row r="63479" s="197" customFormat="1" ht="12.75" x14ac:dyDescent="0.2"/>
    <row r="63480" s="197" customFormat="1" ht="12.75" x14ac:dyDescent="0.2"/>
    <row r="63481" s="197" customFormat="1" ht="12.75" x14ac:dyDescent="0.2"/>
    <row r="63482" s="197" customFormat="1" ht="12.75" x14ac:dyDescent="0.2"/>
    <row r="63483" s="197" customFormat="1" ht="12.75" x14ac:dyDescent="0.2"/>
    <row r="63484" s="197" customFormat="1" ht="12.75" x14ac:dyDescent="0.2"/>
    <row r="63485" s="197" customFormat="1" ht="12.75" x14ac:dyDescent="0.2"/>
    <row r="63486" s="197" customFormat="1" ht="12.75" x14ac:dyDescent="0.2"/>
    <row r="63487" s="197" customFormat="1" ht="12.75" x14ac:dyDescent="0.2"/>
    <row r="63488" s="197" customFormat="1" ht="12.75" x14ac:dyDescent="0.2"/>
    <row r="63489" s="197" customFormat="1" ht="12.75" x14ac:dyDescent="0.2"/>
    <row r="63490" s="197" customFormat="1" ht="12.75" x14ac:dyDescent="0.2"/>
    <row r="63491" s="197" customFormat="1" ht="12.75" x14ac:dyDescent="0.2"/>
    <row r="63492" s="197" customFormat="1" ht="12.75" x14ac:dyDescent="0.2"/>
    <row r="63493" s="197" customFormat="1" ht="12.75" x14ac:dyDescent="0.2"/>
    <row r="63494" s="197" customFormat="1" ht="12.75" x14ac:dyDescent="0.2"/>
    <row r="63495" s="197" customFormat="1" ht="12.75" x14ac:dyDescent="0.2"/>
    <row r="63496" s="197" customFormat="1" ht="12.75" x14ac:dyDescent="0.2"/>
    <row r="63497" s="197" customFormat="1" ht="12.75" x14ac:dyDescent="0.2"/>
    <row r="63498" s="197" customFormat="1" ht="12.75" x14ac:dyDescent="0.2"/>
    <row r="63499" s="197" customFormat="1" ht="12.75" x14ac:dyDescent="0.2"/>
    <row r="63500" s="197" customFormat="1" ht="12.75" x14ac:dyDescent="0.2"/>
    <row r="63501" s="197" customFormat="1" ht="12.75" x14ac:dyDescent="0.2"/>
    <row r="63502" s="197" customFormat="1" ht="12.75" x14ac:dyDescent="0.2"/>
    <row r="63503" s="197" customFormat="1" ht="12.75" x14ac:dyDescent="0.2"/>
    <row r="63504" s="197" customFormat="1" ht="12.75" x14ac:dyDescent="0.2"/>
    <row r="63505" s="197" customFormat="1" ht="12.75" x14ac:dyDescent="0.2"/>
    <row r="63506" s="197" customFormat="1" ht="12.75" x14ac:dyDescent="0.2"/>
    <row r="63507" s="197" customFormat="1" ht="12.75" x14ac:dyDescent="0.2"/>
    <row r="63508" s="197" customFormat="1" ht="12.75" x14ac:dyDescent="0.2"/>
    <row r="63509" s="197" customFormat="1" ht="12.75" x14ac:dyDescent="0.2"/>
    <row r="63510" s="197" customFormat="1" ht="12.75" x14ac:dyDescent="0.2"/>
    <row r="63511" s="197" customFormat="1" ht="12.75" x14ac:dyDescent="0.2"/>
    <row r="63512" s="197" customFormat="1" ht="12.75" x14ac:dyDescent="0.2"/>
    <row r="63513" s="197" customFormat="1" ht="12.75" x14ac:dyDescent="0.2"/>
    <row r="63514" s="197" customFormat="1" ht="12.75" x14ac:dyDescent="0.2"/>
    <row r="63515" s="197" customFormat="1" ht="12.75" x14ac:dyDescent="0.2"/>
    <row r="63516" s="197" customFormat="1" ht="12.75" x14ac:dyDescent="0.2"/>
    <row r="63517" s="197" customFormat="1" ht="12.75" x14ac:dyDescent="0.2"/>
    <row r="63518" s="197" customFormat="1" ht="12.75" x14ac:dyDescent="0.2"/>
    <row r="63519" s="197" customFormat="1" ht="12.75" x14ac:dyDescent="0.2"/>
    <row r="63520" s="197" customFormat="1" ht="12.75" x14ac:dyDescent="0.2"/>
    <row r="63521" s="197" customFormat="1" ht="12.75" x14ac:dyDescent="0.2"/>
    <row r="63522" s="197" customFormat="1" ht="12.75" x14ac:dyDescent="0.2"/>
    <row r="63523" s="197" customFormat="1" ht="12.75" x14ac:dyDescent="0.2"/>
    <row r="63524" s="197" customFormat="1" ht="12.75" x14ac:dyDescent="0.2"/>
    <row r="63525" s="197" customFormat="1" ht="12.75" x14ac:dyDescent="0.2"/>
    <row r="63526" s="197" customFormat="1" ht="12.75" x14ac:dyDescent="0.2"/>
    <row r="63527" s="197" customFormat="1" ht="12.75" x14ac:dyDescent="0.2"/>
    <row r="63528" s="197" customFormat="1" ht="12.75" x14ac:dyDescent="0.2"/>
    <row r="63529" s="197" customFormat="1" ht="12.75" x14ac:dyDescent="0.2"/>
    <row r="63530" s="197" customFormat="1" ht="12.75" x14ac:dyDescent="0.2"/>
    <row r="63531" s="197" customFormat="1" ht="12.75" x14ac:dyDescent="0.2"/>
    <row r="63532" s="197" customFormat="1" ht="12.75" x14ac:dyDescent="0.2"/>
    <row r="63533" s="197" customFormat="1" ht="12.75" x14ac:dyDescent="0.2"/>
    <row r="63534" s="197" customFormat="1" ht="12.75" x14ac:dyDescent="0.2"/>
    <row r="63535" s="197" customFormat="1" ht="12.75" x14ac:dyDescent="0.2"/>
    <row r="63536" s="197" customFormat="1" ht="12.75" x14ac:dyDescent="0.2"/>
    <row r="63537" s="197" customFormat="1" ht="12.75" x14ac:dyDescent="0.2"/>
    <row r="63538" s="197" customFormat="1" ht="12.75" x14ac:dyDescent="0.2"/>
    <row r="63539" s="197" customFormat="1" ht="12.75" x14ac:dyDescent="0.2"/>
    <row r="63540" s="197" customFormat="1" ht="12.75" x14ac:dyDescent="0.2"/>
    <row r="63541" s="197" customFormat="1" ht="12.75" x14ac:dyDescent="0.2"/>
    <row r="63542" s="197" customFormat="1" ht="12.75" x14ac:dyDescent="0.2"/>
    <row r="63543" s="197" customFormat="1" ht="12.75" x14ac:dyDescent="0.2"/>
    <row r="63544" s="197" customFormat="1" ht="12.75" x14ac:dyDescent="0.2"/>
    <row r="63545" s="197" customFormat="1" ht="12.75" x14ac:dyDescent="0.2"/>
    <row r="63546" s="197" customFormat="1" ht="12.75" x14ac:dyDescent="0.2"/>
    <row r="63547" s="197" customFormat="1" ht="12.75" x14ac:dyDescent="0.2"/>
    <row r="63548" s="197" customFormat="1" ht="12.75" x14ac:dyDescent="0.2"/>
    <row r="63549" s="197" customFormat="1" ht="12.75" x14ac:dyDescent="0.2"/>
    <row r="63550" s="197" customFormat="1" ht="12.75" x14ac:dyDescent="0.2"/>
    <row r="63551" s="197" customFormat="1" ht="12.75" x14ac:dyDescent="0.2"/>
    <row r="63552" s="197" customFormat="1" ht="12.75" x14ac:dyDescent="0.2"/>
    <row r="63553" s="197" customFormat="1" ht="12.75" x14ac:dyDescent="0.2"/>
    <row r="63554" s="197" customFormat="1" ht="12.75" x14ac:dyDescent="0.2"/>
    <row r="63555" s="197" customFormat="1" ht="12.75" x14ac:dyDescent="0.2"/>
    <row r="63556" s="197" customFormat="1" ht="12.75" x14ac:dyDescent="0.2"/>
    <row r="63557" s="197" customFormat="1" ht="12.75" x14ac:dyDescent="0.2"/>
    <row r="63558" s="197" customFormat="1" ht="12.75" x14ac:dyDescent="0.2"/>
    <row r="63559" s="197" customFormat="1" ht="12.75" x14ac:dyDescent="0.2"/>
    <row r="63560" s="197" customFormat="1" ht="12.75" x14ac:dyDescent="0.2"/>
    <row r="63561" s="197" customFormat="1" ht="12.75" x14ac:dyDescent="0.2"/>
    <row r="63562" s="197" customFormat="1" ht="12.75" x14ac:dyDescent="0.2"/>
    <row r="63563" s="197" customFormat="1" ht="12.75" x14ac:dyDescent="0.2"/>
    <row r="63564" s="197" customFormat="1" ht="12.75" x14ac:dyDescent="0.2"/>
    <row r="63565" s="197" customFormat="1" ht="12.75" x14ac:dyDescent="0.2"/>
    <row r="63566" s="197" customFormat="1" ht="12.75" x14ac:dyDescent="0.2"/>
    <row r="63567" s="197" customFormat="1" ht="12.75" x14ac:dyDescent="0.2"/>
    <row r="63568" s="197" customFormat="1" ht="12.75" x14ac:dyDescent="0.2"/>
    <row r="63569" s="197" customFormat="1" ht="12.75" x14ac:dyDescent="0.2"/>
    <row r="63570" s="197" customFormat="1" ht="12.75" x14ac:dyDescent="0.2"/>
    <row r="63571" s="197" customFormat="1" ht="12.75" x14ac:dyDescent="0.2"/>
    <row r="63572" s="197" customFormat="1" ht="12.75" x14ac:dyDescent="0.2"/>
    <row r="63573" s="197" customFormat="1" ht="12.75" x14ac:dyDescent="0.2"/>
    <row r="63574" s="197" customFormat="1" ht="12.75" x14ac:dyDescent="0.2"/>
    <row r="63575" s="197" customFormat="1" ht="12.75" x14ac:dyDescent="0.2"/>
    <row r="63576" s="197" customFormat="1" ht="12.75" x14ac:dyDescent="0.2"/>
    <row r="63577" s="197" customFormat="1" ht="12.75" x14ac:dyDescent="0.2"/>
    <row r="63578" s="197" customFormat="1" ht="12.75" x14ac:dyDescent="0.2"/>
    <row r="63579" s="197" customFormat="1" ht="12.75" x14ac:dyDescent="0.2"/>
    <row r="63580" s="197" customFormat="1" ht="12.75" x14ac:dyDescent="0.2"/>
    <row r="63581" s="197" customFormat="1" ht="12.75" x14ac:dyDescent="0.2"/>
    <row r="63582" s="197" customFormat="1" ht="12.75" x14ac:dyDescent="0.2"/>
    <row r="63583" s="197" customFormat="1" ht="12.75" x14ac:dyDescent="0.2"/>
    <row r="63584" s="197" customFormat="1" ht="12.75" x14ac:dyDescent="0.2"/>
    <row r="63585" s="197" customFormat="1" ht="12.75" x14ac:dyDescent="0.2"/>
    <row r="63586" s="197" customFormat="1" ht="12.75" x14ac:dyDescent="0.2"/>
    <row r="63587" s="197" customFormat="1" ht="12.75" x14ac:dyDescent="0.2"/>
    <row r="63588" s="197" customFormat="1" ht="12.75" x14ac:dyDescent="0.2"/>
    <row r="63589" s="197" customFormat="1" ht="12.75" x14ac:dyDescent="0.2"/>
    <row r="63590" s="197" customFormat="1" ht="12.75" x14ac:dyDescent="0.2"/>
    <row r="63591" s="197" customFormat="1" ht="12.75" x14ac:dyDescent="0.2"/>
    <row r="63592" s="197" customFormat="1" ht="12.75" x14ac:dyDescent="0.2"/>
    <row r="63593" s="197" customFormat="1" ht="12.75" x14ac:dyDescent="0.2"/>
    <row r="63594" s="197" customFormat="1" ht="12.75" x14ac:dyDescent="0.2"/>
    <row r="63595" s="197" customFormat="1" ht="12.75" x14ac:dyDescent="0.2"/>
    <row r="63596" s="197" customFormat="1" ht="12.75" x14ac:dyDescent="0.2"/>
    <row r="63597" s="197" customFormat="1" ht="12.75" x14ac:dyDescent="0.2"/>
    <row r="63598" s="197" customFormat="1" ht="12.75" x14ac:dyDescent="0.2"/>
    <row r="63599" s="197" customFormat="1" ht="12.75" x14ac:dyDescent="0.2"/>
    <row r="63600" s="197" customFormat="1" ht="12.75" x14ac:dyDescent="0.2"/>
    <row r="63601" s="197" customFormat="1" ht="12.75" x14ac:dyDescent="0.2"/>
    <row r="63602" s="197" customFormat="1" ht="12.75" x14ac:dyDescent="0.2"/>
    <row r="63603" s="197" customFormat="1" ht="12.75" x14ac:dyDescent="0.2"/>
    <row r="63604" s="197" customFormat="1" ht="12.75" x14ac:dyDescent="0.2"/>
    <row r="63605" s="197" customFormat="1" ht="12.75" x14ac:dyDescent="0.2"/>
    <row r="63606" s="197" customFormat="1" ht="12.75" x14ac:dyDescent="0.2"/>
    <row r="63607" s="197" customFormat="1" ht="12.75" x14ac:dyDescent="0.2"/>
    <row r="63608" s="197" customFormat="1" ht="12.75" x14ac:dyDescent="0.2"/>
    <row r="63609" s="197" customFormat="1" ht="12.75" x14ac:dyDescent="0.2"/>
    <row r="63610" s="197" customFormat="1" ht="12.75" x14ac:dyDescent="0.2"/>
    <row r="63611" s="197" customFormat="1" ht="12.75" x14ac:dyDescent="0.2"/>
    <row r="63612" s="197" customFormat="1" ht="12.75" x14ac:dyDescent="0.2"/>
    <row r="63613" s="197" customFormat="1" ht="12.75" x14ac:dyDescent="0.2"/>
    <row r="63614" s="197" customFormat="1" ht="12.75" x14ac:dyDescent="0.2"/>
    <row r="63615" s="197" customFormat="1" ht="12.75" x14ac:dyDescent="0.2"/>
    <row r="63616" s="197" customFormat="1" ht="12.75" x14ac:dyDescent="0.2"/>
    <row r="63617" s="197" customFormat="1" ht="12.75" x14ac:dyDescent="0.2"/>
    <row r="63618" s="197" customFormat="1" ht="12.75" x14ac:dyDescent="0.2"/>
    <row r="63619" s="197" customFormat="1" ht="12.75" x14ac:dyDescent="0.2"/>
    <row r="63620" s="197" customFormat="1" ht="12.75" x14ac:dyDescent="0.2"/>
    <row r="63621" s="197" customFormat="1" ht="12.75" x14ac:dyDescent="0.2"/>
    <row r="63622" s="197" customFormat="1" ht="12.75" x14ac:dyDescent="0.2"/>
    <row r="63623" s="197" customFormat="1" ht="12.75" x14ac:dyDescent="0.2"/>
    <row r="63624" s="197" customFormat="1" ht="12.75" x14ac:dyDescent="0.2"/>
    <row r="63625" s="197" customFormat="1" ht="12.75" x14ac:dyDescent="0.2"/>
    <row r="63626" s="197" customFormat="1" ht="12.75" x14ac:dyDescent="0.2"/>
    <row r="63627" s="197" customFormat="1" ht="12.75" x14ac:dyDescent="0.2"/>
    <row r="63628" s="197" customFormat="1" ht="12.75" x14ac:dyDescent="0.2"/>
    <row r="63629" s="197" customFormat="1" ht="12.75" x14ac:dyDescent="0.2"/>
    <row r="63630" s="197" customFormat="1" ht="12.75" x14ac:dyDescent="0.2"/>
    <row r="63631" s="197" customFormat="1" ht="12.75" x14ac:dyDescent="0.2"/>
    <row r="63632" s="197" customFormat="1" ht="12.75" x14ac:dyDescent="0.2"/>
    <row r="63633" s="197" customFormat="1" ht="12.75" x14ac:dyDescent="0.2"/>
    <row r="63634" s="197" customFormat="1" ht="12.75" x14ac:dyDescent="0.2"/>
    <row r="63635" s="197" customFormat="1" ht="12.75" x14ac:dyDescent="0.2"/>
    <row r="63636" s="197" customFormat="1" ht="12.75" x14ac:dyDescent="0.2"/>
    <row r="63637" s="197" customFormat="1" ht="12.75" x14ac:dyDescent="0.2"/>
    <row r="63638" s="197" customFormat="1" ht="12.75" x14ac:dyDescent="0.2"/>
    <row r="63639" s="197" customFormat="1" ht="12.75" x14ac:dyDescent="0.2"/>
    <row r="63640" s="197" customFormat="1" ht="12.75" x14ac:dyDescent="0.2"/>
    <row r="63641" s="197" customFormat="1" ht="12.75" x14ac:dyDescent="0.2"/>
    <row r="63642" s="197" customFormat="1" ht="12.75" x14ac:dyDescent="0.2"/>
    <row r="63643" s="197" customFormat="1" ht="12.75" x14ac:dyDescent="0.2"/>
    <row r="63644" s="197" customFormat="1" ht="12.75" x14ac:dyDescent="0.2"/>
    <row r="63645" s="197" customFormat="1" ht="12.75" x14ac:dyDescent="0.2"/>
    <row r="63646" s="197" customFormat="1" ht="12.75" x14ac:dyDescent="0.2"/>
    <row r="63647" s="197" customFormat="1" ht="12.75" x14ac:dyDescent="0.2"/>
    <row r="63648" s="197" customFormat="1" ht="12.75" x14ac:dyDescent="0.2"/>
    <row r="63649" s="197" customFormat="1" ht="12.75" x14ac:dyDescent="0.2"/>
    <row r="63650" s="197" customFormat="1" ht="12.75" x14ac:dyDescent="0.2"/>
    <row r="63651" s="197" customFormat="1" ht="12.75" x14ac:dyDescent="0.2"/>
    <row r="63652" s="197" customFormat="1" ht="12.75" x14ac:dyDescent="0.2"/>
    <row r="63653" s="197" customFormat="1" ht="12.75" x14ac:dyDescent="0.2"/>
    <row r="63654" s="197" customFormat="1" ht="12.75" x14ac:dyDescent="0.2"/>
    <row r="63655" s="197" customFormat="1" ht="12.75" x14ac:dyDescent="0.2"/>
    <row r="63656" s="197" customFormat="1" ht="12.75" x14ac:dyDescent="0.2"/>
    <row r="63657" s="197" customFormat="1" ht="12.75" x14ac:dyDescent="0.2"/>
    <row r="63658" s="197" customFormat="1" ht="12.75" x14ac:dyDescent="0.2"/>
    <row r="63659" s="197" customFormat="1" ht="12.75" x14ac:dyDescent="0.2"/>
    <row r="63660" s="197" customFormat="1" ht="12.75" x14ac:dyDescent="0.2"/>
    <row r="63661" s="197" customFormat="1" ht="12.75" x14ac:dyDescent="0.2"/>
    <row r="63662" s="197" customFormat="1" ht="12.75" x14ac:dyDescent="0.2"/>
    <row r="63663" s="197" customFormat="1" ht="12.75" x14ac:dyDescent="0.2"/>
    <row r="63664" s="197" customFormat="1" ht="12.75" x14ac:dyDescent="0.2"/>
    <row r="63665" s="197" customFormat="1" ht="12.75" x14ac:dyDescent="0.2"/>
    <row r="63666" s="197" customFormat="1" ht="12.75" x14ac:dyDescent="0.2"/>
    <row r="63667" s="197" customFormat="1" ht="12.75" x14ac:dyDescent="0.2"/>
    <row r="63668" s="197" customFormat="1" ht="12.75" x14ac:dyDescent="0.2"/>
    <row r="63669" s="197" customFormat="1" ht="12.75" x14ac:dyDescent="0.2"/>
    <row r="63670" s="197" customFormat="1" ht="12.75" x14ac:dyDescent="0.2"/>
    <row r="63671" s="197" customFormat="1" ht="12.75" x14ac:dyDescent="0.2"/>
    <row r="63672" s="197" customFormat="1" ht="12.75" x14ac:dyDescent="0.2"/>
    <row r="63673" s="197" customFormat="1" ht="12.75" x14ac:dyDescent="0.2"/>
    <row r="63674" s="197" customFormat="1" ht="12.75" x14ac:dyDescent="0.2"/>
    <row r="63675" s="197" customFormat="1" ht="12.75" x14ac:dyDescent="0.2"/>
    <row r="63676" s="197" customFormat="1" ht="12.75" x14ac:dyDescent="0.2"/>
    <row r="63677" s="197" customFormat="1" ht="12.75" x14ac:dyDescent="0.2"/>
    <row r="63678" s="197" customFormat="1" ht="12.75" x14ac:dyDescent="0.2"/>
    <row r="63679" s="197" customFormat="1" ht="12.75" x14ac:dyDescent="0.2"/>
    <row r="63680" s="197" customFormat="1" ht="12.75" x14ac:dyDescent="0.2"/>
    <row r="63681" s="197" customFormat="1" ht="12.75" x14ac:dyDescent="0.2"/>
    <row r="63682" s="197" customFormat="1" ht="12.75" x14ac:dyDescent="0.2"/>
    <row r="63683" s="197" customFormat="1" ht="12.75" x14ac:dyDescent="0.2"/>
    <row r="63684" s="197" customFormat="1" ht="12.75" x14ac:dyDescent="0.2"/>
    <row r="63685" s="197" customFormat="1" ht="12.75" x14ac:dyDescent="0.2"/>
    <row r="63686" s="197" customFormat="1" ht="12.75" x14ac:dyDescent="0.2"/>
    <row r="63687" s="197" customFormat="1" ht="12.75" x14ac:dyDescent="0.2"/>
    <row r="63688" s="197" customFormat="1" ht="12.75" x14ac:dyDescent="0.2"/>
    <row r="63689" s="197" customFormat="1" ht="12.75" x14ac:dyDescent="0.2"/>
    <row r="63690" s="197" customFormat="1" ht="12.75" x14ac:dyDescent="0.2"/>
    <row r="63691" s="197" customFormat="1" ht="12.75" x14ac:dyDescent="0.2"/>
    <row r="63692" s="197" customFormat="1" ht="12.75" x14ac:dyDescent="0.2"/>
    <row r="63693" s="197" customFormat="1" ht="12.75" x14ac:dyDescent="0.2"/>
    <row r="63694" s="197" customFormat="1" ht="12.75" x14ac:dyDescent="0.2"/>
    <row r="63695" s="197" customFormat="1" ht="12.75" x14ac:dyDescent="0.2"/>
    <row r="63696" s="197" customFormat="1" ht="12.75" x14ac:dyDescent="0.2"/>
    <row r="63697" s="197" customFormat="1" ht="12.75" x14ac:dyDescent="0.2"/>
    <row r="63698" s="197" customFormat="1" ht="12.75" x14ac:dyDescent="0.2"/>
    <row r="63699" s="197" customFormat="1" ht="12.75" x14ac:dyDescent="0.2"/>
    <row r="63700" s="197" customFormat="1" ht="12.75" x14ac:dyDescent="0.2"/>
    <row r="63701" s="197" customFormat="1" ht="12.75" x14ac:dyDescent="0.2"/>
    <row r="63702" s="197" customFormat="1" ht="12.75" x14ac:dyDescent="0.2"/>
    <row r="63703" s="197" customFormat="1" ht="12.75" x14ac:dyDescent="0.2"/>
    <row r="63704" s="197" customFormat="1" ht="12.75" x14ac:dyDescent="0.2"/>
    <row r="63705" s="197" customFormat="1" ht="12.75" x14ac:dyDescent="0.2"/>
    <row r="63706" s="197" customFormat="1" ht="12.75" x14ac:dyDescent="0.2"/>
    <row r="63707" s="197" customFormat="1" ht="12.75" x14ac:dyDescent="0.2"/>
    <row r="63708" s="197" customFormat="1" ht="12.75" x14ac:dyDescent="0.2"/>
    <row r="63709" s="197" customFormat="1" ht="12.75" x14ac:dyDescent="0.2"/>
    <row r="63710" s="197" customFormat="1" ht="12.75" x14ac:dyDescent="0.2"/>
    <row r="63711" s="197" customFormat="1" ht="12.75" x14ac:dyDescent="0.2"/>
    <row r="63712" s="197" customFormat="1" ht="12.75" x14ac:dyDescent="0.2"/>
    <row r="63713" s="197" customFormat="1" ht="12.75" x14ac:dyDescent="0.2"/>
    <row r="63714" s="197" customFormat="1" ht="12.75" x14ac:dyDescent="0.2"/>
    <row r="63715" s="197" customFormat="1" ht="12.75" x14ac:dyDescent="0.2"/>
    <row r="63716" s="197" customFormat="1" ht="12.75" x14ac:dyDescent="0.2"/>
    <row r="63717" s="197" customFormat="1" ht="12.75" x14ac:dyDescent="0.2"/>
    <row r="63718" s="197" customFormat="1" ht="12.75" x14ac:dyDescent="0.2"/>
    <row r="63719" s="197" customFormat="1" ht="12.75" x14ac:dyDescent="0.2"/>
    <row r="63720" s="197" customFormat="1" ht="12.75" x14ac:dyDescent="0.2"/>
    <row r="63721" s="197" customFormat="1" ht="12.75" x14ac:dyDescent="0.2"/>
    <row r="63722" s="197" customFormat="1" ht="12.75" x14ac:dyDescent="0.2"/>
    <row r="63723" s="197" customFormat="1" ht="12.75" x14ac:dyDescent="0.2"/>
    <row r="63724" s="197" customFormat="1" ht="12.75" x14ac:dyDescent="0.2"/>
    <row r="63725" s="197" customFormat="1" ht="12.75" x14ac:dyDescent="0.2"/>
    <row r="63726" s="197" customFormat="1" ht="12.75" x14ac:dyDescent="0.2"/>
    <row r="63727" s="197" customFormat="1" ht="12.75" x14ac:dyDescent="0.2"/>
    <row r="63728" s="197" customFormat="1" ht="12.75" x14ac:dyDescent="0.2"/>
    <row r="63729" s="197" customFormat="1" ht="12.75" x14ac:dyDescent="0.2"/>
    <row r="63730" s="197" customFormat="1" ht="12.75" x14ac:dyDescent="0.2"/>
    <row r="63731" s="197" customFormat="1" ht="12.75" x14ac:dyDescent="0.2"/>
    <row r="63732" s="197" customFormat="1" ht="12.75" x14ac:dyDescent="0.2"/>
    <row r="63733" s="197" customFormat="1" ht="12.75" x14ac:dyDescent="0.2"/>
    <row r="63734" s="197" customFormat="1" ht="12.75" x14ac:dyDescent="0.2"/>
    <row r="63735" s="197" customFormat="1" ht="12.75" x14ac:dyDescent="0.2"/>
    <row r="63736" s="197" customFormat="1" ht="12.75" x14ac:dyDescent="0.2"/>
    <row r="63737" s="197" customFormat="1" ht="12.75" x14ac:dyDescent="0.2"/>
    <row r="63738" s="197" customFormat="1" ht="12.75" x14ac:dyDescent="0.2"/>
    <row r="63739" s="197" customFormat="1" ht="12.75" x14ac:dyDescent="0.2"/>
    <row r="63740" s="197" customFormat="1" ht="12.75" x14ac:dyDescent="0.2"/>
    <row r="63741" s="197" customFormat="1" ht="12.75" x14ac:dyDescent="0.2"/>
    <row r="63742" s="197" customFormat="1" ht="12.75" x14ac:dyDescent="0.2"/>
    <row r="63743" s="197" customFormat="1" ht="12.75" x14ac:dyDescent="0.2"/>
    <row r="63744" s="197" customFormat="1" ht="12.75" x14ac:dyDescent="0.2"/>
    <row r="63745" s="197" customFormat="1" ht="12.75" x14ac:dyDescent="0.2"/>
    <row r="63746" s="197" customFormat="1" ht="12.75" x14ac:dyDescent="0.2"/>
    <row r="63747" s="197" customFormat="1" ht="12.75" x14ac:dyDescent="0.2"/>
    <row r="63748" s="197" customFormat="1" ht="12.75" x14ac:dyDescent="0.2"/>
    <row r="63749" s="197" customFormat="1" ht="12.75" x14ac:dyDescent="0.2"/>
    <row r="63750" s="197" customFormat="1" ht="12.75" x14ac:dyDescent="0.2"/>
    <row r="63751" s="197" customFormat="1" ht="12.75" x14ac:dyDescent="0.2"/>
    <row r="63752" s="197" customFormat="1" ht="12.75" x14ac:dyDescent="0.2"/>
    <row r="63753" s="197" customFormat="1" ht="12.75" x14ac:dyDescent="0.2"/>
    <row r="63754" s="197" customFormat="1" ht="12.75" x14ac:dyDescent="0.2"/>
    <row r="63755" s="197" customFormat="1" ht="12.75" x14ac:dyDescent="0.2"/>
    <row r="63756" s="197" customFormat="1" ht="12.75" x14ac:dyDescent="0.2"/>
    <row r="63757" s="197" customFormat="1" ht="12.75" x14ac:dyDescent="0.2"/>
    <row r="63758" s="197" customFormat="1" ht="12.75" x14ac:dyDescent="0.2"/>
    <row r="63759" s="197" customFormat="1" ht="12.75" x14ac:dyDescent="0.2"/>
    <row r="63760" s="197" customFormat="1" ht="12.75" x14ac:dyDescent="0.2"/>
    <row r="63761" s="197" customFormat="1" ht="12.75" x14ac:dyDescent="0.2"/>
    <row r="63762" s="197" customFormat="1" ht="12.75" x14ac:dyDescent="0.2"/>
    <row r="63763" s="197" customFormat="1" ht="12.75" x14ac:dyDescent="0.2"/>
    <row r="63764" s="197" customFormat="1" ht="12.75" x14ac:dyDescent="0.2"/>
    <row r="63765" s="197" customFormat="1" ht="12.75" x14ac:dyDescent="0.2"/>
    <row r="63766" s="197" customFormat="1" ht="12.75" x14ac:dyDescent="0.2"/>
    <row r="63767" s="197" customFormat="1" ht="12.75" x14ac:dyDescent="0.2"/>
    <row r="63768" s="197" customFormat="1" ht="12.75" x14ac:dyDescent="0.2"/>
    <row r="63769" s="197" customFormat="1" ht="12.75" x14ac:dyDescent="0.2"/>
    <row r="63770" s="197" customFormat="1" ht="12.75" x14ac:dyDescent="0.2"/>
    <row r="63771" s="197" customFormat="1" ht="12.75" x14ac:dyDescent="0.2"/>
    <row r="63772" s="197" customFormat="1" ht="12.75" x14ac:dyDescent="0.2"/>
    <row r="63773" s="197" customFormat="1" ht="12.75" x14ac:dyDescent="0.2"/>
    <row r="63774" s="197" customFormat="1" ht="12.75" x14ac:dyDescent="0.2"/>
    <row r="63775" s="197" customFormat="1" ht="12.75" x14ac:dyDescent="0.2"/>
    <row r="63776" s="197" customFormat="1" ht="12.75" x14ac:dyDescent="0.2"/>
    <row r="63777" s="197" customFormat="1" ht="12.75" x14ac:dyDescent="0.2"/>
    <row r="63778" s="197" customFormat="1" ht="12.75" x14ac:dyDescent="0.2"/>
    <row r="63779" s="197" customFormat="1" ht="12.75" x14ac:dyDescent="0.2"/>
    <row r="63780" s="197" customFormat="1" ht="12.75" x14ac:dyDescent="0.2"/>
    <row r="63781" s="197" customFormat="1" ht="12.75" x14ac:dyDescent="0.2"/>
    <row r="63782" s="197" customFormat="1" ht="12.75" x14ac:dyDescent="0.2"/>
    <row r="63783" s="197" customFormat="1" ht="12.75" x14ac:dyDescent="0.2"/>
    <row r="63784" s="197" customFormat="1" ht="12.75" x14ac:dyDescent="0.2"/>
    <row r="63785" s="197" customFormat="1" ht="12.75" x14ac:dyDescent="0.2"/>
    <row r="63786" s="197" customFormat="1" ht="12.75" x14ac:dyDescent="0.2"/>
    <row r="63787" s="197" customFormat="1" ht="12.75" x14ac:dyDescent="0.2"/>
    <row r="63788" s="197" customFormat="1" ht="12.75" x14ac:dyDescent="0.2"/>
    <row r="63789" s="197" customFormat="1" ht="12.75" x14ac:dyDescent="0.2"/>
    <row r="63790" s="197" customFormat="1" ht="12.75" x14ac:dyDescent="0.2"/>
    <row r="63791" s="197" customFormat="1" ht="12.75" x14ac:dyDescent="0.2"/>
    <row r="63792" s="197" customFormat="1" ht="12.75" x14ac:dyDescent="0.2"/>
    <row r="63793" s="197" customFormat="1" ht="12.75" x14ac:dyDescent="0.2"/>
    <row r="63794" s="197" customFormat="1" ht="12.75" x14ac:dyDescent="0.2"/>
    <row r="63795" s="197" customFormat="1" ht="12.75" x14ac:dyDescent="0.2"/>
    <row r="63796" s="197" customFormat="1" ht="12.75" x14ac:dyDescent="0.2"/>
    <row r="63797" s="197" customFormat="1" ht="12.75" x14ac:dyDescent="0.2"/>
    <row r="63798" s="197" customFormat="1" ht="12.75" x14ac:dyDescent="0.2"/>
    <row r="63799" s="197" customFormat="1" ht="12.75" x14ac:dyDescent="0.2"/>
    <row r="63800" s="197" customFormat="1" ht="12.75" x14ac:dyDescent="0.2"/>
    <row r="63801" s="197" customFormat="1" ht="12.75" x14ac:dyDescent="0.2"/>
    <row r="63802" s="197" customFormat="1" ht="12.75" x14ac:dyDescent="0.2"/>
    <row r="63803" s="197" customFormat="1" ht="12.75" x14ac:dyDescent="0.2"/>
    <row r="63804" s="197" customFormat="1" ht="12.75" x14ac:dyDescent="0.2"/>
    <row r="63805" s="197" customFormat="1" ht="12.75" x14ac:dyDescent="0.2"/>
    <row r="63806" s="197" customFormat="1" ht="12.75" x14ac:dyDescent="0.2"/>
    <row r="63807" s="197" customFormat="1" ht="12.75" x14ac:dyDescent="0.2"/>
    <row r="63808" s="197" customFormat="1" ht="12.75" x14ac:dyDescent="0.2"/>
    <row r="63809" s="197" customFormat="1" ht="12.75" x14ac:dyDescent="0.2"/>
    <row r="63810" s="197" customFormat="1" ht="12.75" x14ac:dyDescent="0.2"/>
    <row r="63811" s="197" customFormat="1" ht="12.75" x14ac:dyDescent="0.2"/>
    <row r="63812" s="197" customFormat="1" ht="12.75" x14ac:dyDescent="0.2"/>
    <row r="63813" s="197" customFormat="1" ht="12.75" x14ac:dyDescent="0.2"/>
    <row r="63814" s="197" customFormat="1" ht="12.75" x14ac:dyDescent="0.2"/>
    <row r="63815" s="197" customFormat="1" ht="12.75" x14ac:dyDescent="0.2"/>
    <row r="63816" s="197" customFormat="1" ht="12.75" x14ac:dyDescent="0.2"/>
    <row r="63817" s="197" customFormat="1" ht="12.75" x14ac:dyDescent="0.2"/>
    <row r="63818" s="197" customFormat="1" ht="12.75" x14ac:dyDescent="0.2"/>
    <row r="63819" s="197" customFormat="1" ht="12.75" x14ac:dyDescent="0.2"/>
    <row r="63820" s="197" customFormat="1" ht="12.75" x14ac:dyDescent="0.2"/>
    <row r="63821" s="197" customFormat="1" ht="12.75" x14ac:dyDescent="0.2"/>
    <row r="63822" s="197" customFormat="1" ht="12.75" x14ac:dyDescent="0.2"/>
    <row r="63823" s="197" customFormat="1" ht="12.75" x14ac:dyDescent="0.2"/>
    <row r="63824" s="197" customFormat="1" ht="12.75" x14ac:dyDescent="0.2"/>
    <row r="63825" s="197" customFormat="1" ht="12.75" x14ac:dyDescent="0.2"/>
    <row r="63826" s="197" customFormat="1" ht="12.75" x14ac:dyDescent="0.2"/>
    <row r="63827" s="197" customFormat="1" ht="12.75" x14ac:dyDescent="0.2"/>
    <row r="63828" s="197" customFormat="1" ht="12.75" x14ac:dyDescent="0.2"/>
    <row r="63829" s="197" customFormat="1" ht="12.75" x14ac:dyDescent="0.2"/>
    <row r="63830" s="197" customFormat="1" ht="12.75" x14ac:dyDescent="0.2"/>
    <row r="63831" s="197" customFormat="1" ht="12.75" x14ac:dyDescent="0.2"/>
    <row r="63832" s="197" customFormat="1" ht="12.75" x14ac:dyDescent="0.2"/>
    <row r="63833" s="197" customFormat="1" ht="12.75" x14ac:dyDescent="0.2"/>
    <row r="63834" s="197" customFormat="1" ht="12.75" x14ac:dyDescent="0.2"/>
    <row r="63835" s="197" customFormat="1" ht="12.75" x14ac:dyDescent="0.2"/>
    <row r="63836" s="197" customFormat="1" ht="12.75" x14ac:dyDescent="0.2"/>
    <row r="63837" s="197" customFormat="1" ht="12.75" x14ac:dyDescent="0.2"/>
    <row r="63838" s="197" customFormat="1" ht="12.75" x14ac:dyDescent="0.2"/>
    <row r="63839" s="197" customFormat="1" ht="12.75" x14ac:dyDescent="0.2"/>
    <row r="63840" s="197" customFormat="1" ht="12.75" x14ac:dyDescent="0.2"/>
    <row r="63841" s="197" customFormat="1" ht="12.75" x14ac:dyDescent="0.2"/>
    <row r="63842" s="197" customFormat="1" ht="12.75" x14ac:dyDescent="0.2"/>
    <row r="63843" s="197" customFormat="1" ht="12.75" x14ac:dyDescent="0.2"/>
    <row r="63844" s="197" customFormat="1" ht="12.75" x14ac:dyDescent="0.2"/>
    <row r="63845" s="197" customFormat="1" ht="12.75" x14ac:dyDescent="0.2"/>
    <row r="63846" s="197" customFormat="1" ht="12.75" x14ac:dyDescent="0.2"/>
    <row r="63847" s="197" customFormat="1" ht="12.75" x14ac:dyDescent="0.2"/>
    <row r="63848" s="197" customFormat="1" ht="12.75" x14ac:dyDescent="0.2"/>
    <row r="63849" s="197" customFormat="1" ht="12.75" x14ac:dyDescent="0.2"/>
    <row r="63850" s="197" customFormat="1" ht="12.75" x14ac:dyDescent="0.2"/>
    <row r="63851" s="197" customFormat="1" ht="12.75" x14ac:dyDescent="0.2"/>
    <row r="63852" s="197" customFormat="1" ht="12.75" x14ac:dyDescent="0.2"/>
    <row r="63853" s="197" customFormat="1" ht="12.75" x14ac:dyDescent="0.2"/>
    <row r="63854" s="197" customFormat="1" ht="12.75" x14ac:dyDescent="0.2"/>
    <row r="63855" s="197" customFormat="1" ht="12.75" x14ac:dyDescent="0.2"/>
    <row r="63856" s="197" customFormat="1" ht="12.75" x14ac:dyDescent="0.2"/>
    <row r="63857" s="197" customFormat="1" ht="12.75" x14ac:dyDescent="0.2"/>
    <row r="63858" s="197" customFormat="1" ht="12.75" x14ac:dyDescent="0.2"/>
    <row r="63859" s="197" customFormat="1" ht="12.75" x14ac:dyDescent="0.2"/>
    <row r="63860" s="197" customFormat="1" ht="12.75" x14ac:dyDescent="0.2"/>
    <row r="63861" s="197" customFormat="1" ht="12.75" x14ac:dyDescent="0.2"/>
    <row r="63862" s="197" customFormat="1" ht="12.75" x14ac:dyDescent="0.2"/>
    <row r="63863" s="197" customFormat="1" ht="12.75" x14ac:dyDescent="0.2"/>
    <row r="63864" s="197" customFormat="1" ht="12.75" x14ac:dyDescent="0.2"/>
    <row r="63865" s="197" customFormat="1" ht="12.75" x14ac:dyDescent="0.2"/>
    <row r="63866" s="197" customFormat="1" ht="12.75" x14ac:dyDescent="0.2"/>
    <row r="63867" s="197" customFormat="1" ht="12.75" x14ac:dyDescent="0.2"/>
    <row r="63868" s="197" customFormat="1" ht="12.75" x14ac:dyDescent="0.2"/>
    <row r="63869" s="197" customFormat="1" ht="12.75" x14ac:dyDescent="0.2"/>
    <row r="63870" s="197" customFormat="1" ht="12.75" x14ac:dyDescent="0.2"/>
    <row r="63871" s="197" customFormat="1" ht="12.75" x14ac:dyDescent="0.2"/>
    <row r="63872" s="197" customFormat="1" ht="12.75" x14ac:dyDescent="0.2"/>
    <row r="63873" s="197" customFormat="1" ht="12.75" x14ac:dyDescent="0.2"/>
    <row r="63874" s="197" customFormat="1" ht="12.75" x14ac:dyDescent="0.2"/>
    <row r="63875" s="197" customFormat="1" ht="12.75" x14ac:dyDescent="0.2"/>
    <row r="63876" s="197" customFormat="1" ht="12.75" x14ac:dyDescent="0.2"/>
    <row r="63877" s="197" customFormat="1" ht="12.75" x14ac:dyDescent="0.2"/>
    <row r="63878" s="197" customFormat="1" ht="12.75" x14ac:dyDescent="0.2"/>
    <row r="63879" s="197" customFormat="1" ht="12.75" x14ac:dyDescent="0.2"/>
    <row r="63880" s="197" customFormat="1" ht="12.75" x14ac:dyDescent="0.2"/>
    <row r="63881" s="197" customFormat="1" ht="12.75" x14ac:dyDescent="0.2"/>
    <row r="63882" s="197" customFormat="1" ht="12.75" x14ac:dyDescent="0.2"/>
    <row r="63883" s="197" customFormat="1" ht="12.75" x14ac:dyDescent="0.2"/>
    <row r="63884" s="197" customFormat="1" ht="12.75" x14ac:dyDescent="0.2"/>
    <row r="63885" s="197" customFormat="1" ht="12.75" x14ac:dyDescent="0.2"/>
    <row r="63886" s="197" customFormat="1" ht="12.75" x14ac:dyDescent="0.2"/>
    <row r="63887" s="197" customFormat="1" ht="12.75" x14ac:dyDescent="0.2"/>
    <row r="63888" s="197" customFormat="1" ht="12.75" x14ac:dyDescent="0.2"/>
    <row r="63889" s="197" customFormat="1" ht="12.75" x14ac:dyDescent="0.2"/>
    <row r="63890" s="197" customFormat="1" ht="12.75" x14ac:dyDescent="0.2"/>
    <row r="63891" s="197" customFormat="1" ht="12.75" x14ac:dyDescent="0.2"/>
    <row r="63892" s="197" customFormat="1" ht="12.75" x14ac:dyDescent="0.2"/>
    <row r="63893" s="197" customFormat="1" ht="12.75" x14ac:dyDescent="0.2"/>
    <row r="63894" s="197" customFormat="1" ht="12.75" x14ac:dyDescent="0.2"/>
    <row r="63895" s="197" customFormat="1" ht="12.75" x14ac:dyDescent="0.2"/>
    <row r="63896" s="197" customFormat="1" ht="12.75" x14ac:dyDescent="0.2"/>
    <row r="63897" s="197" customFormat="1" ht="12.75" x14ac:dyDescent="0.2"/>
    <row r="63898" s="197" customFormat="1" ht="12.75" x14ac:dyDescent="0.2"/>
    <row r="63899" s="197" customFormat="1" ht="12.75" x14ac:dyDescent="0.2"/>
    <row r="63900" s="197" customFormat="1" ht="12.75" x14ac:dyDescent="0.2"/>
    <row r="63901" s="197" customFormat="1" ht="12.75" x14ac:dyDescent="0.2"/>
    <row r="63902" s="197" customFormat="1" ht="12.75" x14ac:dyDescent="0.2"/>
    <row r="63903" s="197" customFormat="1" ht="12.75" x14ac:dyDescent="0.2"/>
    <row r="63904" s="197" customFormat="1" ht="12.75" x14ac:dyDescent="0.2"/>
    <row r="63905" s="197" customFormat="1" ht="12.75" x14ac:dyDescent="0.2"/>
    <row r="63906" s="197" customFormat="1" ht="12.75" x14ac:dyDescent="0.2"/>
    <row r="63907" s="197" customFormat="1" ht="12.75" x14ac:dyDescent="0.2"/>
    <row r="63908" s="197" customFormat="1" ht="12.75" x14ac:dyDescent="0.2"/>
    <row r="63909" s="197" customFormat="1" ht="12.75" x14ac:dyDescent="0.2"/>
    <row r="63910" s="197" customFormat="1" ht="12.75" x14ac:dyDescent="0.2"/>
    <row r="63911" s="197" customFormat="1" ht="12.75" x14ac:dyDescent="0.2"/>
    <row r="63912" s="197" customFormat="1" ht="12.75" x14ac:dyDescent="0.2"/>
    <row r="63913" s="197" customFormat="1" ht="12.75" x14ac:dyDescent="0.2"/>
    <row r="63914" s="197" customFormat="1" ht="12.75" x14ac:dyDescent="0.2"/>
    <row r="63915" s="197" customFormat="1" ht="12.75" x14ac:dyDescent="0.2"/>
    <row r="63916" s="197" customFormat="1" ht="12.75" x14ac:dyDescent="0.2"/>
    <row r="63917" s="197" customFormat="1" ht="12.75" x14ac:dyDescent="0.2"/>
    <row r="63918" s="197" customFormat="1" ht="12.75" x14ac:dyDescent="0.2"/>
    <row r="63919" s="197" customFormat="1" ht="12.75" x14ac:dyDescent="0.2"/>
    <row r="63920" s="197" customFormat="1" ht="12.75" x14ac:dyDescent="0.2"/>
    <row r="63921" s="197" customFormat="1" ht="12.75" x14ac:dyDescent="0.2"/>
    <row r="63922" s="197" customFormat="1" ht="12.75" x14ac:dyDescent="0.2"/>
    <row r="63923" s="197" customFormat="1" ht="12.75" x14ac:dyDescent="0.2"/>
    <row r="63924" s="197" customFormat="1" ht="12.75" x14ac:dyDescent="0.2"/>
    <row r="63925" s="197" customFormat="1" ht="12.75" x14ac:dyDescent="0.2"/>
    <row r="63926" s="197" customFormat="1" ht="12.75" x14ac:dyDescent="0.2"/>
    <row r="63927" s="197" customFormat="1" ht="12.75" x14ac:dyDescent="0.2"/>
    <row r="63928" s="197" customFormat="1" ht="12.75" x14ac:dyDescent="0.2"/>
    <row r="63929" s="197" customFormat="1" ht="12.75" x14ac:dyDescent="0.2"/>
    <row r="63930" s="197" customFormat="1" ht="12.75" x14ac:dyDescent="0.2"/>
    <row r="63931" s="197" customFormat="1" ht="12.75" x14ac:dyDescent="0.2"/>
    <row r="63932" s="197" customFormat="1" ht="12.75" x14ac:dyDescent="0.2"/>
    <row r="63933" s="197" customFormat="1" ht="12.75" x14ac:dyDescent="0.2"/>
    <row r="63934" s="197" customFormat="1" ht="12.75" x14ac:dyDescent="0.2"/>
    <row r="63935" s="197" customFormat="1" ht="12.75" x14ac:dyDescent="0.2"/>
    <row r="63936" s="197" customFormat="1" ht="12.75" x14ac:dyDescent="0.2"/>
    <row r="63937" s="197" customFormat="1" ht="12.75" x14ac:dyDescent="0.2"/>
    <row r="63938" s="197" customFormat="1" ht="12.75" x14ac:dyDescent="0.2"/>
    <row r="63939" s="197" customFormat="1" ht="12.75" x14ac:dyDescent="0.2"/>
    <row r="63940" s="197" customFormat="1" ht="12.75" x14ac:dyDescent="0.2"/>
    <row r="63941" s="197" customFormat="1" ht="12.75" x14ac:dyDescent="0.2"/>
    <row r="63942" s="197" customFormat="1" ht="12.75" x14ac:dyDescent="0.2"/>
    <row r="63943" s="197" customFormat="1" ht="12.75" x14ac:dyDescent="0.2"/>
    <row r="63944" s="197" customFormat="1" ht="12.75" x14ac:dyDescent="0.2"/>
    <row r="63945" s="197" customFormat="1" ht="12.75" x14ac:dyDescent="0.2"/>
    <row r="63946" s="197" customFormat="1" ht="12.75" x14ac:dyDescent="0.2"/>
    <row r="63947" s="197" customFormat="1" ht="12.75" x14ac:dyDescent="0.2"/>
    <row r="63948" s="197" customFormat="1" ht="12.75" x14ac:dyDescent="0.2"/>
    <row r="63949" s="197" customFormat="1" ht="12.75" x14ac:dyDescent="0.2"/>
    <row r="63950" s="197" customFormat="1" ht="12.75" x14ac:dyDescent="0.2"/>
    <row r="63951" s="197" customFormat="1" ht="12.75" x14ac:dyDescent="0.2"/>
    <row r="63952" s="197" customFormat="1" ht="12.75" x14ac:dyDescent="0.2"/>
    <row r="63953" s="197" customFormat="1" ht="12.75" x14ac:dyDescent="0.2"/>
    <row r="63954" s="197" customFormat="1" ht="12.75" x14ac:dyDescent="0.2"/>
    <row r="63955" s="197" customFormat="1" ht="12.75" x14ac:dyDescent="0.2"/>
    <row r="63956" s="197" customFormat="1" ht="12.75" x14ac:dyDescent="0.2"/>
    <row r="63957" s="197" customFormat="1" ht="12.75" x14ac:dyDescent="0.2"/>
    <row r="63958" s="197" customFormat="1" ht="12.75" x14ac:dyDescent="0.2"/>
    <row r="63959" s="197" customFormat="1" ht="12.75" x14ac:dyDescent="0.2"/>
    <row r="63960" s="197" customFormat="1" ht="12.75" x14ac:dyDescent="0.2"/>
    <row r="63961" s="197" customFormat="1" ht="12.75" x14ac:dyDescent="0.2"/>
    <row r="63962" s="197" customFormat="1" ht="12.75" x14ac:dyDescent="0.2"/>
    <row r="63963" s="197" customFormat="1" ht="12.75" x14ac:dyDescent="0.2"/>
    <row r="63964" s="197" customFormat="1" ht="12.75" x14ac:dyDescent="0.2"/>
    <row r="63965" s="197" customFormat="1" ht="12.75" x14ac:dyDescent="0.2"/>
    <row r="63966" s="197" customFormat="1" ht="12.75" x14ac:dyDescent="0.2"/>
    <row r="63967" s="197" customFormat="1" ht="12.75" x14ac:dyDescent="0.2"/>
    <row r="63968" s="197" customFormat="1" ht="12.75" x14ac:dyDescent="0.2"/>
    <row r="63969" s="197" customFormat="1" ht="12.75" x14ac:dyDescent="0.2"/>
    <row r="63970" s="197" customFormat="1" ht="12.75" x14ac:dyDescent="0.2"/>
    <row r="63971" s="197" customFormat="1" ht="12.75" x14ac:dyDescent="0.2"/>
    <row r="63972" s="197" customFormat="1" ht="12.75" x14ac:dyDescent="0.2"/>
    <row r="63973" s="197" customFormat="1" ht="12.75" x14ac:dyDescent="0.2"/>
    <row r="63974" s="197" customFormat="1" ht="12.75" x14ac:dyDescent="0.2"/>
    <row r="63975" s="197" customFormat="1" ht="12.75" x14ac:dyDescent="0.2"/>
    <row r="63976" s="197" customFormat="1" ht="12.75" x14ac:dyDescent="0.2"/>
    <row r="63977" s="197" customFormat="1" ht="12.75" x14ac:dyDescent="0.2"/>
    <row r="63978" s="197" customFormat="1" ht="12.75" x14ac:dyDescent="0.2"/>
    <row r="63979" s="197" customFormat="1" ht="12.75" x14ac:dyDescent="0.2"/>
    <row r="63980" s="197" customFormat="1" ht="12.75" x14ac:dyDescent="0.2"/>
    <row r="63981" s="197" customFormat="1" ht="12.75" x14ac:dyDescent="0.2"/>
    <row r="63982" s="197" customFormat="1" ht="12.75" x14ac:dyDescent="0.2"/>
    <row r="63983" s="197" customFormat="1" ht="12.75" x14ac:dyDescent="0.2"/>
    <row r="63984" s="197" customFormat="1" ht="12.75" x14ac:dyDescent="0.2"/>
    <row r="63985" s="197" customFormat="1" ht="12.75" x14ac:dyDescent="0.2"/>
    <row r="63986" s="197" customFormat="1" ht="12.75" x14ac:dyDescent="0.2"/>
    <row r="63987" s="197" customFormat="1" ht="12.75" x14ac:dyDescent="0.2"/>
    <row r="63988" s="197" customFormat="1" ht="12.75" x14ac:dyDescent="0.2"/>
    <row r="63989" s="197" customFormat="1" ht="12.75" x14ac:dyDescent="0.2"/>
    <row r="63990" s="197" customFormat="1" ht="12.75" x14ac:dyDescent="0.2"/>
    <row r="63991" s="197" customFormat="1" ht="12.75" x14ac:dyDescent="0.2"/>
    <row r="63992" s="197" customFormat="1" ht="12.75" x14ac:dyDescent="0.2"/>
    <row r="63993" s="197" customFormat="1" ht="12.75" x14ac:dyDescent="0.2"/>
    <row r="63994" s="197" customFormat="1" ht="12.75" x14ac:dyDescent="0.2"/>
    <row r="63995" s="197" customFormat="1" ht="12.75" x14ac:dyDescent="0.2"/>
    <row r="63996" s="197" customFormat="1" ht="12.75" x14ac:dyDescent="0.2"/>
    <row r="63997" s="197" customFormat="1" ht="12.75" x14ac:dyDescent="0.2"/>
    <row r="63998" s="197" customFormat="1" ht="12.75" x14ac:dyDescent="0.2"/>
    <row r="63999" s="197" customFormat="1" ht="12.75" x14ac:dyDescent="0.2"/>
    <row r="64000" s="197" customFormat="1" ht="12.75" x14ac:dyDescent="0.2"/>
    <row r="64001" s="197" customFormat="1" ht="12.75" x14ac:dyDescent="0.2"/>
    <row r="64002" s="197" customFormat="1" ht="12.75" x14ac:dyDescent="0.2"/>
    <row r="64003" s="197" customFormat="1" ht="12.75" x14ac:dyDescent="0.2"/>
    <row r="64004" s="197" customFormat="1" ht="12.75" x14ac:dyDescent="0.2"/>
    <row r="64005" s="197" customFormat="1" ht="12.75" x14ac:dyDescent="0.2"/>
    <row r="64006" s="197" customFormat="1" ht="12.75" x14ac:dyDescent="0.2"/>
    <row r="64007" s="197" customFormat="1" ht="12.75" x14ac:dyDescent="0.2"/>
    <row r="64008" s="197" customFormat="1" ht="12.75" x14ac:dyDescent="0.2"/>
    <row r="64009" s="197" customFormat="1" ht="12.75" x14ac:dyDescent="0.2"/>
    <row r="64010" s="197" customFormat="1" ht="12.75" x14ac:dyDescent="0.2"/>
    <row r="64011" s="197" customFormat="1" ht="12.75" x14ac:dyDescent="0.2"/>
    <row r="64012" s="197" customFormat="1" ht="12.75" x14ac:dyDescent="0.2"/>
    <row r="64013" s="197" customFormat="1" ht="12.75" x14ac:dyDescent="0.2"/>
    <row r="64014" s="197" customFormat="1" ht="12.75" x14ac:dyDescent="0.2"/>
    <row r="64015" s="197" customFormat="1" ht="12.75" x14ac:dyDescent="0.2"/>
    <row r="64016" s="197" customFormat="1" ht="12.75" x14ac:dyDescent="0.2"/>
    <row r="64017" s="197" customFormat="1" ht="12.75" x14ac:dyDescent="0.2"/>
    <row r="64018" s="197" customFormat="1" ht="12.75" x14ac:dyDescent="0.2"/>
    <row r="64019" s="197" customFormat="1" ht="12.75" x14ac:dyDescent="0.2"/>
    <row r="64020" s="197" customFormat="1" ht="12.75" x14ac:dyDescent="0.2"/>
    <row r="64021" s="197" customFormat="1" ht="12.75" x14ac:dyDescent="0.2"/>
    <row r="64022" s="197" customFormat="1" ht="12.75" x14ac:dyDescent="0.2"/>
    <row r="64023" s="197" customFormat="1" ht="12.75" x14ac:dyDescent="0.2"/>
    <row r="64024" s="197" customFormat="1" ht="12.75" x14ac:dyDescent="0.2"/>
    <row r="64025" s="197" customFormat="1" ht="12.75" x14ac:dyDescent="0.2"/>
    <row r="64026" s="197" customFormat="1" ht="12.75" x14ac:dyDescent="0.2"/>
    <row r="64027" s="197" customFormat="1" ht="12.75" x14ac:dyDescent="0.2"/>
    <row r="64028" s="197" customFormat="1" ht="12.75" x14ac:dyDescent="0.2"/>
    <row r="64029" s="197" customFormat="1" ht="12.75" x14ac:dyDescent="0.2"/>
    <row r="64030" s="197" customFormat="1" ht="12.75" x14ac:dyDescent="0.2"/>
    <row r="64031" s="197" customFormat="1" ht="12.75" x14ac:dyDescent="0.2"/>
    <row r="64032" s="197" customFormat="1" ht="12.75" x14ac:dyDescent="0.2"/>
    <row r="64033" s="197" customFormat="1" ht="12.75" x14ac:dyDescent="0.2"/>
    <row r="64034" s="197" customFormat="1" ht="12.75" x14ac:dyDescent="0.2"/>
    <row r="64035" s="197" customFormat="1" ht="12.75" x14ac:dyDescent="0.2"/>
    <row r="64036" s="197" customFormat="1" ht="12.75" x14ac:dyDescent="0.2"/>
    <row r="64037" s="197" customFormat="1" ht="12.75" x14ac:dyDescent="0.2"/>
    <row r="64038" s="197" customFormat="1" ht="12.75" x14ac:dyDescent="0.2"/>
    <row r="64039" s="197" customFormat="1" ht="12.75" x14ac:dyDescent="0.2"/>
    <row r="64040" s="197" customFormat="1" ht="12.75" x14ac:dyDescent="0.2"/>
    <row r="64041" s="197" customFormat="1" ht="12.75" x14ac:dyDescent="0.2"/>
    <row r="64042" s="197" customFormat="1" ht="12.75" x14ac:dyDescent="0.2"/>
    <row r="64043" s="197" customFormat="1" ht="12.75" x14ac:dyDescent="0.2"/>
    <row r="64044" s="197" customFormat="1" ht="12.75" x14ac:dyDescent="0.2"/>
    <row r="64045" s="197" customFormat="1" ht="12.75" x14ac:dyDescent="0.2"/>
    <row r="64046" s="197" customFormat="1" ht="12.75" x14ac:dyDescent="0.2"/>
    <row r="64047" s="197" customFormat="1" ht="12.75" x14ac:dyDescent="0.2"/>
    <row r="64048" s="197" customFormat="1" ht="12.75" x14ac:dyDescent="0.2"/>
    <row r="64049" s="197" customFormat="1" ht="12.75" x14ac:dyDescent="0.2"/>
    <row r="64050" s="197" customFormat="1" ht="12.75" x14ac:dyDescent="0.2"/>
    <row r="64051" s="197" customFormat="1" ht="12.75" x14ac:dyDescent="0.2"/>
    <row r="64052" s="197" customFormat="1" ht="12.75" x14ac:dyDescent="0.2"/>
    <row r="64053" s="197" customFormat="1" ht="12.75" x14ac:dyDescent="0.2"/>
    <row r="64054" s="197" customFormat="1" ht="12.75" x14ac:dyDescent="0.2"/>
    <row r="64055" s="197" customFormat="1" ht="12.75" x14ac:dyDescent="0.2"/>
    <row r="64056" s="197" customFormat="1" ht="12.75" x14ac:dyDescent="0.2"/>
    <row r="64057" s="197" customFormat="1" ht="12.75" x14ac:dyDescent="0.2"/>
    <row r="64058" s="197" customFormat="1" ht="12.75" x14ac:dyDescent="0.2"/>
    <row r="64059" s="197" customFormat="1" ht="12.75" x14ac:dyDescent="0.2"/>
    <row r="64060" s="197" customFormat="1" ht="12.75" x14ac:dyDescent="0.2"/>
    <row r="64061" s="197" customFormat="1" ht="12.75" x14ac:dyDescent="0.2"/>
    <row r="64062" s="197" customFormat="1" ht="12.75" x14ac:dyDescent="0.2"/>
    <row r="64063" s="197" customFormat="1" ht="12.75" x14ac:dyDescent="0.2"/>
    <row r="64064" s="197" customFormat="1" ht="12.75" x14ac:dyDescent="0.2"/>
    <row r="64065" s="197" customFormat="1" ht="12.75" x14ac:dyDescent="0.2"/>
    <row r="64066" s="197" customFormat="1" ht="12.75" x14ac:dyDescent="0.2"/>
    <row r="64067" s="197" customFormat="1" ht="12.75" x14ac:dyDescent="0.2"/>
    <row r="64068" s="197" customFormat="1" ht="12.75" x14ac:dyDescent="0.2"/>
    <row r="64069" s="197" customFormat="1" ht="12.75" x14ac:dyDescent="0.2"/>
    <row r="64070" s="197" customFormat="1" ht="12.75" x14ac:dyDescent="0.2"/>
    <row r="64071" s="197" customFormat="1" ht="12.75" x14ac:dyDescent="0.2"/>
    <row r="64072" s="197" customFormat="1" ht="12.75" x14ac:dyDescent="0.2"/>
    <row r="64073" s="197" customFormat="1" ht="12.75" x14ac:dyDescent="0.2"/>
    <row r="64074" s="197" customFormat="1" ht="12.75" x14ac:dyDescent="0.2"/>
    <row r="64075" s="197" customFormat="1" ht="12.75" x14ac:dyDescent="0.2"/>
    <row r="64076" s="197" customFormat="1" ht="12.75" x14ac:dyDescent="0.2"/>
    <row r="64077" s="197" customFormat="1" ht="12.75" x14ac:dyDescent="0.2"/>
    <row r="64078" s="197" customFormat="1" ht="12.75" x14ac:dyDescent="0.2"/>
    <row r="64079" s="197" customFormat="1" ht="12.75" x14ac:dyDescent="0.2"/>
    <row r="64080" s="197" customFormat="1" ht="12.75" x14ac:dyDescent="0.2"/>
    <row r="64081" s="197" customFormat="1" ht="12.75" x14ac:dyDescent="0.2"/>
    <row r="64082" s="197" customFormat="1" ht="12.75" x14ac:dyDescent="0.2"/>
    <row r="64083" s="197" customFormat="1" ht="12.75" x14ac:dyDescent="0.2"/>
    <row r="64084" s="197" customFormat="1" ht="12.75" x14ac:dyDescent="0.2"/>
    <row r="64085" s="197" customFormat="1" ht="12.75" x14ac:dyDescent="0.2"/>
    <row r="64086" s="197" customFormat="1" ht="12.75" x14ac:dyDescent="0.2"/>
    <row r="64087" s="197" customFormat="1" ht="12.75" x14ac:dyDescent="0.2"/>
    <row r="64088" s="197" customFormat="1" ht="12.75" x14ac:dyDescent="0.2"/>
    <row r="64089" s="197" customFormat="1" ht="12.75" x14ac:dyDescent="0.2"/>
    <row r="64090" s="197" customFormat="1" ht="12.75" x14ac:dyDescent="0.2"/>
    <row r="64091" s="197" customFormat="1" ht="12.75" x14ac:dyDescent="0.2"/>
    <row r="64092" s="197" customFormat="1" ht="12.75" x14ac:dyDescent="0.2"/>
    <row r="64093" s="197" customFormat="1" ht="12.75" x14ac:dyDescent="0.2"/>
    <row r="64094" s="197" customFormat="1" ht="12.75" x14ac:dyDescent="0.2"/>
    <row r="64095" s="197" customFormat="1" ht="12.75" x14ac:dyDescent="0.2"/>
    <row r="64096" s="197" customFormat="1" ht="12.75" x14ac:dyDescent="0.2"/>
    <row r="64097" s="197" customFormat="1" ht="12.75" x14ac:dyDescent="0.2"/>
    <row r="64098" s="197" customFormat="1" ht="12.75" x14ac:dyDescent="0.2"/>
    <row r="64099" s="197" customFormat="1" ht="12.75" x14ac:dyDescent="0.2"/>
    <row r="64100" s="197" customFormat="1" ht="12.75" x14ac:dyDescent="0.2"/>
    <row r="64101" s="197" customFormat="1" ht="12.75" x14ac:dyDescent="0.2"/>
    <row r="64102" s="197" customFormat="1" ht="12.75" x14ac:dyDescent="0.2"/>
    <row r="64103" s="197" customFormat="1" ht="12.75" x14ac:dyDescent="0.2"/>
    <row r="64104" s="197" customFormat="1" ht="12.75" x14ac:dyDescent="0.2"/>
    <row r="64105" s="197" customFormat="1" ht="12.75" x14ac:dyDescent="0.2"/>
    <row r="64106" s="197" customFormat="1" ht="12.75" x14ac:dyDescent="0.2"/>
    <row r="64107" s="197" customFormat="1" ht="12.75" x14ac:dyDescent="0.2"/>
    <row r="64108" s="197" customFormat="1" ht="12.75" x14ac:dyDescent="0.2"/>
    <row r="64109" s="197" customFormat="1" ht="12.75" x14ac:dyDescent="0.2"/>
    <row r="64110" s="197" customFormat="1" ht="12.75" x14ac:dyDescent="0.2"/>
    <row r="64111" s="197" customFormat="1" ht="12.75" x14ac:dyDescent="0.2"/>
    <row r="64112" s="197" customFormat="1" ht="12.75" x14ac:dyDescent="0.2"/>
    <row r="64113" s="197" customFormat="1" ht="12.75" x14ac:dyDescent="0.2"/>
    <row r="64114" s="197" customFormat="1" ht="12.75" x14ac:dyDescent="0.2"/>
    <row r="64115" s="197" customFormat="1" ht="12.75" x14ac:dyDescent="0.2"/>
    <row r="64116" s="197" customFormat="1" ht="12.75" x14ac:dyDescent="0.2"/>
    <row r="64117" s="197" customFormat="1" ht="12.75" x14ac:dyDescent="0.2"/>
    <row r="64118" s="197" customFormat="1" ht="12.75" x14ac:dyDescent="0.2"/>
    <row r="64119" s="197" customFormat="1" ht="12.75" x14ac:dyDescent="0.2"/>
    <row r="64120" s="197" customFormat="1" ht="12.75" x14ac:dyDescent="0.2"/>
    <row r="64121" s="197" customFormat="1" ht="12.75" x14ac:dyDescent="0.2"/>
    <row r="64122" s="197" customFormat="1" ht="12.75" x14ac:dyDescent="0.2"/>
    <row r="64123" s="197" customFormat="1" ht="12.75" x14ac:dyDescent="0.2"/>
    <row r="64124" s="197" customFormat="1" ht="12.75" x14ac:dyDescent="0.2"/>
    <row r="64125" s="197" customFormat="1" ht="12.75" x14ac:dyDescent="0.2"/>
    <row r="64126" s="197" customFormat="1" ht="12.75" x14ac:dyDescent="0.2"/>
    <row r="64127" s="197" customFormat="1" ht="12.75" x14ac:dyDescent="0.2"/>
    <row r="64128" s="197" customFormat="1" ht="12.75" x14ac:dyDescent="0.2"/>
    <row r="64129" s="197" customFormat="1" ht="12.75" x14ac:dyDescent="0.2"/>
    <row r="64130" s="197" customFormat="1" ht="12.75" x14ac:dyDescent="0.2"/>
    <row r="64131" s="197" customFormat="1" ht="12.75" x14ac:dyDescent="0.2"/>
    <row r="64132" s="197" customFormat="1" ht="12.75" x14ac:dyDescent="0.2"/>
    <row r="64133" s="197" customFormat="1" ht="12.75" x14ac:dyDescent="0.2"/>
    <row r="64134" s="197" customFormat="1" ht="12.75" x14ac:dyDescent="0.2"/>
    <row r="64135" s="197" customFormat="1" ht="12.75" x14ac:dyDescent="0.2"/>
    <row r="64136" s="197" customFormat="1" ht="12.75" x14ac:dyDescent="0.2"/>
    <row r="64137" s="197" customFormat="1" ht="12.75" x14ac:dyDescent="0.2"/>
    <row r="64138" s="197" customFormat="1" ht="12.75" x14ac:dyDescent="0.2"/>
    <row r="64139" s="197" customFormat="1" ht="12.75" x14ac:dyDescent="0.2"/>
    <row r="64140" s="197" customFormat="1" ht="12.75" x14ac:dyDescent="0.2"/>
    <row r="64141" s="197" customFormat="1" ht="12.75" x14ac:dyDescent="0.2"/>
    <row r="64142" s="197" customFormat="1" ht="12.75" x14ac:dyDescent="0.2"/>
    <row r="64143" s="197" customFormat="1" ht="12.75" x14ac:dyDescent="0.2"/>
    <row r="64144" s="197" customFormat="1" ht="12.75" x14ac:dyDescent="0.2"/>
    <row r="64145" s="197" customFormat="1" ht="12.75" x14ac:dyDescent="0.2"/>
    <row r="64146" s="197" customFormat="1" ht="12.75" x14ac:dyDescent="0.2"/>
    <row r="64147" s="197" customFormat="1" ht="12.75" x14ac:dyDescent="0.2"/>
    <row r="64148" s="197" customFormat="1" ht="12.75" x14ac:dyDescent="0.2"/>
    <row r="64149" s="197" customFormat="1" ht="12.75" x14ac:dyDescent="0.2"/>
    <row r="64150" s="197" customFormat="1" ht="12.75" x14ac:dyDescent="0.2"/>
    <row r="64151" s="197" customFormat="1" ht="12.75" x14ac:dyDescent="0.2"/>
    <row r="64152" s="197" customFormat="1" ht="12.75" x14ac:dyDescent="0.2"/>
    <row r="64153" s="197" customFormat="1" ht="12.75" x14ac:dyDescent="0.2"/>
    <row r="64154" s="197" customFormat="1" ht="12.75" x14ac:dyDescent="0.2"/>
    <row r="64155" s="197" customFormat="1" ht="12.75" x14ac:dyDescent="0.2"/>
    <row r="64156" s="197" customFormat="1" ht="12.75" x14ac:dyDescent="0.2"/>
    <row r="64157" s="197" customFormat="1" ht="12.75" x14ac:dyDescent="0.2"/>
    <row r="64158" s="197" customFormat="1" ht="12.75" x14ac:dyDescent="0.2"/>
    <row r="64159" s="197" customFormat="1" ht="12.75" x14ac:dyDescent="0.2"/>
    <row r="64160" s="197" customFormat="1" ht="12.75" x14ac:dyDescent="0.2"/>
    <row r="64161" s="197" customFormat="1" ht="12.75" x14ac:dyDescent="0.2"/>
    <row r="64162" s="197" customFormat="1" ht="12.75" x14ac:dyDescent="0.2"/>
    <row r="64163" s="197" customFormat="1" ht="12.75" x14ac:dyDescent="0.2"/>
    <row r="64164" s="197" customFormat="1" ht="12.75" x14ac:dyDescent="0.2"/>
    <row r="64165" s="197" customFormat="1" ht="12.75" x14ac:dyDescent="0.2"/>
    <row r="64166" s="197" customFormat="1" ht="12.75" x14ac:dyDescent="0.2"/>
    <row r="64167" s="197" customFormat="1" ht="12.75" x14ac:dyDescent="0.2"/>
    <row r="64168" s="197" customFormat="1" ht="12.75" x14ac:dyDescent="0.2"/>
    <row r="64169" s="197" customFormat="1" ht="12.75" x14ac:dyDescent="0.2"/>
    <row r="64170" s="197" customFormat="1" ht="12.75" x14ac:dyDescent="0.2"/>
    <row r="64171" s="197" customFormat="1" ht="12.75" x14ac:dyDescent="0.2"/>
    <row r="64172" s="197" customFormat="1" ht="12.75" x14ac:dyDescent="0.2"/>
    <row r="64173" s="197" customFormat="1" ht="12.75" x14ac:dyDescent="0.2"/>
    <row r="64174" s="197" customFormat="1" ht="12.75" x14ac:dyDescent="0.2"/>
    <row r="64175" s="197" customFormat="1" ht="12.75" x14ac:dyDescent="0.2"/>
    <row r="64176" s="197" customFormat="1" ht="12.75" x14ac:dyDescent="0.2"/>
    <row r="64177" s="197" customFormat="1" ht="12.75" x14ac:dyDescent="0.2"/>
    <row r="64178" s="197" customFormat="1" ht="12.75" x14ac:dyDescent="0.2"/>
    <row r="64179" s="197" customFormat="1" ht="12.75" x14ac:dyDescent="0.2"/>
    <row r="64180" s="197" customFormat="1" ht="12.75" x14ac:dyDescent="0.2"/>
    <row r="64181" s="197" customFormat="1" ht="12.75" x14ac:dyDescent="0.2"/>
    <row r="64182" s="197" customFormat="1" ht="12.75" x14ac:dyDescent="0.2"/>
    <row r="64183" s="197" customFormat="1" ht="12.75" x14ac:dyDescent="0.2"/>
    <row r="64184" s="197" customFormat="1" ht="12.75" x14ac:dyDescent="0.2"/>
    <row r="64185" s="197" customFormat="1" ht="12.75" x14ac:dyDescent="0.2"/>
    <row r="64186" s="197" customFormat="1" ht="12.75" x14ac:dyDescent="0.2"/>
    <row r="64187" s="197" customFormat="1" ht="12.75" x14ac:dyDescent="0.2"/>
    <row r="64188" s="197" customFormat="1" ht="12.75" x14ac:dyDescent="0.2"/>
    <row r="64189" s="197" customFormat="1" ht="12.75" x14ac:dyDescent="0.2"/>
    <row r="64190" s="197" customFormat="1" ht="12.75" x14ac:dyDescent="0.2"/>
    <row r="64191" s="197" customFormat="1" ht="12.75" x14ac:dyDescent="0.2"/>
    <row r="64192" s="197" customFormat="1" ht="12.75" x14ac:dyDescent="0.2"/>
    <row r="64193" s="197" customFormat="1" ht="12.75" x14ac:dyDescent="0.2"/>
    <row r="64194" s="197" customFormat="1" ht="12.75" x14ac:dyDescent="0.2"/>
    <row r="64195" s="197" customFormat="1" ht="12.75" x14ac:dyDescent="0.2"/>
    <row r="64196" s="197" customFormat="1" ht="12.75" x14ac:dyDescent="0.2"/>
    <row r="64197" s="197" customFormat="1" ht="12.75" x14ac:dyDescent="0.2"/>
    <row r="64198" s="197" customFormat="1" ht="12.75" x14ac:dyDescent="0.2"/>
    <row r="64199" s="197" customFormat="1" ht="12.75" x14ac:dyDescent="0.2"/>
    <row r="64200" s="197" customFormat="1" ht="12.75" x14ac:dyDescent="0.2"/>
    <row r="64201" s="197" customFormat="1" ht="12.75" x14ac:dyDescent="0.2"/>
    <row r="64202" s="197" customFormat="1" ht="12.75" x14ac:dyDescent="0.2"/>
    <row r="64203" s="197" customFormat="1" ht="12.75" x14ac:dyDescent="0.2"/>
    <row r="64204" s="197" customFormat="1" ht="12.75" x14ac:dyDescent="0.2"/>
    <row r="64205" s="197" customFormat="1" ht="12.75" x14ac:dyDescent="0.2"/>
    <row r="64206" s="197" customFormat="1" ht="12.75" x14ac:dyDescent="0.2"/>
    <row r="64207" s="197" customFormat="1" ht="12.75" x14ac:dyDescent="0.2"/>
    <row r="64208" s="197" customFormat="1" ht="12.75" x14ac:dyDescent="0.2"/>
    <row r="64209" s="197" customFormat="1" ht="12.75" x14ac:dyDescent="0.2"/>
    <row r="64210" s="197" customFormat="1" ht="12.75" x14ac:dyDescent="0.2"/>
    <row r="64211" s="197" customFormat="1" ht="12.75" x14ac:dyDescent="0.2"/>
    <row r="64212" s="197" customFormat="1" ht="12.75" x14ac:dyDescent="0.2"/>
    <row r="64213" s="197" customFormat="1" ht="12.75" x14ac:dyDescent="0.2"/>
    <row r="64214" s="197" customFormat="1" ht="12.75" x14ac:dyDescent="0.2"/>
    <row r="64215" s="197" customFormat="1" ht="12.75" x14ac:dyDescent="0.2"/>
    <row r="64216" s="197" customFormat="1" ht="12.75" x14ac:dyDescent="0.2"/>
    <row r="64217" s="197" customFormat="1" ht="12.75" x14ac:dyDescent="0.2"/>
    <row r="64218" s="197" customFormat="1" ht="12.75" x14ac:dyDescent="0.2"/>
    <row r="64219" s="197" customFormat="1" ht="12.75" x14ac:dyDescent="0.2"/>
    <row r="64220" s="197" customFormat="1" ht="12.75" x14ac:dyDescent="0.2"/>
    <row r="64221" s="197" customFormat="1" ht="12.75" x14ac:dyDescent="0.2"/>
    <row r="64222" s="197" customFormat="1" ht="12.75" x14ac:dyDescent="0.2"/>
    <row r="64223" s="197" customFormat="1" ht="12.75" x14ac:dyDescent="0.2"/>
    <row r="64224" s="197" customFormat="1" ht="12.75" x14ac:dyDescent="0.2"/>
    <row r="64225" s="197" customFormat="1" ht="12.75" x14ac:dyDescent="0.2"/>
    <row r="64226" s="197" customFormat="1" ht="12.75" x14ac:dyDescent="0.2"/>
    <row r="64227" s="197" customFormat="1" ht="12.75" x14ac:dyDescent="0.2"/>
    <row r="64228" s="197" customFormat="1" ht="12.75" x14ac:dyDescent="0.2"/>
    <row r="64229" s="197" customFormat="1" ht="12.75" x14ac:dyDescent="0.2"/>
    <row r="64230" s="197" customFormat="1" ht="12.75" x14ac:dyDescent="0.2"/>
    <row r="64231" s="197" customFormat="1" ht="12.75" x14ac:dyDescent="0.2"/>
    <row r="64232" s="197" customFormat="1" ht="12.75" x14ac:dyDescent="0.2"/>
    <row r="64233" s="197" customFormat="1" ht="12.75" x14ac:dyDescent="0.2"/>
    <row r="64234" s="197" customFormat="1" ht="12.75" x14ac:dyDescent="0.2"/>
    <row r="64235" s="197" customFormat="1" ht="12.75" x14ac:dyDescent="0.2"/>
    <row r="64236" s="197" customFormat="1" ht="12.75" x14ac:dyDescent="0.2"/>
    <row r="64237" s="197" customFormat="1" ht="12.75" x14ac:dyDescent="0.2"/>
    <row r="64238" s="197" customFormat="1" ht="12.75" x14ac:dyDescent="0.2"/>
    <row r="64239" s="197" customFormat="1" ht="12.75" x14ac:dyDescent="0.2"/>
    <row r="64240" s="197" customFormat="1" ht="12.75" x14ac:dyDescent="0.2"/>
    <row r="64241" s="197" customFormat="1" ht="12.75" x14ac:dyDescent="0.2"/>
    <row r="64242" s="197" customFormat="1" ht="12.75" x14ac:dyDescent="0.2"/>
    <row r="64243" s="197" customFormat="1" ht="12.75" x14ac:dyDescent="0.2"/>
    <row r="64244" s="197" customFormat="1" ht="12.75" x14ac:dyDescent="0.2"/>
    <row r="64245" s="197" customFormat="1" ht="12.75" x14ac:dyDescent="0.2"/>
    <row r="64246" s="197" customFormat="1" ht="12.75" x14ac:dyDescent="0.2"/>
    <row r="64247" s="197" customFormat="1" ht="12.75" x14ac:dyDescent="0.2"/>
    <row r="64248" s="197" customFormat="1" ht="12.75" x14ac:dyDescent="0.2"/>
    <row r="64249" s="197" customFormat="1" ht="12.75" x14ac:dyDescent="0.2"/>
    <row r="64250" s="197" customFormat="1" ht="12.75" x14ac:dyDescent="0.2"/>
    <row r="64251" s="197" customFormat="1" ht="12.75" x14ac:dyDescent="0.2"/>
    <row r="64252" s="197" customFormat="1" ht="12.75" x14ac:dyDescent="0.2"/>
    <row r="64253" s="197" customFormat="1" ht="12.75" x14ac:dyDescent="0.2"/>
    <row r="64254" s="197" customFormat="1" ht="12.75" x14ac:dyDescent="0.2"/>
    <row r="64255" s="197" customFormat="1" ht="12.75" x14ac:dyDescent="0.2"/>
    <row r="64256" s="197" customFormat="1" ht="12.75" x14ac:dyDescent="0.2"/>
    <row r="64257" s="197" customFormat="1" ht="12.75" x14ac:dyDescent="0.2"/>
    <row r="64258" s="197" customFormat="1" ht="12.75" x14ac:dyDescent="0.2"/>
    <row r="64259" s="197" customFormat="1" ht="12.75" x14ac:dyDescent="0.2"/>
    <row r="64260" s="197" customFormat="1" ht="12.75" x14ac:dyDescent="0.2"/>
    <row r="64261" s="197" customFormat="1" ht="12.75" x14ac:dyDescent="0.2"/>
    <row r="64262" s="197" customFormat="1" ht="12.75" x14ac:dyDescent="0.2"/>
    <row r="64263" s="197" customFormat="1" ht="12.75" x14ac:dyDescent="0.2"/>
    <row r="64264" s="197" customFormat="1" ht="12.75" x14ac:dyDescent="0.2"/>
    <row r="64265" s="197" customFormat="1" ht="12.75" x14ac:dyDescent="0.2"/>
    <row r="64266" s="197" customFormat="1" ht="12.75" x14ac:dyDescent="0.2"/>
    <row r="64267" s="197" customFormat="1" ht="12.75" x14ac:dyDescent="0.2"/>
    <row r="64268" s="197" customFormat="1" ht="12.75" x14ac:dyDescent="0.2"/>
    <row r="64269" s="197" customFormat="1" ht="12.75" x14ac:dyDescent="0.2"/>
    <row r="64270" s="197" customFormat="1" ht="12.75" x14ac:dyDescent="0.2"/>
    <row r="64271" s="197" customFormat="1" ht="12.75" x14ac:dyDescent="0.2"/>
    <row r="64272" s="197" customFormat="1" ht="12.75" x14ac:dyDescent="0.2"/>
    <row r="64273" s="197" customFormat="1" ht="12.75" x14ac:dyDescent="0.2"/>
    <row r="64274" s="197" customFormat="1" ht="12.75" x14ac:dyDescent="0.2"/>
    <row r="64275" s="197" customFormat="1" ht="12.75" x14ac:dyDescent="0.2"/>
    <row r="64276" s="197" customFormat="1" ht="12.75" x14ac:dyDescent="0.2"/>
    <row r="64277" s="197" customFormat="1" ht="12.75" x14ac:dyDescent="0.2"/>
    <row r="64278" s="197" customFormat="1" ht="12.75" x14ac:dyDescent="0.2"/>
    <row r="64279" s="197" customFormat="1" ht="12.75" x14ac:dyDescent="0.2"/>
    <row r="64280" s="197" customFormat="1" ht="12.75" x14ac:dyDescent="0.2"/>
    <row r="64281" s="197" customFormat="1" ht="12.75" x14ac:dyDescent="0.2"/>
    <row r="64282" s="197" customFormat="1" ht="12.75" x14ac:dyDescent="0.2"/>
    <row r="64283" s="197" customFormat="1" ht="12.75" x14ac:dyDescent="0.2"/>
    <row r="64284" s="197" customFormat="1" ht="12.75" x14ac:dyDescent="0.2"/>
    <row r="64285" s="197" customFormat="1" ht="12.75" x14ac:dyDescent="0.2"/>
    <row r="64286" s="197" customFormat="1" ht="12.75" x14ac:dyDescent="0.2"/>
    <row r="64287" s="197" customFormat="1" ht="12.75" x14ac:dyDescent="0.2"/>
    <row r="64288" s="197" customFormat="1" ht="12.75" x14ac:dyDescent="0.2"/>
    <row r="64289" s="197" customFormat="1" ht="12.75" x14ac:dyDescent="0.2"/>
    <row r="64290" s="197" customFormat="1" ht="12.75" x14ac:dyDescent="0.2"/>
    <row r="64291" s="197" customFormat="1" ht="12.75" x14ac:dyDescent="0.2"/>
    <row r="64292" s="197" customFormat="1" ht="12.75" x14ac:dyDescent="0.2"/>
    <row r="64293" s="197" customFormat="1" ht="12.75" x14ac:dyDescent="0.2"/>
    <row r="64294" s="197" customFormat="1" ht="12.75" x14ac:dyDescent="0.2"/>
    <row r="64295" s="197" customFormat="1" ht="12.75" x14ac:dyDescent="0.2"/>
    <row r="64296" s="197" customFormat="1" ht="12.75" x14ac:dyDescent="0.2"/>
    <row r="64297" s="197" customFormat="1" ht="12.75" x14ac:dyDescent="0.2"/>
    <row r="64298" s="197" customFormat="1" ht="12.75" x14ac:dyDescent="0.2"/>
    <row r="64299" s="197" customFormat="1" ht="12.75" x14ac:dyDescent="0.2"/>
    <row r="64300" s="197" customFormat="1" ht="12.75" x14ac:dyDescent="0.2"/>
    <row r="64301" s="197" customFormat="1" ht="12.75" x14ac:dyDescent="0.2"/>
    <row r="64302" s="197" customFormat="1" ht="12.75" x14ac:dyDescent="0.2"/>
    <row r="64303" s="197" customFormat="1" ht="12.75" x14ac:dyDescent="0.2"/>
    <row r="64304" s="197" customFormat="1" ht="12.75" x14ac:dyDescent="0.2"/>
    <row r="64305" s="197" customFormat="1" ht="12.75" x14ac:dyDescent="0.2"/>
    <row r="64306" s="197" customFormat="1" ht="12.75" x14ac:dyDescent="0.2"/>
    <row r="64307" s="197" customFormat="1" ht="12.75" x14ac:dyDescent="0.2"/>
    <row r="64308" s="197" customFormat="1" ht="12.75" x14ac:dyDescent="0.2"/>
    <row r="64309" s="197" customFormat="1" ht="12.75" x14ac:dyDescent="0.2"/>
    <row r="64310" s="197" customFormat="1" ht="12.75" x14ac:dyDescent="0.2"/>
    <row r="64311" s="197" customFormat="1" ht="12.75" x14ac:dyDescent="0.2"/>
    <row r="64312" s="197" customFormat="1" ht="12.75" x14ac:dyDescent="0.2"/>
    <row r="64313" s="197" customFormat="1" ht="12.75" x14ac:dyDescent="0.2"/>
    <row r="64314" s="197" customFormat="1" ht="12.75" x14ac:dyDescent="0.2"/>
    <row r="64315" s="197" customFormat="1" ht="12.75" x14ac:dyDescent="0.2"/>
    <row r="64316" s="197" customFormat="1" ht="12.75" x14ac:dyDescent="0.2"/>
    <row r="64317" s="197" customFormat="1" ht="12.75" x14ac:dyDescent="0.2"/>
    <row r="64318" s="197" customFormat="1" ht="12.75" x14ac:dyDescent="0.2"/>
    <row r="64319" s="197" customFormat="1" ht="12.75" x14ac:dyDescent="0.2"/>
    <row r="64320" s="197" customFormat="1" ht="12.75" x14ac:dyDescent="0.2"/>
    <row r="64321" s="197" customFormat="1" ht="12.75" x14ac:dyDescent="0.2"/>
    <row r="64322" s="197" customFormat="1" ht="12.75" x14ac:dyDescent="0.2"/>
    <row r="64323" s="197" customFormat="1" ht="12.75" x14ac:dyDescent="0.2"/>
    <row r="64324" s="197" customFormat="1" ht="12.75" x14ac:dyDescent="0.2"/>
    <row r="64325" s="197" customFormat="1" ht="12.75" x14ac:dyDescent="0.2"/>
    <row r="64326" s="197" customFormat="1" ht="12.75" x14ac:dyDescent="0.2"/>
    <row r="64327" s="197" customFormat="1" ht="12.75" x14ac:dyDescent="0.2"/>
    <row r="64328" s="197" customFormat="1" ht="12.75" x14ac:dyDescent="0.2"/>
    <row r="64329" s="197" customFormat="1" ht="12.75" x14ac:dyDescent="0.2"/>
    <row r="64330" s="197" customFormat="1" ht="12.75" x14ac:dyDescent="0.2"/>
    <row r="64331" s="197" customFormat="1" ht="12.75" x14ac:dyDescent="0.2"/>
    <row r="64332" s="197" customFormat="1" ht="12.75" x14ac:dyDescent="0.2"/>
    <row r="64333" s="197" customFormat="1" ht="12.75" x14ac:dyDescent="0.2"/>
    <row r="64334" s="197" customFormat="1" ht="12.75" x14ac:dyDescent="0.2"/>
    <row r="64335" s="197" customFormat="1" ht="12.75" x14ac:dyDescent="0.2"/>
    <row r="64336" s="197" customFormat="1" ht="12.75" x14ac:dyDescent="0.2"/>
    <row r="64337" s="197" customFormat="1" ht="12.75" x14ac:dyDescent="0.2"/>
    <row r="64338" s="197" customFormat="1" ht="12.75" x14ac:dyDescent="0.2"/>
    <row r="64339" s="197" customFormat="1" ht="12.75" x14ac:dyDescent="0.2"/>
    <row r="64340" s="197" customFormat="1" ht="12.75" x14ac:dyDescent="0.2"/>
    <row r="64341" s="197" customFormat="1" ht="12.75" x14ac:dyDescent="0.2"/>
    <row r="64342" s="197" customFormat="1" ht="12.75" x14ac:dyDescent="0.2"/>
    <row r="64343" s="197" customFormat="1" ht="12.75" x14ac:dyDescent="0.2"/>
    <row r="64344" s="197" customFormat="1" ht="12.75" x14ac:dyDescent="0.2"/>
    <row r="64345" s="197" customFormat="1" ht="12.75" x14ac:dyDescent="0.2"/>
    <row r="64346" s="197" customFormat="1" ht="12.75" x14ac:dyDescent="0.2"/>
    <row r="64347" s="197" customFormat="1" ht="12.75" x14ac:dyDescent="0.2"/>
    <row r="64348" s="197" customFormat="1" ht="12.75" x14ac:dyDescent="0.2"/>
    <row r="64349" s="197" customFormat="1" ht="12.75" x14ac:dyDescent="0.2"/>
    <row r="64350" s="197" customFormat="1" ht="12.75" x14ac:dyDescent="0.2"/>
    <row r="64351" s="197" customFormat="1" ht="12.75" x14ac:dyDescent="0.2"/>
    <row r="64352" s="197" customFormat="1" ht="12.75" x14ac:dyDescent="0.2"/>
    <row r="64353" s="197" customFormat="1" ht="12.75" x14ac:dyDescent="0.2"/>
    <row r="64354" s="197" customFormat="1" ht="12.75" x14ac:dyDescent="0.2"/>
    <row r="64355" s="197" customFormat="1" ht="12.75" x14ac:dyDescent="0.2"/>
    <row r="64356" s="197" customFormat="1" ht="12.75" x14ac:dyDescent="0.2"/>
    <row r="64357" s="197" customFormat="1" ht="12.75" x14ac:dyDescent="0.2"/>
    <row r="64358" s="197" customFormat="1" ht="12.75" x14ac:dyDescent="0.2"/>
    <row r="64359" s="197" customFormat="1" ht="12.75" x14ac:dyDescent="0.2"/>
    <row r="64360" s="197" customFormat="1" ht="12.75" x14ac:dyDescent="0.2"/>
    <row r="64361" s="197" customFormat="1" ht="12.75" x14ac:dyDescent="0.2"/>
    <row r="64362" s="197" customFormat="1" ht="12.75" x14ac:dyDescent="0.2"/>
    <row r="64363" s="197" customFormat="1" ht="12.75" x14ac:dyDescent="0.2"/>
    <row r="64364" s="197" customFormat="1" ht="12.75" x14ac:dyDescent="0.2"/>
    <row r="64365" s="197" customFormat="1" ht="12.75" x14ac:dyDescent="0.2"/>
    <row r="64366" s="197" customFormat="1" ht="12.75" x14ac:dyDescent="0.2"/>
    <row r="64367" s="197" customFormat="1" ht="12.75" x14ac:dyDescent="0.2"/>
    <row r="64368" s="197" customFormat="1" ht="12.75" x14ac:dyDescent="0.2"/>
    <row r="64369" s="197" customFormat="1" ht="12.75" x14ac:dyDescent="0.2"/>
    <row r="64370" s="197" customFormat="1" ht="12.75" x14ac:dyDescent="0.2"/>
    <row r="64371" s="197" customFormat="1" ht="12.75" x14ac:dyDescent="0.2"/>
    <row r="64372" s="197" customFormat="1" ht="12.75" x14ac:dyDescent="0.2"/>
    <row r="64373" s="197" customFormat="1" ht="12.75" x14ac:dyDescent="0.2"/>
    <row r="64374" s="197" customFormat="1" ht="12.75" x14ac:dyDescent="0.2"/>
    <row r="64375" s="197" customFormat="1" ht="12.75" x14ac:dyDescent="0.2"/>
    <row r="64376" s="197" customFormat="1" ht="12.75" x14ac:dyDescent="0.2"/>
    <row r="64377" s="197" customFormat="1" ht="12.75" x14ac:dyDescent="0.2"/>
    <row r="64378" s="197" customFormat="1" ht="12.75" x14ac:dyDescent="0.2"/>
    <row r="64379" s="197" customFormat="1" ht="12.75" x14ac:dyDescent="0.2"/>
    <row r="64380" s="197" customFormat="1" ht="12.75" x14ac:dyDescent="0.2"/>
    <row r="64381" s="197" customFormat="1" ht="12.75" x14ac:dyDescent="0.2"/>
    <row r="64382" s="197" customFormat="1" ht="12.75" x14ac:dyDescent="0.2"/>
    <row r="64383" s="197" customFormat="1" ht="12.75" x14ac:dyDescent="0.2"/>
    <row r="64384" s="197" customFormat="1" ht="12.75" x14ac:dyDescent="0.2"/>
    <row r="64385" s="197" customFormat="1" ht="12.75" x14ac:dyDescent="0.2"/>
    <row r="64386" s="197" customFormat="1" ht="12.75" x14ac:dyDescent="0.2"/>
    <row r="64387" s="197" customFormat="1" ht="12.75" x14ac:dyDescent="0.2"/>
    <row r="64388" s="197" customFormat="1" ht="12.75" x14ac:dyDescent="0.2"/>
    <row r="64389" s="197" customFormat="1" ht="12.75" x14ac:dyDescent="0.2"/>
    <row r="64390" s="197" customFormat="1" ht="12.75" x14ac:dyDescent="0.2"/>
    <row r="64391" s="197" customFormat="1" ht="12.75" x14ac:dyDescent="0.2"/>
    <row r="64392" s="197" customFormat="1" ht="12.75" x14ac:dyDescent="0.2"/>
    <row r="64393" s="197" customFormat="1" ht="12.75" x14ac:dyDescent="0.2"/>
    <row r="64394" s="197" customFormat="1" ht="12.75" x14ac:dyDescent="0.2"/>
    <row r="64395" s="197" customFormat="1" ht="12.75" x14ac:dyDescent="0.2"/>
    <row r="64396" s="197" customFormat="1" ht="12.75" x14ac:dyDescent="0.2"/>
    <row r="64397" s="197" customFormat="1" ht="12.75" x14ac:dyDescent="0.2"/>
    <row r="64398" s="197" customFormat="1" ht="12.75" x14ac:dyDescent="0.2"/>
    <row r="64399" s="197" customFormat="1" ht="12.75" x14ac:dyDescent="0.2"/>
    <row r="64400" s="197" customFormat="1" ht="12.75" x14ac:dyDescent="0.2"/>
    <row r="64401" s="197" customFormat="1" ht="12.75" x14ac:dyDescent="0.2"/>
    <row r="64402" s="197" customFormat="1" ht="12.75" x14ac:dyDescent="0.2"/>
    <row r="64403" s="197" customFormat="1" ht="12.75" x14ac:dyDescent="0.2"/>
    <row r="64404" s="197" customFormat="1" ht="12.75" x14ac:dyDescent="0.2"/>
    <row r="64405" s="197" customFormat="1" ht="12.75" x14ac:dyDescent="0.2"/>
    <row r="64406" s="197" customFormat="1" ht="12.75" x14ac:dyDescent="0.2"/>
    <row r="64407" s="197" customFormat="1" ht="12.75" x14ac:dyDescent="0.2"/>
    <row r="64408" s="197" customFormat="1" ht="12.75" x14ac:dyDescent="0.2"/>
    <row r="64409" s="197" customFormat="1" ht="12.75" x14ac:dyDescent="0.2"/>
    <row r="64410" s="197" customFormat="1" ht="12.75" x14ac:dyDescent="0.2"/>
    <row r="64411" s="197" customFormat="1" ht="12.75" x14ac:dyDescent="0.2"/>
    <row r="64412" s="197" customFormat="1" ht="12.75" x14ac:dyDescent="0.2"/>
    <row r="64413" s="197" customFormat="1" ht="12.75" x14ac:dyDescent="0.2"/>
    <row r="64414" s="197" customFormat="1" ht="12.75" x14ac:dyDescent="0.2"/>
    <row r="64415" s="197" customFormat="1" ht="12.75" x14ac:dyDescent="0.2"/>
    <row r="64416" s="197" customFormat="1" ht="12.75" x14ac:dyDescent="0.2"/>
    <row r="64417" s="197" customFormat="1" ht="12.75" x14ac:dyDescent="0.2"/>
    <row r="64418" s="197" customFormat="1" ht="12.75" x14ac:dyDescent="0.2"/>
    <row r="64419" s="197" customFormat="1" ht="12.75" x14ac:dyDescent="0.2"/>
    <row r="64420" s="197" customFormat="1" ht="12.75" x14ac:dyDescent="0.2"/>
    <row r="64421" s="197" customFormat="1" ht="12.75" x14ac:dyDescent="0.2"/>
    <row r="64422" s="197" customFormat="1" ht="12.75" x14ac:dyDescent="0.2"/>
    <row r="64423" s="197" customFormat="1" ht="12.75" x14ac:dyDescent="0.2"/>
    <row r="64424" s="197" customFormat="1" ht="12.75" x14ac:dyDescent="0.2"/>
    <row r="64425" s="197" customFormat="1" ht="12.75" x14ac:dyDescent="0.2"/>
    <row r="64426" s="197" customFormat="1" ht="12.75" x14ac:dyDescent="0.2"/>
    <row r="64427" s="197" customFormat="1" ht="12.75" x14ac:dyDescent="0.2"/>
    <row r="64428" s="197" customFormat="1" ht="12.75" x14ac:dyDescent="0.2"/>
    <row r="64429" s="197" customFormat="1" ht="12.75" x14ac:dyDescent="0.2"/>
    <row r="64430" s="197" customFormat="1" ht="12.75" x14ac:dyDescent="0.2"/>
    <row r="64431" s="197" customFormat="1" ht="12.75" x14ac:dyDescent="0.2"/>
    <row r="64432" s="197" customFormat="1" ht="12.75" x14ac:dyDescent="0.2"/>
    <row r="64433" s="197" customFormat="1" ht="12.75" x14ac:dyDescent="0.2"/>
    <row r="64434" s="197" customFormat="1" ht="12.75" x14ac:dyDescent="0.2"/>
    <row r="64435" s="197" customFormat="1" ht="12.75" x14ac:dyDescent="0.2"/>
    <row r="64436" s="197" customFormat="1" ht="12.75" x14ac:dyDescent="0.2"/>
    <row r="64437" s="197" customFormat="1" ht="12.75" x14ac:dyDescent="0.2"/>
    <row r="64438" s="197" customFormat="1" ht="12.75" x14ac:dyDescent="0.2"/>
    <row r="64439" s="197" customFormat="1" ht="12.75" x14ac:dyDescent="0.2"/>
    <row r="64440" s="197" customFormat="1" ht="12.75" x14ac:dyDescent="0.2"/>
    <row r="64441" s="197" customFormat="1" ht="12.75" x14ac:dyDescent="0.2"/>
    <row r="64442" s="197" customFormat="1" ht="12.75" x14ac:dyDescent="0.2"/>
    <row r="64443" s="197" customFormat="1" ht="12.75" x14ac:dyDescent="0.2"/>
    <row r="64444" s="197" customFormat="1" ht="12.75" x14ac:dyDescent="0.2"/>
    <row r="64445" s="197" customFormat="1" ht="12.75" x14ac:dyDescent="0.2"/>
    <row r="64446" s="197" customFormat="1" ht="12.75" x14ac:dyDescent="0.2"/>
    <row r="64447" s="197" customFormat="1" ht="12.75" x14ac:dyDescent="0.2"/>
    <row r="64448" s="197" customFormat="1" ht="12.75" x14ac:dyDescent="0.2"/>
    <row r="64449" s="197" customFormat="1" ht="12.75" x14ac:dyDescent="0.2"/>
    <row r="64450" s="197" customFormat="1" ht="12.75" x14ac:dyDescent="0.2"/>
    <row r="64451" s="197" customFormat="1" ht="12.75" x14ac:dyDescent="0.2"/>
    <row r="64452" s="197" customFormat="1" ht="12.75" x14ac:dyDescent="0.2"/>
    <row r="64453" s="197" customFormat="1" ht="12.75" x14ac:dyDescent="0.2"/>
    <row r="64454" s="197" customFormat="1" ht="12.75" x14ac:dyDescent="0.2"/>
    <row r="64455" s="197" customFormat="1" ht="12.75" x14ac:dyDescent="0.2"/>
    <row r="64456" s="197" customFormat="1" ht="12.75" x14ac:dyDescent="0.2"/>
    <row r="64457" s="197" customFormat="1" ht="12.75" x14ac:dyDescent="0.2"/>
    <row r="64458" s="197" customFormat="1" ht="12.75" x14ac:dyDescent="0.2"/>
    <row r="64459" s="197" customFormat="1" ht="12.75" x14ac:dyDescent="0.2"/>
    <row r="64460" s="197" customFormat="1" ht="12.75" x14ac:dyDescent="0.2"/>
    <row r="64461" s="197" customFormat="1" ht="12.75" x14ac:dyDescent="0.2"/>
    <row r="64462" s="197" customFormat="1" ht="12.75" x14ac:dyDescent="0.2"/>
    <row r="64463" s="197" customFormat="1" ht="12.75" x14ac:dyDescent="0.2"/>
    <row r="64464" s="197" customFormat="1" ht="12.75" x14ac:dyDescent="0.2"/>
    <row r="64465" s="197" customFormat="1" ht="12.75" x14ac:dyDescent="0.2"/>
    <row r="64466" s="197" customFormat="1" ht="12.75" x14ac:dyDescent="0.2"/>
    <row r="64467" s="197" customFormat="1" ht="12.75" x14ac:dyDescent="0.2"/>
    <row r="64468" s="197" customFormat="1" ht="12.75" x14ac:dyDescent="0.2"/>
    <row r="64469" s="197" customFormat="1" ht="12.75" x14ac:dyDescent="0.2"/>
    <row r="64470" s="197" customFormat="1" ht="12.75" x14ac:dyDescent="0.2"/>
    <row r="64471" s="197" customFormat="1" ht="12.75" x14ac:dyDescent="0.2"/>
    <row r="64472" s="197" customFormat="1" ht="12.75" x14ac:dyDescent="0.2"/>
    <row r="64473" s="197" customFormat="1" ht="12.75" x14ac:dyDescent="0.2"/>
    <row r="64474" s="197" customFormat="1" ht="12.75" x14ac:dyDescent="0.2"/>
    <row r="64475" s="197" customFormat="1" ht="12.75" x14ac:dyDescent="0.2"/>
    <row r="64476" s="197" customFormat="1" ht="12.75" x14ac:dyDescent="0.2"/>
    <row r="64477" s="197" customFormat="1" ht="12.75" x14ac:dyDescent="0.2"/>
    <row r="64478" s="197" customFormat="1" ht="12.75" x14ac:dyDescent="0.2"/>
    <row r="64479" s="197" customFormat="1" ht="12.75" x14ac:dyDescent="0.2"/>
    <row r="64480" s="197" customFormat="1" ht="12.75" x14ac:dyDescent="0.2"/>
    <row r="64481" s="197" customFormat="1" ht="12.75" x14ac:dyDescent="0.2"/>
    <row r="64482" s="197" customFormat="1" ht="12.75" x14ac:dyDescent="0.2"/>
    <row r="64483" s="197" customFormat="1" ht="12.75" x14ac:dyDescent="0.2"/>
    <row r="64484" s="197" customFormat="1" ht="12.75" x14ac:dyDescent="0.2"/>
    <row r="64485" s="197" customFormat="1" ht="12.75" x14ac:dyDescent="0.2"/>
    <row r="64486" s="197" customFormat="1" ht="12.75" x14ac:dyDescent="0.2"/>
    <row r="64487" s="197" customFormat="1" ht="12.75" x14ac:dyDescent="0.2"/>
    <row r="64488" s="197" customFormat="1" ht="12.75" x14ac:dyDescent="0.2"/>
    <row r="64489" s="197" customFormat="1" ht="12.75" x14ac:dyDescent="0.2"/>
    <row r="64490" s="197" customFormat="1" ht="12.75" x14ac:dyDescent="0.2"/>
    <row r="64491" s="197" customFormat="1" ht="12.75" x14ac:dyDescent="0.2"/>
    <row r="64492" s="197" customFormat="1" ht="12.75" x14ac:dyDescent="0.2"/>
    <row r="64493" s="197" customFormat="1" ht="12.75" x14ac:dyDescent="0.2"/>
    <row r="64494" s="197" customFormat="1" ht="12.75" x14ac:dyDescent="0.2"/>
    <row r="64495" s="197" customFormat="1" ht="12.75" x14ac:dyDescent="0.2"/>
    <row r="64496" s="197" customFormat="1" ht="12.75" x14ac:dyDescent="0.2"/>
    <row r="64497" s="197" customFormat="1" ht="12.75" x14ac:dyDescent="0.2"/>
    <row r="64498" s="197" customFormat="1" ht="12.75" x14ac:dyDescent="0.2"/>
    <row r="64499" s="197" customFormat="1" ht="12.75" x14ac:dyDescent="0.2"/>
    <row r="64500" s="197" customFormat="1" ht="12.75" x14ac:dyDescent="0.2"/>
    <row r="64501" s="197" customFormat="1" ht="12.75" x14ac:dyDescent="0.2"/>
    <row r="64502" s="197" customFormat="1" ht="12.75" x14ac:dyDescent="0.2"/>
    <row r="64503" s="197" customFormat="1" ht="12.75" x14ac:dyDescent="0.2"/>
    <row r="64504" s="197" customFormat="1" ht="12.75" x14ac:dyDescent="0.2"/>
    <row r="64505" s="197" customFormat="1" ht="12.75" x14ac:dyDescent="0.2"/>
    <row r="64506" s="197" customFormat="1" ht="12.75" x14ac:dyDescent="0.2"/>
    <row r="64507" s="197" customFormat="1" ht="12.75" x14ac:dyDescent="0.2"/>
    <row r="64508" s="197" customFormat="1" ht="12.75" x14ac:dyDescent="0.2"/>
    <row r="64509" s="197" customFormat="1" ht="12.75" x14ac:dyDescent="0.2"/>
    <row r="64510" s="197" customFormat="1" ht="12.75" x14ac:dyDescent="0.2"/>
    <row r="64511" s="197" customFormat="1" ht="12.75" x14ac:dyDescent="0.2"/>
    <row r="64512" s="197" customFormat="1" ht="12.75" x14ac:dyDescent="0.2"/>
    <row r="64513" s="197" customFormat="1" ht="12.75" x14ac:dyDescent="0.2"/>
    <row r="64514" s="197" customFormat="1" ht="12.75" x14ac:dyDescent="0.2"/>
    <row r="64515" s="197" customFormat="1" ht="12.75" x14ac:dyDescent="0.2"/>
    <row r="64516" s="197" customFormat="1" ht="12.75" x14ac:dyDescent="0.2"/>
    <row r="64517" s="197" customFormat="1" ht="12.75" x14ac:dyDescent="0.2"/>
    <row r="64518" s="197" customFormat="1" ht="12.75" x14ac:dyDescent="0.2"/>
    <row r="64519" s="197" customFormat="1" ht="12.75" x14ac:dyDescent="0.2"/>
    <row r="64520" s="197" customFormat="1" ht="12.75" x14ac:dyDescent="0.2"/>
    <row r="64521" s="197" customFormat="1" ht="12.75" x14ac:dyDescent="0.2"/>
    <row r="64522" s="197" customFormat="1" ht="12.75" x14ac:dyDescent="0.2"/>
    <row r="64523" s="197" customFormat="1" ht="12.75" x14ac:dyDescent="0.2"/>
    <row r="64524" s="197" customFormat="1" ht="12.75" x14ac:dyDescent="0.2"/>
    <row r="64525" s="197" customFormat="1" ht="12.75" x14ac:dyDescent="0.2"/>
    <row r="64526" s="197" customFormat="1" ht="12.75" x14ac:dyDescent="0.2"/>
    <row r="64527" s="197" customFormat="1" ht="12.75" x14ac:dyDescent="0.2"/>
    <row r="64528" s="197" customFormat="1" ht="12.75" x14ac:dyDescent="0.2"/>
    <row r="64529" s="197" customFormat="1" ht="12.75" x14ac:dyDescent="0.2"/>
    <row r="64530" s="197" customFormat="1" ht="12.75" x14ac:dyDescent="0.2"/>
    <row r="64531" s="197" customFormat="1" ht="12.75" x14ac:dyDescent="0.2"/>
    <row r="64532" s="197" customFormat="1" ht="12.75" x14ac:dyDescent="0.2"/>
    <row r="64533" s="197" customFormat="1" ht="12.75" x14ac:dyDescent="0.2"/>
    <row r="64534" s="197" customFormat="1" ht="12.75" x14ac:dyDescent="0.2"/>
    <row r="64535" s="197" customFormat="1" ht="12.75" x14ac:dyDescent="0.2"/>
    <row r="64536" s="197" customFormat="1" ht="12.75" x14ac:dyDescent="0.2"/>
    <row r="64537" s="197" customFormat="1" ht="12.75" x14ac:dyDescent="0.2"/>
    <row r="64538" s="197" customFormat="1" ht="12.75" x14ac:dyDescent="0.2"/>
    <row r="64539" s="197" customFormat="1" ht="12.75" x14ac:dyDescent="0.2"/>
    <row r="64540" s="197" customFormat="1" ht="12.75" x14ac:dyDescent="0.2"/>
    <row r="64541" s="197" customFormat="1" ht="12.75" x14ac:dyDescent="0.2"/>
    <row r="64542" s="197" customFormat="1" ht="12.75" x14ac:dyDescent="0.2"/>
    <row r="64543" s="197" customFormat="1" ht="12.75" x14ac:dyDescent="0.2"/>
    <row r="64544" s="197" customFormat="1" ht="12.75" x14ac:dyDescent="0.2"/>
    <row r="64545" s="197" customFormat="1" ht="12.75" x14ac:dyDescent="0.2"/>
    <row r="64546" s="197" customFormat="1" ht="12.75" x14ac:dyDescent="0.2"/>
    <row r="64547" s="197" customFormat="1" ht="12.75" x14ac:dyDescent="0.2"/>
    <row r="64548" s="197" customFormat="1" ht="12.75" x14ac:dyDescent="0.2"/>
    <row r="64549" s="197" customFormat="1" ht="12.75" x14ac:dyDescent="0.2"/>
    <row r="64550" s="197" customFormat="1" ht="12.75" x14ac:dyDescent="0.2"/>
    <row r="64551" s="197" customFormat="1" ht="12.75" x14ac:dyDescent="0.2"/>
    <row r="64552" s="197" customFormat="1" ht="12.75" x14ac:dyDescent="0.2"/>
    <row r="64553" s="197" customFormat="1" ht="12.75" x14ac:dyDescent="0.2"/>
    <row r="64554" s="197" customFormat="1" ht="12.75" x14ac:dyDescent="0.2"/>
    <row r="64555" s="197" customFormat="1" ht="12.75" x14ac:dyDescent="0.2"/>
    <row r="64556" s="197" customFormat="1" ht="12.75" x14ac:dyDescent="0.2"/>
    <row r="64557" s="197" customFormat="1" ht="12.75" x14ac:dyDescent="0.2"/>
    <row r="64558" s="197" customFormat="1" ht="12.75" x14ac:dyDescent="0.2"/>
    <row r="64559" s="197" customFormat="1" ht="12.75" x14ac:dyDescent="0.2"/>
    <row r="64560" s="197" customFormat="1" ht="12.75" x14ac:dyDescent="0.2"/>
    <row r="64561" s="197" customFormat="1" ht="12.75" x14ac:dyDescent="0.2"/>
    <row r="64562" s="197" customFormat="1" ht="12.75" x14ac:dyDescent="0.2"/>
    <row r="64563" s="197" customFormat="1" ht="12.75" x14ac:dyDescent="0.2"/>
    <row r="64564" s="197" customFormat="1" ht="12.75" x14ac:dyDescent="0.2"/>
    <row r="64565" s="197" customFormat="1" ht="12.75" x14ac:dyDescent="0.2"/>
    <row r="64566" s="197" customFormat="1" ht="12.75" x14ac:dyDescent="0.2"/>
    <row r="64567" s="197" customFormat="1" ht="12.75" x14ac:dyDescent="0.2"/>
    <row r="64568" s="197" customFormat="1" ht="12.75" x14ac:dyDescent="0.2"/>
    <row r="64569" s="197" customFormat="1" ht="12.75" x14ac:dyDescent="0.2"/>
    <row r="64570" s="197" customFormat="1" ht="12.75" x14ac:dyDescent="0.2"/>
    <row r="64571" s="197" customFormat="1" ht="12.75" x14ac:dyDescent="0.2"/>
    <row r="64572" s="197" customFormat="1" ht="12.75" x14ac:dyDescent="0.2"/>
    <row r="64573" s="197" customFormat="1" ht="12.75" x14ac:dyDescent="0.2"/>
    <row r="64574" s="197" customFormat="1" ht="12.75" x14ac:dyDescent="0.2"/>
    <row r="64575" s="197" customFormat="1" ht="12.75" x14ac:dyDescent="0.2"/>
    <row r="64576" s="197" customFormat="1" ht="12.75" x14ac:dyDescent="0.2"/>
    <row r="64577" s="197" customFormat="1" ht="12.75" x14ac:dyDescent="0.2"/>
    <row r="64578" s="197" customFormat="1" ht="12.75" x14ac:dyDescent="0.2"/>
    <row r="64579" s="197" customFormat="1" ht="12.75" x14ac:dyDescent="0.2"/>
    <row r="64580" s="197" customFormat="1" ht="12.75" x14ac:dyDescent="0.2"/>
    <row r="64581" s="197" customFormat="1" ht="12.75" x14ac:dyDescent="0.2"/>
    <row r="64582" s="197" customFormat="1" ht="12.75" x14ac:dyDescent="0.2"/>
    <row r="64583" s="197" customFormat="1" ht="12.75" x14ac:dyDescent="0.2"/>
    <row r="64584" s="197" customFormat="1" ht="12.75" x14ac:dyDescent="0.2"/>
    <row r="64585" s="197" customFormat="1" ht="12.75" x14ac:dyDescent="0.2"/>
    <row r="64586" s="197" customFormat="1" ht="12.75" x14ac:dyDescent="0.2"/>
    <row r="64587" s="197" customFormat="1" ht="12.75" x14ac:dyDescent="0.2"/>
    <row r="64588" s="197" customFormat="1" ht="12.75" x14ac:dyDescent="0.2"/>
    <row r="64589" s="197" customFormat="1" ht="12.75" x14ac:dyDescent="0.2"/>
    <row r="64590" s="197" customFormat="1" ht="12.75" x14ac:dyDescent="0.2"/>
    <row r="64591" s="197" customFormat="1" ht="12.75" x14ac:dyDescent="0.2"/>
    <row r="64592" s="197" customFormat="1" ht="12.75" x14ac:dyDescent="0.2"/>
    <row r="64593" s="197" customFormat="1" ht="12.75" x14ac:dyDescent="0.2"/>
    <row r="64594" s="197" customFormat="1" ht="12.75" x14ac:dyDescent="0.2"/>
    <row r="64595" s="197" customFormat="1" ht="12.75" x14ac:dyDescent="0.2"/>
    <row r="64596" s="197" customFormat="1" ht="12.75" x14ac:dyDescent="0.2"/>
    <row r="64597" s="197" customFormat="1" ht="12.75" x14ac:dyDescent="0.2"/>
    <row r="64598" s="197" customFormat="1" ht="12.75" x14ac:dyDescent="0.2"/>
    <row r="64599" s="197" customFormat="1" ht="12.75" x14ac:dyDescent="0.2"/>
    <row r="64600" s="197" customFormat="1" ht="12.75" x14ac:dyDescent="0.2"/>
    <row r="64601" s="197" customFormat="1" ht="12.75" x14ac:dyDescent="0.2"/>
    <row r="64602" s="197" customFormat="1" ht="12.75" x14ac:dyDescent="0.2"/>
    <row r="64603" s="197" customFormat="1" ht="12.75" x14ac:dyDescent="0.2"/>
    <row r="64604" s="197" customFormat="1" ht="12.75" x14ac:dyDescent="0.2"/>
    <row r="64605" s="197" customFormat="1" ht="12.75" x14ac:dyDescent="0.2"/>
    <row r="64606" s="197" customFormat="1" ht="12.75" x14ac:dyDescent="0.2"/>
    <row r="64607" s="197" customFormat="1" ht="12.75" x14ac:dyDescent="0.2"/>
    <row r="64608" s="197" customFormat="1" ht="12.75" x14ac:dyDescent="0.2"/>
    <row r="64609" s="197" customFormat="1" ht="12.75" x14ac:dyDescent="0.2"/>
    <row r="64610" s="197" customFormat="1" ht="12.75" x14ac:dyDescent="0.2"/>
    <row r="64611" s="197" customFormat="1" ht="12.75" x14ac:dyDescent="0.2"/>
    <row r="64612" s="197" customFormat="1" ht="12.75" x14ac:dyDescent="0.2"/>
    <row r="64613" s="197" customFormat="1" ht="12.75" x14ac:dyDescent="0.2"/>
    <row r="64614" s="197" customFormat="1" ht="12.75" x14ac:dyDescent="0.2"/>
    <row r="64615" s="197" customFormat="1" ht="12.75" x14ac:dyDescent="0.2"/>
    <row r="64616" s="197" customFormat="1" ht="12.75" x14ac:dyDescent="0.2"/>
    <row r="64617" s="197" customFormat="1" ht="12.75" x14ac:dyDescent="0.2"/>
    <row r="64618" s="197" customFormat="1" ht="12.75" x14ac:dyDescent="0.2"/>
    <row r="64619" s="197" customFormat="1" ht="12.75" x14ac:dyDescent="0.2"/>
    <row r="64620" s="197" customFormat="1" ht="12.75" x14ac:dyDescent="0.2"/>
    <row r="64621" s="197" customFormat="1" ht="12.75" x14ac:dyDescent="0.2"/>
    <row r="64622" s="197" customFormat="1" ht="12.75" x14ac:dyDescent="0.2"/>
    <row r="64623" s="197" customFormat="1" ht="12.75" x14ac:dyDescent="0.2"/>
    <row r="64624" s="197" customFormat="1" ht="12.75" x14ac:dyDescent="0.2"/>
    <row r="64625" s="197" customFormat="1" ht="12.75" x14ac:dyDescent="0.2"/>
    <row r="64626" s="197" customFormat="1" ht="12.75" x14ac:dyDescent="0.2"/>
    <row r="64627" s="197" customFormat="1" ht="12.75" x14ac:dyDescent="0.2"/>
    <row r="64628" s="197" customFormat="1" ht="12.75" x14ac:dyDescent="0.2"/>
    <row r="64629" s="197" customFormat="1" ht="12.75" x14ac:dyDescent="0.2"/>
    <row r="64630" s="197" customFormat="1" ht="12.75" x14ac:dyDescent="0.2"/>
    <row r="64631" s="197" customFormat="1" ht="12.75" x14ac:dyDescent="0.2"/>
    <row r="64632" s="197" customFormat="1" ht="12.75" x14ac:dyDescent="0.2"/>
    <row r="64633" s="197" customFormat="1" ht="12.75" x14ac:dyDescent="0.2"/>
    <row r="64634" s="197" customFormat="1" ht="12.75" x14ac:dyDescent="0.2"/>
    <row r="64635" s="197" customFormat="1" ht="12.75" x14ac:dyDescent="0.2"/>
    <row r="64636" s="197" customFormat="1" ht="12.75" x14ac:dyDescent="0.2"/>
    <row r="64637" s="197" customFormat="1" ht="12.75" x14ac:dyDescent="0.2"/>
    <row r="64638" s="197" customFormat="1" ht="12.75" x14ac:dyDescent="0.2"/>
    <row r="64639" s="197" customFormat="1" ht="12.75" x14ac:dyDescent="0.2"/>
    <row r="64640" s="197" customFormat="1" ht="12.75" x14ac:dyDescent="0.2"/>
    <row r="64641" s="197" customFormat="1" ht="12.75" x14ac:dyDescent="0.2"/>
    <row r="64642" s="197" customFormat="1" ht="12.75" x14ac:dyDescent="0.2"/>
    <row r="64643" s="197" customFormat="1" ht="12.75" x14ac:dyDescent="0.2"/>
    <row r="64644" s="197" customFormat="1" ht="12.75" x14ac:dyDescent="0.2"/>
    <row r="64645" s="197" customFormat="1" ht="12.75" x14ac:dyDescent="0.2"/>
    <row r="64646" s="197" customFormat="1" ht="12.75" x14ac:dyDescent="0.2"/>
    <row r="64647" s="197" customFormat="1" ht="12.75" x14ac:dyDescent="0.2"/>
    <row r="64648" s="197" customFormat="1" ht="12.75" x14ac:dyDescent="0.2"/>
    <row r="64649" s="197" customFormat="1" ht="12.75" x14ac:dyDescent="0.2"/>
    <row r="64650" s="197" customFormat="1" ht="12.75" x14ac:dyDescent="0.2"/>
    <row r="64651" s="197" customFormat="1" ht="12.75" x14ac:dyDescent="0.2"/>
    <row r="64652" s="197" customFormat="1" ht="12.75" x14ac:dyDescent="0.2"/>
    <row r="64653" s="197" customFormat="1" ht="12.75" x14ac:dyDescent="0.2"/>
    <row r="64654" s="197" customFormat="1" ht="12.75" x14ac:dyDescent="0.2"/>
    <row r="64655" s="197" customFormat="1" ht="12.75" x14ac:dyDescent="0.2"/>
    <row r="64656" s="197" customFormat="1" ht="12.75" x14ac:dyDescent="0.2"/>
    <row r="64657" s="197" customFormat="1" ht="12.75" x14ac:dyDescent="0.2"/>
    <row r="64658" s="197" customFormat="1" ht="12.75" x14ac:dyDescent="0.2"/>
    <row r="64659" s="197" customFormat="1" ht="12.75" x14ac:dyDescent="0.2"/>
    <row r="64660" s="197" customFormat="1" ht="12.75" x14ac:dyDescent="0.2"/>
    <row r="64661" s="197" customFormat="1" ht="12.75" x14ac:dyDescent="0.2"/>
    <row r="64662" s="197" customFormat="1" ht="12.75" x14ac:dyDescent="0.2"/>
    <row r="64663" s="197" customFormat="1" ht="12.75" x14ac:dyDescent="0.2"/>
    <row r="64664" s="197" customFormat="1" ht="12.75" x14ac:dyDescent="0.2"/>
    <row r="64665" s="197" customFormat="1" ht="12.75" x14ac:dyDescent="0.2"/>
    <row r="64666" s="197" customFormat="1" ht="12.75" x14ac:dyDescent="0.2"/>
    <row r="64667" s="197" customFormat="1" ht="12.75" x14ac:dyDescent="0.2"/>
    <row r="64668" s="197" customFormat="1" ht="12.75" x14ac:dyDescent="0.2"/>
    <row r="64669" s="197" customFormat="1" ht="12.75" x14ac:dyDescent="0.2"/>
    <row r="64670" s="197" customFormat="1" ht="12.75" x14ac:dyDescent="0.2"/>
    <row r="64671" s="197" customFormat="1" ht="12.75" x14ac:dyDescent="0.2"/>
    <row r="64672" s="197" customFormat="1" ht="12.75" x14ac:dyDescent="0.2"/>
    <row r="64673" s="197" customFormat="1" ht="12.75" x14ac:dyDescent="0.2"/>
    <row r="64674" s="197" customFormat="1" ht="12.75" x14ac:dyDescent="0.2"/>
    <row r="64675" s="197" customFormat="1" ht="12.75" x14ac:dyDescent="0.2"/>
    <row r="64676" s="197" customFormat="1" ht="12.75" x14ac:dyDescent="0.2"/>
    <row r="64677" s="197" customFormat="1" ht="12.75" x14ac:dyDescent="0.2"/>
    <row r="64678" s="197" customFormat="1" ht="12.75" x14ac:dyDescent="0.2"/>
    <row r="64679" s="197" customFormat="1" ht="12.75" x14ac:dyDescent="0.2"/>
    <row r="64680" s="197" customFormat="1" ht="12.75" x14ac:dyDescent="0.2"/>
    <row r="64681" s="197" customFormat="1" ht="12.75" x14ac:dyDescent="0.2"/>
    <row r="64682" s="197" customFormat="1" ht="12.75" x14ac:dyDescent="0.2"/>
    <row r="64683" s="197" customFormat="1" ht="12.75" x14ac:dyDescent="0.2"/>
    <row r="64684" s="197" customFormat="1" ht="12.75" x14ac:dyDescent="0.2"/>
    <row r="64685" s="197" customFormat="1" ht="12.75" x14ac:dyDescent="0.2"/>
    <row r="64686" s="197" customFormat="1" ht="12.75" x14ac:dyDescent="0.2"/>
    <row r="64687" s="197" customFormat="1" ht="12.75" x14ac:dyDescent="0.2"/>
    <row r="64688" s="197" customFormat="1" ht="12.75" x14ac:dyDescent="0.2"/>
    <row r="64689" s="197" customFormat="1" ht="12.75" x14ac:dyDescent="0.2"/>
    <row r="64690" s="197" customFormat="1" ht="12.75" x14ac:dyDescent="0.2"/>
    <row r="64691" s="197" customFormat="1" ht="12.75" x14ac:dyDescent="0.2"/>
    <row r="64692" s="197" customFormat="1" ht="12.75" x14ac:dyDescent="0.2"/>
    <row r="64693" s="197" customFormat="1" ht="12.75" x14ac:dyDescent="0.2"/>
    <row r="64694" s="197" customFormat="1" ht="12.75" x14ac:dyDescent="0.2"/>
    <row r="64695" s="197" customFormat="1" ht="12.75" x14ac:dyDescent="0.2"/>
    <row r="64696" s="197" customFormat="1" ht="12.75" x14ac:dyDescent="0.2"/>
    <row r="64697" s="197" customFormat="1" ht="12.75" x14ac:dyDescent="0.2"/>
    <row r="64698" s="197" customFormat="1" ht="12.75" x14ac:dyDescent="0.2"/>
    <row r="64699" s="197" customFormat="1" ht="12.75" x14ac:dyDescent="0.2"/>
    <row r="64700" s="197" customFormat="1" ht="12.75" x14ac:dyDescent="0.2"/>
    <row r="64701" s="197" customFormat="1" ht="12.75" x14ac:dyDescent="0.2"/>
    <row r="64702" s="197" customFormat="1" ht="12.75" x14ac:dyDescent="0.2"/>
    <row r="64703" s="197" customFormat="1" ht="12.75" x14ac:dyDescent="0.2"/>
    <row r="64704" s="197" customFormat="1" ht="12.75" x14ac:dyDescent="0.2"/>
    <row r="64705" s="197" customFormat="1" ht="12.75" x14ac:dyDescent="0.2"/>
    <row r="64706" s="197" customFormat="1" ht="12.75" x14ac:dyDescent="0.2"/>
    <row r="64707" s="197" customFormat="1" ht="12.75" x14ac:dyDescent="0.2"/>
    <row r="64708" s="197" customFormat="1" ht="12.75" x14ac:dyDescent="0.2"/>
    <row r="64709" s="197" customFormat="1" ht="12.75" x14ac:dyDescent="0.2"/>
    <row r="64710" s="197" customFormat="1" ht="12.75" x14ac:dyDescent="0.2"/>
    <row r="64711" s="197" customFormat="1" ht="12.75" x14ac:dyDescent="0.2"/>
    <row r="64712" s="197" customFormat="1" ht="12.75" x14ac:dyDescent="0.2"/>
    <row r="64713" s="197" customFormat="1" ht="12.75" x14ac:dyDescent="0.2"/>
    <row r="64714" s="197" customFormat="1" ht="12.75" x14ac:dyDescent="0.2"/>
    <row r="64715" s="197" customFormat="1" ht="12.75" x14ac:dyDescent="0.2"/>
    <row r="64716" s="197" customFormat="1" ht="12.75" x14ac:dyDescent="0.2"/>
    <row r="64717" s="197" customFormat="1" ht="12.75" x14ac:dyDescent="0.2"/>
    <row r="64718" s="197" customFormat="1" ht="12.75" x14ac:dyDescent="0.2"/>
    <row r="64719" s="197" customFormat="1" ht="12.75" x14ac:dyDescent="0.2"/>
    <row r="64720" s="197" customFormat="1" ht="12.75" x14ac:dyDescent="0.2"/>
    <row r="64721" s="197" customFormat="1" ht="12.75" x14ac:dyDescent="0.2"/>
    <row r="64722" s="197" customFormat="1" ht="12.75" x14ac:dyDescent="0.2"/>
    <row r="64723" s="197" customFormat="1" ht="12.75" x14ac:dyDescent="0.2"/>
    <row r="64724" s="197" customFormat="1" ht="12.75" x14ac:dyDescent="0.2"/>
    <row r="64725" s="197" customFormat="1" ht="12.75" x14ac:dyDescent="0.2"/>
    <row r="64726" s="197" customFormat="1" ht="12.75" x14ac:dyDescent="0.2"/>
    <row r="64727" s="197" customFormat="1" ht="12.75" x14ac:dyDescent="0.2"/>
    <row r="64728" s="197" customFormat="1" ht="12.75" x14ac:dyDescent="0.2"/>
    <row r="64729" s="197" customFormat="1" ht="12.75" x14ac:dyDescent="0.2"/>
    <row r="64730" s="197" customFormat="1" ht="12.75" x14ac:dyDescent="0.2"/>
    <row r="64731" s="197" customFormat="1" ht="12.75" x14ac:dyDescent="0.2"/>
    <row r="64732" s="197" customFormat="1" ht="12.75" x14ac:dyDescent="0.2"/>
    <row r="64733" s="197" customFormat="1" ht="12.75" x14ac:dyDescent="0.2"/>
    <row r="64734" s="197" customFormat="1" ht="12.75" x14ac:dyDescent="0.2"/>
    <row r="64735" s="197" customFormat="1" ht="12.75" x14ac:dyDescent="0.2"/>
    <row r="64736" s="197" customFormat="1" ht="12.75" x14ac:dyDescent="0.2"/>
    <row r="64737" s="197" customFormat="1" ht="12.75" x14ac:dyDescent="0.2"/>
    <row r="64738" s="197" customFormat="1" ht="12.75" x14ac:dyDescent="0.2"/>
    <row r="64739" s="197" customFormat="1" ht="12.75" x14ac:dyDescent="0.2"/>
    <row r="64740" s="197" customFormat="1" ht="12.75" x14ac:dyDescent="0.2"/>
    <row r="64741" s="197" customFormat="1" ht="12.75" x14ac:dyDescent="0.2"/>
    <row r="64742" s="197" customFormat="1" ht="12.75" x14ac:dyDescent="0.2"/>
    <row r="64743" s="197" customFormat="1" ht="12.75" x14ac:dyDescent="0.2"/>
    <row r="64744" s="197" customFormat="1" ht="12.75" x14ac:dyDescent="0.2"/>
    <row r="64745" s="197" customFormat="1" ht="12.75" x14ac:dyDescent="0.2"/>
    <row r="64746" s="197" customFormat="1" ht="12.75" x14ac:dyDescent="0.2"/>
    <row r="64747" s="197" customFormat="1" ht="12.75" x14ac:dyDescent="0.2"/>
    <row r="64748" s="197" customFormat="1" ht="12.75" x14ac:dyDescent="0.2"/>
    <row r="64749" s="197" customFormat="1" ht="12.75" x14ac:dyDescent="0.2"/>
    <row r="64750" s="197" customFormat="1" ht="12.75" x14ac:dyDescent="0.2"/>
    <row r="64751" s="197" customFormat="1" ht="12.75" x14ac:dyDescent="0.2"/>
    <row r="64752" s="197" customFormat="1" ht="12.75" x14ac:dyDescent="0.2"/>
    <row r="64753" s="197" customFormat="1" ht="12.75" x14ac:dyDescent="0.2"/>
    <row r="64754" s="197" customFormat="1" ht="12.75" x14ac:dyDescent="0.2"/>
    <row r="64755" s="197" customFormat="1" ht="12.75" x14ac:dyDescent="0.2"/>
    <row r="64756" s="197" customFormat="1" ht="12.75" x14ac:dyDescent="0.2"/>
    <row r="64757" s="197" customFormat="1" ht="12.75" x14ac:dyDescent="0.2"/>
    <row r="64758" s="197" customFormat="1" ht="12.75" x14ac:dyDescent="0.2"/>
    <row r="64759" s="197" customFormat="1" ht="12.75" x14ac:dyDescent="0.2"/>
    <row r="64760" s="197" customFormat="1" ht="12.75" x14ac:dyDescent="0.2"/>
    <row r="64761" s="197" customFormat="1" ht="12.75" x14ac:dyDescent="0.2"/>
    <row r="64762" s="197" customFormat="1" ht="12.75" x14ac:dyDescent="0.2"/>
    <row r="64763" s="197" customFormat="1" ht="12.75" x14ac:dyDescent="0.2"/>
    <row r="64764" s="197" customFormat="1" ht="12.75" x14ac:dyDescent="0.2"/>
    <row r="64765" s="197" customFormat="1" ht="12.75" x14ac:dyDescent="0.2"/>
    <row r="64766" s="197" customFormat="1" ht="12.75" x14ac:dyDescent="0.2"/>
    <row r="64767" s="197" customFormat="1" ht="12.75" x14ac:dyDescent="0.2"/>
    <row r="64768" s="197" customFormat="1" ht="12.75" x14ac:dyDescent="0.2"/>
    <row r="64769" s="197" customFormat="1" ht="12.75" x14ac:dyDescent="0.2"/>
    <row r="64770" s="197" customFormat="1" ht="12.75" x14ac:dyDescent="0.2"/>
    <row r="64771" s="197" customFormat="1" ht="12.75" x14ac:dyDescent="0.2"/>
    <row r="64772" s="197" customFormat="1" ht="12.75" x14ac:dyDescent="0.2"/>
    <row r="64773" s="197" customFormat="1" ht="12.75" x14ac:dyDescent="0.2"/>
    <row r="64774" s="197" customFormat="1" ht="12.75" x14ac:dyDescent="0.2"/>
    <row r="64775" s="197" customFormat="1" ht="12.75" x14ac:dyDescent="0.2"/>
    <row r="64776" s="197" customFormat="1" ht="12.75" x14ac:dyDescent="0.2"/>
    <row r="64777" s="197" customFormat="1" ht="12.75" x14ac:dyDescent="0.2"/>
    <row r="64778" s="197" customFormat="1" ht="12.75" x14ac:dyDescent="0.2"/>
    <row r="64779" s="197" customFormat="1" ht="12.75" x14ac:dyDescent="0.2"/>
    <row r="64780" s="197" customFormat="1" ht="12.75" x14ac:dyDescent="0.2"/>
    <row r="64781" s="197" customFormat="1" ht="12.75" x14ac:dyDescent="0.2"/>
    <row r="64782" s="197" customFormat="1" ht="12.75" x14ac:dyDescent="0.2"/>
    <row r="64783" s="197" customFormat="1" ht="12.75" x14ac:dyDescent="0.2"/>
    <row r="64784" s="197" customFormat="1" ht="12.75" x14ac:dyDescent="0.2"/>
    <row r="64785" s="197" customFormat="1" ht="12.75" x14ac:dyDescent="0.2"/>
    <row r="64786" s="197" customFormat="1" ht="12.75" x14ac:dyDescent="0.2"/>
    <row r="64787" s="197" customFormat="1" ht="12.75" x14ac:dyDescent="0.2"/>
    <row r="64788" s="197" customFormat="1" ht="12.75" x14ac:dyDescent="0.2"/>
    <row r="64789" s="197" customFormat="1" ht="12.75" x14ac:dyDescent="0.2"/>
    <row r="64790" s="197" customFormat="1" ht="12.75" x14ac:dyDescent="0.2"/>
    <row r="64791" s="197" customFormat="1" ht="12.75" x14ac:dyDescent="0.2"/>
    <row r="64792" s="197" customFormat="1" ht="12.75" x14ac:dyDescent="0.2"/>
    <row r="64793" s="197" customFormat="1" ht="12.75" x14ac:dyDescent="0.2"/>
    <row r="64794" s="197" customFormat="1" ht="12.75" x14ac:dyDescent="0.2"/>
    <row r="64795" s="197" customFormat="1" ht="12.75" x14ac:dyDescent="0.2"/>
    <row r="64796" s="197" customFormat="1" ht="12.75" x14ac:dyDescent="0.2"/>
    <row r="64797" s="197" customFormat="1" ht="12.75" x14ac:dyDescent="0.2"/>
    <row r="64798" s="197" customFormat="1" ht="12.75" x14ac:dyDescent="0.2"/>
    <row r="64799" s="197" customFormat="1" ht="12.75" x14ac:dyDescent="0.2"/>
    <row r="64800" s="197" customFormat="1" ht="12.75" x14ac:dyDescent="0.2"/>
    <row r="64801" s="197" customFormat="1" ht="12.75" x14ac:dyDescent="0.2"/>
    <row r="64802" s="197" customFormat="1" ht="12.75" x14ac:dyDescent="0.2"/>
    <row r="64803" s="197" customFormat="1" ht="12.75" x14ac:dyDescent="0.2"/>
    <row r="64804" s="197" customFormat="1" ht="12.75" x14ac:dyDescent="0.2"/>
    <row r="64805" s="197" customFormat="1" ht="12.75" x14ac:dyDescent="0.2"/>
    <row r="64806" s="197" customFormat="1" ht="12.75" x14ac:dyDescent="0.2"/>
    <row r="64807" s="197" customFormat="1" ht="12.75" x14ac:dyDescent="0.2"/>
    <row r="64808" s="197" customFormat="1" ht="12.75" x14ac:dyDescent="0.2"/>
    <row r="64809" s="197" customFormat="1" ht="12.75" x14ac:dyDescent="0.2"/>
    <row r="64810" s="197" customFormat="1" ht="12.75" x14ac:dyDescent="0.2"/>
    <row r="64811" s="197" customFormat="1" ht="12.75" x14ac:dyDescent="0.2"/>
    <row r="64812" s="197" customFormat="1" ht="12.75" x14ac:dyDescent="0.2"/>
    <row r="64813" s="197" customFormat="1" ht="12.75" x14ac:dyDescent="0.2"/>
    <row r="64814" s="197" customFormat="1" ht="12.75" x14ac:dyDescent="0.2"/>
    <row r="64815" s="197" customFormat="1" ht="12.75" x14ac:dyDescent="0.2"/>
    <row r="64816" s="197" customFormat="1" ht="12.75" x14ac:dyDescent="0.2"/>
    <row r="64817" s="197" customFormat="1" ht="12.75" x14ac:dyDescent="0.2"/>
    <row r="64818" s="197" customFormat="1" ht="12.75" x14ac:dyDescent="0.2"/>
    <row r="64819" s="197" customFormat="1" ht="12.75" x14ac:dyDescent="0.2"/>
    <row r="64820" s="197" customFormat="1" ht="12.75" x14ac:dyDescent="0.2"/>
    <row r="64821" s="197" customFormat="1" ht="12.75" x14ac:dyDescent="0.2"/>
    <row r="64822" s="197" customFormat="1" ht="12.75" x14ac:dyDescent="0.2"/>
    <row r="64823" s="197" customFormat="1" ht="12.75" x14ac:dyDescent="0.2"/>
    <row r="64824" s="197" customFormat="1" ht="12.75" x14ac:dyDescent="0.2"/>
    <row r="64825" s="197" customFormat="1" ht="12.75" x14ac:dyDescent="0.2"/>
    <row r="64826" s="197" customFormat="1" ht="12.75" x14ac:dyDescent="0.2"/>
    <row r="64827" s="197" customFormat="1" ht="12.75" x14ac:dyDescent="0.2"/>
    <row r="64828" s="197" customFormat="1" ht="12.75" x14ac:dyDescent="0.2"/>
    <row r="64829" s="197" customFormat="1" ht="12.75" x14ac:dyDescent="0.2"/>
    <row r="64830" s="197" customFormat="1" ht="12.75" x14ac:dyDescent="0.2"/>
    <row r="64831" s="197" customFormat="1" ht="12.75" x14ac:dyDescent="0.2"/>
    <row r="64832" s="197" customFormat="1" ht="12.75" x14ac:dyDescent="0.2"/>
    <row r="64833" s="197" customFormat="1" ht="12.75" x14ac:dyDescent="0.2"/>
    <row r="64834" s="197" customFormat="1" ht="12.75" x14ac:dyDescent="0.2"/>
    <row r="64835" s="197" customFormat="1" ht="12.75" x14ac:dyDescent="0.2"/>
    <row r="64836" s="197" customFormat="1" ht="12.75" x14ac:dyDescent="0.2"/>
    <row r="64837" s="197" customFormat="1" ht="12.75" x14ac:dyDescent="0.2"/>
    <row r="64838" s="197" customFormat="1" ht="12.75" x14ac:dyDescent="0.2"/>
    <row r="64839" s="197" customFormat="1" ht="12.75" x14ac:dyDescent="0.2"/>
    <row r="64840" s="197" customFormat="1" ht="12.75" x14ac:dyDescent="0.2"/>
    <row r="64841" s="197" customFormat="1" ht="12.75" x14ac:dyDescent="0.2"/>
    <row r="64842" s="197" customFormat="1" ht="12.75" x14ac:dyDescent="0.2"/>
    <row r="64843" s="197" customFormat="1" ht="12.75" x14ac:dyDescent="0.2"/>
    <row r="64844" s="197" customFormat="1" ht="12.75" x14ac:dyDescent="0.2"/>
    <row r="64845" s="197" customFormat="1" ht="12.75" x14ac:dyDescent="0.2"/>
    <row r="64846" s="197" customFormat="1" ht="12.75" x14ac:dyDescent="0.2"/>
    <row r="64847" s="197" customFormat="1" ht="12.75" x14ac:dyDescent="0.2"/>
    <row r="64848" s="197" customFormat="1" ht="12.75" x14ac:dyDescent="0.2"/>
    <row r="64849" s="197" customFormat="1" ht="12.75" x14ac:dyDescent="0.2"/>
    <row r="64850" s="197" customFormat="1" ht="12.75" x14ac:dyDescent="0.2"/>
    <row r="64851" s="197" customFormat="1" ht="12.75" x14ac:dyDescent="0.2"/>
    <row r="64852" s="197" customFormat="1" ht="12.75" x14ac:dyDescent="0.2"/>
    <row r="64853" s="197" customFormat="1" ht="12.75" x14ac:dyDescent="0.2"/>
    <row r="64854" s="197" customFormat="1" ht="12.75" x14ac:dyDescent="0.2"/>
    <row r="64855" s="197" customFormat="1" ht="12.75" x14ac:dyDescent="0.2"/>
    <row r="64856" s="197" customFormat="1" ht="12.75" x14ac:dyDescent="0.2"/>
    <row r="64857" s="197" customFormat="1" ht="12.75" x14ac:dyDescent="0.2"/>
    <row r="64858" s="197" customFormat="1" ht="12.75" x14ac:dyDescent="0.2"/>
    <row r="64859" s="197" customFormat="1" ht="12.75" x14ac:dyDescent="0.2"/>
    <row r="64860" s="197" customFormat="1" ht="12.75" x14ac:dyDescent="0.2"/>
    <row r="64861" s="197" customFormat="1" ht="12.75" x14ac:dyDescent="0.2"/>
    <row r="64862" s="197" customFormat="1" ht="12.75" x14ac:dyDescent="0.2"/>
    <row r="64863" s="197" customFormat="1" ht="12.75" x14ac:dyDescent="0.2"/>
    <row r="64864" s="197" customFormat="1" ht="12.75" x14ac:dyDescent="0.2"/>
    <row r="64865" s="197" customFormat="1" ht="12.75" x14ac:dyDescent="0.2"/>
    <row r="64866" s="197" customFormat="1" ht="12.75" x14ac:dyDescent="0.2"/>
    <row r="64867" s="197" customFormat="1" ht="12.75" x14ac:dyDescent="0.2"/>
    <row r="64868" s="197" customFormat="1" ht="12.75" x14ac:dyDescent="0.2"/>
    <row r="64869" s="197" customFormat="1" ht="12.75" x14ac:dyDescent="0.2"/>
    <row r="64870" s="197" customFormat="1" ht="12.75" x14ac:dyDescent="0.2"/>
    <row r="64871" s="197" customFormat="1" ht="12.75" x14ac:dyDescent="0.2"/>
    <row r="64872" s="197" customFormat="1" ht="12.75" x14ac:dyDescent="0.2"/>
    <row r="64873" s="197" customFormat="1" ht="12.75" x14ac:dyDescent="0.2"/>
    <row r="64874" s="197" customFormat="1" ht="12.75" x14ac:dyDescent="0.2"/>
    <row r="64875" s="197" customFormat="1" ht="12.75" x14ac:dyDescent="0.2"/>
    <row r="64876" s="197" customFormat="1" ht="12.75" x14ac:dyDescent="0.2"/>
    <row r="64877" s="197" customFormat="1" ht="12.75" x14ac:dyDescent="0.2"/>
    <row r="64878" s="197" customFormat="1" ht="12.75" x14ac:dyDescent="0.2"/>
    <row r="64879" s="197" customFormat="1" ht="12.75" x14ac:dyDescent="0.2"/>
    <row r="64880" s="197" customFormat="1" ht="12.75" x14ac:dyDescent="0.2"/>
    <row r="64881" s="197" customFormat="1" ht="12.75" x14ac:dyDescent="0.2"/>
    <row r="64882" s="197" customFormat="1" ht="12.75" x14ac:dyDescent="0.2"/>
    <row r="64883" s="197" customFormat="1" ht="12.75" x14ac:dyDescent="0.2"/>
    <row r="64884" s="197" customFormat="1" ht="12.75" x14ac:dyDescent="0.2"/>
    <row r="64885" s="197" customFormat="1" ht="12.75" x14ac:dyDescent="0.2"/>
    <row r="64886" s="197" customFormat="1" ht="12.75" x14ac:dyDescent="0.2"/>
    <row r="64887" s="197" customFormat="1" ht="12.75" x14ac:dyDescent="0.2"/>
    <row r="64888" s="197" customFormat="1" ht="12.75" x14ac:dyDescent="0.2"/>
    <row r="64889" s="197" customFormat="1" ht="12.75" x14ac:dyDescent="0.2"/>
    <row r="64890" s="197" customFormat="1" ht="12.75" x14ac:dyDescent="0.2"/>
    <row r="64891" s="197" customFormat="1" ht="12.75" x14ac:dyDescent="0.2"/>
    <row r="64892" s="197" customFormat="1" ht="12.75" x14ac:dyDescent="0.2"/>
    <row r="64893" s="197" customFormat="1" ht="12.75" x14ac:dyDescent="0.2"/>
    <row r="64894" s="197" customFormat="1" ht="12.75" x14ac:dyDescent="0.2"/>
    <row r="64895" s="197" customFormat="1" ht="12.75" x14ac:dyDescent="0.2"/>
    <row r="64896" s="197" customFormat="1" ht="12.75" x14ac:dyDescent="0.2"/>
    <row r="64897" s="197" customFormat="1" ht="12.75" x14ac:dyDescent="0.2"/>
    <row r="64898" s="197" customFormat="1" ht="12.75" x14ac:dyDescent="0.2"/>
    <row r="64899" s="197" customFormat="1" ht="12.75" x14ac:dyDescent="0.2"/>
    <row r="64900" s="197" customFormat="1" ht="12.75" x14ac:dyDescent="0.2"/>
    <row r="64901" s="197" customFormat="1" ht="12.75" x14ac:dyDescent="0.2"/>
    <row r="64902" s="197" customFormat="1" ht="12.75" x14ac:dyDescent="0.2"/>
    <row r="64903" s="197" customFormat="1" ht="12.75" x14ac:dyDescent="0.2"/>
    <row r="64904" s="197" customFormat="1" ht="12.75" x14ac:dyDescent="0.2"/>
    <row r="64905" s="197" customFormat="1" ht="12.75" x14ac:dyDescent="0.2"/>
    <row r="64906" s="197" customFormat="1" ht="12.75" x14ac:dyDescent="0.2"/>
    <row r="64907" s="197" customFormat="1" ht="12.75" x14ac:dyDescent="0.2"/>
    <row r="64908" s="197" customFormat="1" ht="12.75" x14ac:dyDescent="0.2"/>
    <row r="64909" s="197" customFormat="1" ht="12.75" x14ac:dyDescent="0.2"/>
    <row r="64910" s="197" customFormat="1" ht="12.75" x14ac:dyDescent="0.2"/>
    <row r="64911" s="197" customFormat="1" ht="12.75" x14ac:dyDescent="0.2"/>
    <row r="64912" s="197" customFormat="1" ht="12.75" x14ac:dyDescent="0.2"/>
    <row r="64913" s="197" customFormat="1" ht="12.75" x14ac:dyDescent="0.2"/>
    <row r="64914" s="197" customFormat="1" ht="12.75" x14ac:dyDescent="0.2"/>
    <row r="64915" s="197" customFormat="1" ht="12.75" x14ac:dyDescent="0.2"/>
    <row r="64916" s="197" customFormat="1" ht="12.75" x14ac:dyDescent="0.2"/>
    <row r="64917" s="197" customFormat="1" ht="12.75" x14ac:dyDescent="0.2"/>
    <row r="64918" s="197" customFormat="1" ht="12.75" x14ac:dyDescent="0.2"/>
    <row r="64919" s="197" customFormat="1" ht="12.75" x14ac:dyDescent="0.2"/>
    <row r="64920" s="197" customFormat="1" ht="12.75" x14ac:dyDescent="0.2"/>
    <row r="64921" s="197" customFormat="1" ht="12.75" x14ac:dyDescent="0.2"/>
    <row r="64922" s="197" customFormat="1" ht="12.75" x14ac:dyDescent="0.2"/>
    <row r="64923" s="197" customFormat="1" ht="12.75" x14ac:dyDescent="0.2"/>
    <row r="64924" s="197" customFormat="1" ht="12.75" x14ac:dyDescent="0.2"/>
    <row r="64925" s="197" customFormat="1" ht="12.75" x14ac:dyDescent="0.2"/>
    <row r="64926" s="197" customFormat="1" ht="12.75" x14ac:dyDescent="0.2"/>
    <row r="64927" s="197" customFormat="1" ht="12.75" x14ac:dyDescent="0.2"/>
    <row r="64928" s="197" customFormat="1" ht="12.75" x14ac:dyDescent="0.2"/>
    <row r="64929" s="197" customFormat="1" ht="12.75" x14ac:dyDescent="0.2"/>
    <row r="64930" s="197" customFormat="1" ht="12.75" x14ac:dyDescent="0.2"/>
    <row r="64931" s="197" customFormat="1" ht="12.75" x14ac:dyDescent="0.2"/>
    <row r="64932" s="197" customFormat="1" ht="12.75" x14ac:dyDescent="0.2"/>
    <row r="64933" s="197" customFormat="1" ht="12.75" x14ac:dyDescent="0.2"/>
    <row r="64934" s="197" customFormat="1" ht="12.75" x14ac:dyDescent="0.2"/>
    <row r="64935" s="197" customFormat="1" ht="12.75" x14ac:dyDescent="0.2"/>
    <row r="64936" s="197" customFormat="1" ht="12.75" x14ac:dyDescent="0.2"/>
    <row r="64937" s="197" customFormat="1" ht="12.75" x14ac:dyDescent="0.2"/>
    <row r="64938" s="197" customFormat="1" ht="12.75" x14ac:dyDescent="0.2"/>
    <row r="64939" s="197" customFormat="1" ht="12.75" x14ac:dyDescent="0.2"/>
    <row r="64940" s="197" customFormat="1" ht="12.75" x14ac:dyDescent="0.2"/>
    <row r="64941" s="197" customFormat="1" ht="12.75" x14ac:dyDescent="0.2"/>
    <row r="64942" s="197" customFormat="1" ht="12.75" x14ac:dyDescent="0.2"/>
    <row r="64943" s="197" customFormat="1" ht="12.75" x14ac:dyDescent="0.2"/>
    <row r="64944" s="197" customFormat="1" ht="12.75" x14ac:dyDescent="0.2"/>
    <row r="64945" s="197" customFormat="1" ht="12.75" x14ac:dyDescent="0.2"/>
    <row r="64946" s="197" customFormat="1" ht="12.75" x14ac:dyDescent="0.2"/>
    <row r="64947" s="197" customFormat="1" ht="12.75" x14ac:dyDescent="0.2"/>
    <row r="64948" s="197" customFormat="1" ht="12.75" x14ac:dyDescent="0.2"/>
    <row r="64949" s="197" customFormat="1" ht="12.75" x14ac:dyDescent="0.2"/>
    <row r="64950" s="197" customFormat="1" ht="12.75" x14ac:dyDescent="0.2"/>
    <row r="64951" s="197" customFormat="1" ht="12.75" x14ac:dyDescent="0.2"/>
    <row r="64952" s="197" customFormat="1" ht="12.75" x14ac:dyDescent="0.2"/>
    <row r="64953" s="197" customFormat="1" ht="12.75" x14ac:dyDescent="0.2"/>
    <row r="64954" s="197" customFormat="1" ht="12.75" x14ac:dyDescent="0.2"/>
    <row r="64955" s="197" customFormat="1" ht="12.75" x14ac:dyDescent="0.2"/>
    <row r="64956" s="197" customFormat="1" ht="12.75" x14ac:dyDescent="0.2"/>
    <row r="64957" s="197" customFormat="1" ht="12.75" x14ac:dyDescent="0.2"/>
    <row r="64958" s="197" customFormat="1" ht="12.75" x14ac:dyDescent="0.2"/>
    <row r="64959" s="197" customFormat="1" ht="12.75" x14ac:dyDescent="0.2"/>
    <row r="64960" s="197" customFormat="1" ht="12.75" x14ac:dyDescent="0.2"/>
    <row r="64961" s="197" customFormat="1" ht="12.75" x14ac:dyDescent="0.2"/>
    <row r="64962" s="197" customFormat="1" ht="12.75" x14ac:dyDescent="0.2"/>
    <row r="64963" s="197" customFormat="1" ht="12.75" x14ac:dyDescent="0.2"/>
    <row r="64964" s="197" customFormat="1" ht="12.75" x14ac:dyDescent="0.2"/>
    <row r="64965" s="197" customFormat="1" ht="12.75" x14ac:dyDescent="0.2"/>
    <row r="64966" s="197" customFormat="1" ht="12.75" x14ac:dyDescent="0.2"/>
    <row r="64967" s="197" customFormat="1" ht="12.75" x14ac:dyDescent="0.2"/>
    <row r="64968" s="197" customFormat="1" ht="12.75" x14ac:dyDescent="0.2"/>
    <row r="64969" s="197" customFormat="1" ht="12.75" x14ac:dyDescent="0.2"/>
    <row r="64970" s="197" customFormat="1" ht="12.75" x14ac:dyDescent="0.2"/>
    <row r="64971" s="197" customFormat="1" ht="12.75" x14ac:dyDescent="0.2"/>
    <row r="64972" s="197" customFormat="1" ht="12.75" x14ac:dyDescent="0.2"/>
    <row r="64973" s="197" customFormat="1" ht="12.75" x14ac:dyDescent="0.2"/>
    <row r="64974" s="197" customFormat="1" ht="12.75" x14ac:dyDescent="0.2"/>
    <row r="64975" s="197" customFormat="1" ht="12.75" x14ac:dyDescent="0.2"/>
    <row r="64976" s="197" customFormat="1" ht="12.75" x14ac:dyDescent="0.2"/>
    <row r="64977" s="197" customFormat="1" ht="12.75" x14ac:dyDescent="0.2"/>
    <row r="64978" s="197" customFormat="1" ht="12.75" x14ac:dyDescent="0.2"/>
    <row r="64979" s="197" customFormat="1" ht="12.75" x14ac:dyDescent="0.2"/>
    <row r="64980" s="197" customFormat="1" ht="12.75" x14ac:dyDescent="0.2"/>
    <row r="64981" s="197" customFormat="1" ht="12.75" x14ac:dyDescent="0.2"/>
    <row r="64982" s="197" customFormat="1" ht="12.75" x14ac:dyDescent="0.2"/>
    <row r="64983" s="197" customFormat="1" ht="12.75" x14ac:dyDescent="0.2"/>
    <row r="64984" s="197" customFormat="1" ht="12.75" x14ac:dyDescent="0.2"/>
    <row r="64985" s="197" customFormat="1" ht="12.75" x14ac:dyDescent="0.2"/>
    <row r="64986" s="197" customFormat="1" ht="12.75" x14ac:dyDescent="0.2"/>
    <row r="64987" s="197" customFormat="1" ht="12.75" x14ac:dyDescent="0.2"/>
    <row r="64988" s="197" customFormat="1" ht="12.75" x14ac:dyDescent="0.2"/>
    <row r="64989" s="197" customFormat="1" ht="12.75" x14ac:dyDescent="0.2"/>
    <row r="64990" s="197" customFormat="1" ht="12.75" x14ac:dyDescent="0.2"/>
    <row r="64991" s="197" customFormat="1" ht="12.75" x14ac:dyDescent="0.2"/>
    <row r="64992" s="197" customFormat="1" ht="12.75" x14ac:dyDescent="0.2"/>
    <row r="64993" s="197" customFormat="1" ht="12.75" x14ac:dyDescent="0.2"/>
    <row r="64994" s="197" customFormat="1" ht="12.75" x14ac:dyDescent="0.2"/>
    <row r="64995" s="197" customFormat="1" ht="12.75" x14ac:dyDescent="0.2"/>
    <row r="64996" s="197" customFormat="1" ht="12.75" x14ac:dyDescent="0.2"/>
    <row r="64997" s="197" customFormat="1" ht="12.75" x14ac:dyDescent="0.2"/>
    <row r="64998" s="197" customFormat="1" ht="12.75" x14ac:dyDescent="0.2"/>
    <row r="64999" s="197" customFormat="1" ht="12.75" x14ac:dyDescent="0.2"/>
    <row r="65000" s="197" customFormat="1" ht="12.75" x14ac:dyDescent="0.2"/>
    <row r="65001" s="197" customFormat="1" ht="12.75" x14ac:dyDescent="0.2"/>
    <row r="65002" s="197" customFormat="1" ht="12.75" x14ac:dyDescent="0.2"/>
    <row r="65003" s="197" customFormat="1" ht="12.75" x14ac:dyDescent="0.2"/>
    <row r="65004" s="197" customFormat="1" ht="12.75" x14ac:dyDescent="0.2"/>
    <row r="65005" s="197" customFormat="1" ht="12.75" x14ac:dyDescent="0.2"/>
    <row r="65006" s="197" customFormat="1" ht="12.75" x14ac:dyDescent="0.2"/>
    <row r="65007" s="197" customFormat="1" ht="12.75" x14ac:dyDescent="0.2"/>
    <row r="65008" s="197" customFormat="1" ht="12.75" x14ac:dyDescent="0.2"/>
    <row r="65009" s="197" customFormat="1" ht="12.75" x14ac:dyDescent="0.2"/>
    <row r="65010" s="197" customFormat="1" ht="12.75" x14ac:dyDescent="0.2"/>
    <row r="65011" s="197" customFormat="1" ht="12.75" x14ac:dyDescent="0.2"/>
    <row r="65012" s="197" customFormat="1" ht="12.75" x14ac:dyDescent="0.2"/>
    <row r="65013" s="197" customFormat="1" ht="12.75" x14ac:dyDescent="0.2"/>
    <row r="65014" s="197" customFormat="1" ht="12.75" x14ac:dyDescent="0.2"/>
    <row r="65015" s="197" customFormat="1" ht="12.75" x14ac:dyDescent="0.2"/>
    <row r="65016" s="197" customFormat="1" ht="12.75" x14ac:dyDescent="0.2"/>
    <row r="65017" s="197" customFormat="1" ht="12.75" x14ac:dyDescent="0.2"/>
    <row r="65018" s="197" customFormat="1" ht="12.75" x14ac:dyDescent="0.2"/>
    <row r="65019" s="197" customFormat="1" ht="12.75" x14ac:dyDescent="0.2"/>
    <row r="65020" s="197" customFormat="1" ht="12.75" x14ac:dyDescent="0.2"/>
    <row r="65021" s="197" customFormat="1" ht="12.75" x14ac:dyDescent="0.2"/>
    <row r="65022" s="197" customFormat="1" ht="12.75" x14ac:dyDescent="0.2"/>
    <row r="65023" s="197" customFormat="1" ht="12.75" x14ac:dyDescent="0.2"/>
    <row r="65024" s="197" customFormat="1" ht="12.75" x14ac:dyDescent="0.2"/>
    <row r="65025" s="197" customFormat="1" ht="12.75" x14ac:dyDescent="0.2"/>
    <row r="65026" s="197" customFormat="1" ht="12.75" x14ac:dyDescent="0.2"/>
    <row r="65027" s="197" customFormat="1" ht="12.75" x14ac:dyDescent="0.2"/>
    <row r="65028" s="197" customFormat="1" ht="12.75" x14ac:dyDescent="0.2"/>
    <row r="65029" s="197" customFormat="1" ht="12.75" x14ac:dyDescent="0.2"/>
    <row r="65030" s="197" customFormat="1" ht="12.75" x14ac:dyDescent="0.2"/>
    <row r="65031" s="197" customFormat="1" ht="12.75" x14ac:dyDescent="0.2"/>
    <row r="65032" s="197" customFormat="1" ht="12.75" x14ac:dyDescent="0.2"/>
    <row r="65033" s="197" customFormat="1" ht="12.75" x14ac:dyDescent="0.2"/>
    <row r="65034" s="197" customFormat="1" ht="12.75" x14ac:dyDescent="0.2"/>
    <row r="65035" s="197" customFormat="1" ht="12.75" x14ac:dyDescent="0.2"/>
    <row r="65036" s="197" customFormat="1" ht="12.75" x14ac:dyDescent="0.2"/>
    <row r="65037" s="197" customFormat="1" ht="12.75" x14ac:dyDescent="0.2"/>
    <row r="65038" s="197" customFormat="1" ht="12.75" x14ac:dyDescent="0.2"/>
    <row r="65039" s="197" customFormat="1" ht="12.75" x14ac:dyDescent="0.2"/>
    <row r="65040" s="197" customFormat="1" ht="12.75" x14ac:dyDescent="0.2"/>
    <row r="65041" s="197" customFormat="1" ht="12.75" x14ac:dyDescent="0.2"/>
    <row r="65042" s="197" customFormat="1" ht="12.75" x14ac:dyDescent="0.2"/>
    <row r="65043" s="197" customFormat="1" ht="12.75" x14ac:dyDescent="0.2"/>
    <row r="65044" s="197" customFormat="1" ht="12.75" x14ac:dyDescent="0.2"/>
    <row r="65045" s="197" customFormat="1" ht="12.75" x14ac:dyDescent="0.2"/>
    <row r="65046" s="197" customFormat="1" ht="12.75" x14ac:dyDescent="0.2"/>
    <row r="65047" s="197" customFormat="1" ht="12.75" x14ac:dyDescent="0.2"/>
    <row r="65048" s="197" customFormat="1" ht="12.75" x14ac:dyDescent="0.2"/>
    <row r="65049" s="197" customFormat="1" ht="12.75" x14ac:dyDescent="0.2"/>
    <row r="65050" s="197" customFormat="1" ht="12.75" x14ac:dyDescent="0.2"/>
    <row r="65051" s="197" customFormat="1" ht="12.75" x14ac:dyDescent="0.2"/>
    <row r="65052" s="197" customFormat="1" ht="12.75" x14ac:dyDescent="0.2"/>
    <row r="65053" s="197" customFormat="1" ht="12.75" x14ac:dyDescent="0.2"/>
    <row r="65054" s="197" customFormat="1" ht="12.75" x14ac:dyDescent="0.2"/>
    <row r="65055" s="197" customFormat="1" ht="12.75" x14ac:dyDescent="0.2"/>
    <row r="65056" s="197" customFormat="1" ht="12.75" x14ac:dyDescent="0.2"/>
    <row r="65057" s="197" customFormat="1" ht="12.75" x14ac:dyDescent="0.2"/>
    <row r="65058" s="197" customFormat="1" ht="12.75" x14ac:dyDescent="0.2"/>
    <row r="65059" s="197" customFormat="1" ht="12.75" x14ac:dyDescent="0.2"/>
    <row r="65060" s="197" customFormat="1" ht="12.75" x14ac:dyDescent="0.2"/>
    <row r="65061" s="197" customFormat="1" ht="12.75" x14ac:dyDescent="0.2"/>
    <row r="65062" s="197" customFormat="1" ht="12.75" x14ac:dyDescent="0.2"/>
    <row r="65063" s="197" customFormat="1" ht="12.75" x14ac:dyDescent="0.2"/>
    <row r="65064" s="197" customFormat="1" ht="12.75" x14ac:dyDescent="0.2"/>
    <row r="65065" s="197" customFormat="1" ht="12.75" x14ac:dyDescent="0.2"/>
    <row r="65066" s="197" customFormat="1" ht="12.75" x14ac:dyDescent="0.2"/>
    <row r="65067" s="197" customFormat="1" ht="12.75" x14ac:dyDescent="0.2"/>
    <row r="65068" s="197" customFormat="1" ht="12.75" x14ac:dyDescent="0.2"/>
    <row r="65069" s="197" customFormat="1" ht="12.75" x14ac:dyDescent="0.2"/>
    <row r="65070" s="197" customFormat="1" ht="12.75" x14ac:dyDescent="0.2"/>
    <row r="65071" s="197" customFormat="1" ht="12.75" x14ac:dyDescent="0.2"/>
    <row r="65072" s="197" customFormat="1" ht="12.75" x14ac:dyDescent="0.2"/>
    <row r="65073" s="197" customFormat="1" ht="12.75" x14ac:dyDescent="0.2"/>
    <row r="65074" s="197" customFormat="1" ht="12.75" x14ac:dyDescent="0.2"/>
    <row r="65075" s="197" customFormat="1" ht="12.75" x14ac:dyDescent="0.2"/>
    <row r="65076" s="197" customFormat="1" ht="12.75" x14ac:dyDescent="0.2"/>
    <row r="65077" s="197" customFormat="1" ht="12.75" x14ac:dyDescent="0.2"/>
    <row r="65078" s="197" customFormat="1" ht="12.75" x14ac:dyDescent="0.2"/>
    <row r="65079" s="197" customFormat="1" ht="12.75" x14ac:dyDescent="0.2"/>
    <row r="65080" s="197" customFormat="1" ht="12.75" x14ac:dyDescent="0.2"/>
    <row r="65081" s="197" customFormat="1" ht="12.75" x14ac:dyDescent="0.2"/>
    <row r="65082" s="197" customFormat="1" ht="12.75" x14ac:dyDescent="0.2"/>
    <row r="65083" s="197" customFormat="1" ht="12.75" x14ac:dyDescent="0.2"/>
    <row r="65084" s="197" customFormat="1" ht="12.75" x14ac:dyDescent="0.2"/>
    <row r="65085" s="197" customFormat="1" ht="12.75" x14ac:dyDescent="0.2"/>
    <row r="65086" s="197" customFormat="1" ht="12.75" x14ac:dyDescent="0.2"/>
    <row r="65087" s="197" customFormat="1" ht="12.75" x14ac:dyDescent="0.2"/>
    <row r="65088" s="197" customFormat="1" ht="12.75" x14ac:dyDescent="0.2"/>
    <row r="65089" s="197" customFormat="1" ht="12.75" x14ac:dyDescent="0.2"/>
    <row r="65090" s="197" customFormat="1" ht="12.75" x14ac:dyDescent="0.2"/>
    <row r="65091" s="197" customFormat="1" ht="12.75" x14ac:dyDescent="0.2"/>
    <row r="65092" s="197" customFormat="1" ht="12.75" x14ac:dyDescent="0.2"/>
    <row r="65093" s="197" customFormat="1" ht="12.75" x14ac:dyDescent="0.2"/>
    <row r="65094" s="197" customFormat="1" ht="12.75" x14ac:dyDescent="0.2"/>
    <row r="65095" s="197" customFormat="1" ht="12.75" x14ac:dyDescent="0.2"/>
    <row r="65096" s="197" customFormat="1" ht="12.75" x14ac:dyDescent="0.2"/>
    <row r="65097" s="197" customFormat="1" ht="12.75" x14ac:dyDescent="0.2"/>
    <row r="65098" s="197" customFormat="1" ht="12.75" x14ac:dyDescent="0.2"/>
    <row r="65099" s="197" customFormat="1" ht="12.75" x14ac:dyDescent="0.2"/>
    <row r="65100" s="197" customFormat="1" ht="12.75" x14ac:dyDescent="0.2"/>
    <row r="65101" s="197" customFormat="1" ht="12.75" x14ac:dyDescent="0.2"/>
    <row r="65102" s="197" customFormat="1" ht="12.75" x14ac:dyDescent="0.2"/>
    <row r="65103" s="197" customFormat="1" ht="12.75" x14ac:dyDescent="0.2"/>
    <row r="65104" s="197" customFormat="1" ht="12.75" x14ac:dyDescent="0.2"/>
    <row r="65105" s="197" customFormat="1" ht="12.75" x14ac:dyDescent="0.2"/>
    <row r="65106" s="197" customFormat="1" ht="12.75" x14ac:dyDescent="0.2"/>
    <row r="65107" s="197" customFormat="1" ht="12.75" x14ac:dyDescent="0.2"/>
    <row r="65108" s="197" customFormat="1" ht="12.75" x14ac:dyDescent="0.2"/>
    <row r="65109" s="197" customFormat="1" ht="12.75" x14ac:dyDescent="0.2"/>
    <row r="65110" s="197" customFormat="1" ht="12.75" x14ac:dyDescent="0.2"/>
    <row r="65111" s="197" customFormat="1" ht="12.75" x14ac:dyDescent="0.2"/>
    <row r="65112" s="197" customFormat="1" ht="12.75" x14ac:dyDescent="0.2"/>
    <row r="65113" s="197" customFormat="1" ht="12.75" x14ac:dyDescent="0.2"/>
    <row r="65114" s="197" customFormat="1" ht="12.75" x14ac:dyDescent="0.2"/>
    <row r="65115" s="197" customFormat="1" ht="12.75" x14ac:dyDescent="0.2"/>
    <row r="65116" s="197" customFormat="1" ht="12.75" x14ac:dyDescent="0.2"/>
    <row r="65117" s="197" customFormat="1" ht="12.75" x14ac:dyDescent="0.2"/>
    <row r="65118" s="197" customFormat="1" ht="12.75" x14ac:dyDescent="0.2"/>
    <row r="65119" s="197" customFormat="1" ht="12.75" x14ac:dyDescent="0.2"/>
    <row r="65120" s="197" customFormat="1" ht="12.75" x14ac:dyDescent="0.2"/>
    <row r="65121" s="197" customFormat="1" ht="12.75" x14ac:dyDescent="0.2"/>
    <row r="65122" s="197" customFormat="1" ht="12.75" x14ac:dyDescent="0.2"/>
    <row r="65123" s="197" customFormat="1" ht="12.75" x14ac:dyDescent="0.2"/>
    <row r="65124" s="197" customFormat="1" ht="12.75" x14ac:dyDescent="0.2"/>
    <row r="65125" s="197" customFormat="1" ht="12.75" x14ac:dyDescent="0.2"/>
    <row r="65126" s="197" customFormat="1" ht="12.75" x14ac:dyDescent="0.2"/>
    <row r="65127" s="197" customFormat="1" ht="12.75" x14ac:dyDescent="0.2"/>
    <row r="65128" s="197" customFormat="1" ht="12.75" x14ac:dyDescent="0.2"/>
    <row r="65129" s="197" customFormat="1" ht="12.75" x14ac:dyDescent="0.2"/>
    <row r="65130" s="197" customFormat="1" ht="12.75" x14ac:dyDescent="0.2"/>
    <row r="65131" s="197" customFormat="1" ht="12.75" x14ac:dyDescent="0.2"/>
    <row r="65132" s="197" customFormat="1" ht="12.75" x14ac:dyDescent="0.2"/>
    <row r="65133" s="197" customFormat="1" ht="12.75" x14ac:dyDescent="0.2"/>
    <row r="65134" s="197" customFormat="1" ht="12.75" x14ac:dyDescent="0.2"/>
    <row r="65135" s="197" customFormat="1" ht="12.75" x14ac:dyDescent="0.2"/>
    <row r="65136" s="197" customFormat="1" ht="12.75" x14ac:dyDescent="0.2"/>
    <row r="65137" s="197" customFormat="1" ht="12.75" x14ac:dyDescent="0.2"/>
    <row r="65138" s="197" customFormat="1" ht="12.75" x14ac:dyDescent="0.2"/>
    <row r="65139" s="197" customFormat="1" ht="12.75" x14ac:dyDescent="0.2"/>
    <row r="65140" s="197" customFormat="1" ht="12.75" x14ac:dyDescent="0.2"/>
    <row r="65141" s="197" customFormat="1" ht="12.75" x14ac:dyDescent="0.2"/>
    <row r="65142" s="197" customFormat="1" ht="12.75" x14ac:dyDescent="0.2"/>
    <row r="65143" s="197" customFormat="1" ht="12.75" x14ac:dyDescent="0.2"/>
    <row r="65144" s="197" customFormat="1" ht="12.75" x14ac:dyDescent="0.2"/>
    <row r="65145" s="197" customFormat="1" ht="12.75" x14ac:dyDescent="0.2"/>
    <row r="65146" s="197" customFormat="1" ht="12.75" x14ac:dyDescent="0.2"/>
    <row r="65147" s="197" customFormat="1" ht="12.75" x14ac:dyDescent="0.2"/>
    <row r="65148" s="197" customFormat="1" ht="12.75" x14ac:dyDescent="0.2"/>
    <row r="65149" s="197" customFormat="1" ht="12.75" x14ac:dyDescent="0.2"/>
    <row r="65150" s="197" customFormat="1" ht="12.75" x14ac:dyDescent="0.2"/>
    <row r="65151" s="197" customFormat="1" ht="12.75" x14ac:dyDescent="0.2"/>
    <row r="65152" s="197" customFormat="1" ht="12.75" x14ac:dyDescent="0.2"/>
    <row r="65153" s="197" customFormat="1" ht="12.75" x14ac:dyDescent="0.2"/>
    <row r="65154" s="197" customFormat="1" ht="12.75" x14ac:dyDescent="0.2"/>
    <row r="65155" s="197" customFormat="1" ht="12.75" x14ac:dyDescent="0.2"/>
    <row r="65156" s="197" customFormat="1" ht="12.75" x14ac:dyDescent="0.2"/>
    <row r="65157" s="197" customFormat="1" ht="12.75" x14ac:dyDescent="0.2"/>
    <row r="65158" s="197" customFormat="1" ht="12.75" x14ac:dyDescent="0.2"/>
    <row r="65159" s="197" customFormat="1" ht="12.75" x14ac:dyDescent="0.2"/>
    <row r="65160" s="197" customFormat="1" ht="12.75" x14ac:dyDescent="0.2"/>
    <row r="65161" s="197" customFormat="1" ht="12.75" x14ac:dyDescent="0.2"/>
    <row r="65162" s="197" customFormat="1" ht="12.75" x14ac:dyDescent="0.2"/>
    <row r="65163" s="197" customFormat="1" ht="12.75" x14ac:dyDescent="0.2"/>
    <row r="65164" s="197" customFormat="1" ht="12.75" x14ac:dyDescent="0.2"/>
    <row r="65165" s="197" customFormat="1" ht="12.75" x14ac:dyDescent="0.2"/>
    <row r="65166" s="197" customFormat="1" ht="12.75" x14ac:dyDescent="0.2"/>
    <row r="65167" s="197" customFormat="1" ht="12.75" x14ac:dyDescent="0.2"/>
    <row r="65168" s="197" customFormat="1" ht="12.75" x14ac:dyDescent="0.2"/>
    <row r="65169" s="197" customFormat="1" ht="12.75" x14ac:dyDescent="0.2"/>
    <row r="65170" s="197" customFormat="1" ht="12.75" x14ac:dyDescent="0.2"/>
    <row r="65171" s="197" customFormat="1" ht="12.75" x14ac:dyDescent="0.2"/>
    <row r="65172" s="197" customFormat="1" ht="12.75" x14ac:dyDescent="0.2"/>
    <row r="65173" s="197" customFormat="1" ht="12.75" x14ac:dyDescent="0.2"/>
    <row r="65174" s="197" customFormat="1" ht="12.75" x14ac:dyDescent="0.2"/>
    <row r="65175" s="197" customFormat="1" ht="12.75" x14ac:dyDescent="0.2"/>
    <row r="65176" s="197" customFormat="1" ht="12.75" x14ac:dyDescent="0.2"/>
    <row r="65177" s="197" customFormat="1" ht="12.75" x14ac:dyDescent="0.2"/>
    <row r="65178" s="197" customFormat="1" ht="12.75" x14ac:dyDescent="0.2"/>
    <row r="65179" s="197" customFormat="1" ht="12.75" x14ac:dyDescent="0.2"/>
    <row r="65180" s="197" customFormat="1" ht="12.75" x14ac:dyDescent="0.2"/>
    <row r="65181" s="197" customFormat="1" ht="12.75" x14ac:dyDescent="0.2"/>
    <row r="65182" s="197" customFormat="1" ht="12.75" x14ac:dyDescent="0.2"/>
    <row r="65183" s="197" customFormat="1" ht="12.75" x14ac:dyDescent="0.2"/>
    <row r="65184" s="197" customFormat="1" ht="12.75" x14ac:dyDescent="0.2"/>
    <row r="65185" s="197" customFormat="1" ht="12.75" x14ac:dyDescent="0.2"/>
    <row r="65186" s="197" customFormat="1" ht="12.75" x14ac:dyDescent="0.2"/>
    <row r="65187" s="197" customFormat="1" ht="12.75" x14ac:dyDescent="0.2"/>
    <row r="65188" s="197" customFormat="1" ht="12.75" x14ac:dyDescent="0.2"/>
    <row r="65189" s="197" customFormat="1" ht="12.75" x14ac:dyDescent="0.2"/>
    <row r="65190" s="197" customFormat="1" ht="12.75" x14ac:dyDescent="0.2"/>
    <row r="65191" s="197" customFormat="1" ht="12.75" x14ac:dyDescent="0.2"/>
    <row r="65192" s="197" customFormat="1" ht="12.75" x14ac:dyDescent="0.2"/>
    <row r="65193" s="197" customFormat="1" ht="12.75" x14ac:dyDescent="0.2"/>
    <row r="65194" s="197" customFormat="1" ht="12.75" x14ac:dyDescent="0.2"/>
    <row r="65195" s="197" customFormat="1" ht="12.75" x14ac:dyDescent="0.2"/>
    <row r="65196" s="197" customFormat="1" ht="12.75" x14ac:dyDescent="0.2"/>
    <row r="65197" s="197" customFormat="1" ht="12.75" x14ac:dyDescent="0.2"/>
    <row r="65198" s="197" customFormat="1" ht="12.75" x14ac:dyDescent="0.2"/>
    <row r="65199" s="197" customFormat="1" ht="12.75" x14ac:dyDescent="0.2"/>
    <row r="65200" s="197" customFormat="1" ht="12.75" x14ac:dyDescent="0.2"/>
    <row r="65201" s="197" customFormat="1" ht="12.75" x14ac:dyDescent="0.2"/>
    <row r="65202" s="197" customFormat="1" ht="12.75" x14ac:dyDescent="0.2"/>
    <row r="65203" s="197" customFormat="1" ht="12.75" x14ac:dyDescent="0.2"/>
    <row r="65204" s="197" customFormat="1" ht="12.75" x14ac:dyDescent="0.2"/>
    <row r="65205" s="197" customFormat="1" ht="12.75" x14ac:dyDescent="0.2"/>
    <row r="65206" s="197" customFormat="1" ht="12.75" x14ac:dyDescent="0.2"/>
    <row r="65207" s="197" customFormat="1" ht="12.75" x14ac:dyDescent="0.2"/>
    <row r="65208" s="197" customFormat="1" ht="12.75" x14ac:dyDescent="0.2"/>
    <row r="65209" s="197" customFormat="1" ht="12.75" x14ac:dyDescent="0.2"/>
    <row r="65210" s="197" customFormat="1" ht="12.75" x14ac:dyDescent="0.2"/>
    <row r="65211" s="197" customFormat="1" ht="12.75" x14ac:dyDescent="0.2"/>
    <row r="65212" s="197" customFormat="1" ht="12.75" x14ac:dyDescent="0.2"/>
    <row r="65213" s="197" customFormat="1" ht="12.75" x14ac:dyDescent="0.2"/>
    <row r="65214" s="197" customFormat="1" ht="12.75" x14ac:dyDescent="0.2"/>
    <row r="65215" s="197" customFormat="1" ht="12.75" x14ac:dyDescent="0.2"/>
    <row r="65216" s="197" customFormat="1" ht="12.75" x14ac:dyDescent="0.2"/>
    <row r="65217" s="197" customFormat="1" ht="12.75" x14ac:dyDescent="0.2"/>
    <row r="65218" s="197" customFormat="1" ht="12.75" x14ac:dyDescent="0.2"/>
    <row r="65219" s="197" customFormat="1" ht="12.75" x14ac:dyDescent="0.2"/>
    <row r="65220" s="197" customFormat="1" ht="12.75" x14ac:dyDescent="0.2"/>
    <row r="65221" s="197" customFormat="1" ht="12.75" x14ac:dyDescent="0.2"/>
    <row r="65222" s="197" customFormat="1" ht="12.75" x14ac:dyDescent="0.2"/>
    <row r="65223" s="197" customFormat="1" ht="12.75" x14ac:dyDescent="0.2"/>
    <row r="65224" s="197" customFormat="1" ht="12.75" x14ac:dyDescent="0.2"/>
    <row r="65225" s="197" customFormat="1" ht="12.75" x14ac:dyDescent="0.2"/>
    <row r="65226" s="197" customFormat="1" ht="12.75" x14ac:dyDescent="0.2"/>
    <row r="65227" s="197" customFormat="1" ht="12.75" x14ac:dyDescent="0.2"/>
    <row r="65228" s="197" customFormat="1" ht="12.75" x14ac:dyDescent="0.2"/>
    <row r="65229" s="197" customFormat="1" ht="12.75" x14ac:dyDescent="0.2"/>
    <row r="65230" s="197" customFormat="1" ht="12.75" x14ac:dyDescent="0.2"/>
    <row r="65231" s="197" customFormat="1" ht="12.75" x14ac:dyDescent="0.2"/>
    <row r="65232" s="197" customFormat="1" ht="12.75" x14ac:dyDescent="0.2"/>
    <row r="65233" s="197" customFormat="1" ht="12.75" x14ac:dyDescent="0.2"/>
    <row r="65234" s="197" customFormat="1" ht="12.75" x14ac:dyDescent="0.2"/>
    <row r="65235" s="197" customFormat="1" ht="12.75" x14ac:dyDescent="0.2"/>
    <row r="65236" s="197" customFormat="1" ht="12.75" x14ac:dyDescent="0.2"/>
    <row r="65237" s="197" customFormat="1" ht="12.75" x14ac:dyDescent="0.2"/>
    <row r="65238" s="197" customFormat="1" ht="12.75" x14ac:dyDescent="0.2"/>
    <row r="65239" s="197" customFormat="1" ht="12.75" x14ac:dyDescent="0.2"/>
    <row r="65240" s="197" customFormat="1" ht="12.75" x14ac:dyDescent="0.2"/>
    <row r="65241" s="197" customFormat="1" ht="12.75" x14ac:dyDescent="0.2"/>
    <row r="65242" s="197" customFormat="1" ht="12.75" x14ac:dyDescent="0.2"/>
    <row r="65243" s="197" customFormat="1" ht="12.75" x14ac:dyDescent="0.2"/>
    <row r="65244" s="197" customFormat="1" ht="12.75" x14ac:dyDescent="0.2"/>
    <row r="65245" s="197" customFormat="1" ht="12.75" x14ac:dyDescent="0.2"/>
    <row r="65246" s="197" customFormat="1" ht="12.75" x14ac:dyDescent="0.2"/>
    <row r="65247" s="197" customFormat="1" ht="12.75" x14ac:dyDescent="0.2"/>
    <row r="65248" s="197" customFormat="1" ht="12.75" x14ac:dyDescent="0.2"/>
    <row r="65249" s="197" customFormat="1" ht="12.75" x14ac:dyDescent="0.2"/>
    <row r="65250" s="197" customFormat="1" ht="12.75" x14ac:dyDescent="0.2"/>
    <row r="65251" s="197" customFormat="1" ht="12.75" x14ac:dyDescent="0.2"/>
    <row r="65252" s="197" customFormat="1" ht="12.75" x14ac:dyDescent="0.2"/>
    <row r="65253" s="197" customFormat="1" ht="12.75" x14ac:dyDescent="0.2"/>
    <row r="65254" s="197" customFormat="1" ht="12.75" x14ac:dyDescent="0.2"/>
    <row r="65255" s="197" customFormat="1" ht="12.75" x14ac:dyDescent="0.2"/>
    <row r="65256" s="197" customFormat="1" ht="12.75" x14ac:dyDescent="0.2"/>
    <row r="65257" s="197" customFormat="1" ht="12.75" x14ac:dyDescent="0.2"/>
    <row r="65258" s="197" customFormat="1" ht="12.75" x14ac:dyDescent="0.2"/>
    <row r="65259" s="197" customFormat="1" ht="12.75" x14ac:dyDescent="0.2"/>
    <row r="65260" s="197" customFormat="1" ht="12.75" x14ac:dyDescent="0.2"/>
    <row r="65261" s="197" customFormat="1" ht="12.75" x14ac:dyDescent="0.2"/>
    <row r="65262" s="197" customFormat="1" ht="12.75" x14ac:dyDescent="0.2"/>
    <row r="65263" s="197" customFormat="1" ht="12.75" x14ac:dyDescent="0.2"/>
    <row r="65264" s="197" customFormat="1" ht="12.75" x14ac:dyDescent="0.2"/>
    <row r="65265" s="197" customFormat="1" ht="12.75" x14ac:dyDescent="0.2"/>
    <row r="65266" s="197" customFormat="1" ht="12.75" x14ac:dyDescent="0.2"/>
    <row r="65267" s="197" customFormat="1" ht="12.75" x14ac:dyDescent="0.2"/>
    <row r="65268" s="197" customFormat="1" ht="12.75" x14ac:dyDescent="0.2"/>
    <row r="65269" s="197" customFormat="1" ht="12.75" x14ac:dyDescent="0.2"/>
    <row r="65270" s="197" customFormat="1" ht="12.75" x14ac:dyDescent="0.2"/>
    <row r="65271" s="197" customFormat="1" ht="12.75" x14ac:dyDescent="0.2"/>
    <row r="65272" s="197" customFormat="1" ht="12.75" x14ac:dyDescent="0.2"/>
    <row r="65273" s="197" customFormat="1" ht="12.75" x14ac:dyDescent="0.2"/>
    <row r="65274" s="197" customFormat="1" ht="12.75" x14ac:dyDescent="0.2"/>
    <row r="65275" s="197" customFormat="1" ht="12.75" x14ac:dyDescent="0.2"/>
    <row r="65276" s="197" customFormat="1" ht="12.75" x14ac:dyDescent="0.2"/>
    <row r="65277" s="197" customFormat="1" ht="12.75" x14ac:dyDescent="0.2"/>
    <row r="65278" s="197" customFormat="1" ht="12.75" x14ac:dyDescent="0.2"/>
    <row r="65279" s="197" customFormat="1" ht="12.75" x14ac:dyDescent="0.2"/>
    <row r="65280" s="197" customFormat="1" ht="12.75" x14ac:dyDescent="0.2"/>
    <row r="65281" s="197" customFormat="1" ht="12.75" x14ac:dyDescent="0.2"/>
    <row r="65282" s="197" customFormat="1" ht="12.75" x14ac:dyDescent="0.2"/>
    <row r="65283" s="197" customFormat="1" ht="12.75" x14ac:dyDescent="0.2"/>
    <row r="65284" s="197" customFormat="1" ht="12.75" x14ac:dyDescent="0.2"/>
    <row r="65285" s="197" customFormat="1" ht="12.75" x14ac:dyDescent="0.2"/>
    <row r="65286" s="197" customFormat="1" ht="12.75" x14ac:dyDescent="0.2"/>
    <row r="65287" s="197" customFormat="1" ht="12.75" x14ac:dyDescent="0.2"/>
    <row r="65288" s="197" customFormat="1" ht="12.75" x14ac:dyDescent="0.2"/>
    <row r="65289" s="197" customFormat="1" ht="12.75" x14ac:dyDescent="0.2"/>
    <row r="65290" s="197" customFormat="1" ht="12.75" x14ac:dyDescent="0.2"/>
    <row r="65291" s="197" customFormat="1" ht="12.75" x14ac:dyDescent="0.2"/>
    <row r="65292" s="197" customFormat="1" ht="12.75" x14ac:dyDescent="0.2"/>
    <row r="65293" s="197" customFormat="1" ht="12.75" x14ac:dyDescent="0.2"/>
    <row r="65294" s="197" customFormat="1" ht="12.75" x14ac:dyDescent="0.2"/>
    <row r="65295" s="197" customFormat="1" ht="12.75" x14ac:dyDescent="0.2"/>
    <row r="65296" s="197" customFormat="1" ht="12.75" x14ac:dyDescent="0.2"/>
    <row r="65297" s="197" customFormat="1" ht="12.75" x14ac:dyDescent="0.2"/>
    <row r="65298" s="197" customFormat="1" ht="12.75" x14ac:dyDescent="0.2"/>
    <row r="65299" s="197" customFormat="1" ht="12.75" x14ac:dyDescent="0.2"/>
    <row r="65300" s="197" customFormat="1" ht="12.75" x14ac:dyDescent="0.2"/>
    <row r="65301" s="197" customFormat="1" ht="12.75" x14ac:dyDescent="0.2"/>
    <row r="65302" s="197" customFormat="1" ht="12.75" x14ac:dyDescent="0.2"/>
    <row r="65303" s="197" customFormat="1" ht="12.75" x14ac:dyDescent="0.2"/>
    <row r="65304" s="197" customFormat="1" ht="12.75" x14ac:dyDescent="0.2"/>
    <row r="65305" s="197" customFormat="1" ht="12.75" x14ac:dyDescent="0.2"/>
    <row r="65306" s="197" customFormat="1" ht="12.75" x14ac:dyDescent="0.2"/>
    <row r="65307" s="197" customFormat="1" ht="12.75" x14ac:dyDescent="0.2"/>
    <row r="65308" s="197" customFormat="1" ht="12.75" x14ac:dyDescent="0.2"/>
    <row r="65309" s="197" customFormat="1" ht="12.75" x14ac:dyDescent="0.2"/>
    <row r="65310" s="197" customFormat="1" ht="12.75" x14ac:dyDescent="0.2"/>
    <row r="65311" s="197" customFormat="1" ht="12.75" x14ac:dyDescent="0.2"/>
    <row r="65312" s="197" customFormat="1" ht="12.75" x14ac:dyDescent="0.2"/>
    <row r="65313" s="197" customFormat="1" ht="12.75" x14ac:dyDescent="0.2"/>
    <row r="65314" s="197" customFormat="1" ht="12.75" x14ac:dyDescent="0.2"/>
    <row r="65315" s="197" customFormat="1" ht="12.75" x14ac:dyDescent="0.2"/>
    <row r="65316" s="197" customFormat="1" ht="12.75" x14ac:dyDescent="0.2"/>
    <row r="65317" s="197" customFormat="1" ht="12.75" x14ac:dyDescent="0.2"/>
    <row r="65318" s="197" customFormat="1" ht="12.75" x14ac:dyDescent="0.2"/>
    <row r="65319" s="197" customFormat="1" ht="12.75" x14ac:dyDescent="0.2"/>
    <row r="65320" s="197" customFormat="1" ht="12.75" x14ac:dyDescent="0.2"/>
    <row r="65321" s="197" customFormat="1" ht="12.75" x14ac:dyDescent="0.2"/>
    <row r="65322" s="197" customFormat="1" ht="12.75" x14ac:dyDescent="0.2"/>
    <row r="65323" s="197" customFormat="1" ht="12.75" x14ac:dyDescent="0.2"/>
    <row r="65324" s="197" customFormat="1" ht="12.75" x14ac:dyDescent="0.2"/>
    <row r="65325" s="197" customFormat="1" ht="12.75" x14ac:dyDescent="0.2"/>
    <row r="65326" s="197" customFormat="1" ht="12.75" x14ac:dyDescent="0.2"/>
    <row r="65327" s="197" customFormat="1" ht="12.75" x14ac:dyDescent="0.2"/>
    <row r="65328" s="197" customFormat="1" ht="12.75" x14ac:dyDescent="0.2"/>
    <row r="65329" s="197" customFormat="1" ht="12.75" x14ac:dyDescent="0.2"/>
    <row r="65330" s="197" customFormat="1" ht="12.75" x14ac:dyDescent="0.2"/>
    <row r="65331" s="197" customFormat="1" ht="12.75" x14ac:dyDescent="0.2"/>
    <row r="65332" s="197" customFormat="1" ht="12.75" x14ac:dyDescent="0.2"/>
    <row r="65333" s="197" customFormat="1" ht="12.75" x14ac:dyDescent="0.2"/>
    <row r="65334" s="197" customFormat="1" ht="12.75" x14ac:dyDescent="0.2"/>
    <row r="65335" s="197" customFormat="1" ht="12.75" x14ac:dyDescent="0.2"/>
    <row r="65336" s="197" customFormat="1" ht="12.75" x14ac:dyDescent="0.2"/>
    <row r="65337" s="197" customFormat="1" ht="12.75" x14ac:dyDescent="0.2"/>
    <row r="65338" s="197" customFormat="1" ht="12.75" x14ac:dyDescent="0.2"/>
    <row r="65339" s="197" customFormat="1" ht="12.75" x14ac:dyDescent="0.2"/>
    <row r="65340" s="197" customFormat="1" ht="12.75" x14ac:dyDescent="0.2"/>
    <row r="65341" s="197" customFormat="1" ht="12.75" x14ac:dyDescent="0.2"/>
    <row r="65342" s="197" customFormat="1" ht="12.75" x14ac:dyDescent="0.2"/>
    <row r="65343" s="197" customFormat="1" ht="12.75" x14ac:dyDescent="0.2"/>
    <row r="65344" s="197" customFormat="1" ht="12.75" x14ac:dyDescent="0.2"/>
    <row r="65345" s="197" customFormat="1" ht="12.75" x14ac:dyDescent="0.2"/>
    <row r="65346" s="197" customFormat="1" ht="12.75" x14ac:dyDescent="0.2"/>
    <row r="65347" s="197" customFormat="1" ht="12.75" x14ac:dyDescent="0.2"/>
    <row r="65348" s="197" customFormat="1" ht="12.75" x14ac:dyDescent="0.2"/>
    <row r="65349" s="197" customFormat="1" ht="12.75" x14ac:dyDescent="0.2"/>
    <row r="65350" s="197" customFormat="1" ht="12.75" x14ac:dyDescent="0.2"/>
    <row r="65351" s="197" customFormat="1" ht="12.75" x14ac:dyDescent="0.2"/>
    <row r="65352" s="197" customFormat="1" ht="12.75" x14ac:dyDescent="0.2"/>
    <row r="65353" s="197" customFormat="1" ht="12.75" x14ac:dyDescent="0.2"/>
    <row r="65354" s="197" customFormat="1" ht="12.75" x14ac:dyDescent="0.2"/>
    <row r="65355" s="197" customFormat="1" ht="12.75" x14ac:dyDescent="0.2"/>
    <row r="65356" s="197" customFormat="1" ht="12.75" x14ac:dyDescent="0.2"/>
    <row r="65357" s="197" customFormat="1" ht="12.75" x14ac:dyDescent="0.2"/>
    <row r="65358" s="197" customFormat="1" ht="12.75" x14ac:dyDescent="0.2"/>
    <row r="65359" s="197" customFormat="1" ht="12.75" x14ac:dyDescent="0.2"/>
    <row r="65360" s="197" customFormat="1" ht="12.75" x14ac:dyDescent="0.2"/>
    <row r="65361" s="197" customFormat="1" ht="12.75" x14ac:dyDescent="0.2"/>
    <row r="65362" s="197" customFormat="1" ht="12.75" x14ac:dyDescent="0.2"/>
    <row r="65363" s="197" customFormat="1" ht="12.75" x14ac:dyDescent="0.2"/>
    <row r="65364" s="197" customFormat="1" ht="12.75" x14ac:dyDescent="0.2"/>
    <row r="65365" s="197" customFormat="1" ht="12.75" x14ac:dyDescent="0.2"/>
    <row r="65366" s="197" customFormat="1" ht="12.75" x14ac:dyDescent="0.2"/>
    <row r="65367" s="197" customFormat="1" ht="12.75" x14ac:dyDescent="0.2"/>
    <row r="65368" s="197" customFormat="1" ht="12.75" x14ac:dyDescent="0.2"/>
    <row r="65369" s="197" customFormat="1" ht="12.75" x14ac:dyDescent="0.2"/>
    <row r="65370" s="197" customFormat="1" ht="12.75" x14ac:dyDescent="0.2"/>
    <row r="65371" s="197" customFormat="1" ht="12.75" x14ac:dyDescent="0.2"/>
    <row r="65372" s="197" customFormat="1" ht="12.75" x14ac:dyDescent="0.2"/>
    <row r="65373" s="197" customFormat="1" ht="12.75" x14ac:dyDescent="0.2"/>
    <row r="65374" s="197" customFormat="1" ht="12.75" x14ac:dyDescent="0.2"/>
    <row r="65375" s="197" customFormat="1" ht="12.75" x14ac:dyDescent="0.2"/>
    <row r="65376" s="197" customFormat="1" ht="12.75" x14ac:dyDescent="0.2"/>
    <row r="65377" s="197" customFormat="1" ht="12.75" x14ac:dyDescent="0.2"/>
    <row r="65378" s="197" customFormat="1" ht="12.75" x14ac:dyDescent="0.2"/>
    <row r="65379" s="197" customFormat="1" ht="12.75" x14ac:dyDescent="0.2"/>
    <row r="65380" s="197" customFormat="1" ht="12.75" x14ac:dyDescent="0.2"/>
    <row r="65381" s="197" customFormat="1" ht="12.75" x14ac:dyDescent="0.2"/>
    <row r="65382" s="197" customFormat="1" ht="12.75" x14ac:dyDescent="0.2"/>
    <row r="65383" s="197" customFormat="1" ht="12.75" x14ac:dyDescent="0.2"/>
    <row r="65384" s="197" customFormat="1" ht="12.75" x14ac:dyDescent="0.2"/>
    <row r="65385" s="197" customFormat="1" ht="12.75" x14ac:dyDescent="0.2"/>
    <row r="65386" s="197" customFormat="1" ht="12.75" x14ac:dyDescent="0.2"/>
    <row r="65387" s="197" customFormat="1" ht="12.75" x14ac:dyDescent="0.2"/>
    <row r="65388" s="197" customFormat="1" ht="12.75" x14ac:dyDescent="0.2"/>
    <row r="65389" s="197" customFormat="1" ht="12.75" x14ac:dyDescent="0.2"/>
    <row r="65390" s="197" customFormat="1" ht="12.75" x14ac:dyDescent="0.2"/>
    <row r="65391" s="197" customFormat="1" ht="12.75" x14ac:dyDescent="0.2"/>
    <row r="65392" s="197" customFormat="1" ht="12.75" x14ac:dyDescent="0.2"/>
    <row r="65393" s="197" customFormat="1" ht="12.75" x14ac:dyDescent="0.2"/>
    <row r="65394" s="197" customFormat="1" ht="12.75" x14ac:dyDescent="0.2"/>
    <row r="65395" s="197" customFormat="1" ht="12.75" x14ac:dyDescent="0.2"/>
    <row r="65396" s="197" customFormat="1" ht="12.75" x14ac:dyDescent="0.2"/>
    <row r="65397" s="197" customFormat="1" ht="12.75" x14ac:dyDescent="0.2"/>
    <row r="65398" s="197" customFormat="1" ht="12.75" x14ac:dyDescent="0.2"/>
    <row r="65399" s="197" customFormat="1" ht="12.75" x14ac:dyDescent="0.2"/>
    <row r="65400" s="197" customFormat="1" ht="12.75" x14ac:dyDescent="0.2"/>
    <row r="65401" s="197" customFormat="1" ht="12.75" x14ac:dyDescent="0.2"/>
    <row r="65402" s="197" customFormat="1" ht="12.75" x14ac:dyDescent="0.2"/>
    <row r="65403" s="197" customFormat="1" ht="12.75" x14ac:dyDescent="0.2"/>
    <row r="65404" s="197" customFormat="1" ht="12.75" x14ac:dyDescent="0.2"/>
    <row r="65405" s="197" customFormat="1" ht="12.75" x14ac:dyDescent="0.2"/>
    <row r="65406" s="197" customFormat="1" ht="12.75" x14ac:dyDescent="0.2"/>
    <row r="65407" s="197" customFormat="1" ht="12.75" x14ac:dyDescent="0.2"/>
    <row r="65408" s="197" customFormat="1" ht="12.75" x14ac:dyDescent="0.2"/>
    <row r="65409" s="197" customFormat="1" ht="12.75" x14ac:dyDescent="0.2"/>
    <row r="65410" s="197" customFormat="1" ht="12.75" x14ac:dyDescent="0.2"/>
    <row r="65411" s="197" customFormat="1" ht="12.75" x14ac:dyDescent="0.2"/>
    <row r="65412" s="197" customFormat="1" ht="12.75" x14ac:dyDescent="0.2"/>
    <row r="65413" s="197" customFormat="1" ht="12.75" x14ac:dyDescent="0.2"/>
    <row r="65414" s="197" customFormat="1" ht="12.75" x14ac:dyDescent="0.2"/>
    <row r="65415" s="197" customFormat="1" ht="12.75" x14ac:dyDescent="0.2"/>
    <row r="65416" s="197" customFormat="1" ht="12.75" x14ac:dyDescent="0.2"/>
    <row r="65417" s="197" customFormat="1" ht="12.75" x14ac:dyDescent="0.2"/>
    <row r="65418" s="197" customFormat="1" ht="12.75" x14ac:dyDescent="0.2"/>
    <row r="65419" s="197" customFormat="1" ht="12.75" x14ac:dyDescent="0.2"/>
    <row r="65420" s="197" customFormat="1" ht="12.75" x14ac:dyDescent="0.2"/>
    <row r="65421" s="197" customFormat="1" ht="12.75" x14ac:dyDescent="0.2"/>
    <row r="65422" s="197" customFormat="1" ht="12.75" x14ac:dyDescent="0.2"/>
    <row r="65423" s="197" customFormat="1" ht="12.75" x14ac:dyDescent="0.2"/>
    <row r="65424" s="197" customFormat="1" ht="12.75" x14ac:dyDescent="0.2"/>
    <row r="65425" s="197" customFormat="1" ht="12.75" x14ac:dyDescent="0.2"/>
    <row r="65426" s="197" customFormat="1" ht="12.75" x14ac:dyDescent="0.2"/>
    <row r="65427" s="197" customFormat="1" ht="12.75" x14ac:dyDescent="0.2"/>
    <row r="65428" s="197" customFormat="1" ht="12.75" x14ac:dyDescent="0.2"/>
    <row r="65429" s="197" customFormat="1" ht="12.75" x14ac:dyDescent="0.2"/>
    <row r="65430" s="197" customFormat="1" ht="12.75" x14ac:dyDescent="0.2"/>
    <row r="65431" s="197" customFormat="1" ht="12.75" x14ac:dyDescent="0.2"/>
    <row r="65432" s="197" customFormat="1" ht="12.75" x14ac:dyDescent="0.2"/>
    <row r="65433" s="197" customFormat="1" ht="12.75" x14ac:dyDescent="0.2"/>
    <row r="65434" s="197" customFormat="1" ht="12.75" x14ac:dyDescent="0.2"/>
    <row r="65435" s="197" customFormat="1" ht="12.75" x14ac:dyDescent="0.2"/>
    <row r="65436" s="197" customFormat="1" ht="12.75" x14ac:dyDescent="0.2"/>
    <row r="65437" s="197" customFormat="1" ht="12.75" x14ac:dyDescent="0.2"/>
    <row r="65438" s="197" customFormat="1" ht="12.75" x14ac:dyDescent="0.2"/>
    <row r="65439" s="197" customFormat="1" ht="12.75" x14ac:dyDescent="0.2"/>
    <row r="65440" s="197" customFormat="1" ht="12.75" x14ac:dyDescent="0.2"/>
    <row r="65441" s="197" customFormat="1" ht="12.75" x14ac:dyDescent="0.2"/>
    <row r="65442" s="197" customFormat="1" ht="12.75" x14ac:dyDescent="0.2"/>
    <row r="65443" s="197" customFormat="1" ht="12.75" x14ac:dyDescent="0.2"/>
    <row r="65444" s="197" customFormat="1" ht="12.75" x14ac:dyDescent="0.2"/>
    <row r="65445" s="197" customFormat="1" ht="12.75" x14ac:dyDescent="0.2"/>
    <row r="65446" s="197" customFormat="1" ht="12.75" x14ac:dyDescent="0.2"/>
    <row r="65447" s="197" customFormat="1" ht="12.75" x14ac:dyDescent="0.2"/>
    <row r="65448" s="197" customFormat="1" ht="12.75" x14ac:dyDescent="0.2"/>
    <row r="65449" s="197" customFormat="1" ht="12.75" x14ac:dyDescent="0.2"/>
    <row r="65450" s="197" customFormat="1" ht="12.75" x14ac:dyDescent="0.2"/>
    <row r="65451" s="197" customFormat="1" ht="12.75" x14ac:dyDescent="0.2"/>
    <row r="65452" s="197" customFormat="1" ht="12.75" x14ac:dyDescent="0.2"/>
    <row r="65453" s="197" customFormat="1" ht="12.75" x14ac:dyDescent="0.2"/>
    <row r="65454" s="197" customFormat="1" ht="12.75" x14ac:dyDescent="0.2"/>
    <row r="65455" s="197" customFormat="1" ht="12.75" x14ac:dyDescent="0.2"/>
    <row r="65456" s="197" customFormat="1" ht="12.75" x14ac:dyDescent="0.2"/>
    <row r="65457" s="197" customFormat="1" ht="12.75" x14ac:dyDescent="0.2"/>
    <row r="65458" s="197" customFormat="1" ht="12.75" x14ac:dyDescent="0.2"/>
    <row r="65459" s="197" customFormat="1" ht="12.75" x14ac:dyDescent="0.2"/>
    <row r="65460" s="197" customFormat="1" ht="12.75" x14ac:dyDescent="0.2"/>
    <row r="65461" s="197" customFormat="1" ht="12.75" x14ac:dyDescent="0.2"/>
    <row r="65462" s="197" customFormat="1" ht="12.75" x14ac:dyDescent="0.2"/>
    <row r="65463" s="197" customFormat="1" ht="12.75" x14ac:dyDescent="0.2"/>
    <row r="65464" s="197" customFormat="1" ht="12.75" x14ac:dyDescent="0.2"/>
    <row r="65465" s="197" customFormat="1" ht="12.75" x14ac:dyDescent="0.2"/>
    <row r="65466" s="197" customFormat="1" ht="12.75" x14ac:dyDescent="0.2"/>
    <row r="65467" s="197" customFormat="1" ht="12.75" x14ac:dyDescent="0.2"/>
    <row r="65468" s="197" customFormat="1" ht="12.75" x14ac:dyDescent="0.2"/>
    <row r="65469" s="197" customFormat="1" ht="12.75" x14ac:dyDescent="0.2"/>
    <row r="65470" s="197" customFormat="1" ht="12.75" x14ac:dyDescent="0.2"/>
    <row r="65471" s="197" customFormat="1" ht="12.75" x14ac:dyDescent="0.2"/>
    <row r="65472" s="197" customFormat="1" ht="12.75" x14ac:dyDescent="0.2"/>
    <row r="65473" s="197" customFormat="1" ht="12.75" x14ac:dyDescent="0.2"/>
    <row r="65474" s="197" customFormat="1" ht="12.75" x14ac:dyDescent="0.2"/>
    <row r="65475" s="197" customFormat="1" ht="12.75" x14ac:dyDescent="0.2"/>
    <row r="65476" s="197" customFormat="1" ht="12.75" x14ac:dyDescent="0.2"/>
    <row r="65477" s="197" customFormat="1" ht="12.75" x14ac:dyDescent="0.2"/>
    <row r="65478" s="197" customFormat="1" ht="12.75" x14ac:dyDescent="0.2"/>
    <row r="65479" s="197" customFormat="1" ht="12.75" x14ac:dyDescent="0.2"/>
    <row r="65480" s="197" customFormat="1" ht="12.75" x14ac:dyDescent="0.2"/>
    <row r="65481" s="197" customFormat="1" ht="12.75" x14ac:dyDescent="0.2"/>
    <row r="65482" s="197" customFormat="1" ht="12.75" x14ac:dyDescent="0.2"/>
    <row r="65483" s="197" customFormat="1" ht="12.75" x14ac:dyDescent="0.2"/>
    <row r="65484" s="197" customFormat="1" ht="12.75" x14ac:dyDescent="0.2"/>
    <row r="65485" s="197" customFormat="1" ht="12.75" x14ac:dyDescent="0.2"/>
    <row r="65486" s="197" customFormat="1" ht="12.75" x14ac:dyDescent="0.2"/>
    <row r="65487" s="197" customFormat="1" ht="12.75" x14ac:dyDescent="0.2"/>
    <row r="65488" s="197" customFormat="1" ht="12.75" x14ac:dyDescent="0.2"/>
    <row r="65489" s="197" customFormat="1" ht="12.75" x14ac:dyDescent="0.2"/>
    <row r="65490" s="197" customFormat="1" ht="12.75" x14ac:dyDescent="0.2"/>
    <row r="65491" s="197" customFormat="1" ht="12.75" x14ac:dyDescent="0.2"/>
    <row r="65492" s="197" customFormat="1" ht="12.75" x14ac:dyDescent="0.2"/>
    <row r="65493" s="197" customFormat="1" ht="12.75" x14ac:dyDescent="0.2"/>
    <row r="65494" s="197" customFormat="1" ht="12.75" x14ac:dyDescent="0.2"/>
    <row r="65495" s="197" customFormat="1" ht="12.75" x14ac:dyDescent="0.2"/>
    <row r="65496" s="197" customFormat="1" ht="12.75" x14ac:dyDescent="0.2"/>
    <row r="65497" s="197" customFormat="1" ht="12.75" x14ac:dyDescent="0.2"/>
    <row r="65498" s="197" customFormat="1" ht="12.75" x14ac:dyDescent="0.2"/>
    <row r="65499" s="197" customFormat="1" ht="12.75" x14ac:dyDescent="0.2"/>
    <row r="65500" s="197" customFormat="1" ht="12.75" x14ac:dyDescent="0.2"/>
    <row r="65501" s="197" customFormat="1" ht="12.75" x14ac:dyDescent="0.2"/>
    <row r="65502" s="197" customFormat="1" ht="12.75" x14ac:dyDescent="0.2"/>
    <row r="65503" s="197" customFormat="1" ht="12.75" x14ac:dyDescent="0.2"/>
    <row r="65504" s="197" customFormat="1" ht="12.75" x14ac:dyDescent="0.2"/>
    <row r="65505" s="197" customFormat="1" ht="12.75" x14ac:dyDescent="0.2"/>
    <row r="65506" s="197" customFormat="1" ht="12.75" x14ac:dyDescent="0.2"/>
    <row r="65507" s="197" customFormat="1" ht="12.75" x14ac:dyDescent="0.2"/>
    <row r="65508" s="197" customFormat="1" ht="12.75" x14ac:dyDescent="0.2"/>
    <row r="65509" s="197" customFormat="1" ht="12.75" x14ac:dyDescent="0.2"/>
    <row r="65510" s="197" customFormat="1" ht="12.75" x14ac:dyDescent="0.2"/>
    <row r="65511" s="197" customFormat="1" ht="12.75" x14ac:dyDescent="0.2"/>
    <row r="65512" s="197" customFormat="1" ht="12.75" x14ac:dyDescent="0.2"/>
    <row r="65513" s="197" customFormat="1" ht="12.75" x14ac:dyDescent="0.2"/>
    <row r="65514" s="197" customFormat="1" ht="12.75" x14ac:dyDescent="0.2"/>
    <row r="65515" s="197" customFormat="1" ht="12.75" x14ac:dyDescent="0.2"/>
    <row r="65516" s="197" customFormat="1" ht="12.75" x14ac:dyDescent="0.2"/>
    <row r="65517" s="197" customFormat="1" ht="12.75" x14ac:dyDescent="0.2"/>
    <row r="65518" x14ac:dyDescent="0.25"/>
    <row r="65519" x14ac:dyDescent="0.25"/>
    <row r="65520" x14ac:dyDescent="0.25"/>
    <row r="65521" x14ac:dyDescent="0.25"/>
    <row r="65522" x14ac:dyDescent="0.25"/>
    <row r="65523" x14ac:dyDescent="0.25"/>
    <row r="65524" x14ac:dyDescent="0.25"/>
    <row r="65525" x14ac:dyDescent="0.25"/>
    <row r="65526" x14ac:dyDescent="0.25"/>
    <row r="65527" x14ac:dyDescent="0.25"/>
    <row r="65528" x14ac:dyDescent="0.25"/>
    <row r="65529" x14ac:dyDescent="0.25"/>
    <row r="65530" x14ac:dyDescent="0.25"/>
    <row r="65531" x14ac:dyDescent="0.25"/>
    <row r="65532" x14ac:dyDescent="0.25"/>
    <row r="65533" x14ac:dyDescent="0.25"/>
    <row r="65534" x14ac:dyDescent="0.25"/>
    <row r="65535" x14ac:dyDescent="0.25"/>
    <row r="65536" x14ac:dyDescent="0.25"/>
    <row r="65537" x14ac:dyDescent="0.25"/>
    <row r="65538" x14ac:dyDescent="0.25"/>
    <row r="65539" x14ac:dyDescent="0.25"/>
    <row r="65540" x14ac:dyDescent="0.25"/>
    <row r="65541" x14ac:dyDescent="0.25"/>
    <row r="65542" x14ac:dyDescent="0.25"/>
    <row r="65543" x14ac:dyDescent="0.25"/>
    <row r="65544" x14ac:dyDescent="0.25"/>
    <row r="65545" x14ac:dyDescent="0.25"/>
    <row r="65546" x14ac:dyDescent="0.25"/>
    <row r="65547" x14ac:dyDescent="0.25"/>
    <row r="65548" x14ac:dyDescent="0.25"/>
    <row r="65549" x14ac:dyDescent="0.25"/>
    <row r="65550" x14ac:dyDescent="0.25"/>
    <row r="65551" x14ac:dyDescent="0.25"/>
    <row r="65552" x14ac:dyDescent="0.25"/>
    <row r="65553" x14ac:dyDescent="0.25"/>
    <row r="65554" x14ac:dyDescent="0.25"/>
    <row r="65555" x14ac:dyDescent="0.25"/>
    <row r="65556" x14ac:dyDescent="0.25"/>
    <row r="65557" x14ac:dyDescent="0.25"/>
    <row r="65558" x14ac:dyDescent="0.25"/>
    <row r="65559" x14ac:dyDescent="0.25"/>
    <row r="65560" x14ac:dyDescent="0.25"/>
    <row r="65561" x14ac:dyDescent="0.25"/>
    <row r="65562" x14ac:dyDescent="0.25"/>
    <row r="65563" x14ac:dyDescent="0.25"/>
    <row r="65564" x14ac:dyDescent="0.25"/>
    <row r="65565" x14ac:dyDescent="0.25"/>
    <row r="65566" x14ac:dyDescent="0.25"/>
    <row r="65567" x14ac:dyDescent="0.25"/>
    <row r="65568" x14ac:dyDescent="0.25"/>
    <row r="65569" x14ac:dyDescent="0.25"/>
  </sheetData>
  <printOptions horizontalCentered="1"/>
  <pageMargins left="0.59055118110236227" right="0.39370078740157483" top="0.55118110236220474" bottom="0.44" header="0.51181102362204722" footer="0.37"/>
  <pageSetup paperSize="9" scale="81" fitToHeight="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2EC2-91B5-4BB9-BA18-B2D2D5197E23}">
  <sheetPr>
    <pageSetUpPr fitToPage="1"/>
  </sheetPr>
  <dimension ref="A1:L86"/>
  <sheetViews>
    <sheetView view="pageBreakPreview" topLeftCell="A68" zoomScale="115" zoomScaleNormal="100" zoomScaleSheetLayoutView="115" workbookViewId="0">
      <selection activeCell="A74" sqref="A74"/>
    </sheetView>
  </sheetViews>
  <sheetFormatPr defaultRowHeight="16.5" x14ac:dyDescent="0.3"/>
  <cols>
    <col min="1" max="1" width="9.5703125" style="200" customWidth="1"/>
    <col min="2" max="2" width="20.28515625" style="200" customWidth="1"/>
    <col min="3" max="3" width="10.28515625" style="200" customWidth="1"/>
    <col min="4" max="4" width="14.42578125" style="200" customWidth="1"/>
    <col min="5" max="5" width="13.85546875" style="200" customWidth="1"/>
    <col min="6" max="6" width="15.7109375" style="200" customWidth="1"/>
    <col min="7" max="8" width="16.140625" style="200" customWidth="1"/>
    <col min="9" max="256" width="9.140625" style="200"/>
    <col min="257" max="257" width="9.5703125" style="200" customWidth="1"/>
    <col min="258" max="258" width="20.28515625" style="200" customWidth="1"/>
    <col min="259" max="259" width="16.140625" style="200" customWidth="1"/>
    <col min="260" max="260" width="14.42578125" style="200" customWidth="1"/>
    <col min="261" max="261" width="13.85546875" style="200" customWidth="1"/>
    <col min="262" max="262" width="15.28515625" style="200" customWidth="1"/>
    <col min="263" max="263" width="16.140625" style="200" customWidth="1"/>
    <col min="264" max="264" width="15.42578125" style="200" customWidth="1"/>
    <col min="265" max="512" width="9.140625" style="200"/>
    <col min="513" max="513" width="9.5703125" style="200" customWidth="1"/>
    <col min="514" max="514" width="20.28515625" style="200" customWidth="1"/>
    <col min="515" max="515" width="16.140625" style="200" customWidth="1"/>
    <col min="516" max="516" width="14.42578125" style="200" customWidth="1"/>
    <col min="517" max="517" width="13.85546875" style="200" customWidth="1"/>
    <col min="518" max="518" width="15.28515625" style="200" customWidth="1"/>
    <col min="519" max="519" width="16.140625" style="200" customWidth="1"/>
    <col min="520" max="520" width="15.42578125" style="200" customWidth="1"/>
    <col min="521" max="768" width="9.140625" style="200"/>
    <col min="769" max="769" width="9.5703125" style="200" customWidth="1"/>
    <col min="770" max="770" width="20.28515625" style="200" customWidth="1"/>
    <col min="771" max="771" width="16.140625" style="200" customWidth="1"/>
    <col min="772" max="772" width="14.42578125" style="200" customWidth="1"/>
    <col min="773" max="773" width="13.85546875" style="200" customWidth="1"/>
    <col min="774" max="774" width="15.28515625" style="200" customWidth="1"/>
    <col min="775" max="775" width="16.140625" style="200" customWidth="1"/>
    <col min="776" max="776" width="15.42578125" style="200" customWidth="1"/>
    <col min="777" max="1024" width="9.140625" style="200"/>
    <col min="1025" max="1025" width="9.5703125" style="200" customWidth="1"/>
    <col min="1026" max="1026" width="20.28515625" style="200" customWidth="1"/>
    <col min="1027" max="1027" width="16.140625" style="200" customWidth="1"/>
    <col min="1028" max="1028" width="14.42578125" style="200" customWidth="1"/>
    <col min="1029" max="1029" width="13.85546875" style="200" customWidth="1"/>
    <col min="1030" max="1030" width="15.28515625" style="200" customWidth="1"/>
    <col min="1031" max="1031" width="16.140625" style="200" customWidth="1"/>
    <col min="1032" max="1032" width="15.42578125" style="200" customWidth="1"/>
    <col min="1033" max="1280" width="9.140625" style="200"/>
    <col min="1281" max="1281" width="9.5703125" style="200" customWidth="1"/>
    <col min="1282" max="1282" width="20.28515625" style="200" customWidth="1"/>
    <col min="1283" max="1283" width="16.140625" style="200" customWidth="1"/>
    <col min="1284" max="1284" width="14.42578125" style="200" customWidth="1"/>
    <col min="1285" max="1285" width="13.85546875" style="200" customWidth="1"/>
    <col min="1286" max="1286" width="15.28515625" style="200" customWidth="1"/>
    <col min="1287" max="1287" width="16.140625" style="200" customWidth="1"/>
    <col min="1288" max="1288" width="15.42578125" style="200" customWidth="1"/>
    <col min="1289" max="1536" width="9.140625" style="200"/>
    <col min="1537" max="1537" width="9.5703125" style="200" customWidth="1"/>
    <col min="1538" max="1538" width="20.28515625" style="200" customWidth="1"/>
    <col min="1539" max="1539" width="16.140625" style="200" customWidth="1"/>
    <col min="1540" max="1540" width="14.42578125" style="200" customWidth="1"/>
    <col min="1541" max="1541" width="13.85546875" style="200" customWidth="1"/>
    <col min="1542" max="1542" width="15.28515625" style="200" customWidth="1"/>
    <col min="1543" max="1543" width="16.140625" style="200" customWidth="1"/>
    <col min="1544" max="1544" width="15.42578125" style="200" customWidth="1"/>
    <col min="1545" max="1792" width="9.140625" style="200"/>
    <col min="1793" max="1793" width="9.5703125" style="200" customWidth="1"/>
    <col min="1794" max="1794" width="20.28515625" style="200" customWidth="1"/>
    <col min="1795" max="1795" width="16.140625" style="200" customWidth="1"/>
    <col min="1796" max="1796" width="14.42578125" style="200" customWidth="1"/>
    <col min="1797" max="1797" width="13.85546875" style="200" customWidth="1"/>
    <col min="1798" max="1798" width="15.28515625" style="200" customWidth="1"/>
    <col min="1799" max="1799" width="16.140625" style="200" customWidth="1"/>
    <col min="1800" max="1800" width="15.42578125" style="200" customWidth="1"/>
    <col min="1801" max="2048" width="9.140625" style="200"/>
    <col min="2049" max="2049" width="9.5703125" style="200" customWidth="1"/>
    <col min="2050" max="2050" width="20.28515625" style="200" customWidth="1"/>
    <col min="2051" max="2051" width="16.140625" style="200" customWidth="1"/>
    <col min="2052" max="2052" width="14.42578125" style="200" customWidth="1"/>
    <col min="2053" max="2053" width="13.85546875" style="200" customWidth="1"/>
    <col min="2054" max="2054" width="15.28515625" style="200" customWidth="1"/>
    <col min="2055" max="2055" width="16.140625" style="200" customWidth="1"/>
    <col min="2056" max="2056" width="15.42578125" style="200" customWidth="1"/>
    <col min="2057" max="2304" width="9.140625" style="200"/>
    <col min="2305" max="2305" width="9.5703125" style="200" customWidth="1"/>
    <col min="2306" max="2306" width="20.28515625" style="200" customWidth="1"/>
    <col min="2307" max="2307" width="16.140625" style="200" customWidth="1"/>
    <col min="2308" max="2308" width="14.42578125" style="200" customWidth="1"/>
    <col min="2309" max="2309" width="13.85546875" style="200" customWidth="1"/>
    <col min="2310" max="2310" width="15.28515625" style="200" customWidth="1"/>
    <col min="2311" max="2311" width="16.140625" style="200" customWidth="1"/>
    <col min="2312" max="2312" width="15.42578125" style="200" customWidth="1"/>
    <col min="2313" max="2560" width="9.140625" style="200"/>
    <col min="2561" max="2561" width="9.5703125" style="200" customWidth="1"/>
    <col min="2562" max="2562" width="20.28515625" style="200" customWidth="1"/>
    <col min="2563" max="2563" width="16.140625" style="200" customWidth="1"/>
    <col min="2564" max="2564" width="14.42578125" style="200" customWidth="1"/>
    <col min="2565" max="2565" width="13.85546875" style="200" customWidth="1"/>
    <col min="2566" max="2566" width="15.28515625" style="200" customWidth="1"/>
    <col min="2567" max="2567" width="16.140625" style="200" customWidth="1"/>
    <col min="2568" max="2568" width="15.42578125" style="200" customWidth="1"/>
    <col min="2569" max="2816" width="9.140625" style="200"/>
    <col min="2817" max="2817" width="9.5703125" style="200" customWidth="1"/>
    <col min="2818" max="2818" width="20.28515625" style="200" customWidth="1"/>
    <col min="2819" max="2819" width="16.140625" style="200" customWidth="1"/>
    <col min="2820" max="2820" width="14.42578125" style="200" customWidth="1"/>
    <col min="2821" max="2821" width="13.85546875" style="200" customWidth="1"/>
    <col min="2822" max="2822" width="15.28515625" style="200" customWidth="1"/>
    <col min="2823" max="2823" width="16.140625" style="200" customWidth="1"/>
    <col min="2824" max="2824" width="15.42578125" style="200" customWidth="1"/>
    <col min="2825" max="3072" width="9.140625" style="200"/>
    <col min="3073" max="3073" width="9.5703125" style="200" customWidth="1"/>
    <col min="3074" max="3074" width="20.28515625" style="200" customWidth="1"/>
    <col min="3075" max="3075" width="16.140625" style="200" customWidth="1"/>
    <col min="3076" max="3076" width="14.42578125" style="200" customWidth="1"/>
    <col min="3077" max="3077" width="13.85546875" style="200" customWidth="1"/>
    <col min="3078" max="3078" width="15.28515625" style="200" customWidth="1"/>
    <col min="3079" max="3079" width="16.140625" style="200" customWidth="1"/>
    <col min="3080" max="3080" width="15.42578125" style="200" customWidth="1"/>
    <col min="3081" max="3328" width="9.140625" style="200"/>
    <col min="3329" max="3329" width="9.5703125" style="200" customWidth="1"/>
    <col min="3330" max="3330" width="20.28515625" style="200" customWidth="1"/>
    <col min="3331" max="3331" width="16.140625" style="200" customWidth="1"/>
    <col min="3332" max="3332" width="14.42578125" style="200" customWidth="1"/>
    <col min="3333" max="3333" width="13.85546875" style="200" customWidth="1"/>
    <col min="3334" max="3334" width="15.28515625" style="200" customWidth="1"/>
    <col min="3335" max="3335" width="16.140625" style="200" customWidth="1"/>
    <col min="3336" max="3336" width="15.42578125" style="200" customWidth="1"/>
    <col min="3337" max="3584" width="9.140625" style="200"/>
    <col min="3585" max="3585" width="9.5703125" style="200" customWidth="1"/>
    <col min="3586" max="3586" width="20.28515625" style="200" customWidth="1"/>
    <col min="3587" max="3587" width="16.140625" style="200" customWidth="1"/>
    <col min="3588" max="3588" width="14.42578125" style="200" customWidth="1"/>
    <col min="3589" max="3589" width="13.85546875" style="200" customWidth="1"/>
    <col min="3590" max="3590" width="15.28515625" style="200" customWidth="1"/>
    <col min="3591" max="3591" width="16.140625" style="200" customWidth="1"/>
    <col min="3592" max="3592" width="15.42578125" style="200" customWidth="1"/>
    <col min="3593" max="3840" width="9.140625" style="200"/>
    <col min="3841" max="3841" width="9.5703125" style="200" customWidth="1"/>
    <col min="3842" max="3842" width="20.28515625" style="200" customWidth="1"/>
    <col min="3843" max="3843" width="16.140625" style="200" customWidth="1"/>
    <col min="3844" max="3844" width="14.42578125" style="200" customWidth="1"/>
    <col min="3845" max="3845" width="13.85546875" style="200" customWidth="1"/>
    <col min="3846" max="3846" width="15.28515625" style="200" customWidth="1"/>
    <col min="3847" max="3847" width="16.140625" style="200" customWidth="1"/>
    <col min="3848" max="3848" width="15.42578125" style="200" customWidth="1"/>
    <col min="3849" max="4096" width="9.140625" style="200"/>
    <col min="4097" max="4097" width="9.5703125" style="200" customWidth="1"/>
    <col min="4098" max="4098" width="20.28515625" style="200" customWidth="1"/>
    <col min="4099" max="4099" width="16.140625" style="200" customWidth="1"/>
    <col min="4100" max="4100" width="14.42578125" style="200" customWidth="1"/>
    <col min="4101" max="4101" width="13.85546875" style="200" customWidth="1"/>
    <col min="4102" max="4102" width="15.28515625" style="200" customWidth="1"/>
    <col min="4103" max="4103" width="16.140625" style="200" customWidth="1"/>
    <col min="4104" max="4104" width="15.42578125" style="200" customWidth="1"/>
    <col min="4105" max="4352" width="9.140625" style="200"/>
    <col min="4353" max="4353" width="9.5703125" style="200" customWidth="1"/>
    <col min="4354" max="4354" width="20.28515625" style="200" customWidth="1"/>
    <col min="4355" max="4355" width="16.140625" style="200" customWidth="1"/>
    <col min="4356" max="4356" width="14.42578125" style="200" customWidth="1"/>
    <col min="4357" max="4357" width="13.85546875" style="200" customWidth="1"/>
    <col min="4358" max="4358" width="15.28515625" style="200" customWidth="1"/>
    <col min="4359" max="4359" width="16.140625" style="200" customWidth="1"/>
    <col min="4360" max="4360" width="15.42578125" style="200" customWidth="1"/>
    <col min="4361" max="4608" width="9.140625" style="200"/>
    <col min="4609" max="4609" width="9.5703125" style="200" customWidth="1"/>
    <col min="4610" max="4610" width="20.28515625" style="200" customWidth="1"/>
    <col min="4611" max="4611" width="16.140625" style="200" customWidth="1"/>
    <col min="4612" max="4612" width="14.42578125" style="200" customWidth="1"/>
    <col min="4613" max="4613" width="13.85546875" style="200" customWidth="1"/>
    <col min="4614" max="4614" width="15.28515625" style="200" customWidth="1"/>
    <col min="4615" max="4615" width="16.140625" style="200" customWidth="1"/>
    <col min="4616" max="4616" width="15.42578125" style="200" customWidth="1"/>
    <col min="4617" max="4864" width="9.140625" style="200"/>
    <col min="4865" max="4865" width="9.5703125" style="200" customWidth="1"/>
    <col min="4866" max="4866" width="20.28515625" style="200" customWidth="1"/>
    <col min="4867" max="4867" width="16.140625" style="200" customWidth="1"/>
    <col min="4868" max="4868" width="14.42578125" style="200" customWidth="1"/>
    <col min="4869" max="4869" width="13.85546875" style="200" customWidth="1"/>
    <col min="4870" max="4870" width="15.28515625" style="200" customWidth="1"/>
    <col min="4871" max="4871" width="16.140625" style="200" customWidth="1"/>
    <col min="4872" max="4872" width="15.42578125" style="200" customWidth="1"/>
    <col min="4873" max="5120" width="9.140625" style="200"/>
    <col min="5121" max="5121" width="9.5703125" style="200" customWidth="1"/>
    <col min="5122" max="5122" width="20.28515625" style="200" customWidth="1"/>
    <col min="5123" max="5123" width="16.140625" style="200" customWidth="1"/>
    <col min="5124" max="5124" width="14.42578125" style="200" customWidth="1"/>
    <col min="5125" max="5125" width="13.85546875" style="200" customWidth="1"/>
    <col min="5126" max="5126" width="15.28515625" style="200" customWidth="1"/>
    <col min="5127" max="5127" width="16.140625" style="200" customWidth="1"/>
    <col min="5128" max="5128" width="15.42578125" style="200" customWidth="1"/>
    <col min="5129" max="5376" width="9.140625" style="200"/>
    <col min="5377" max="5377" width="9.5703125" style="200" customWidth="1"/>
    <col min="5378" max="5378" width="20.28515625" style="200" customWidth="1"/>
    <col min="5379" max="5379" width="16.140625" style="200" customWidth="1"/>
    <col min="5380" max="5380" width="14.42578125" style="200" customWidth="1"/>
    <col min="5381" max="5381" width="13.85546875" style="200" customWidth="1"/>
    <col min="5382" max="5382" width="15.28515625" style="200" customWidth="1"/>
    <col min="5383" max="5383" width="16.140625" style="200" customWidth="1"/>
    <col min="5384" max="5384" width="15.42578125" style="200" customWidth="1"/>
    <col min="5385" max="5632" width="9.140625" style="200"/>
    <col min="5633" max="5633" width="9.5703125" style="200" customWidth="1"/>
    <col min="5634" max="5634" width="20.28515625" style="200" customWidth="1"/>
    <col min="5635" max="5635" width="16.140625" style="200" customWidth="1"/>
    <col min="5636" max="5636" width="14.42578125" style="200" customWidth="1"/>
    <col min="5637" max="5637" width="13.85546875" style="200" customWidth="1"/>
    <col min="5638" max="5638" width="15.28515625" style="200" customWidth="1"/>
    <col min="5639" max="5639" width="16.140625" style="200" customWidth="1"/>
    <col min="5640" max="5640" width="15.42578125" style="200" customWidth="1"/>
    <col min="5641" max="5888" width="9.140625" style="200"/>
    <col min="5889" max="5889" width="9.5703125" style="200" customWidth="1"/>
    <col min="5890" max="5890" width="20.28515625" style="200" customWidth="1"/>
    <col min="5891" max="5891" width="16.140625" style="200" customWidth="1"/>
    <col min="5892" max="5892" width="14.42578125" style="200" customWidth="1"/>
    <col min="5893" max="5893" width="13.85546875" style="200" customWidth="1"/>
    <col min="5894" max="5894" width="15.28515625" style="200" customWidth="1"/>
    <col min="5895" max="5895" width="16.140625" style="200" customWidth="1"/>
    <col min="5896" max="5896" width="15.42578125" style="200" customWidth="1"/>
    <col min="5897" max="6144" width="9.140625" style="200"/>
    <col min="6145" max="6145" width="9.5703125" style="200" customWidth="1"/>
    <col min="6146" max="6146" width="20.28515625" style="200" customWidth="1"/>
    <col min="6147" max="6147" width="16.140625" style="200" customWidth="1"/>
    <col min="6148" max="6148" width="14.42578125" style="200" customWidth="1"/>
    <col min="6149" max="6149" width="13.85546875" style="200" customWidth="1"/>
    <col min="6150" max="6150" width="15.28515625" style="200" customWidth="1"/>
    <col min="6151" max="6151" width="16.140625" style="200" customWidth="1"/>
    <col min="6152" max="6152" width="15.42578125" style="200" customWidth="1"/>
    <col min="6153" max="6400" width="9.140625" style="200"/>
    <col min="6401" max="6401" width="9.5703125" style="200" customWidth="1"/>
    <col min="6402" max="6402" width="20.28515625" style="200" customWidth="1"/>
    <col min="6403" max="6403" width="16.140625" style="200" customWidth="1"/>
    <col min="6404" max="6404" width="14.42578125" style="200" customWidth="1"/>
    <col min="6405" max="6405" width="13.85546875" style="200" customWidth="1"/>
    <col min="6406" max="6406" width="15.28515625" style="200" customWidth="1"/>
    <col min="6407" max="6407" width="16.140625" style="200" customWidth="1"/>
    <col min="6408" max="6408" width="15.42578125" style="200" customWidth="1"/>
    <col min="6409" max="6656" width="9.140625" style="200"/>
    <col min="6657" max="6657" width="9.5703125" style="200" customWidth="1"/>
    <col min="6658" max="6658" width="20.28515625" style="200" customWidth="1"/>
    <col min="6659" max="6659" width="16.140625" style="200" customWidth="1"/>
    <col min="6660" max="6660" width="14.42578125" style="200" customWidth="1"/>
    <col min="6661" max="6661" width="13.85546875" style="200" customWidth="1"/>
    <col min="6662" max="6662" width="15.28515625" style="200" customWidth="1"/>
    <col min="6663" max="6663" width="16.140625" style="200" customWidth="1"/>
    <col min="6664" max="6664" width="15.42578125" style="200" customWidth="1"/>
    <col min="6665" max="6912" width="9.140625" style="200"/>
    <col min="6913" max="6913" width="9.5703125" style="200" customWidth="1"/>
    <col min="6914" max="6914" width="20.28515625" style="200" customWidth="1"/>
    <col min="6915" max="6915" width="16.140625" style="200" customWidth="1"/>
    <col min="6916" max="6916" width="14.42578125" style="200" customWidth="1"/>
    <col min="6917" max="6917" width="13.85546875" style="200" customWidth="1"/>
    <col min="6918" max="6918" width="15.28515625" style="200" customWidth="1"/>
    <col min="6919" max="6919" width="16.140625" style="200" customWidth="1"/>
    <col min="6920" max="6920" width="15.42578125" style="200" customWidth="1"/>
    <col min="6921" max="7168" width="9.140625" style="200"/>
    <col min="7169" max="7169" width="9.5703125" style="200" customWidth="1"/>
    <col min="7170" max="7170" width="20.28515625" style="200" customWidth="1"/>
    <col min="7171" max="7171" width="16.140625" style="200" customWidth="1"/>
    <col min="7172" max="7172" width="14.42578125" style="200" customWidth="1"/>
    <col min="7173" max="7173" width="13.85546875" style="200" customWidth="1"/>
    <col min="7174" max="7174" width="15.28515625" style="200" customWidth="1"/>
    <col min="7175" max="7175" width="16.140625" style="200" customWidth="1"/>
    <col min="7176" max="7176" width="15.42578125" style="200" customWidth="1"/>
    <col min="7177" max="7424" width="9.140625" style="200"/>
    <col min="7425" max="7425" width="9.5703125" style="200" customWidth="1"/>
    <col min="7426" max="7426" width="20.28515625" style="200" customWidth="1"/>
    <col min="7427" max="7427" width="16.140625" style="200" customWidth="1"/>
    <col min="7428" max="7428" width="14.42578125" style="200" customWidth="1"/>
    <col min="7429" max="7429" width="13.85546875" style="200" customWidth="1"/>
    <col min="7430" max="7430" width="15.28515625" style="200" customWidth="1"/>
    <col min="7431" max="7431" width="16.140625" style="200" customWidth="1"/>
    <col min="7432" max="7432" width="15.42578125" style="200" customWidth="1"/>
    <col min="7433" max="7680" width="9.140625" style="200"/>
    <col min="7681" max="7681" width="9.5703125" style="200" customWidth="1"/>
    <col min="7682" max="7682" width="20.28515625" style="200" customWidth="1"/>
    <col min="7683" max="7683" width="16.140625" style="200" customWidth="1"/>
    <col min="7684" max="7684" width="14.42578125" style="200" customWidth="1"/>
    <col min="7685" max="7685" width="13.85546875" style="200" customWidth="1"/>
    <col min="7686" max="7686" width="15.28515625" style="200" customWidth="1"/>
    <col min="7687" max="7687" width="16.140625" style="200" customWidth="1"/>
    <col min="7688" max="7688" width="15.42578125" style="200" customWidth="1"/>
    <col min="7689" max="7936" width="9.140625" style="200"/>
    <col min="7937" max="7937" width="9.5703125" style="200" customWidth="1"/>
    <col min="7938" max="7938" width="20.28515625" style="200" customWidth="1"/>
    <col min="7939" max="7939" width="16.140625" style="200" customWidth="1"/>
    <col min="7940" max="7940" width="14.42578125" style="200" customWidth="1"/>
    <col min="7941" max="7941" width="13.85546875" style="200" customWidth="1"/>
    <col min="7942" max="7942" width="15.28515625" style="200" customWidth="1"/>
    <col min="7943" max="7943" width="16.140625" style="200" customWidth="1"/>
    <col min="7944" max="7944" width="15.42578125" style="200" customWidth="1"/>
    <col min="7945" max="8192" width="9.140625" style="200"/>
    <col min="8193" max="8193" width="9.5703125" style="200" customWidth="1"/>
    <col min="8194" max="8194" width="20.28515625" style="200" customWidth="1"/>
    <col min="8195" max="8195" width="16.140625" style="200" customWidth="1"/>
    <col min="8196" max="8196" width="14.42578125" style="200" customWidth="1"/>
    <col min="8197" max="8197" width="13.85546875" style="200" customWidth="1"/>
    <col min="8198" max="8198" width="15.28515625" style="200" customWidth="1"/>
    <col min="8199" max="8199" width="16.140625" style="200" customWidth="1"/>
    <col min="8200" max="8200" width="15.42578125" style="200" customWidth="1"/>
    <col min="8201" max="8448" width="9.140625" style="200"/>
    <col min="8449" max="8449" width="9.5703125" style="200" customWidth="1"/>
    <col min="8450" max="8450" width="20.28515625" style="200" customWidth="1"/>
    <col min="8451" max="8451" width="16.140625" style="200" customWidth="1"/>
    <col min="8452" max="8452" width="14.42578125" style="200" customWidth="1"/>
    <col min="8453" max="8453" width="13.85546875" style="200" customWidth="1"/>
    <col min="8454" max="8454" width="15.28515625" style="200" customWidth="1"/>
    <col min="8455" max="8455" width="16.140625" style="200" customWidth="1"/>
    <col min="8456" max="8456" width="15.42578125" style="200" customWidth="1"/>
    <col min="8457" max="8704" width="9.140625" style="200"/>
    <col min="8705" max="8705" width="9.5703125" style="200" customWidth="1"/>
    <col min="8706" max="8706" width="20.28515625" style="200" customWidth="1"/>
    <col min="8707" max="8707" width="16.140625" style="200" customWidth="1"/>
    <col min="8708" max="8708" width="14.42578125" style="200" customWidth="1"/>
    <col min="8709" max="8709" width="13.85546875" style="200" customWidth="1"/>
    <col min="8710" max="8710" width="15.28515625" style="200" customWidth="1"/>
    <col min="8711" max="8711" width="16.140625" style="200" customWidth="1"/>
    <col min="8712" max="8712" width="15.42578125" style="200" customWidth="1"/>
    <col min="8713" max="8960" width="9.140625" style="200"/>
    <col min="8961" max="8961" width="9.5703125" style="200" customWidth="1"/>
    <col min="8962" max="8962" width="20.28515625" style="200" customWidth="1"/>
    <col min="8963" max="8963" width="16.140625" style="200" customWidth="1"/>
    <col min="8964" max="8964" width="14.42578125" style="200" customWidth="1"/>
    <col min="8965" max="8965" width="13.85546875" style="200" customWidth="1"/>
    <col min="8966" max="8966" width="15.28515625" style="200" customWidth="1"/>
    <col min="8967" max="8967" width="16.140625" style="200" customWidth="1"/>
    <col min="8968" max="8968" width="15.42578125" style="200" customWidth="1"/>
    <col min="8969" max="9216" width="9.140625" style="200"/>
    <col min="9217" max="9217" width="9.5703125" style="200" customWidth="1"/>
    <col min="9218" max="9218" width="20.28515625" style="200" customWidth="1"/>
    <col min="9219" max="9219" width="16.140625" style="200" customWidth="1"/>
    <col min="9220" max="9220" width="14.42578125" style="200" customWidth="1"/>
    <col min="9221" max="9221" width="13.85546875" style="200" customWidth="1"/>
    <col min="9222" max="9222" width="15.28515625" style="200" customWidth="1"/>
    <col min="9223" max="9223" width="16.140625" style="200" customWidth="1"/>
    <col min="9224" max="9224" width="15.42578125" style="200" customWidth="1"/>
    <col min="9225" max="9472" width="9.140625" style="200"/>
    <col min="9473" max="9473" width="9.5703125" style="200" customWidth="1"/>
    <col min="9474" max="9474" width="20.28515625" style="200" customWidth="1"/>
    <col min="9475" max="9475" width="16.140625" style="200" customWidth="1"/>
    <col min="9476" max="9476" width="14.42578125" style="200" customWidth="1"/>
    <col min="9477" max="9477" width="13.85546875" style="200" customWidth="1"/>
    <col min="9478" max="9478" width="15.28515625" style="200" customWidth="1"/>
    <col min="9479" max="9479" width="16.140625" style="200" customWidth="1"/>
    <col min="9480" max="9480" width="15.42578125" style="200" customWidth="1"/>
    <col min="9481" max="9728" width="9.140625" style="200"/>
    <col min="9729" max="9729" width="9.5703125" style="200" customWidth="1"/>
    <col min="9730" max="9730" width="20.28515625" style="200" customWidth="1"/>
    <col min="9731" max="9731" width="16.140625" style="200" customWidth="1"/>
    <col min="9732" max="9732" width="14.42578125" style="200" customWidth="1"/>
    <col min="9733" max="9733" width="13.85546875" style="200" customWidth="1"/>
    <col min="9734" max="9734" width="15.28515625" style="200" customWidth="1"/>
    <col min="9735" max="9735" width="16.140625" style="200" customWidth="1"/>
    <col min="9736" max="9736" width="15.42578125" style="200" customWidth="1"/>
    <col min="9737" max="9984" width="9.140625" style="200"/>
    <col min="9985" max="9985" width="9.5703125" style="200" customWidth="1"/>
    <col min="9986" max="9986" width="20.28515625" style="200" customWidth="1"/>
    <col min="9987" max="9987" width="16.140625" style="200" customWidth="1"/>
    <col min="9988" max="9988" width="14.42578125" style="200" customWidth="1"/>
    <col min="9989" max="9989" width="13.85546875" style="200" customWidth="1"/>
    <col min="9990" max="9990" width="15.28515625" style="200" customWidth="1"/>
    <col min="9991" max="9991" width="16.140625" style="200" customWidth="1"/>
    <col min="9992" max="9992" width="15.42578125" style="200" customWidth="1"/>
    <col min="9993" max="10240" width="9.140625" style="200"/>
    <col min="10241" max="10241" width="9.5703125" style="200" customWidth="1"/>
    <col min="10242" max="10242" width="20.28515625" style="200" customWidth="1"/>
    <col min="10243" max="10243" width="16.140625" style="200" customWidth="1"/>
    <col min="10244" max="10244" width="14.42578125" style="200" customWidth="1"/>
    <col min="10245" max="10245" width="13.85546875" style="200" customWidth="1"/>
    <col min="10246" max="10246" width="15.28515625" style="200" customWidth="1"/>
    <col min="10247" max="10247" width="16.140625" style="200" customWidth="1"/>
    <col min="10248" max="10248" width="15.42578125" style="200" customWidth="1"/>
    <col min="10249" max="10496" width="9.140625" style="200"/>
    <col min="10497" max="10497" width="9.5703125" style="200" customWidth="1"/>
    <col min="10498" max="10498" width="20.28515625" style="200" customWidth="1"/>
    <col min="10499" max="10499" width="16.140625" style="200" customWidth="1"/>
    <col min="10500" max="10500" width="14.42578125" style="200" customWidth="1"/>
    <col min="10501" max="10501" width="13.85546875" style="200" customWidth="1"/>
    <col min="10502" max="10502" width="15.28515625" style="200" customWidth="1"/>
    <col min="10503" max="10503" width="16.140625" style="200" customWidth="1"/>
    <col min="10504" max="10504" width="15.42578125" style="200" customWidth="1"/>
    <col min="10505" max="10752" width="9.140625" style="200"/>
    <col min="10753" max="10753" width="9.5703125" style="200" customWidth="1"/>
    <col min="10754" max="10754" width="20.28515625" style="200" customWidth="1"/>
    <col min="10755" max="10755" width="16.140625" style="200" customWidth="1"/>
    <col min="10756" max="10756" width="14.42578125" style="200" customWidth="1"/>
    <col min="10757" max="10757" width="13.85546875" style="200" customWidth="1"/>
    <col min="10758" max="10758" width="15.28515625" style="200" customWidth="1"/>
    <col min="10759" max="10759" width="16.140625" style="200" customWidth="1"/>
    <col min="10760" max="10760" width="15.42578125" style="200" customWidth="1"/>
    <col min="10761" max="11008" width="9.140625" style="200"/>
    <col min="11009" max="11009" width="9.5703125" style="200" customWidth="1"/>
    <col min="11010" max="11010" width="20.28515625" style="200" customWidth="1"/>
    <col min="11011" max="11011" width="16.140625" style="200" customWidth="1"/>
    <col min="11012" max="11012" width="14.42578125" style="200" customWidth="1"/>
    <col min="11013" max="11013" width="13.85546875" style="200" customWidth="1"/>
    <col min="11014" max="11014" width="15.28515625" style="200" customWidth="1"/>
    <col min="11015" max="11015" width="16.140625" style="200" customWidth="1"/>
    <col min="11016" max="11016" width="15.42578125" style="200" customWidth="1"/>
    <col min="11017" max="11264" width="9.140625" style="200"/>
    <col min="11265" max="11265" width="9.5703125" style="200" customWidth="1"/>
    <col min="11266" max="11266" width="20.28515625" style="200" customWidth="1"/>
    <col min="11267" max="11267" width="16.140625" style="200" customWidth="1"/>
    <col min="11268" max="11268" width="14.42578125" style="200" customWidth="1"/>
    <col min="11269" max="11269" width="13.85546875" style="200" customWidth="1"/>
    <col min="11270" max="11270" width="15.28515625" style="200" customWidth="1"/>
    <col min="11271" max="11271" width="16.140625" style="200" customWidth="1"/>
    <col min="11272" max="11272" width="15.42578125" style="200" customWidth="1"/>
    <col min="11273" max="11520" width="9.140625" style="200"/>
    <col min="11521" max="11521" width="9.5703125" style="200" customWidth="1"/>
    <col min="11522" max="11522" width="20.28515625" style="200" customWidth="1"/>
    <col min="11523" max="11523" width="16.140625" style="200" customWidth="1"/>
    <col min="11524" max="11524" width="14.42578125" style="200" customWidth="1"/>
    <col min="11525" max="11525" width="13.85546875" style="200" customWidth="1"/>
    <col min="11526" max="11526" width="15.28515625" style="200" customWidth="1"/>
    <col min="11527" max="11527" width="16.140625" style="200" customWidth="1"/>
    <col min="11528" max="11528" width="15.42578125" style="200" customWidth="1"/>
    <col min="11529" max="11776" width="9.140625" style="200"/>
    <col min="11777" max="11777" width="9.5703125" style="200" customWidth="1"/>
    <col min="11778" max="11778" width="20.28515625" style="200" customWidth="1"/>
    <col min="11779" max="11779" width="16.140625" style="200" customWidth="1"/>
    <col min="11780" max="11780" width="14.42578125" style="200" customWidth="1"/>
    <col min="11781" max="11781" width="13.85546875" style="200" customWidth="1"/>
    <col min="11782" max="11782" width="15.28515625" style="200" customWidth="1"/>
    <col min="11783" max="11783" width="16.140625" style="200" customWidth="1"/>
    <col min="11784" max="11784" width="15.42578125" style="200" customWidth="1"/>
    <col min="11785" max="12032" width="9.140625" style="200"/>
    <col min="12033" max="12033" width="9.5703125" style="200" customWidth="1"/>
    <col min="12034" max="12034" width="20.28515625" style="200" customWidth="1"/>
    <col min="12035" max="12035" width="16.140625" style="200" customWidth="1"/>
    <col min="12036" max="12036" width="14.42578125" style="200" customWidth="1"/>
    <col min="12037" max="12037" width="13.85546875" style="200" customWidth="1"/>
    <col min="12038" max="12038" width="15.28515625" style="200" customWidth="1"/>
    <col min="12039" max="12039" width="16.140625" style="200" customWidth="1"/>
    <col min="12040" max="12040" width="15.42578125" style="200" customWidth="1"/>
    <col min="12041" max="12288" width="9.140625" style="200"/>
    <col min="12289" max="12289" width="9.5703125" style="200" customWidth="1"/>
    <col min="12290" max="12290" width="20.28515625" style="200" customWidth="1"/>
    <col min="12291" max="12291" width="16.140625" style="200" customWidth="1"/>
    <col min="12292" max="12292" width="14.42578125" style="200" customWidth="1"/>
    <col min="12293" max="12293" width="13.85546875" style="200" customWidth="1"/>
    <col min="12294" max="12294" width="15.28515625" style="200" customWidth="1"/>
    <col min="12295" max="12295" width="16.140625" style="200" customWidth="1"/>
    <col min="12296" max="12296" width="15.42578125" style="200" customWidth="1"/>
    <col min="12297" max="12544" width="9.140625" style="200"/>
    <col min="12545" max="12545" width="9.5703125" style="200" customWidth="1"/>
    <col min="12546" max="12546" width="20.28515625" style="200" customWidth="1"/>
    <col min="12547" max="12547" width="16.140625" style="200" customWidth="1"/>
    <col min="12548" max="12548" width="14.42578125" style="200" customWidth="1"/>
    <col min="12549" max="12549" width="13.85546875" style="200" customWidth="1"/>
    <col min="12550" max="12550" width="15.28515625" style="200" customWidth="1"/>
    <col min="12551" max="12551" width="16.140625" style="200" customWidth="1"/>
    <col min="12552" max="12552" width="15.42578125" style="200" customWidth="1"/>
    <col min="12553" max="12800" width="9.140625" style="200"/>
    <col min="12801" max="12801" width="9.5703125" style="200" customWidth="1"/>
    <col min="12802" max="12802" width="20.28515625" style="200" customWidth="1"/>
    <col min="12803" max="12803" width="16.140625" style="200" customWidth="1"/>
    <col min="12804" max="12804" width="14.42578125" style="200" customWidth="1"/>
    <col min="12805" max="12805" width="13.85546875" style="200" customWidth="1"/>
    <col min="12806" max="12806" width="15.28515625" style="200" customWidth="1"/>
    <col min="12807" max="12807" width="16.140625" style="200" customWidth="1"/>
    <col min="12808" max="12808" width="15.42578125" style="200" customWidth="1"/>
    <col min="12809" max="13056" width="9.140625" style="200"/>
    <col min="13057" max="13057" width="9.5703125" style="200" customWidth="1"/>
    <col min="13058" max="13058" width="20.28515625" style="200" customWidth="1"/>
    <col min="13059" max="13059" width="16.140625" style="200" customWidth="1"/>
    <col min="13060" max="13060" width="14.42578125" style="200" customWidth="1"/>
    <col min="13061" max="13061" width="13.85546875" style="200" customWidth="1"/>
    <col min="13062" max="13062" width="15.28515625" style="200" customWidth="1"/>
    <col min="13063" max="13063" width="16.140625" style="200" customWidth="1"/>
    <col min="13064" max="13064" width="15.42578125" style="200" customWidth="1"/>
    <col min="13065" max="13312" width="9.140625" style="200"/>
    <col min="13313" max="13313" width="9.5703125" style="200" customWidth="1"/>
    <col min="13314" max="13314" width="20.28515625" style="200" customWidth="1"/>
    <col min="13315" max="13315" width="16.140625" style="200" customWidth="1"/>
    <col min="13316" max="13316" width="14.42578125" style="200" customWidth="1"/>
    <col min="13317" max="13317" width="13.85546875" style="200" customWidth="1"/>
    <col min="13318" max="13318" width="15.28515625" style="200" customWidth="1"/>
    <col min="13319" max="13319" width="16.140625" style="200" customWidth="1"/>
    <col min="13320" max="13320" width="15.42578125" style="200" customWidth="1"/>
    <col min="13321" max="13568" width="9.140625" style="200"/>
    <col min="13569" max="13569" width="9.5703125" style="200" customWidth="1"/>
    <col min="13570" max="13570" width="20.28515625" style="200" customWidth="1"/>
    <col min="13571" max="13571" width="16.140625" style="200" customWidth="1"/>
    <col min="13572" max="13572" width="14.42578125" style="200" customWidth="1"/>
    <col min="13573" max="13573" width="13.85546875" style="200" customWidth="1"/>
    <col min="13574" max="13574" width="15.28515625" style="200" customWidth="1"/>
    <col min="13575" max="13575" width="16.140625" style="200" customWidth="1"/>
    <col min="13576" max="13576" width="15.42578125" style="200" customWidth="1"/>
    <col min="13577" max="13824" width="9.140625" style="200"/>
    <col min="13825" max="13825" width="9.5703125" style="200" customWidth="1"/>
    <col min="13826" max="13826" width="20.28515625" style="200" customWidth="1"/>
    <col min="13827" max="13827" width="16.140625" style="200" customWidth="1"/>
    <col min="13828" max="13828" width="14.42578125" style="200" customWidth="1"/>
    <col min="13829" max="13829" width="13.85546875" style="200" customWidth="1"/>
    <col min="13830" max="13830" width="15.28515625" style="200" customWidth="1"/>
    <col min="13831" max="13831" width="16.140625" style="200" customWidth="1"/>
    <col min="13832" max="13832" width="15.42578125" style="200" customWidth="1"/>
    <col min="13833" max="14080" width="9.140625" style="200"/>
    <col min="14081" max="14081" width="9.5703125" style="200" customWidth="1"/>
    <col min="14082" max="14082" width="20.28515625" style="200" customWidth="1"/>
    <col min="14083" max="14083" width="16.140625" style="200" customWidth="1"/>
    <col min="14084" max="14084" width="14.42578125" style="200" customWidth="1"/>
    <col min="14085" max="14085" width="13.85546875" style="200" customWidth="1"/>
    <col min="14086" max="14086" width="15.28515625" style="200" customWidth="1"/>
    <col min="14087" max="14087" width="16.140625" style="200" customWidth="1"/>
    <col min="14088" max="14088" width="15.42578125" style="200" customWidth="1"/>
    <col min="14089" max="14336" width="9.140625" style="200"/>
    <col min="14337" max="14337" width="9.5703125" style="200" customWidth="1"/>
    <col min="14338" max="14338" width="20.28515625" style="200" customWidth="1"/>
    <col min="14339" max="14339" width="16.140625" style="200" customWidth="1"/>
    <col min="14340" max="14340" width="14.42578125" style="200" customWidth="1"/>
    <col min="14341" max="14341" width="13.85546875" style="200" customWidth="1"/>
    <col min="14342" max="14342" width="15.28515625" style="200" customWidth="1"/>
    <col min="14343" max="14343" width="16.140625" style="200" customWidth="1"/>
    <col min="14344" max="14344" width="15.42578125" style="200" customWidth="1"/>
    <col min="14345" max="14592" width="9.140625" style="200"/>
    <col min="14593" max="14593" width="9.5703125" style="200" customWidth="1"/>
    <col min="14594" max="14594" width="20.28515625" style="200" customWidth="1"/>
    <col min="14595" max="14595" width="16.140625" style="200" customWidth="1"/>
    <col min="14596" max="14596" width="14.42578125" style="200" customWidth="1"/>
    <col min="14597" max="14597" width="13.85546875" style="200" customWidth="1"/>
    <col min="14598" max="14598" width="15.28515625" style="200" customWidth="1"/>
    <col min="14599" max="14599" width="16.140625" style="200" customWidth="1"/>
    <col min="14600" max="14600" width="15.42578125" style="200" customWidth="1"/>
    <col min="14601" max="14848" width="9.140625" style="200"/>
    <col min="14849" max="14849" width="9.5703125" style="200" customWidth="1"/>
    <col min="14850" max="14850" width="20.28515625" style="200" customWidth="1"/>
    <col min="14851" max="14851" width="16.140625" style="200" customWidth="1"/>
    <col min="14852" max="14852" width="14.42578125" style="200" customWidth="1"/>
    <col min="14853" max="14853" width="13.85546875" style="200" customWidth="1"/>
    <col min="14854" max="14854" width="15.28515625" style="200" customWidth="1"/>
    <col min="14855" max="14855" width="16.140625" style="200" customWidth="1"/>
    <col min="14856" max="14856" width="15.42578125" style="200" customWidth="1"/>
    <col min="14857" max="15104" width="9.140625" style="200"/>
    <col min="15105" max="15105" width="9.5703125" style="200" customWidth="1"/>
    <col min="15106" max="15106" width="20.28515625" style="200" customWidth="1"/>
    <col min="15107" max="15107" width="16.140625" style="200" customWidth="1"/>
    <col min="15108" max="15108" width="14.42578125" style="200" customWidth="1"/>
    <col min="15109" max="15109" width="13.85546875" style="200" customWidth="1"/>
    <col min="15110" max="15110" width="15.28515625" style="200" customWidth="1"/>
    <col min="15111" max="15111" width="16.140625" style="200" customWidth="1"/>
    <col min="15112" max="15112" width="15.42578125" style="200" customWidth="1"/>
    <col min="15113" max="15360" width="9.140625" style="200"/>
    <col min="15361" max="15361" width="9.5703125" style="200" customWidth="1"/>
    <col min="15362" max="15362" width="20.28515625" style="200" customWidth="1"/>
    <col min="15363" max="15363" width="16.140625" style="200" customWidth="1"/>
    <col min="15364" max="15364" width="14.42578125" style="200" customWidth="1"/>
    <col min="15365" max="15365" width="13.85546875" style="200" customWidth="1"/>
    <col min="15366" max="15366" width="15.28515625" style="200" customWidth="1"/>
    <col min="15367" max="15367" width="16.140625" style="200" customWidth="1"/>
    <col min="15368" max="15368" width="15.42578125" style="200" customWidth="1"/>
    <col min="15369" max="15616" width="9.140625" style="200"/>
    <col min="15617" max="15617" width="9.5703125" style="200" customWidth="1"/>
    <col min="15618" max="15618" width="20.28515625" style="200" customWidth="1"/>
    <col min="15619" max="15619" width="16.140625" style="200" customWidth="1"/>
    <col min="15620" max="15620" width="14.42578125" style="200" customWidth="1"/>
    <col min="15621" max="15621" width="13.85546875" style="200" customWidth="1"/>
    <col min="15622" max="15622" width="15.28515625" style="200" customWidth="1"/>
    <col min="15623" max="15623" width="16.140625" style="200" customWidth="1"/>
    <col min="15624" max="15624" width="15.42578125" style="200" customWidth="1"/>
    <col min="15625" max="15872" width="9.140625" style="200"/>
    <col min="15873" max="15873" width="9.5703125" style="200" customWidth="1"/>
    <col min="15874" max="15874" width="20.28515625" style="200" customWidth="1"/>
    <col min="15875" max="15875" width="16.140625" style="200" customWidth="1"/>
    <col min="15876" max="15876" width="14.42578125" style="200" customWidth="1"/>
    <col min="15877" max="15877" width="13.85546875" style="200" customWidth="1"/>
    <col min="15878" max="15878" width="15.28515625" style="200" customWidth="1"/>
    <col min="15879" max="15879" width="16.140625" style="200" customWidth="1"/>
    <col min="15880" max="15880" width="15.42578125" style="200" customWidth="1"/>
    <col min="15881" max="16128" width="9.140625" style="200"/>
    <col min="16129" max="16129" width="9.5703125" style="200" customWidth="1"/>
    <col min="16130" max="16130" width="20.28515625" style="200" customWidth="1"/>
    <col min="16131" max="16131" width="16.140625" style="200" customWidth="1"/>
    <col min="16132" max="16132" width="14.42578125" style="200" customWidth="1"/>
    <col min="16133" max="16133" width="13.85546875" style="200" customWidth="1"/>
    <col min="16134" max="16134" width="15.28515625" style="200" customWidth="1"/>
    <col min="16135" max="16135" width="16.140625" style="200" customWidth="1"/>
    <col min="16136" max="16136" width="15.42578125" style="200" customWidth="1"/>
    <col min="16137" max="16384" width="9.140625" style="200"/>
  </cols>
  <sheetData>
    <row r="1" spans="1:8" ht="18.75" x14ac:dyDescent="0.3">
      <c r="A1" s="198">
        <f>'Note 13-19'!A1</f>
        <v>0</v>
      </c>
      <c r="B1" s="198"/>
      <c r="C1" s="199"/>
      <c r="D1" s="199"/>
      <c r="E1" s="199"/>
    </row>
    <row r="2" spans="1:8" x14ac:dyDescent="0.3">
      <c r="A2" s="201" t="str">
        <f>+'Note 13-19'!A2</f>
        <v>Notes to financial statements for the year ended March 31, 2025</v>
      </c>
      <c r="B2" s="201"/>
      <c r="C2" s="199"/>
      <c r="D2" s="199"/>
      <c r="E2" s="199"/>
    </row>
    <row r="3" spans="1:8" x14ac:dyDescent="0.3">
      <c r="A3" s="201">
        <f>+'Note 13-19'!A3</f>
        <v>0</v>
      </c>
      <c r="B3" s="201"/>
      <c r="C3" s="199"/>
      <c r="D3" s="199"/>
      <c r="E3" s="199"/>
    </row>
    <row r="4" spans="1:8" x14ac:dyDescent="0.3">
      <c r="A4" s="202"/>
      <c r="B4" s="202"/>
      <c r="C4" s="186"/>
      <c r="G4" s="974" t="str">
        <f>'Note 13-19'!C4</f>
        <v>In Rupees</v>
      </c>
      <c r="H4" s="974"/>
    </row>
    <row r="5" spans="1:8" x14ac:dyDescent="0.3">
      <c r="A5" s="203" t="s">
        <v>711</v>
      </c>
      <c r="B5" s="203"/>
      <c r="C5" s="204"/>
      <c r="D5" s="204"/>
      <c r="E5" s="204"/>
      <c r="F5" s="204"/>
    </row>
    <row r="6" spans="1:8" x14ac:dyDescent="0.3">
      <c r="A6" s="205"/>
      <c r="B6" s="205"/>
      <c r="C6" s="204"/>
      <c r="D6" s="204"/>
      <c r="E6" s="204"/>
      <c r="F6" s="204"/>
      <c r="G6" s="522" t="s">
        <v>1010</v>
      </c>
      <c r="H6" s="522" t="s">
        <v>759</v>
      </c>
    </row>
    <row r="7" spans="1:8" x14ac:dyDescent="0.3">
      <c r="A7" s="200" t="s">
        <v>142</v>
      </c>
      <c r="G7" s="560">
        <f>'P&amp;L'!C26</f>
        <v>12954665.152799999</v>
      </c>
      <c r="H7" s="560">
        <f>'P&amp;L'!D26</f>
        <v>28486452.262695998</v>
      </c>
    </row>
    <row r="8" spans="1:8" x14ac:dyDescent="0.3">
      <c r="A8" s="206" t="s">
        <v>143</v>
      </c>
      <c r="B8" s="206"/>
      <c r="G8" s="560"/>
      <c r="H8" s="560"/>
    </row>
    <row r="9" spans="1:8" x14ac:dyDescent="0.3">
      <c r="A9" s="200" t="s">
        <v>144</v>
      </c>
      <c r="G9" s="529">
        <f>'Note 2 - 7'!B19</f>
        <v>1000</v>
      </c>
      <c r="H9" s="529">
        <f>'Note 2 - 7'!D19</f>
        <v>1000</v>
      </c>
    </row>
    <row r="10" spans="1:8" x14ac:dyDescent="0.3">
      <c r="A10" s="200" t="s">
        <v>145</v>
      </c>
      <c r="G10" s="560"/>
      <c r="H10" s="560"/>
    </row>
    <row r="11" spans="1:8" x14ac:dyDescent="0.3">
      <c r="A11" s="206" t="s">
        <v>636</v>
      </c>
      <c r="B11" s="206"/>
      <c r="G11" s="560"/>
      <c r="H11" s="560"/>
    </row>
    <row r="12" spans="1:8" x14ac:dyDescent="0.3">
      <c r="A12" s="425" t="s">
        <v>143</v>
      </c>
      <c r="B12" s="204"/>
      <c r="C12" s="204"/>
      <c r="D12" s="204"/>
      <c r="E12" s="204"/>
      <c r="F12" s="204"/>
      <c r="G12" s="434">
        <f>G7/G9</f>
        <v>12954.6651528</v>
      </c>
      <c r="H12" s="434">
        <f>H7/H9</f>
        <v>28486.452262695999</v>
      </c>
    </row>
    <row r="13" spans="1:8" x14ac:dyDescent="0.3">
      <c r="G13" s="208"/>
      <c r="H13" s="208"/>
    </row>
    <row r="14" spans="1:8" x14ac:dyDescent="0.3">
      <c r="A14" s="206" t="s">
        <v>712</v>
      </c>
    </row>
    <row r="15" spans="1:8" ht="13.5" customHeight="1" x14ac:dyDescent="0.3">
      <c r="A15" s="975" t="s">
        <v>146</v>
      </c>
      <c r="B15" s="975"/>
      <c r="C15" s="975"/>
      <c r="D15" s="975"/>
      <c r="E15" s="975"/>
      <c r="F15" s="975"/>
      <c r="G15" s="975"/>
      <c r="H15" s="975"/>
    </row>
    <row r="16" spans="1:8" ht="4.5" customHeight="1" x14ac:dyDescent="0.3">
      <c r="A16" s="975"/>
      <c r="B16" s="975"/>
      <c r="C16" s="975"/>
      <c r="D16" s="975"/>
      <c r="E16" s="975"/>
      <c r="F16" s="975"/>
      <c r="G16" s="975"/>
      <c r="H16" s="975"/>
    </row>
    <row r="17" spans="1:8" hidden="1" x14ac:dyDescent="0.3">
      <c r="A17" s="210" t="s">
        <v>80</v>
      </c>
      <c r="B17" s="211" t="s">
        <v>147</v>
      </c>
      <c r="C17" s="209"/>
      <c r="D17" s="209"/>
      <c r="E17" s="209"/>
      <c r="F17" s="209"/>
      <c r="G17" s="209"/>
      <c r="H17" s="209"/>
    </row>
    <row r="18" spans="1:8" hidden="1" x14ac:dyDescent="0.3">
      <c r="A18" s="209"/>
      <c r="B18" s="212" t="s">
        <v>148</v>
      </c>
      <c r="C18" s="209"/>
      <c r="D18" s="209"/>
      <c r="E18" s="209"/>
      <c r="F18" s="209"/>
      <c r="G18" s="209"/>
      <c r="H18" s="209"/>
    </row>
    <row r="19" spans="1:8" ht="4.5" hidden="1" customHeight="1" x14ac:dyDescent="0.3">
      <c r="A19" s="209"/>
      <c r="B19" s="212"/>
      <c r="C19" s="209"/>
      <c r="D19" s="209"/>
      <c r="E19" s="209"/>
      <c r="F19" s="209"/>
      <c r="G19" s="209"/>
      <c r="H19" s="209"/>
    </row>
    <row r="20" spans="1:8" x14ac:dyDescent="0.3">
      <c r="A20" s="210" t="s">
        <v>80</v>
      </c>
      <c r="B20" s="211" t="s">
        <v>149</v>
      </c>
      <c r="C20" s="209"/>
      <c r="D20" s="209"/>
      <c r="E20" s="209"/>
      <c r="F20" s="209"/>
      <c r="G20" s="209"/>
      <c r="H20" s="209"/>
    </row>
    <row r="21" spans="1:8" x14ac:dyDescent="0.3">
      <c r="A21" s="209"/>
      <c r="B21" s="213" t="s">
        <v>150</v>
      </c>
      <c r="C21" s="214" t="s">
        <v>151</v>
      </c>
      <c r="D21" s="215"/>
      <c r="E21" s="216"/>
      <c r="F21" s="976" t="s">
        <v>152</v>
      </c>
      <c r="G21" s="976"/>
      <c r="H21" s="209"/>
    </row>
    <row r="22" spans="1:8" x14ac:dyDescent="0.3">
      <c r="A22" s="209"/>
      <c r="B22" s="294">
        <v>1</v>
      </c>
      <c r="C22" s="299" t="s">
        <v>260</v>
      </c>
      <c r="D22" s="295"/>
      <c r="E22" s="296"/>
      <c r="F22" s="973" t="s">
        <v>215</v>
      </c>
      <c r="G22" s="973"/>
      <c r="H22" s="209"/>
    </row>
    <row r="23" spans="1:8" x14ac:dyDescent="0.3">
      <c r="A23" s="209"/>
      <c r="B23" s="294">
        <v>2</v>
      </c>
      <c r="C23" s="299" t="s">
        <v>690</v>
      </c>
      <c r="D23" s="297"/>
      <c r="E23" s="298"/>
      <c r="F23" s="977" t="s">
        <v>215</v>
      </c>
      <c r="G23" s="978"/>
      <c r="H23" s="209"/>
    </row>
    <row r="24" spans="1:8" x14ac:dyDescent="0.3">
      <c r="A24" s="209"/>
      <c r="B24" s="294">
        <v>3</v>
      </c>
      <c r="C24" s="299" t="s">
        <v>261</v>
      </c>
      <c r="D24" s="297"/>
      <c r="E24" s="298"/>
      <c r="F24" s="973" t="s">
        <v>215</v>
      </c>
      <c r="G24" s="973"/>
      <c r="H24" s="209"/>
    </row>
    <row r="25" spans="1:8" x14ac:dyDescent="0.3">
      <c r="A25" s="209"/>
      <c r="B25" s="294">
        <v>4</v>
      </c>
      <c r="C25" s="299" t="s">
        <v>601</v>
      </c>
      <c r="D25" s="297"/>
      <c r="E25" s="298"/>
      <c r="F25" s="973" t="s">
        <v>629</v>
      </c>
      <c r="G25" s="973"/>
      <c r="H25" s="209"/>
    </row>
    <row r="26" spans="1:8" x14ac:dyDescent="0.3">
      <c r="A26" s="209"/>
      <c r="B26" s="431"/>
      <c r="C26" s="432"/>
      <c r="D26" s="197"/>
      <c r="E26" s="433"/>
      <c r="F26" s="431"/>
      <c r="G26" s="431"/>
      <c r="H26" s="209"/>
    </row>
    <row r="27" spans="1:8" x14ac:dyDescent="0.3">
      <c r="A27" s="210" t="s">
        <v>153</v>
      </c>
      <c r="B27" s="211" t="s">
        <v>154</v>
      </c>
      <c r="C27" s="217"/>
      <c r="D27" s="217"/>
      <c r="E27" s="217"/>
      <c r="F27" s="217"/>
      <c r="G27" s="217"/>
      <c r="H27" s="209"/>
    </row>
    <row r="28" spans="1:8" x14ac:dyDescent="0.3">
      <c r="A28" s="218"/>
      <c r="B28" s="218"/>
      <c r="C28" s="204"/>
      <c r="D28" s="204"/>
      <c r="E28" s="204"/>
      <c r="F28" s="72">
        <v>45747</v>
      </c>
      <c r="G28" s="72">
        <v>45382</v>
      </c>
      <c r="H28" s="209"/>
    </row>
    <row r="29" spans="1:8" ht="20.100000000000001" customHeight="1" x14ac:dyDescent="0.3">
      <c r="A29" s="219" t="s">
        <v>631</v>
      </c>
      <c r="B29" s="220"/>
      <c r="F29" s="221"/>
      <c r="G29" s="221"/>
      <c r="H29" s="209"/>
    </row>
    <row r="30" spans="1:8" ht="20.100000000000001" customHeight="1" x14ac:dyDescent="0.3">
      <c r="A30" s="207" t="s">
        <v>630</v>
      </c>
      <c r="B30" s="220"/>
      <c r="F30" s="221"/>
      <c r="G30" s="221"/>
      <c r="H30" s="209"/>
    </row>
    <row r="31" spans="1:8" ht="20.100000000000001" customHeight="1" x14ac:dyDescent="0.3">
      <c r="A31" s="423" t="s">
        <v>632</v>
      </c>
      <c r="B31" s="220"/>
      <c r="F31" s="560">
        <f>+'Note 13-19'!A8</f>
        <v>0</v>
      </c>
      <c r="G31" s="560">
        <f>+'Note 13-19'!B8</f>
        <v>364415590</v>
      </c>
    </row>
    <row r="32" spans="1:8" ht="20.100000000000001" customHeight="1" x14ac:dyDescent="0.3">
      <c r="A32" s="219" t="s">
        <v>32</v>
      </c>
      <c r="B32" s="220"/>
      <c r="F32" s="561"/>
      <c r="G32" s="561"/>
      <c r="H32" s="285"/>
    </row>
    <row r="33" spans="1:9" x14ac:dyDescent="0.3">
      <c r="A33" s="207" t="s">
        <v>149</v>
      </c>
      <c r="B33" s="220"/>
      <c r="F33" s="560"/>
      <c r="G33" s="560"/>
    </row>
    <row r="34" spans="1:9" x14ac:dyDescent="0.3">
      <c r="A34" s="423" t="s">
        <v>155</v>
      </c>
      <c r="B34" s="424"/>
      <c r="F34" s="576"/>
      <c r="G34" s="576">
        <v>1496946</v>
      </c>
    </row>
    <row r="35" spans="1:9" ht="10.15" customHeight="1" x14ac:dyDescent="0.3">
      <c r="A35" s="423"/>
      <c r="B35" s="424"/>
      <c r="F35" s="562"/>
      <c r="G35" s="562"/>
    </row>
    <row r="36" spans="1:9" x14ac:dyDescent="0.3">
      <c r="A36" s="219" t="s">
        <v>633</v>
      </c>
      <c r="B36" s="424"/>
      <c r="F36" s="562"/>
      <c r="G36" s="562"/>
    </row>
    <row r="37" spans="1:9" x14ac:dyDescent="0.3">
      <c r="A37" s="207" t="s">
        <v>630</v>
      </c>
      <c r="B37" s="424"/>
      <c r="F37" s="562"/>
      <c r="G37" s="562"/>
    </row>
    <row r="38" spans="1:9" x14ac:dyDescent="0.3">
      <c r="A38" s="300" t="s">
        <v>634</v>
      </c>
      <c r="B38" s="205"/>
      <c r="C38" s="204"/>
      <c r="D38" s="204"/>
      <c r="E38" s="204"/>
      <c r="F38" s="434">
        <f>+Schedules!B105</f>
        <v>1105182</v>
      </c>
      <c r="G38" s="434">
        <f>+Schedules!C105</f>
        <v>1105182</v>
      </c>
    </row>
    <row r="39" spans="1:9" ht="10.5" customHeight="1" x14ac:dyDescent="0.3"/>
    <row r="40" spans="1:9" x14ac:dyDescent="0.3">
      <c r="A40" s="206" t="s">
        <v>713</v>
      </c>
    </row>
    <row r="41" spans="1:9" ht="20.100000000000001" customHeight="1" x14ac:dyDescent="0.3">
      <c r="A41" s="979" t="s">
        <v>156</v>
      </c>
      <c r="B41" s="979"/>
      <c r="C41" s="979"/>
      <c r="D41" s="979"/>
      <c r="E41" s="979"/>
      <c r="F41" s="979"/>
      <c r="G41" s="979"/>
      <c r="H41" s="979"/>
    </row>
    <row r="42" spans="1:9" ht="20.100000000000001" customHeight="1" x14ac:dyDescent="0.3">
      <c r="A42" s="979"/>
      <c r="B42" s="979"/>
      <c r="C42" s="979"/>
      <c r="D42" s="979"/>
      <c r="E42" s="979"/>
      <c r="F42" s="979"/>
      <c r="G42" s="979"/>
      <c r="H42" s="979"/>
    </row>
    <row r="43" spans="1:9" ht="5.25" customHeight="1" x14ac:dyDescent="0.3">
      <c r="A43" s="209"/>
      <c r="B43" s="209"/>
      <c r="C43" s="209"/>
      <c r="D43" s="209"/>
      <c r="E43" s="209"/>
      <c r="F43" s="209"/>
      <c r="G43" s="209"/>
      <c r="H43" s="209"/>
    </row>
    <row r="44" spans="1:9" x14ac:dyDescent="0.3">
      <c r="A44" s="206" t="s">
        <v>714</v>
      </c>
      <c r="B44" s="209"/>
      <c r="C44" s="209"/>
      <c r="D44" s="209"/>
      <c r="E44" s="209"/>
      <c r="F44" s="209"/>
      <c r="G44" s="209"/>
      <c r="H44" s="209"/>
    </row>
    <row r="45" spans="1:9" ht="30" x14ac:dyDescent="0.3">
      <c r="A45" s="980" t="s">
        <v>0</v>
      </c>
      <c r="B45" s="981"/>
      <c r="C45" s="982"/>
      <c r="D45" s="289" t="s">
        <v>1011</v>
      </c>
      <c r="E45" s="289" t="s">
        <v>760</v>
      </c>
      <c r="F45" s="209"/>
      <c r="G45" s="209"/>
      <c r="H45" s="209"/>
      <c r="I45" s="209"/>
    </row>
    <row r="46" spans="1:9" ht="16.5" customHeight="1" x14ac:dyDescent="0.3">
      <c r="A46" s="966" t="s">
        <v>159</v>
      </c>
      <c r="B46" s="967"/>
      <c r="C46" s="968"/>
      <c r="D46" s="288">
        <f>'Ratios &amp; Deferred Tax'!D5</f>
        <v>1.2891206913510727</v>
      </c>
      <c r="E46" s="288">
        <f>'Ratios &amp; Deferred Tax'!E5</f>
        <v>1.0962136589846116</v>
      </c>
      <c r="F46" s="209"/>
      <c r="G46" s="209"/>
      <c r="H46" s="209"/>
      <c r="I46" s="209"/>
    </row>
    <row r="47" spans="1:9" ht="16.5" customHeight="1" x14ac:dyDescent="0.3">
      <c r="A47" s="966" t="s">
        <v>160</v>
      </c>
      <c r="B47" s="967"/>
      <c r="C47" s="968"/>
      <c r="D47" s="288" t="s">
        <v>211</v>
      </c>
      <c r="E47" s="288" t="s">
        <v>211</v>
      </c>
      <c r="F47" s="209"/>
      <c r="G47" s="209"/>
      <c r="H47" s="209"/>
      <c r="I47" s="209"/>
    </row>
    <row r="48" spans="1:9" ht="16.5" customHeight="1" x14ac:dyDescent="0.3">
      <c r="A48" s="966" t="s">
        <v>161</v>
      </c>
      <c r="B48" s="967"/>
      <c r="C48" s="968"/>
      <c r="D48" s="288" t="s">
        <v>211</v>
      </c>
      <c r="E48" s="288" t="s">
        <v>211</v>
      </c>
      <c r="F48" s="209"/>
      <c r="G48" s="209"/>
      <c r="H48" s="209"/>
      <c r="I48" s="209"/>
    </row>
    <row r="49" spans="1:9" x14ac:dyDescent="0.3">
      <c r="A49" s="966" t="s">
        <v>162</v>
      </c>
      <c r="B49" s="967"/>
      <c r="C49" s="968"/>
      <c r="D49" s="288">
        <f>'Ratios &amp; Deferred Tax'!D10</f>
        <v>1.4496105647618369</v>
      </c>
      <c r="E49" s="288">
        <f>'Ratios &amp; Deferred Tax'!E10</f>
        <v>0.52843579843401201</v>
      </c>
      <c r="F49" s="209"/>
      <c r="G49" s="209"/>
      <c r="H49" s="209"/>
      <c r="I49" s="209"/>
    </row>
    <row r="50" spans="1:9" x14ac:dyDescent="0.3">
      <c r="A50" s="966" t="s">
        <v>163</v>
      </c>
      <c r="B50" s="967"/>
      <c r="C50" s="968"/>
      <c r="D50" s="288" t="s">
        <v>211</v>
      </c>
      <c r="E50" s="288" t="s">
        <v>211</v>
      </c>
      <c r="F50" s="209"/>
      <c r="G50" s="209"/>
      <c r="H50" s="209"/>
      <c r="I50" s="209"/>
    </row>
    <row r="51" spans="1:9" x14ac:dyDescent="0.3">
      <c r="A51" s="966" t="s">
        <v>164</v>
      </c>
      <c r="B51" s="967"/>
      <c r="C51" s="968"/>
      <c r="D51" s="288" t="s">
        <v>211</v>
      </c>
      <c r="E51" s="288" t="s">
        <v>211</v>
      </c>
      <c r="F51" s="209"/>
      <c r="G51" s="209"/>
      <c r="H51" s="209"/>
      <c r="I51" s="209"/>
    </row>
    <row r="52" spans="1:9" ht="14.45" customHeight="1" x14ac:dyDescent="0.3">
      <c r="A52" s="966" t="s">
        <v>165</v>
      </c>
      <c r="B52" s="967"/>
      <c r="C52" s="968"/>
      <c r="D52" s="288" t="s">
        <v>211</v>
      </c>
      <c r="E52" s="288" t="s">
        <v>211</v>
      </c>
      <c r="F52" s="209"/>
      <c r="G52" s="209"/>
      <c r="H52" s="209"/>
      <c r="I52" s="209"/>
    </row>
    <row r="53" spans="1:9" x14ac:dyDescent="0.3">
      <c r="A53" s="966" t="s">
        <v>166</v>
      </c>
      <c r="B53" s="967"/>
      <c r="C53" s="968"/>
      <c r="D53" s="288">
        <f>'Ratios &amp; Deferred Tax'!D15</f>
        <v>53.715867598704214</v>
      </c>
      <c r="E53" s="288">
        <f>'Ratios &amp; Deferred Tax'!E15</f>
        <v>81.35135495116316</v>
      </c>
      <c r="F53" s="209"/>
      <c r="G53" s="209"/>
      <c r="H53" s="209"/>
      <c r="I53" s="209"/>
    </row>
    <row r="54" spans="1:9" x14ac:dyDescent="0.3">
      <c r="A54" s="966" t="s">
        <v>167</v>
      </c>
      <c r="B54" s="967"/>
      <c r="C54" s="968"/>
      <c r="D54" s="288">
        <f>'Ratios &amp; Deferred Tax'!D21</f>
        <v>3.5549151870258894E-2</v>
      </c>
      <c r="E54" s="288">
        <f>'Ratios &amp; Deferred Tax'!E21</f>
        <v>0.12605305358384833</v>
      </c>
      <c r="F54" s="209"/>
      <c r="G54" s="209"/>
      <c r="H54" s="209"/>
      <c r="I54" s="209"/>
    </row>
    <row r="55" spans="1:9" x14ac:dyDescent="0.3">
      <c r="A55" s="966" t="s">
        <v>168</v>
      </c>
      <c r="B55" s="967"/>
      <c r="C55" s="968"/>
      <c r="D55" s="288">
        <f>'Ratios &amp; Deferred Tax'!D26</f>
        <v>0.96857665488149258</v>
      </c>
      <c r="E55" s="288">
        <f>'Ratios &amp; Deferred Tax'!E26</f>
        <v>7.7393781084564246</v>
      </c>
      <c r="F55" s="209"/>
      <c r="G55" s="209"/>
      <c r="H55" s="209"/>
      <c r="I55" s="209"/>
    </row>
    <row r="56" spans="1:9" ht="6" customHeight="1" x14ac:dyDescent="0.3">
      <c r="A56" s="209"/>
      <c r="B56" s="209"/>
      <c r="C56" s="209"/>
      <c r="D56" s="209"/>
      <c r="E56" s="209"/>
      <c r="F56" s="209"/>
      <c r="G56" s="209"/>
      <c r="H56" s="209"/>
    </row>
    <row r="57" spans="1:9" x14ac:dyDescent="0.3">
      <c r="A57" s="469" t="s">
        <v>715</v>
      </c>
      <c r="B57" s="469"/>
      <c r="C57" s="209"/>
      <c r="D57" s="209"/>
      <c r="E57" s="209"/>
      <c r="F57" s="209"/>
      <c r="G57" s="209"/>
      <c r="H57" s="209"/>
    </row>
    <row r="58" spans="1:9" x14ac:dyDescent="0.3">
      <c r="A58" s="971" t="s">
        <v>662</v>
      </c>
      <c r="B58" s="971"/>
      <c r="C58" s="971"/>
      <c r="D58" s="971"/>
      <c r="E58" s="971"/>
      <c r="F58" s="971"/>
      <c r="G58" s="971"/>
      <c r="H58" s="971"/>
    </row>
    <row r="59" spans="1:9" x14ac:dyDescent="0.3">
      <c r="A59" s="971"/>
      <c r="B59" s="971"/>
      <c r="C59" s="971"/>
      <c r="D59" s="971"/>
      <c r="E59" s="971"/>
      <c r="F59" s="971"/>
      <c r="G59" s="971"/>
      <c r="H59" s="971"/>
    </row>
    <row r="60" spans="1:9" x14ac:dyDescent="0.3">
      <c r="A60" s="971"/>
      <c r="B60" s="971"/>
      <c r="C60" s="971"/>
      <c r="D60" s="971"/>
      <c r="E60" s="971"/>
      <c r="F60" s="971"/>
      <c r="G60" s="971"/>
      <c r="H60" s="971"/>
    </row>
    <row r="61" spans="1:9" x14ac:dyDescent="0.3">
      <c r="A61" s="470"/>
      <c r="B61" s="470"/>
      <c r="C61" s="470"/>
      <c r="D61" s="470"/>
      <c r="E61" s="470"/>
      <c r="F61" s="470"/>
      <c r="G61" s="470"/>
      <c r="H61" s="470"/>
    </row>
    <row r="62" spans="1:9" x14ac:dyDescent="0.3">
      <c r="A62" s="469" t="s">
        <v>716</v>
      </c>
      <c r="B62" s="470"/>
      <c r="C62" s="470"/>
      <c r="D62" s="470"/>
      <c r="E62" s="470"/>
      <c r="F62" s="470"/>
      <c r="G62" s="470"/>
      <c r="H62" s="470"/>
    </row>
    <row r="63" spans="1:9" ht="14.25" customHeight="1" x14ac:dyDescent="0.3">
      <c r="A63" s="972"/>
      <c r="B63" s="972"/>
      <c r="C63" s="972"/>
      <c r="D63" s="972"/>
      <c r="E63" s="972"/>
      <c r="F63" s="471">
        <f>F28</f>
        <v>45747</v>
      </c>
      <c r="G63" s="471">
        <f>G28</f>
        <v>45382</v>
      </c>
      <c r="H63" s="470"/>
    </row>
    <row r="64" spans="1:9" x14ac:dyDescent="0.3">
      <c r="A64" s="475" t="s">
        <v>663</v>
      </c>
      <c r="B64" s="476"/>
      <c r="C64" s="476"/>
      <c r="D64" s="476"/>
      <c r="E64" s="476"/>
      <c r="F64" s="474"/>
      <c r="G64" s="473"/>
      <c r="H64" s="470"/>
    </row>
    <row r="65" spans="1:12" x14ac:dyDescent="0.3">
      <c r="A65" s="477" t="s">
        <v>664</v>
      </c>
      <c r="B65" s="470"/>
      <c r="C65" s="470"/>
      <c r="D65" s="470"/>
      <c r="E65" s="470"/>
      <c r="F65" s="563">
        <f>'P&amp;L'!C8</f>
        <v>364415590</v>
      </c>
      <c r="G65" s="563">
        <f>'P&amp;L'!D8</f>
        <v>225987800</v>
      </c>
      <c r="H65" s="470"/>
    </row>
    <row r="66" spans="1:12" x14ac:dyDescent="0.3">
      <c r="A66" s="478"/>
      <c r="B66" s="479"/>
      <c r="C66" s="479"/>
      <c r="D66" s="479"/>
      <c r="E66" s="479"/>
      <c r="F66" s="472"/>
      <c r="G66" s="480"/>
      <c r="H66" s="470"/>
    </row>
    <row r="67" spans="1:12" x14ac:dyDescent="0.3">
      <c r="A67" s="209"/>
      <c r="B67" s="209"/>
      <c r="C67" s="209"/>
      <c r="D67" s="209"/>
      <c r="E67" s="209"/>
      <c r="F67" s="209"/>
      <c r="G67" s="209"/>
      <c r="H67" s="209"/>
    </row>
    <row r="68" spans="1:12" x14ac:dyDescent="0.3">
      <c r="A68" s="969" t="s">
        <v>717</v>
      </c>
      <c r="B68" s="969"/>
      <c r="C68" s="969"/>
      <c r="D68" s="969"/>
      <c r="E68" s="969"/>
      <c r="F68" s="969"/>
      <c r="G68" s="969"/>
      <c r="H68" s="969"/>
    </row>
    <row r="69" spans="1:12" ht="4.5" customHeight="1" thickBot="1" x14ac:dyDescent="0.35">
      <c r="A69" s="970"/>
      <c r="B69" s="970"/>
      <c r="C69" s="970"/>
      <c r="D69" s="970"/>
      <c r="E69" s="970"/>
      <c r="F69" s="970"/>
      <c r="G69" s="970"/>
      <c r="H69" s="970"/>
    </row>
    <row r="70" spans="1:12" s="255" customFormat="1" x14ac:dyDescent="0.25">
      <c r="A70" s="26" t="s">
        <v>26</v>
      </c>
      <c r="B70" s="26"/>
      <c r="C70" s="26"/>
      <c r="D70" s="26"/>
      <c r="E70" s="919" t="s">
        <v>27</v>
      </c>
      <c r="F70" s="919"/>
      <c r="G70" s="919"/>
      <c r="H70" s="28"/>
      <c r="I70" s="28"/>
      <c r="J70" s="27"/>
      <c r="K70" s="27"/>
      <c r="L70" s="27"/>
    </row>
    <row r="71" spans="1:12" s="255" customFormat="1" x14ac:dyDescent="0.25">
      <c r="A71" s="26"/>
      <c r="B71" s="26"/>
      <c r="C71" s="26"/>
      <c r="D71" s="26"/>
      <c r="E71" s="369"/>
      <c r="F71" s="369"/>
      <c r="G71" s="369"/>
      <c r="H71" s="28"/>
      <c r="I71" s="28"/>
      <c r="J71" s="27"/>
      <c r="K71" s="27"/>
      <c r="L71" s="27"/>
    </row>
    <row r="72" spans="1:12" s="255" customFormat="1" ht="16.5" customHeight="1" x14ac:dyDescent="0.25">
      <c r="A72" s="355" t="str">
        <f>+BS!A50</f>
        <v>S. Siva Parvathi</v>
      </c>
      <c r="B72" s="355"/>
      <c r="C72" s="355"/>
      <c r="D72" s="355"/>
      <c r="E72" s="924">
        <f>+BS!B44</f>
        <v>0</v>
      </c>
      <c r="F72" s="924"/>
      <c r="G72" s="924"/>
      <c r="H72" s="924"/>
      <c r="I72" s="27"/>
      <c r="J72" s="27"/>
      <c r="K72" s="27"/>
      <c r="L72" s="27"/>
    </row>
    <row r="73" spans="1:12" s="255" customFormat="1" ht="15" x14ac:dyDescent="0.25">
      <c r="A73" s="355" t="s">
        <v>1079</v>
      </c>
      <c r="B73" s="355"/>
      <c r="C73" s="355"/>
      <c r="D73" s="355"/>
      <c r="F73" s="31"/>
      <c r="G73" s="32"/>
      <c r="H73" s="34"/>
      <c r="I73" s="33"/>
      <c r="J73" s="33"/>
      <c r="K73" s="33"/>
      <c r="L73" s="33"/>
    </row>
    <row r="74" spans="1:12" s="255" customFormat="1" ht="15" x14ac:dyDescent="0.25">
      <c r="A74" s="355" t="s">
        <v>251</v>
      </c>
      <c r="B74" s="355"/>
      <c r="C74" s="355"/>
      <c r="D74" s="355"/>
      <c r="F74" s="31"/>
      <c r="G74" s="32"/>
      <c r="H74" s="34"/>
      <c r="I74" s="33"/>
      <c r="J74" s="33"/>
      <c r="K74" s="33"/>
      <c r="L74" s="33"/>
    </row>
    <row r="75" spans="1:12" s="255" customFormat="1" x14ac:dyDescent="0.25">
      <c r="A75" s="358"/>
      <c r="B75" s="358"/>
      <c r="C75" s="358"/>
      <c r="D75" s="358"/>
      <c r="E75" s="252"/>
      <c r="F75" s="30"/>
      <c r="G75" s="32"/>
      <c r="H75" s="34"/>
      <c r="I75" s="33"/>
      <c r="J75" s="33"/>
      <c r="K75" s="33"/>
      <c r="L75" s="33"/>
    </row>
    <row r="76" spans="1:12" s="255" customFormat="1" x14ac:dyDescent="0.25">
      <c r="A76" s="355"/>
      <c r="B76" s="355"/>
      <c r="C76" s="355"/>
      <c r="D76" s="355"/>
      <c r="E76" s="30"/>
      <c r="F76" s="30"/>
      <c r="G76" s="32"/>
      <c r="H76" s="376"/>
      <c r="I76" s="33"/>
      <c r="J76" s="33"/>
      <c r="K76" s="33"/>
      <c r="L76" s="33"/>
    </row>
    <row r="77" spans="1:12" s="255" customFormat="1" x14ac:dyDescent="0.25">
      <c r="A77" s="361"/>
      <c r="B77" s="361"/>
      <c r="C77" s="361"/>
      <c r="D77" s="361"/>
      <c r="E77" s="253"/>
      <c r="F77" s="30"/>
      <c r="G77" s="254"/>
      <c r="H77" s="376"/>
      <c r="I77" s="33"/>
      <c r="J77" s="33"/>
      <c r="K77" s="33"/>
      <c r="L77" s="33"/>
    </row>
    <row r="78" spans="1:12" s="255" customFormat="1" ht="15" x14ac:dyDescent="0.25">
      <c r="A78" s="355" t="str">
        <f>+BS!A50</f>
        <v>S. Siva Parvathi</v>
      </c>
      <c r="B78" s="355"/>
      <c r="C78" s="355"/>
      <c r="D78" s="355">
        <f>+BS!B50</f>
        <v>0</v>
      </c>
      <c r="F78" s="308"/>
      <c r="G78" s="370">
        <f>+BS!D50</f>
        <v>0</v>
      </c>
      <c r="H78" s="274"/>
      <c r="I78" s="36"/>
      <c r="J78" s="36"/>
      <c r="K78" s="36"/>
      <c r="L78" s="36"/>
    </row>
    <row r="79" spans="1:12" s="255" customFormat="1" x14ac:dyDescent="0.3">
      <c r="A79" s="361" t="s">
        <v>252</v>
      </c>
      <c r="B79" s="361"/>
      <c r="C79" s="361"/>
      <c r="D79" s="428" t="s">
        <v>215</v>
      </c>
      <c r="F79" s="306"/>
      <c r="G79" s="379" t="s">
        <v>215</v>
      </c>
      <c r="H79" s="377"/>
      <c r="I79" s="38"/>
      <c r="J79" s="38"/>
      <c r="K79" s="38"/>
      <c r="L79" s="38"/>
    </row>
    <row r="80" spans="1:12" s="255" customFormat="1" x14ac:dyDescent="0.3">
      <c r="A80" s="361" t="s">
        <v>1081</v>
      </c>
      <c r="B80" s="361"/>
      <c r="C80" s="361"/>
      <c r="D80" s="426">
        <f>+BS!B52</f>
        <v>0</v>
      </c>
      <c r="F80" s="306"/>
      <c r="G80" s="372">
        <f>+BS!D52</f>
        <v>0</v>
      </c>
      <c r="H80" s="378"/>
    </row>
    <row r="81" spans="1:12" s="255" customFormat="1" x14ac:dyDescent="0.3">
      <c r="A81" s="361"/>
      <c r="B81" s="361"/>
      <c r="C81" s="361"/>
      <c r="D81" s="426"/>
      <c r="F81" s="306"/>
      <c r="G81" s="372"/>
      <c r="H81" s="378"/>
    </row>
    <row r="82" spans="1:12" s="255" customFormat="1" x14ac:dyDescent="0.3">
      <c r="A82" s="361"/>
      <c r="B82" s="361"/>
      <c r="C82" s="361"/>
      <c r="D82" s="426"/>
      <c r="F82" s="306"/>
      <c r="G82" s="372"/>
      <c r="H82" s="378"/>
    </row>
    <row r="83" spans="1:12" s="255" customFormat="1" x14ac:dyDescent="0.3">
      <c r="A83" s="306" t="str">
        <f>BS!A54</f>
        <v>Place : Hyderabad</v>
      </c>
      <c r="B83" s="306"/>
      <c r="C83" s="306"/>
      <c r="D83" s="306"/>
      <c r="E83" s="26"/>
      <c r="F83" s="30"/>
      <c r="G83" s="26"/>
      <c r="H83" s="378"/>
      <c r="I83" s="42"/>
      <c r="J83" s="42"/>
      <c r="K83" s="42"/>
      <c r="L83" s="42"/>
    </row>
    <row r="84" spans="1:12" s="255" customFormat="1" x14ac:dyDescent="0.3">
      <c r="A84" s="306" t="str">
        <f>BS!A55</f>
        <v xml:space="preserve">Date : </v>
      </c>
      <c r="B84" s="306"/>
      <c r="C84" s="306"/>
      <c r="D84" s="306"/>
      <c r="E84" s="26"/>
      <c r="F84" s="30"/>
      <c r="G84" s="26"/>
      <c r="H84" s="378"/>
      <c r="I84" s="42"/>
      <c r="J84" s="42"/>
      <c r="K84" s="42"/>
      <c r="L84" s="42"/>
    </row>
    <row r="85" spans="1:12" s="255" customFormat="1" x14ac:dyDescent="0.3">
      <c r="A85" s="306" t="str">
        <f>BS!A56</f>
        <v>UDIN :</v>
      </c>
      <c r="B85" s="26"/>
      <c r="C85" s="30"/>
      <c r="D85" s="26"/>
      <c r="E85" s="378"/>
      <c r="F85" s="26"/>
      <c r="G85" s="26"/>
      <c r="H85" s="26"/>
      <c r="I85" s="42"/>
    </row>
    <row r="86" spans="1:12" s="255" customFormat="1" x14ac:dyDescent="0.3">
      <c r="A86" s="306"/>
      <c r="B86" s="26"/>
      <c r="C86" s="30"/>
      <c r="D86" s="26"/>
      <c r="E86" s="378"/>
      <c r="F86" s="26"/>
      <c r="G86" s="26"/>
      <c r="H86" s="26"/>
      <c r="I86" s="42"/>
    </row>
  </sheetData>
  <mergeCells count="25">
    <mergeCell ref="F24:G24"/>
    <mergeCell ref="E72:H72"/>
    <mergeCell ref="A46:C46"/>
    <mergeCell ref="G4:H4"/>
    <mergeCell ref="A15:H16"/>
    <mergeCell ref="F21:G21"/>
    <mergeCell ref="F22:G22"/>
    <mergeCell ref="F23:G23"/>
    <mergeCell ref="F25:G25"/>
    <mergeCell ref="A41:H42"/>
    <mergeCell ref="A45:C45"/>
    <mergeCell ref="A47:C47"/>
    <mergeCell ref="A48:C48"/>
    <mergeCell ref="A49:C49"/>
    <mergeCell ref="A50:C50"/>
    <mergeCell ref="A51:C51"/>
    <mergeCell ref="A52:C52"/>
    <mergeCell ref="E70:G70"/>
    <mergeCell ref="A53:C53"/>
    <mergeCell ref="A54:C54"/>
    <mergeCell ref="A55:C55"/>
    <mergeCell ref="A68:H68"/>
    <mergeCell ref="A69:H69"/>
    <mergeCell ref="A58:H60"/>
    <mergeCell ref="A63:E63"/>
  </mergeCells>
  <printOptions horizontalCentered="1"/>
  <pageMargins left="0.42" right="0.25" top="0.54" bottom="0.34" header="0.3" footer="0.3"/>
  <pageSetup paperSize="9" scale="83" fitToHeight="0" orientation="portrait" r:id="rId1"/>
  <rowBreaks count="1" manualBreakCount="1">
    <brk id="42" max="7"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393F2-9968-4EE2-8063-A52D730EDB21}">
  <dimension ref="A3:V77"/>
  <sheetViews>
    <sheetView workbookViewId="0">
      <pane xSplit="4" ySplit="5" topLeftCell="M49" activePane="bottomRight" state="frozen"/>
      <selection pane="topRight" activeCell="E1" sqref="E1"/>
      <selection pane="bottomLeft" activeCell="A6" sqref="A6"/>
      <selection pane="bottomRight" activeCell="T49" sqref="T49"/>
    </sheetView>
  </sheetViews>
  <sheetFormatPr defaultRowHeight="15" x14ac:dyDescent="0.25"/>
  <cols>
    <col min="1" max="1" width="36.7109375" bestFit="1" customWidth="1"/>
    <col min="2" max="2" width="24.5703125" bestFit="1" customWidth="1"/>
    <col min="3" max="3" width="12.28515625" hidden="1" customWidth="1"/>
    <col min="4" max="4" width="15.7109375" hidden="1" customWidth="1"/>
    <col min="5" max="5" width="13" hidden="1" customWidth="1"/>
    <col min="6" max="10" width="12.42578125" hidden="1" customWidth="1"/>
    <col min="11" max="11" width="13" hidden="1" customWidth="1"/>
    <col min="12" max="12" width="12.42578125" hidden="1" customWidth="1"/>
    <col min="13" max="13" width="12.42578125" customWidth="1"/>
    <col min="14" max="14" width="11.28515625" bestFit="1" customWidth="1"/>
    <col min="15" max="15" width="13" customWidth="1"/>
    <col min="16" max="16" width="12.7109375" customWidth="1"/>
    <col min="17" max="17" width="10.5703125" bestFit="1" customWidth="1"/>
    <col min="18" max="18" width="10.28515625" bestFit="1" customWidth="1"/>
    <col min="19" max="19" width="11.28515625" bestFit="1" customWidth="1"/>
    <col min="20" max="20" width="12" bestFit="1" customWidth="1"/>
    <col min="21" max="21" width="10.28515625" bestFit="1" customWidth="1"/>
  </cols>
  <sheetData>
    <row r="3" spans="1:20" ht="18.75" x14ac:dyDescent="0.3">
      <c r="A3" s="962" t="s">
        <v>719</v>
      </c>
      <c r="B3" s="963"/>
      <c r="C3" s="963"/>
      <c r="D3" s="963"/>
      <c r="E3" s="963"/>
      <c r="F3" s="963"/>
      <c r="G3" s="963"/>
      <c r="H3" s="963"/>
      <c r="I3" s="963"/>
      <c r="J3" s="963"/>
      <c r="K3" s="963"/>
      <c r="L3" s="963"/>
      <c r="M3" s="589"/>
    </row>
    <row r="4" spans="1:20" x14ac:dyDescent="0.25">
      <c r="A4" s="590" t="s">
        <v>720</v>
      </c>
      <c r="B4" s="590"/>
      <c r="C4" s="590" t="s">
        <v>721</v>
      </c>
      <c r="D4" s="590"/>
      <c r="E4" s="591">
        <v>44651</v>
      </c>
      <c r="F4" s="590"/>
      <c r="G4" s="590"/>
      <c r="H4" s="591">
        <v>45016</v>
      </c>
      <c r="I4" s="590"/>
      <c r="J4" s="590"/>
      <c r="K4" s="590"/>
      <c r="L4" s="591">
        <v>45016</v>
      </c>
      <c r="M4" s="591">
        <v>45016</v>
      </c>
      <c r="N4" s="590"/>
      <c r="O4" s="590"/>
      <c r="P4" s="591">
        <v>45382</v>
      </c>
      <c r="Q4" s="590"/>
      <c r="R4" s="590"/>
      <c r="S4" s="590"/>
      <c r="T4" s="591">
        <v>45382</v>
      </c>
    </row>
    <row r="5" spans="1:20" ht="94.5" x14ac:dyDescent="0.25">
      <c r="A5" s="592" t="s">
        <v>722</v>
      </c>
      <c r="B5" s="592" t="s">
        <v>723</v>
      </c>
      <c r="C5" s="593" t="s">
        <v>724</v>
      </c>
      <c r="D5" s="594" t="s">
        <v>725</v>
      </c>
      <c r="E5" s="594" t="s">
        <v>726</v>
      </c>
      <c r="F5" s="594" t="s">
        <v>727</v>
      </c>
      <c r="G5" s="593" t="s">
        <v>728</v>
      </c>
      <c r="H5" s="593" t="s">
        <v>729</v>
      </c>
      <c r="I5" s="593" t="s">
        <v>730</v>
      </c>
      <c r="J5" s="595" t="s">
        <v>731</v>
      </c>
      <c r="K5" s="594" t="s">
        <v>732</v>
      </c>
      <c r="L5" s="594" t="s">
        <v>733</v>
      </c>
      <c r="M5" s="594" t="s">
        <v>733</v>
      </c>
      <c r="N5" s="594" t="s">
        <v>727</v>
      </c>
      <c r="O5" s="593" t="s">
        <v>728</v>
      </c>
      <c r="P5" s="593" t="s">
        <v>734</v>
      </c>
      <c r="Q5" s="593" t="s">
        <v>730</v>
      </c>
      <c r="R5" s="595" t="s">
        <v>731</v>
      </c>
      <c r="S5" s="594" t="s">
        <v>732</v>
      </c>
      <c r="T5" s="594" t="s">
        <v>735</v>
      </c>
    </row>
    <row r="6" spans="1:20" ht="15.75" x14ac:dyDescent="0.25">
      <c r="A6" s="596" t="s">
        <v>463</v>
      </c>
      <c r="B6" s="596" t="s">
        <v>123</v>
      </c>
      <c r="C6" s="597">
        <v>43054</v>
      </c>
      <c r="D6" s="598">
        <v>16750</v>
      </c>
      <c r="E6" s="588">
        <v>4665</v>
      </c>
      <c r="F6" s="596"/>
      <c r="G6" s="599">
        <v>10</v>
      </c>
      <c r="H6" s="600">
        <f>IF(C6&lt;$E$4,(G6*365-(DATEDIF(C6,$E$4,"D"))),(G6*365))</f>
        <v>2053</v>
      </c>
      <c r="I6" s="600">
        <v>365</v>
      </c>
      <c r="J6" s="601">
        <v>0.25890000000000002</v>
      </c>
      <c r="K6" s="588">
        <f>ROUND(((E6+F6)*J6)*I6/(IF(H6=I6,I6,365)),0)</f>
        <v>1208</v>
      </c>
      <c r="L6" s="588">
        <f>E6-K6</f>
        <v>3457</v>
      </c>
      <c r="M6" s="588">
        <v>3457</v>
      </c>
      <c r="N6" s="596"/>
      <c r="O6" s="599">
        <v>10</v>
      </c>
      <c r="P6" s="600">
        <f>IF(C6&lt;$L$4,(O6*365-(DATEDIF(C6,$L$4,"D"))),(O6*365))</f>
        <v>1688</v>
      </c>
      <c r="Q6" s="600">
        <v>365</v>
      </c>
      <c r="R6" s="601">
        <v>0.25890000000000002</v>
      </c>
      <c r="S6" s="588">
        <f>ROUND(((M6+N6)*R6)*Q6/(IF(P6=Q6,Q6,365)),0)</f>
        <v>895</v>
      </c>
      <c r="T6" s="588">
        <f>M6-S6</f>
        <v>2562</v>
      </c>
    </row>
    <row r="7" spans="1:20" ht="15.75" x14ac:dyDescent="0.25">
      <c r="A7" s="596" t="s">
        <v>464</v>
      </c>
      <c r="B7" s="596" t="s">
        <v>123</v>
      </c>
      <c r="C7" s="597">
        <v>43543</v>
      </c>
      <c r="D7" s="598">
        <v>21773</v>
      </c>
      <c r="E7" s="588">
        <v>8787</v>
      </c>
      <c r="F7" s="602"/>
      <c r="G7" s="599">
        <v>10</v>
      </c>
      <c r="H7" s="600">
        <f>IF(C7&lt;$E$4,(G7*365-(DATEDIF(C7,$E$4,"D"))),(G7*365))</f>
        <v>2542</v>
      </c>
      <c r="I7" s="600">
        <v>365</v>
      </c>
      <c r="J7" s="601">
        <v>0.25890000000000002</v>
      </c>
      <c r="K7" s="588">
        <f>ROUND(((E7+F7)*J7)*I7/(IF(H7=I7,I7,365)),0)</f>
        <v>2275</v>
      </c>
      <c r="L7" s="588">
        <f>E7-K7</f>
        <v>6512</v>
      </c>
      <c r="M7" s="588">
        <v>6512</v>
      </c>
      <c r="N7" s="602"/>
      <c r="O7" s="599">
        <v>10</v>
      </c>
      <c r="P7" s="600">
        <f>IF(C7&lt;$L$4,(O7*365-(DATEDIF(C7,$L$4,"D"))),(O7*365))</f>
        <v>2177</v>
      </c>
      <c r="Q7" s="600">
        <v>365</v>
      </c>
      <c r="R7" s="601">
        <v>0.25890000000000002</v>
      </c>
      <c r="S7" s="588">
        <f t="shared" ref="S7" si="0">ROUND(((M7+N7)*R7)*Q7/(IF(P7=Q7,Q7,365)),0)</f>
        <v>1686</v>
      </c>
      <c r="T7" s="588">
        <f>M7-S7</f>
        <v>4826</v>
      </c>
    </row>
    <row r="8" spans="1:20" ht="15.75" x14ac:dyDescent="0.25">
      <c r="A8" s="596" t="s">
        <v>496</v>
      </c>
      <c r="B8" s="596" t="s">
        <v>619</v>
      </c>
      <c r="C8" s="597">
        <v>43780</v>
      </c>
      <c r="D8" s="598">
        <v>12288.14</v>
      </c>
      <c r="E8" s="588">
        <v>3062.1399999999994</v>
      </c>
      <c r="F8" s="603"/>
      <c r="G8" s="604">
        <v>5</v>
      </c>
      <c r="H8" s="600">
        <f>IF(C8&lt;$E$4,(G8*365-(DATEDIF(C8,$E$4,"D"))),(G8*365))</f>
        <v>954</v>
      </c>
      <c r="I8" s="600">
        <v>365</v>
      </c>
      <c r="J8" s="601">
        <v>0.45910000000000001</v>
      </c>
      <c r="K8" s="588">
        <f>ROUND(((E8+F8)*J8)*I8/(IF(H8=I8,I8,365)),0)</f>
        <v>1406</v>
      </c>
      <c r="L8" s="588">
        <f>E8-K8</f>
        <v>1656.1399999999994</v>
      </c>
      <c r="M8" s="588">
        <v>1656.1399999999994</v>
      </c>
      <c r="N8" s="603"/>
      <c r="O8" s="604">
        <v>5</v>
      </c>
      <c r="P8" s="600">
        <f>IF(C8&lt;$L$4,(O8*365-(DATEDIF(C8,$L$4,"D"))),(O8*365))</f>
        <v>589</v>
      </c>
      <c r="Q8" s="600">
        <v>365</v>
      </c>
      <c r="R8" s="601">
        <v>0.45910000000000001</v>
      </c>
      <c r="S8" s="588">
        <f>ROUND(((M8+N8)*R8)*Q8/(IF(P8=Q8,Q8,365)),0)</f>
        <v>760</v>
      </c>
      <c r="T8" s="588">
        <f>M8-S8</f>
        <v>896.13999999999942</v>
      </c>
    </row>
    <row r="9" spans="1:20" ht="15.75" x14ac:dyDescent="0.25">
      <c r="A9" s="605" t="s">
        <v>462</v>
      </c>
      <c r="B9" s="605" t="s">
        <v>190</v>
      </c>
      <c r="C9" s="606">
        <v>42998</v>
      </c>
      <c r="D9" s="607">
        <v>36536</v>
      </c>
      <c r="E9" s="588">
        <v>1</v>
      </c>
      <c r="F9" s="605"/>
      <c r="G9" s="599">
        <v>3</v>
      </c>
      <c r="H9" s="600"/>
      <c r="I9" s="608">
        <f>H9</f>
        <v>0</v>
      </c>
      <c r="J9" s="601">
        <v>1</v>
      </c>
      <c r="K9" s="588"/>
      <c r="L9" s="588">
        <f t="shared" ref="L9:L41" si="1">E9-K9</f>
        <v>1</v>
      </c>
      <c r="M9" s="588">
        <v>1</v>
      </c>
      <c r="N9" s="605"/>
      <c r="O9" s="599">
        <v>3</v>
      </c>
      <c r="P9" s="600"/>
      <c r="Q9" s="608">
        <f>P9</f>
        <v>0</v>
      </c>
      <c r="R9" s="601">
        <v>1</v>
      </c>
      <c r="S9" s="588"/>
      <c r="T9" s="588">
        <f t="shared" ref="T9:T41" si="2">M9-S9</f>
        <v>1</v>
      </c>
    </row>
    <row r="10" spans="1:20" ht="15.75" x14ac:dyDescent="0.25">
      <c r="A10" s="605" t="s">
        <v>456</v>
      </c>
      <c r="B10" s="605" t="s">
        <v>190</v>
      </c>
      <c r="C10" s="606">
        <v>42998</v>
      </c>
      <c r="D10" s="607">
        <v>18000</v>
      </c>
      <c r="E10" s="588">
        <v>1</v>
      </c>
      <c r="F10" s="605"/>
      <c r="G10" s="599">
        <v>3</v>
      </c>
      <c r="H10" s="600"/>
      <c r="I10" s="608">
        <f t="shared" ref="I10:I19" si="3">H10</f>
        <v>0</v>
      </c>
      <c r="J10" s="601">
        <v>1</v>
      </c>
      <c r="K10" s="588"/>
      <c r="L10" s="588">
        <f t="shared" si="1"/>
        <v>1</v>
      </c>
      <c r="M10" s="588">
        <v>1</v>
      </c>
      <c r="N10" s="605"/>
      <c r="O10" s="599">
        <v>3</v>
      </c>
      <c r="P10" s="600"/>
      <c r="Q10" s="608">
        <f t="shared" ref="Q10:Q19" si="4">P10</f>
        <v>0</v>
      </c>
      <c r="R10" s="601">
        <v>1</v>
      </c>
      <c r="S10" s="588"/>
      <c r="T10" s="588">
        <f t="shared" si="2"/>
        <v>1</v>
      </c>
    </row>
    <row r="11" spans="1:20" ht="15.75" x14ac:dyDescent="0.25">
      <c r="A11" s="605" t="s">
        <v>467</v>
      </c>
      <c r="B11" s="605" t="s">
        <v>190</v>
      </c>
      <c r="C11" s="606">
        <v>43063</v>
      </c>
      <c r="D11" s="607">
        <v>365800</v>
      </c>
      <c r="E11" s="588">
        <v>1</v>
      </c>
      <c r="F11" s="605"/>
      <c r="G11" s="599">
        <v>3</v>
      </c>
      <c r="H11" s="600"/>
      <c r="I11" s="608">
        <f t="shared" si="3"/>
        <v>0</v>
      </c>
      <c r="J11" s="601">
        <v>1</v>
      </c>
      <c r="K11" s="588"/>
      <c r="L11" s="588">
        <f t="shared" si="1"/>
        <v>1</v>
      </c>
      <c r="M11" s="588">
        <v>1</v>
      </c>
      <c r="N11" s="605"/>
      <c r="O11" s="599">
        <v>3</v>
      </c>
      <c r="P11" s="600"/>
      <c r="Q11" s="608">
        <f t="shared" si="4"/>
        <v>0</v>
      </c>
      <c r="R11" s="601">
        <v>1</v>
      </c>
      <c r="S11" s="588"/>
      <c r="T11" s="588">
        <f t="shared" si="2"/>
        <v>1</v>
      </c>
    </row>
    <row r="12" spans="1:20" ht="15.75" x14ac:dyDescent="0.25">
      <c r="A12" s="605" t="s">
        <v>477</v>
      </c>
      <c r="B12" s="605" t="s">
        <v>190</v>
      </c>
      <c r="C12" s="606">
        <v>43081</v>
      </c>
      <c r="D12" s="607">
        <v>365800</v>
      </c>
      <c r="E12" s="588">
        <v>1</v>
      </c>
      <c r="F12" s="605"/>
      <c r="G12" s="599">
        <v>3</v>
      </c>
      <c r="H12" s="600"/>
      <c r="I12" s="608">
        <f t="shared" si="3"/>
        <v>0</v>
      </c>
      <c r="J12" s="601">
        <v>1</v>
      </c>
      <c r="K12" s="588"/>
      <c r="L12" s="588">
        <f t="shared" si="1"/>
        <v>1</v>
      </c>
      <c r="M12" s="588">
        <v>1</v>
      </c>
      <c r="N12" s="605"/>
      <c r="O12" s="599">
        <v>3</v>
      </c>
      <c r="P12" s="600"/>
      <c r="Q12" s="608">
        <f t="shared" si="4"/>
        <v>0</v>
      </c>
      <c r="R12" s="601">
        <v>1</v>
      </c>
      <c r="S12" s="588"/>
      <c r="T12" s="588">
        <f t="shared" si="2"/>
        <v>1</v>
      </c>
    </row>
    <row r="13" spans="1:20" ht="15.75" x14ac:dyDescent="0.25">
      <c r="A13" s="605" t="s">
        <v>478</v>
      </c>
      <c r="B13" s="605" t="s">
        <v>190</v>
      </c>
      <c r="C13" s="606">
        <v>43118</v>
      </c>
      <c r="D13" s="607">
        <v>364620</v>
      </c>
      <c r="E13" s="588">
        <v>1</v>
      </c>
      <c r="F13" s="605"/>
      <c r="G13" s="599">
        <v>3</v>
      </c>
      <c r="H13" s="600"/>
      <c r="I13" s="608">
        <f t="shared" si="3"/>
        <v>0</v>
      </c>
      <c r="J13" s="601">
        <v>1</v>
      </c>
      <c r="K13" s="588"/>
      <c r="L13" s="588">
        <f t="shared" si="1"/>
        <v>1</v>
      </c>
      <c r="M13" s="588">
        <v>1</v>
      </c>
      <c r="N13" s="605"/>
      <c r="O13" s="599">
        <v>3</v>
      </c>
      <c r="P13" s="600"/>
      <c r="Q13" s="608">
        <f t="shared" si="4"/>
        <v>0</v>
      </c>
      <c r="R13" s="601">
        <v>1</v>
      </c>
      <c r="S13" s="588"/>
      <c r="T13" s="588">
        <f t="shared" si="2"/>
        <v>1</v>
      </c>
    </row>
    <row r="14" spans="1:20" ht="15.75" x14ac:dyDescent="0.25">
      <c r="A14" s="605" t="s">
        <v>479</v>
      </c>
      <c r="B14" s="605" t="s">
        <v>190</v>
      </c>
      <c r="C14" s="606">
        <v>43151</v>
      </c>
      <c r="D14" s="607">
        <v>93456</v>
      </c>
      <c r="E14" s="588">
        <v>1</v>
      </c>
      <c r="F14" s="605"/>
      <c r="G14" s="599">
        <v>3</v>
      </c>
      <c r="H14" s="600"/>
      <c r="I14" s="608">
        <f t="shared" si="3"/>
        <v>0</v>
      </c>
      <c r="J14" s="601">
        <v>1</v>
      </c>
      <c r="K14" s="588"/>
      <c r="L14" s="588">
        <f t="shared" si="1"/>
        <v>1</v>
      </c>
      <c r="M14" s="588">
        <v>1</v>
      </c>
      <c r="N14" s="605"/>
      <c r="O14" s="599">
        <v>3</v>
      </c>
      <c r="P14" s="600"/>
      <c r="Q14" s="608">
        <f t="shared" si="4"/>
        <v>0</v>
      </c>
      <c r="R14" s="601">
        <v>1</v>
      </c>
      <c r="S14" s="588"/>
      <c r="T14" s="588">
        <f t="shared" si="2"/>
        <v>1</v>
      </c>
    </row>
    <row r="15" spans="1:20" ht="15.75" x14ac:dyDescent="0.25">
      <c r="A15" s="605" t="s">
        <v>480</v>
      </c>
      <c r="B15" s="605" t="s">
        <v>190</v>
      </c>
      <c r="C15" s="606">
        <v>43152</v>
      </c>
      <c r="D15" s="607">
        <v>364620</v>
      </c>
      <c r="E15" s="588">
        <v>1</v>
      </c>
      <c r="F15" s="605"/>
      <c r="G15" s="599">
        <v>3</v>
      </c>
      <c r="H15" s="600"/>
      <c r="I15" s="608">
        <f t="shared" si="3"/>
        <v>0</v>
      </c>
      <c r="J15" s="601">
        <v>1</v>
      </c>
      <c r="K15" s="588"/>
      <c r="L15" s="588">
        <f t="shared" si="1"/>
        <v>1</v>
      </c>
      <c r="M15" s="588">
        <v>1</v>
      </c>
      <c r="N15" s="605"/>
      <c r="O15" s="599">
        <v>3</v>
      </c>
      <c r="P15" s="600"/>
      <c r="Q15" s="608">
        <f t="shared" si="4"/>
        <v>0</v>
      </c>
      <c r="R15" s="601">
        <v>1</v>
      </c>
      <c r="S15" s="588"/>
      <c r="T15" s="588">
        <f t="shared" si="2"/>
        <v>1</v>
      </c>
    </row>
    <row r="16" spans="1:20" ht="15.75" x14ac:dyDescent="0.25">
      <c r="A16" s="605" t="s">
        <v>481</v>
      </c>
      <c r="B16" s="605" t="s">
        <v>190</v>
      </c>
      <c r="C16" s="606">
        <v>43178</v>
      </c>
      <c r="D16" s="607">
        <v>1215400</v>
      </c>
      <c r="E16" s="588">
        <v>1</v>
      </c>
      <c r="F16" s="605"/>
      <c r="G16" s="599">
        <v>3</v>
      </c>
      <c r="H16" s="600"/>
      <c r="I16" s="608">
        <f t="shared" si="3"/>
        <v>0</v>
      </c>
      <c r="J16" s="601">
        <v>1</v>
      </c>
      <c r="K16" s="588"/>
      <c r="L16" s="588">
        <f t="shared" si="1"/>
        <v>1</v>
      </c>
      <c r="M16" s="588">
        <v>1</v>
      </c>
      <c r="N16" s="605"/>
      <c r="O16" s="599">
        <v>3</v>
      </c>
      <c r="P16" s="600"/>
      <c r="Q16" s="608">
        <f t="shared" si="4"/>
        <v>0</v>
      </c>
      <c r="R16" s="601">
        <v>1</v>
      </c>
      <c r="S16" s="588"/>
      <c r="T16" s="588">
        <f t="shared" si="2"/>
        <v>1</v>
      </c>
    </row>
    <row r="17" spans="1:20" ht="15.75" x14ac:dyDescent="0.25">
      <c r="A17" s="605" t="s">
        <v>482</v>
      </c>
      <c r="B17" s="605" t="s">
        <v>190</v>
      </c>
      <c r="C17" s="606">
        <v>43188</v>
      </c>
      <c r="D17" s="607">
        <v>210000</v>
      </c>
      <c r="E17" s="588">
        <v>1</v>
      </c>
      <c r="F17" s="605"/>
      <c r="G17" s="599">
        <v>3</v>
      </c>
      <c r="H17" s="600"/>
      <c r="I17" s="608">
        <f t="shared" si="3"/>
        <v>0</v>
      </c>
      <c r="J17" s="601">
        <v>1</v>
      </c>
      <c r="K17" s="588"/>
      <c r="L17" s="588">
        <f t="shared" si="1"/>
        <v>1</v>
      </c>
      <c r="M17" s="588">
        <v>1</v>
      </c>
      <c r="N17" s="605"/>
      <c r="O17" s="599">
        <v>3</v>
      </c>
      <c r="P17" s="600"/>
      <c r="Q17" s="608">
        <f t="shared" si="4"/>
        <v>0</v>
      </c>
      <c r="R17" s="601">
        <v>1</v>
      </c>
      <c r="S17" s="588"/>
      <c r="T17" s="588">
        <f t="shared" si="2"/>
        <v>1</v>
      </c>
    </row>
    <row r="18" spans="1:20" ht="15.75" x14ac:dyDescent="0.25">
      <c r="A18" s="605" t="s">
        <v>736</v>
      </c>
      <c r="B18" s="605" t="s">
        <v>190</v>
      </c>
      <c r="C18" s="606">
        <v>43108</v>
      </c>
      <c r="D18" s="607">
        <v>5575.5</v>
      </c>
      <c r="E18" s="588">
        <v>0</v>
      </c>
      <c r="F18" s="605"/>
      <c r="G18" s="599">
        <v>3</v>
      </c>
      <c r="H18" s="600"/>
      <c r="I18" s="608">
        <f t="shared" si="3"/>
        <v>0</v>
      </c>
      <c r="J18" s="601">
        <v>1</v>
      </c>
      <c r="K18" s="588"/>
      <c r="L18" s="588">
        <f t="shared" si="1"/>
        <v>0</v>
      </c>
      <c r="M18" s="588">
        <v>0</v>
      </c>
      <c r="N18" s="605"/>
      <c r="O18" s="599">
        <v>3</v>
      </c>
      <c r="P18" s="600"/>
      <c r="Q18" s="608">
        <f t="shared" si="4"/>
        <v>0</v>
      </c>
      <c r="R18" s="601">
        <v>1</v>
      </c>
      <c r="S18" s="588"/>
      <c r="T18" s="588">
        <f t="shared" si="2"/>
        <v>0</v>
      </c>
    </row>
    <row r="19" spans="1:20" ht="15.75" x14ac:dyDescent="0.25">
      <c r="A19" s="605" t="s">
        <v>737</v>
      </c>
      <c r="B19" s="605" t="s">
        <v>190</v>
      </c>
      <c r="C19" s="606">
        <v>43167</v>
      </c>
      <c r="D19" s="607">
        <v>6490</v>
      </c>
      <c r="E19" s="588">
        <v>0</v>
      </c>
      <c r="F19" s="605"/>
      <c r="G19" s="599">
        <v>3</v>
      </c>
      <c r="H19" s="600"/>
      <c r="I19" s="608">
        <f t="shared" si="3"/>
        <v>0</v>
      </c>
      <c r="J19" s="601">
        <v>1</v>
      </c>
      <c r="K19" s="588"/>
      <c r="L19" s="588">
        <f t="shared" si="1"/>
        <v>0</v>
      </c>
      <c r="M19" s="588">
        <v>0</v>
      </c>
      <c r="N19" s="605"/>
      <c r="O19" s="599">
        <v>3</v>
      </c>
      <c r="P19" s="600"/>
      <c r="Q19" s="608">
        <f t="shared" si="4"/>
        <v>0</v>
      </c>
      <c r="R19" s="601">
        <v>1</v>
      </c>
      <c r="S19" s="588"/>
      <c r="T19" s="588">
        <f t="shared" si="2"/>
        <v>0</v>
      </c>
    </row>
    <row r="20" spans="1:20" ht="15.75" x14ac:dyDescent="0.25">
      <c r="A20" s="605" t="s">
        <v>466</v>
      </c>
      <c r="B20" s="605" t="s">
        <v>190</v>
      </c>
      <c r="C20" s="606">
        <v>43216</v>
      </c>
      <c r="D20" s="607">
        <v>95580</v>
      </c>
      <c r="E20" s="588">
        <v>1</v>
      </c>
      <c r="F20" s="605"/>
      <c r="G20" s="599">
        <v>3</v>
      </c>
      <c r="H20" s="600"/>
      <c r="I20" s="608">
        <f>H20</f>
        <v>0</v>
      </c>
      <c r="J20" s="601">
        <v>1</v>
      </c>
      <c r="K20" s="588"/>
      <c r="L20" s="588">
        <f t="shared" si="1"/>
        <v>1</v>
      </c>
      <c r="M20" s="588">
        <v>1</v>
      </c>
      <c r="N20" s="605"/>
      <c r="O20" s="599">
        <v>3</v>
      </c>
      <c r="P20" s="600"/>
      <c r="Q20" s="608">
        <f>P20</f>
        <v>0</v>
      </c>
      <c r="R20" s="601">
        <v>1</v>
      </c>
      <c r="S20" s="588"/>
      <c r="T20" s="588">
        <f t="shared" si="2"/>
        <v>1</v>
      </c>
    </row>
    <row r="21" spans="1:20" ht="15.75" x14ac:dyDescent="0.25">
      <c r="A21" s="605" t="s">
        <v>400</v>
      </c>
      <c r="B21" s="605" t="s">
        <v>190</v>
      </c>
      <c r="C21" s="606">
        <v>43216</v>
      </c>
      <c r="D21" s="607">
        <v>171800</v>
      </c>
      <c r="E21" s="588">
        <v>1</v>
      </c>
      <c r="F21" s="605"/>
      <c r="G21" s="599">
        <v>3</v>
      </c>
      <c r="H21" s="600"/>
      <c r="I21" s="608">
        <f t="shared" ref="I21:I41" si="5">H21</f>
        <v>0</v>
      </c>
      <c r="J21" s="601">
        <v>1</v>
      </c>
      <c r="K21" s="588"/>
      <c r="L21" s="588">
        <f t="shared" si="1"/>
        <v>1</v>
      </c>
      <c r="M21" s="588">
        <v>1</v>
      </c>
      <c r="N21" s="605"/>
      <c r="O21" s="599">
        <v>3</v>
      </c>
      <c r="P21" s="600"/>
      <c r="Q21" s="608">
        <f t="shared" ref="Q21:Q41" si="6">P21</f>
        <v>0</v>
      </c>
      <c r="R21" s="601">
        <v>1</v>
      </c>
      <c r="S21" s="588"/>
      <c r="T21" s="588">
        <f t="shared" si="2"/>
        <v>1</v>
      </c>
    </row>
    <row r="22" spans="1:20" ht="15.75" x14ac:dyDescent="0.25">
      <c r="A22" s="605" t="s">
        <v>483</v>
      </c>
      <c r="B22" s="605" t="s">
        <v>190</v>
      </c>
      <c r="C22" s="606">
        <v>43236</v>
      </c>
      <c r="D22" s="607">
        <v>191160</v>
      </c>
      <c r="E22" s="588">
        <v>1</v>
      </c>
      <c r="F22" s="605"/>
      <c r="G22" s="599">
        <v>3</v>
      </c>
      <c r="H22" s="600"/>
      <c r="I22" s="608">
        <f t="shared" si="5"/>
        <v>0</v>
      </c>
      <c r="J22" s="601">
        <v>1</v>
      </c>
      <c r="K22" s="588"/>
      <c r="L22" s="588">
        <f t="shared" si="1"/>
        <v>1</v>
      </c>
      <c r="M22" s="588">
        <v>1</v>
      </c>
      <c r="N22" s="605"/>
      <c r="O22" s="599">
        <v>3</v>
      </c>
      <c r="P22" s="600"/>
      <c r="Q22" s="608">
        <f t="shared" si="6"/>
        <v>0</v>
      </c>
      <c r="R22" s="601">
        <v>1</v>
      </c>
      <c r="S22" s="588"/>
      <c r="T22" s="588">
        <f t="shared" si="2"/>
        <v>1</v>
      </c>
    </row>
    <row r="23" spans="1:20" ht="15.75" x14ac:dyDescent="0.25">
      <c r="A23" s="605" t="s">
        <v>484</v>
      </c>
      <c r="B23" s="605" t="s">
        <v>190</v>
      </c>
      <c r="C23" s="606">
        <v>43237</v>
      </c>
      <c r="D23" s="607">
        <v>729240</v>
      </c>
      <c r="E23" s="588">
        <v>1</v>
      </c>
      <c r="F23" s="605"/>
      <c r="G23" s="599">
        <v>3</v>
      </c>
      <c r="H23" s="600"/>
      <c r="I23" s="608">
        <f t="shared" si="5"/>
        <v>0</v>
      </c>
      <c r="J23" s="601">
        <v>1</v>
      </c>
      <c r="K23" s="588"/>
      <c r="L23" s="588">
        <f t="shared" si="1"/>
        <v>1</v>
      </c>
      <c r="M23" s="588">
        <v>1</v>
      </c>
      <c r="N23" s="605"/>
      <c r="O23" s="599">
        <v>3</v>
      </c>
      <c r="P23" s="600"/>
      <c r="Q23" s="608">
        <f t="shared" si="6"/>
        <v>0</v>
      </c>
      <c r="R23" s="601">
        <v>1</v>
      </c>
      <c r="S23" s="588"/>
      <c r="T23" s="588">
        <f t="shared" si="2"/>
        <v>1</v>
      </c>
    </row>
    <row r="24" spans="1:20" ht="15.75" x14ac:dyDescent="0.25">
      <c r="A24" s="605" t="s">
        <v>488</v>
      </c>
      <c r="B24" s="605" t="s">
        <v>190</v>
      </c>
      <c r="C24" s="606">
        <v>43252</v>
      </c>
      <c r="D24" s="607">
        <v>18085</v>
      </c>
      <c r="E24" s="588">
        <v>1</v>
      </c>
      <c r="F24" s="605"/>
      <c r="G24" s="599">
        <v>3</v>
      </c>
      <c r="H24" s="600"/>
      <c r="I24" s="608">
        <f t="shared" si="5"/>
        <v>0</v>
      </c>
      <c r="J24" s="601">
        <v>1</v>
      </c>
      <c r="K24" s="588"/>
      <c r="L24" s="588">
        <f t="shared" si="1"/>
        <v>1</v>
      </c>
      <c r="M24" s="588">
        <v>1</v>
      </c>
      <c r="N24" s="605"/>
      <c r="O24" s="599">
        <v>3</v>
      </c>
      <c r="P24" s="600"/>
      <c r="Q24" s="608">
        <f t="shared" si="6"/>
        <v>0</v>
      </c>
      <c r="R24" s="601">
        <v>1</v>
      </c>
      <c r="S24" s="588"/>
      <c r="T24" s="588">
        <f t="shared" si="2"/>
        <v>1</v>
      </c>
    </row>
    <row r="25" spans="1:20" ht="15.75" x14ac:dyDescent="0.25">
      <c r="A25" s="605" t="s">
        <v>468</v>
      </c>
      <c r="B25" s="605" t="s">
        <v>190</v>
      </c>
      <c r="C25" s="606">
        <v>43256</v>
      </c>
      <c r="D25" s="607">
        <v>247800</v>
      </c>
      <c r="E25" s="588">
        <v>1</v>
      </c>
      <c r="F25" s="605"/>
      <c r="G25" s="599">
        <v>3</v>
      </c>
      <c r="H25" s="600"/>
      <c r="I25" s="608">
        <f t="shared" si="5"/>
        <v>0</v>
      </c>
      <c r="J25" s="601">
        <v>1</v>
      </c>
      <c r="K25" s="588"/>
      <c r="L25" s="588">
        <f t="shared" si="1"/>
        <v>1</v>
      </c>
      <c r="M25" s="588">
        <v>1</v>
      </c>
      <c r="N25" s="605"/>
      <c r="O25" s="599">
        <v>3</v>
      </c>
      <c r="P25" s="600"/>
      <c r="Q25" s="608">
        <f t="shared" si="6"/>
        <v>0</v>
      </c>
      <c r="R25" s="601">
        <v>1</v>
      </c>
      <c r="S25" s="588"/>
      <c r="T25" s="588">
        <f t="shared" si="2"/>
        <v>1</v>
      </c>
    </row>
    <row r="26" spans="1:20" ht="15.75" x14ac:dyDescent="0.25">
      <c r="A26" s="605" t="s">
        <v>469</v>
      </c>
      <c r="B26" s="605" t="s">
        <v>190</v>
      </c>
      <c r="C26" s="606">
        <v>43290</v>
      </c>
      <c r="D26" s="607">
        <v>1030000</v>
      </c>
      <c r="E26" s="588">
        <v>1</v>
      </c>
      <c r="F26" s="605"/>
      <c r="G26" s="599">
        <v>3</v>
      </c>
      <c r="H26" s="600"/>
      <c r="I26" s="608">
        <f t="shared" si="5"/>
        <v>0</v>
      </c>
      <c r="J26" s="601">
        <v>1</v>
      </c>
      <c r="K26" s="588"/>
      <c r="L26" s="588">
        <f t="shared" si="1"/>
        <v>1</v>
      </c>
      <c r="M26" s="588">
        <v>1</v>
      </c>
      <c r="N26" s="605"/>
      <c r="O26" s="599">
        <v>3</v>
      </c>
      <c r="P26" s="600"/>
      <c r="Q26" s="608">
        <f t="shared" si="6"/>
        <v>0</v>
      </c>
      <c r="R26" s="601">
        <v>1</v>
      </c>
      <c r="S26" s="588"/>
      <c r="T26" s="588">
        <f t="shared" si="2"/>
        <v>1</v>
      </c>
    </row>
    <row r="27" spans="1:20" ht="15.75" x14ac:dyDescent="0.25">
      <c r="A27" s="605" t="s">
        <v>493</v>
      </c>
      <c r="B27" s="605" t="s">
        <v>190</v>
      </c>
      <c r="C27" s="606">
        <v>43295</v>
      </c>
      <c r="D27" s="607">
        <v>21000</v>
      </c>
      <c r="E27" s="588">
        <v>1</v>
      </c>
      <c r="F27" s="605"/>
      <c r="G27" s="599">
        <v>3</v>
      </c>
      <c r="H27" s="600"/>
      <c r="I27" s="608">
        <f t="shared" si="5"/>
        <v>0</v>
      </c>
      <c r="J27" s="601">
        <v>1</v>
      </c>
      <c r="K27" s="588"/>
      <c r="L27" s="588">
        <f t="shared" si="1"/>
        <v>1</v>
      </c>
      <c r="M27" s="588">
        <v>1</v>
      </c>
      <c r="N27" s="605"/>
      <c r="O27" s="599">
        <v>3</v>
      </c>
      <c r="P27" s="600"/>
      <c r="Q27" s="608">
        <f t="shared" si="6"/>
        <v>0</v>
      </c>
      <c r="R27" s="601">
        <v>1</v>
      </c>
      <c r="S27" s="588"/>
      <c r="T27" s="588">
        <f t="shared" si="2"/>
        <v>1</v>
      </c>
    </row>
    <row r="28" spans="1:20" ht="15.75" x14ac:dyDescent="0.25">
      <c r="A28" s="605" t="s">
        <v>487</v>
      </c>
      <c r="B28" s="605" t="s">
        <v>190</v>
      </c>
      <c r="C28" s="606">
        <v>43295</v>
      </c>
      <c r="D28" s="607">
        <v>17200</v>
      </c>
      <c r="E28" s="588">
        <v>1</v>
      </c>
      <c r="F28" s="605"/>
      <c r="G28" s="599">
        <v>3</v>
      </c>
      <c r="H28" s="600"/>
      <c r="I28" s="608">
        <f t="shared" si="5"/>
        <v>0</v>
      </c>
      <c r="J28" s="601">
        <v>1</v>
      </c>
      <c r="K28" s="588"/>
      <c r="L28" s="588">
        <f t="shared" si="1"/>
        <v>1</v>
      </c>
      <c r="M28" s="588">
        <v>1</v>
      </c>
      <c r="N28" s="605"/>
      <c r="O28" s="599">
        <v>3</v>
      </c>
      <c r="P28" s="600"/>
      <c r="Q28" s="608">
        <f t="shared" si="6"/>
        <v>0</v>
      </c>
      <c r="R28" s="601">
        <v>1</v>
      </c>
      <c r="S28" s="588"/>
      <c r="T28" s="588">
        <f t="shared" si="2"/>
        <v>1</v>
      </c>
    </row>
    <row r="29" spans="1:20" ht="15.75" x14ac:dyDescent="0.25">
      <c r="A29" s="605" t="s">
        <v>498</v>
      </c>
      <c r="B29" s="605" t="s">
        <v>190</v>
      </c>
      <c r="C29" s="606">
        <v>43302</v>
      </c>
      <c r="D29" s="607">
        <v>5850</v>
      </c>
      <c r="E29" s="588">
        <v>1</v>
      </c>
      <c r="F29" s="605"/>
      <c r="G29" s="599">
        <v>3</v>
      </c>
      <c r="H29" s="600"/>
      <c r="I29" s="608">
        <f t="shared" si="5"/>
        <v>0</v>
      </c>
      <c r="J29" s="601">
        <v>1</v>
      </c>
      <c r="K29" s="588"/>
      <c r="L29" s="588">
        <f t="shared" si="1"/>
        <v>1</v>
      </c>
      <c r="M29" s="588">
        <v>1</v>
      </c>
      <c r="N29" s="605"/>
      <c r="O29" s="599">
        <v>3</v>
      </c>
      <c r="P29" s="600"/>
      <c r="Q29" s="608">
        <f t="shared" si="6"/>
        <v>0</v>
      </c>
      <c r="R29" s="601">
        <v>1</v>
      </c>
      <c r="S29" s="588"/>
      <c r="T29" s="588">
        <f t="shared" si="2"/>
        <v>1</v>
      </c>
    </row>
    <row r="30" spans="1:20" ht="15.75" x14ac:dyDescent="0.25">
      <c r="A30" s="605" t="s">
        <v>454</v>
      </c>
      <c r="B30" s="605" t="s">
        <v>190</v>
      </c>
      <c r="C30" s="606">
        <v>43314</v>
      </c>
      <c r="D30" s="607">
        <v>330000</v>
      </c>
      <c r="E30" s="588">
        <v>1</v>
      </c>
      <c r="F30" s="605"/>
      <c r="G30" s="599">
        <v>3</v>
      </c>
      <c r="H30" s="600"/>
      <c r="I30" s="608">
        <f t="shared" si="5"/>
        <v>0</v>
      </c>
      <c r="J30" s="601">
        <v>1</v>
      </c>
      <c r="K30" s="588"/>
      <c r="L30" s="588">
        <f t="shared" si="1"/>
        <v>1</v>
      </c>
      <c r="M30" s="588">
        <v>1</v>
      </c>
      <c r="N30" s="605"/>
      <c r="O30" s="599">
        <v>3</v>
      </c>
      <c r="P30" s="600"/>
      <c r="Q30" s="608">
        <f t="shared" si="6"/>
        <v>0</v>
      </c>
      <c r="R30" s="601">
        <v>1</v>
      </c>
      <c r="S30" s="588"/>
      <c r="T30" s="588">
        <f t="shared" si="2"/>
        <v>1</v>
      </c>
    </row>
    <row r="31" spans="1:20" ht="15.75" x14ac:dyDescent="0.25">
      <c r="A31" s="605" t="s">
        <v>495</v>
      </c>
      <c r="B31" s="605" t="s">
        <v>190</v>
      </c>
      <c r="C31" s="606">
        <v>43344</v>
      </c>
      <c r="D31" s="607">
        <v>47232</v>
      </c>
      <c r="E31" s="588">
        <v>1</v>
      </c>
      <c r="F31" s="605"/>
      <c r="G31" s="599">
        <v>3</v>
      </c>
      <c r="H31" s="600"/>
      <c r="I31" s="608">
        <f t="shared" si="5"/>
        <v>0</v>
      </c>
      <c r="J31" s="601">
        <v>1</v>
      </c>
      <c r="K31" s="588"/>
      <c r="L31" s="588">
        <f t="shared" si="1"/>
        <v>1</v>
      </c>
      <c r="M31" s="588">
        <v>1</v>
      </c>
      <c r="N31" s="605"/>
      <c r="O31" s="599">
        <v>3</v>
      </c>
      <c r="P31" s="600"/>
      <c r="Q31" s="608">
        <f t="shared" si="6"/>
        <v>0</v>
      </c>
      <c r="R31" s="601">
        <v>1</v>
      </c>
      <c r="S31" s="588"/>
      <c r="T31" s="588">
        <f t="shared" si="2"/>
        <v>1</v>
      </c>
    </row>
    <row r="32" spans="1:20" ht="15.75" x14ac:dyDescent="0.25">
      <c r="A32" s="605" t="s">
        <v>470</v>
      </c>
      <c r="B32" s="605" t="s">
        <v>190</v>
      </c>
      <c r="C32" s="606">
        <v>43349</v>
      </c>
      <c r="D32" s="607">
        <v>1030000</v>
      </c>
      <c r="E32" s="588">
        <v>1</v>
      </c>
      <c r="F32" s="605"/>
      <c r="G32" s="599">
        <v>3</v>
      </c>
      <c r="H32" s="600"/>
      <c r="I32" s="608">
        <f t="shared" si="5"/>
        <v>0</v>
      </c>
      <c r="J32" s="601">
        <v>1</v>
      </c>
      <c r="K32" s="588"/>
      <c r="L32" s="588">
        <f t="shared" si="1"/>
        <v>1</v>
      </c>
      <c r="M32" s="588">
        <v>1</v>
      </c>
      <c r="N32" s="605"/>
      <c r="O32" s="599">
        <v>3</v>
      </c>
      <c r="P32" s="600"/>
      <c r="Q32" s="608">
        <f t="shared" si="6"/>
        <v>0</v>
      </c>
      <c r="R32" s="601">
        <v>1</v>
      </c>
      <c r="S32" s="588"/>
      <c r="T32" s="588">
        <f t="shared" si="2"/>
        <v>1</v>
      </c>
    </row>
    <row r="33" spans="1:20" ht="15.75" x14ac:dyDescent="0.25">
      <c r="A33" s="605" t="s">
        <v>738</v>
      </c>
      <c r="B33" s="605" t="s">
        <v>190</v>
      </c>
      <c r="C33" s="606">
        <v>43381</v>
      </c>
      <c r="D33" s="607">
        <v>61073</v>
      </c>
      <c r="E33" s="588">
        <v>1</v>
      </c>
      <c r="F33" s="605"/>
      <c r="G33" s="599">
        <v>3</v>
      </c>
      <c r="H33" s="600"/>
      <c r="I33" s="608">
        <f t="shared" si="5"/>
        <v>0</v>
      </c>
      <c r="J33" s="601">
        <v>1</v>
      </c>
      <c r="K33" s="588"/>
      <c r="L33" s="588">
        <f t="shared" si="1"/>
        <v>1</v>
      </c>
      <c r="M33" s="588">
        <v>1</v>
      </c>
      <c r="N33" s="605"/>
      <c r="O33" s="599">
        <v>3</v>
      </c>
      <c r="P33" s="600"/>
      <c r="Q33" s="608">
        <f t="shared" si="6"/>
        <v>0</v>
      </c>
      <c r="R33" s="601">
        <v>1</v>
      </c>
      <c r="S33" s="588"/>
      <c r="T33" s="588">
        <f t="shared" si="2"/>
        <v>1</v>
      </c>
    </row>
    <row r="34" spans="1:20" ht="15.75" x14ac:dyDescent="0.25">
      <c r="A34" s="605" t="s">
        <v>485</v>
      </c>
      <c r="B34" s="605" t="s">
        <v>190</v>
      </c>
      <c r="C34" s="606">
        <v>43395</v>
      </c>
      <c r="D34" s="607">
        <v>78000</v>
      </c>
      <c r="E34" s="588">
        <v>1</v>
      </c>
      <c r="F34" s="605"/>
      <c r="G34" s="599">
        <v>3</v>
      </c>
      <c r="H34" s="600"/>
      <c r="I34" s="608">
        <f t="shared" si="5"/>
        <v>0</v>
      </c>
      <c r="J34" s="601">
        <v>1</v>
      </c>
      <c r="K34" s="588"/>
      <c r="L34" s="588">
        <f t="shared" si="1"/>
        <v>1</v>
      </c>
      <c r="M34" s="588">
        <v>1</v>
      </c>
      <c r="N34" s="605"/>
      <c r="O34" s="599">
        <v>3</v>
      </c>
      <c r="P34" s="600"/>
      <c r="Q34" s="608">
        <f t="shared" si="6"/>
        <v>0</v>
      </c>
      <c r="R34" s="601">
        <v>1</v>
      </c>
      <c r="S34" s="588"/>
      <c r="T34" s="588">
        <f t="shared" si="2"/>
        <v>1</v>
      </c>
    </row>
    <row r="35" spans="1:20" ht="15.75" x14ac:dyDescent="0.25">
      <c r="A35" s="605" t="s">
        <v>486</v>
      </c>
      <c r="B35" s="605" t="s">
        <v>190</v>
      </c>
      <c r="C35" s="606">
        <v>43399</v>
      </c>
      <c r="D35" s="607">
        <v>39000</v>
      </c>
      <c r="E35" s="588">
        <v>1</v>
      </c>
      <c r="F35" s="605"/>
      <c r="G35" s="599">
        <v>3</v>
      </c>
      <c r="H35" s="600"/>
      <c r="I35" s="608">
        <f t="shared" si="5"/>
        <v>0</v>
      </c>
      <c r="J35" s="601">
        <v>1</v>
      </c>
      <c r="K35" s="588"/>
      <c r="L35" s="588">
        <f t="shared" si="1"/>
        <v>1</v>
      </c>
      <c r="M35" s="588">
        <v>1</v>
      </c>
      <c r="N35" s="605"/>
      <c r="O35" s="599">
        <v>3</v>
      </c>
      <c r="P35" s="600"/>
      <c r="Q35" s="608">
        <f t="shared" si="6"/>
        <v>0</v>
      </c>
      <c r="R35" s="601">
        <v>1</v>
      </c>
      <c r="S35" s="588"/>
      <c r="T35" s="588">
        <f t="shared" si="2"/>
        <v>1</v>
      </c>
    </row>
    <row r="36" spans="1:20" ht="15.75" x14ac:dyDescent="0.25">
      <c r="A36" s="605" t="s">
        <v>471</v>
      </c>
      <c r="B36" s="605" t="s">
        <v>190</v>
      </c>
      <c r="C36" s="606">
        <v>43440</v>
      </c>
      <c r="D36" s="607">
        <v>1135000</v>
      </c>
      <c r="E36" s="588">
        <v>1</v>
      </c>
      <c r="F36" s="605"/>
      <c r="G36" s="599">
        <v>3</v>
      </c>
      <c r="H36" s="600"/>
      <c r="I36" s="608">
        <f t="shared" si="5"/>
        <v>0</v>
      </c>
      <c r="J36" s="601">
        <v>1</v>
      </c>
      <c r="K36" s="588"/>
      <c r="L36" s="588">
        <f t="shared" si="1"/>
        <v>1</v>
      </c>
      <c r="M36" s="588">
        <v>1</v>
      </c>
      <c r="N36" s="605"/>
      <c r="O36" s="599">
        <v>3</v>
      </c>
      <c r="P36" s="600"/>
      <c r="Q36" s="608">
        <f t="shared" si="6"/>
        <v>0</v>
      </c>
      <c r="R36" s="601">
        <v>1</v>
      </c>
      <c r="S36" s="588"/>
      <c r="T36" s="588">
        <f t="shared" si="2"/>
        <v>1</v>
      </c>
    </row>
    <row r="37" spans="1:20" ht="15.75" x14ac:dyDescent="0.25">
      <c r="A37" s="605" t="s">
        <v>472</v>
      </c>
      <c r="B37" s="605" t="s">
        <v>190</v>
      </c>
      <c r="C37" s="606">
        <v>43469</v>
      </c>
      <c r="D37" s="607">
        <v>1120000</v>
      </c>
      <c r="E37" s="588">
        <v>1</v>
      </c>
      <c r="F37" s="605"/>
      <c r="G37" s="599">
        <v>3</v>
      </c>
      <c r="H37" s="600"/>
      <c r="I37" s="608">
        <f t="shared" si="5"/>
        <v>0</v>
      </c>
      <c r="J37" s="601">
        <v>1</v>
      </c>
      <c r="K37" s="588"/>
      <c r="L37" s="588">
        <f t="shared" si="1"/>
        <v>1</v>
      </c>
      <c r="M37" s="588">
        <v>1</v>
      </c>
      <c r="N37" s="605"/>
      <c r="O37" s="599">
        <v>3</v>
      </c>
      <c r="P37" s="600"/>
      <c r="Q37" s="608">
        <f t="shared" si="6"/>
        <v>0</v>
      </c>
      <c r="R37" s="601">
        <v>1</v>
      </c>
      <c r="S37" s="588"/>
      <c r="T37" s="588">
        <f t="shared" si="2"/>
        <v>1</v>
      </c>
    </row>
    <row r="38" spans="1:20" ht="15.75" x14ac:dyDescent="0.25">
      <c r="A38" s="605" t="s">
        <v>473</v>
      </c>
      <c r="B38" s="605" t="s">
        <v>190</v>
      </c>
      <c r="C38" s="606">
        <v>43474</v>
      </c>
      <c r="D38" s="607">
        <v>560000</v>
      </c>
      <c r="E38" s="588">
        <v>1</v>
      </c>
      <c r="F38" s="605"/>
      <c r="G38" s="599">
        <v>3</v>
      </c>
      <c r="H38" s="600"/>
      <c r="I38" s="608">
        <f t="shared" si="5"/>
        <v>0</v>
      </c>
      <c r="J38" s="601">
        <v>1</v>
      </c>
      <c r="K38" s="588"/>
      <c r="L38" s="588">
        <f t="shared" si="1"/>
        <v>1</v>
      </c>
      <c r="M38" s="588">
        <v>1</v>
      </c>
      <c r="N38" s="605"/>
      <c r="O38" s="599">
        <v>3</v>
      </c>
      <c r="P38" s="600"/>
      <c r="Q38" s="608">
        <f t="shared" si="6"/>
        <v>0</v>
      </c>
      <c r="R38" s="601">
        <v>1</v>
      </c>
      <c r="S38" s="588"/>
      <c r="T38" s="588">
        <f t="shared" si="2"/>
        <v>1</v>
      </c>
    </row>
    <row r="39" spans="1:20" ht="15.75" x14ac:dyDescent="0.25">
      <c r="A39" s="605" t="s">
        <v>474</v>
      </c>
      <c r="B39" s="605" t="s">
        <v>190</v>
      </c>
      <c r="C39" s="606">
        <v>43476</v>
      </c>
      <c r="D39" s="607">
        <v>560000</v>
      </c>
      <c r="E39" s="588">
        <v>1</v>
      </c>
      <c r="F39" s="605"/>
      <c r="G39" s="599">
        <v>3</v>
      </c>
      <c r="H39" s="600"/>
      <c r="I39" s="608">
        <f t="shared" si="5"/>
        <v>0</v>
      </c>
      <c r="J39" s="601">
        <v>1</v>
      </c>
      <c r="K39" s="588"/>
      <c r="L39" s="588">
        <f t="shared" si="1"/>
        <v>1</v>
      </c>
      <c r="M39" s="588">
        <v>1</v>
      </c>
      <c r="N39" s="605"/>
      <c r="O39" s="599">
        <v>3</v>
      </c>
      <c r="P39" s="600"/>
      <c r="Q39" s="608">
        <f t="shared" si="6"/>
        <v>0</v>
      </c>
      <c r="R39" s="601">
        <v>1</v>
      </c>
      <c r="S39" s="588"/>
      <c r="T39" s="588">
        <f t="shared" si="2"/>
        <v>1</v>
      </c>
    </row>
    <row r="40" spans="1:20" ht="15.75" x14ac:dyDescent="0.25">
      <c r="A40" s="605" t="s">
        <v>457</v>
      </c>
      <c r="B40" s="605" t="s">
        <v>190</v>
      </c>
      <c r="C40" s="606">
        <v>43507</v>
      </c>
      <c r="D40" s="607">
        <v>16950</v>
      </c>
      <c r="E40" s="588">
        <v>1</v>
      </c>
      <c r="F40" s="605"/>
      <c r="G40" s="599">
        <v>3</v>
      </c>
      <c r="H40" s="600"/>
      <c r="I40" s="608">
        <f t="shared" si="5"/>
        <v>0</v>
      </c>
      <c r="J40" s="601">
        <v>1</v>
      </c>
      <c r="K40" s="588"/>
      <c r="L40" s="588">
        <f t="shared" si="1"/>
        <v>1</v>
      </c>
      <c r="M40" s="588">
        <v>1</v>
      </c>
      <c r="N40" s="605"/>
      <c r="O40" s="599">
        <v>3</v>
      </c>
      <c r="P40" s="600"/>
      <c r="Q40" s="608">
        <f t="shared" si="6"/>
        <v>0</v>
      </c>
      <c r="R40" s="601">
        <v>1</v>
      </c>
      <c r="S40" s="588"/>
      <c r="T40" s="588">
        <f t="shared" si="2"/>
        <v>1</v>
      </c>
    </row>
    <row r="41" spans="1:20" ht="15.75" x14ac:dyDescent="0.25">
      <c r="A41" s="605" t="s">
        <v>739</v>
      </c>
      <c r="B41" s="605" t="s">
        <v>190</v>
      </c>
      <c r="C41" s="606">
        <v>43512</v>
      </c>
      <c r="D41" s="607">
        <v>8801</v>
      </c>
      <c r="E41" s="588">
        <v>1</v>
      </c>
      <c r="F41" s="605"/>
      <c r="G41" s="599">
        <v>3</v>
      </c>
      <c r="H41" s="600"/>
      <c r="I41" s="608">
        <f t="shared" si="5"/>
        <v>0</v>
      </c>
      <c r="J41" s="601">
        <v>1</v>
      </c>
      <c r="K41" s="588"/>
      <c r="L41" s="588">
        <f t="shared" si="1"/>
        <v>1</v>
      </c>
      <c r="M41" s="588">
        <v>1</v>
      </c>
      <c r="N41" s="605"/>
      <c r="O41" s="599">
        <v>3</v>
      </c>
      <c r="P41" s="600"/>
      <c r="Q41" s="608">
        <f t="shared" si="6"/>
        <v>0</v>
      </c>
      <c r="R41" s="601">
        <v>1</v>
      </c>
      <c r="S41" s="588"/>
      <c r="T41" s="588">
        <f t="shared" si="2"/>
        <v>1</v>
      </c>
    </row>
    <row r="42" spans="1:20" ht="15.75" x14ac:dyDescent="0.25">
      <c r="A42" s="609" t="s">
        <v>400</v>
      </c>
      <c r="B42" s="605" t="s">
        <v>190</v>
      </c>
      <c r="C42" s="606">
        <v>43585</v>
      </c>
      <c r="D42" s="607">
        <v>192400</v>
      </c>
      <c r="E42" s="588">
        <v>10930</v>
      </c>
      <c r="F42" s="605"/>
      <c r="G42" s="599">
        <v>3</v>
      </c>
      <c r="H42" s="600">
        <f t="shared" ref="H42:H70" si="7">IF(C42&lt;$E$4,(G42*365-(DATEDIF(C42,$E$4,"D"))),(G42*365))</f>
        <v>29</v>
      </c>
      <c r="I42" s="600">
        <v>29</v>
      </c>
      <c r="J42" s="601">
        <v>0.79948049355818296</v>
      </c>
      <c r="K42" s="588">
        <f t="shared" ref="K42:K63" si="8">+IF(ROUND(E42*J42,0)&gt;ROUND(E42-L42,0),ROUND(E42-L42,0),ROUND(E42*J42,0))</f>
        <v>1310</v>
      </c>
      <c r="L42" s="610">
        <f>+D42*5%</f>
        <v>9620</v>
      </c>
      <c r="M42" s="588">
        <v>9620</v>
      </c>
      <c r="N42" s="605"/>
      <c r="O42" s="599">
        <v>3</v>
      </c>
      <c r="P42" s="600"/>
      <c r="Q42" s="600">
        <v>29</v>
      </c>
      <c r="R42" s="601">
        <v>0.79948049355818296</v>
      </c>
      <c r="S42" s="588"/>
      <c r="T42" s="588">
        <v>9620</v>
      </c>
    </row>
    <row r="43" spans="1:20" ht="15.75" x14ac:dyDescent="0.25">
      <c r="A43" s="609" t="s">
        <v>401</v>
      </c>
      <c r="B43" s="605" t="s">
        <v>190</v>
      </c>
      <c r="C43" s="606">
        <v>43585</v>
      </c>
      <c r="D43" s="607">
        <v>14200</v>
      </c>
      <c r="E43" s="588">
        <v>807</v>
      </c>
      <c r="F43" s="605"/>
      <c r="G43" s="599">
        <v>3</v>
      </c>
      <c r="H43" s="600">
        <f t="shared" si="7"/>
        <v>29</v>
      </c>
      <c r="I43" s="600">
        <v>29</v>
      </c>
      <c r="J43" s="601">
        <v>0.80046652672430441</v>
      </c>
      <c r="K43" s="588">
        <f t="shared" si="8"/>
        <v>97</v>
      </c>
      <c r="L43" s="610">
        <f t="shared" ref="L43:L63" si="9">+D43*5%</f>
        <v>710</v>
      </c>
      <c r="M43" s="588">
        <v>710</v>
      </c>
      <c r="N43" s="605"/>
      <c r="O43" s="599">
        <v>3</v>
      </c>
      <c r="P43" s="600"/>
      <c r="Q43" s="600">
        <v>29</v>
      </c>
      <c r="R43" s="601">
        <v>0.80046652672430441</v>
      </c>
      <c r="S43" s="588"/>
      <c r="T43" s="588">
        <v>710</v>
      </c>
    </row>
    <row r="44" spans="1:20" ht="15.75" x14ac:dyDescent="0.25">
      <c r="A44" s="609" t="s">
        <v>740</v>
      </c>
      <c r="B44" s="605" t="s">
        <v>190</v>
      </c>
      <c r="C44" s="606">
        <v>43639</v>
      </c>
      <c r="D44" s="607">
        <v>68165</v>
      </c>
      <c r="E44" s="588">
        <v>4737</v>
      </c>
      <c r="F44" s="605"/>
      <c r="G44" s="599">
        <v>3</v>
      </c>
      <c r="H44" s="600">
        <f t="shared" si="7"/>
        <v>83</v>
      </c>
      <c r="I44" s="600">
        <v>83</v>
      </c>
      <c r="J44" s="601">
        <v>0.76489169591682349</v>
      </c>
      <c r="K44" s="588">
        <f t="shared" si="8"/>
        <v>1329</v>
      </c>
      <c r="L44" s="610">
        <f t="shared" si="9"/>
        <v>3408.25</v>
      </c>
      <c r="M44" s="588">
        <v>3408.25</v>
      </c>
      <c r="N44" s="605"/>
      <c r="O44" s="599">
        <v>3</v>
      </c>
      <c r="P44" s="600"/>
      <c r="Q44" s="600">
        <v>83</v>
      </c>
      <c r="R44" s="601">
        <v>0.76489169591682349</v>
      </c>
      <c r="S44" s="588"/>
      <c r="T44" s="588">
        <v>3408.25</v>
      </c>
    </row>
    <row r="45" spans="1:20" ht="15.75" x14ac:dyDescent="0.25">
      <c r="A45" s="609" t="s">
        <v>741</v>
      </c>
      <c r="B45" s="605" t="s">
        <v>190</v>
      </c>
      <c r="C45" s="606">
        <v>43634</v>
      </c>
      <c r="D45" s="607">
        <v>16555</v>
      </c>
      <c r="E45" s="588">
        <v>1131</v>
      </c>
      <c r="F45" s="605"/>
      <c r="G45" s="599">
        <v>3</v>
      </c>
      <c r="H45" s="600">
        <f t="shared" si="7"/>
        <v>78</v>
      </c>
      <c r="I45" s="600">
        <v>78</v>
      </c>
      <c r="J45" s="601">
        <v>0.76792266155916233</v>
      </c>
      <c r="K45" s="588">
        <f t="shared" si="8"/>
        <v>303</v>
      </c>
      <c r="L45" s="610">
        <f t="shared" si="9"/>
        <v>827.75</v>
      </c>
      <c r="M45" s="588">
        <v>827.75</v>
      </c>
      <c r="N45" s="605"/>
      <c r="O45" s="599">
        <v>3</v>
      </c>
      <c r="P45" s="600"/>
      <c r="Q45" s="600">
        <v>78</v>
      </c>
      <c r="R45" s="601">
        <v>0.76792266155916233</v>
      </c>
      <c r="S45" s="588"/>
      <c r="T45" s="588">
        <v>827.75</v>
      </c>
    </row>
    <row r="46" spans="1:20" ht="15.75" x14ac:dyDescent="0.25">
      <c r="A46" s="609" t="s">
        <v>742</v>
      </c>
      <c r="B46" s="605" t="s">
        <v>190</v>
      </c>
      <c r="C46" s="606">
        <v>43704</v>
      </c>
      <c r="D46" s="607">
        <v>379000</v>
      </c>
      <c r="E46" s="588">
        <v>32123</v>
      </c>
      <c r="F46" s="605"/>
      <c r="G46" s="599">
        <v>3</v>
      </c>
      <c r="H46" s="600">
        <f t="shared" si="7"/>
        <v>148</v>
      </c>
      <c r="I46" s="600">
        <v>148</v>
      </c>
      <c r="J46" s="601">
        <v>0.72790142504719479</v>
      </c>
      <c r="K46" s="588">
        <f t="shared" si="8"/>
        <v>13173</v>
      </c>
      <c r="L46" s="610">
        <f t="shared" si="9"/>
        <v>18950</v>
      </c>
      <c r="M46" s="588">
        <v>18950</v>
      </c>
      <c r="N46" s="605"/>
      <c r="O46" s="599">
        <v>3</v>
      </c>
      <c r="P46" s="600"/>
      <c r="Q46" s="600">
        <v>148</v>
      </c>
      <c r="R46" s="601">
        <v>0.72790142504719479</v>
      </c>
      <c r="S46" s="588"/>
      <c r="T46" s="588">
        <v>18950</v>
      </c>
    </row>
    <row r="47" spans="1:20" ht="15.75" x14ac:dyDescent="0.25">
      <c r="A47" s="609" t="s">
        <v>743</v>
      </c>
      <c r="B47" s="605" t="s">
        <v>190</v>
      </c>
      <c r="C47" s="606">
        <v>43705</v>
      </c>
      <c r="D47" s="607">
        <v>67500</v>
      </c>
      <c r="E47" s="588">
        <v>5737</v>
      </c>
      <c r="F47" s="605"/>
      <c r="G47" s="599">
        <v>3</v>
      </c>
      <c r="H47" s="600">
        <f t="shared" si="7"/>
        <v>149</v>
      </c>
      <c r="I47" s="600">
        <v>149</v>
      </c>
      <c r="J47" s="601">
        <v>0.72737216735329802</v>
      </c>
      <c r="K47" s="588">
        <f t="shared" si="8"/>
        <v>2362</v>
      </c>
      <c r="L47" s="610">
        <f t="shared" si="9"/>
        <v>3375</v>
      </c>
      <c r="M47" s="588">
        <v>3375</v>
      </c>
      <c r="N47" s="605"/>
      <c r="O47" s="599">
        <v>3</v>
      </c>
      <c r="P47" s="600"/>
      <c r="Q47" s="600">
        <v>149</v>
      </c>
      <c r="R47" s="601">
        <v>0.72737216735329802</v>
      </c>
      <c r="S47" s="588"/>
      <c r="T47" s="588">
        <v>3375</v>
      </c>
    </row>
    <row r="48" spans="1:20" ht="15.75" x14ac:dyDescent="0.25">
      <c r="A48" s="609" t="s">
        <v>744</v>
      </c>
      <c r="B48" s="605" t="s">
        <v>190</v>
      </c>
      <c r="C48" s="606">
        <v>43769</v>
      </c>
      <c r="D48" s="607">
        <v>35000</v>
      </c>
      <c r="E48" s="588">
        <v>3501</v>
      </c>
      <c r="F48" s="605"/>
      <c r="G48" s="599">
        <v>3</v>
      </c>
      <c r="H48" s="600">
        <f t="shared" si="7"/>
        <v>213</v>
      </c>
      <c r="I48" s="600">
        <v>213</v>
      </c>
      <c r="J48" s="601">
        <v>0.69510487747627803</v>
      </c>
      <c r="K48" s="588">
        <f t="shared" si="8"/>
        <v>1751</v>
      </c>
      <c r="L48" s="610">
        <f t="shared" si="9"/>
        <v>1750</v>
      </c>
      <c r="M48" s="588">
        <v>1750</v>
      </c>
      <c r="N48" s="605"/>
      <c r="O48" s="599">
        <v>3</v>
      </c>
      <c r="P48" s="600"/>
      <c r="Q48" s="600">
        <v>213</v>
      </c>
      <c r="R48" s="601">
        <v>0.69510487747627803</v>
      </c>
      <c r="S48" s="588"/>
      <c r="T48" s="588">
        <v>1750</v>
      </c>
    </row>
    <row r="49" spans="1:20" ht="15.75" x14ac:dyDescent="0.25">
      <c r="A49" s="609" t="s">
        <v>491</v>
      </c>
      <c r="B49" s="605" t="s">
        <v>190</v>
      </c>
      <c r="C49" s="606">
        <v>43782</v>
      </c>
      <c r="D49" s="607">
        <v>8474.57</v>
      </c>
      <c r="E49" s="588">
        <v>873.56999999999971</v>
      </c>
      <c r="F49" s="611"/>
      <c r="G49" s="599">
        <v>3</v>
      </c>
      <c r="H49" s="600">
        <f t="shared" si="7"/>
        <v>226</v>
      </c>
      <c r="I49" s="600">
        <f>+H49</f>
        <v>226</v>
      </c>
      <c r="J49" s="601">
        <v>0.68916000766526941</v>
      </c>
      <c r="K49" s="588">
        <f t="shared" si="8"/>
        <v>450</v>
      </c>
      <c r="L49" s="610">
        <f t="shared" si="9"/>
        <v>423.7285</v>
      </c>
      <c r="M49" s="588">
        <v>423.7285</v>
      </c>
      <c r="N49" s="611"/>
      <c r="O49" s="599">
        <v>3</v>
      </c>
      <c r="P49" s="600"/>
      <c r="Q49" s="600">
        <f>+P49</f>
        <v>0</v>
      </c>
      <c r="R49" s="601">
        <v>0.68916000766526941</v>
      </c>
      <c r="S49" s="588"/>
      <c r="T49" s="588">
        <v>423.7285</v>
      </c>
    </row>
    <row r="50" spans="1:20" ht="15.75" x14ac:dyDescent="0.25">
      <c r="A50" s="609" t="s">
        <v>491</v>
      </c>
      <c r="B50" s="605" t="s">
        <v>190</v>
      </c>
      <c r="C50" s="606">
        <v>43782</v>
      </c>
      <c r="D50" s="607">
        <v>8474.57</v>
      </c>
      <c r="E50" s="588">
        <v>873.56999999999971</v>
      </c>
      <c r="F50" s="611"/>
      <c r="G50" s="599">
        <v>3</v>
      </c>
      <c r="H50" s="600">
        <f t="shared" si="7"/>
        <v>226</v>
      </c>
      <c r="I50" s="600">
        <f>+H50</f>
        <v>226</v>
      </c>
      <c r="J50" s="601">
        <v>0.68916000766526941</v>
      </c>
      <c r="K50" s="588">
        <f t="shared" si="8"/>
        <v>450</v>
      </c>
      <c r="L50" s="610">
        <f t="shared" si="9"/>
        <v>423.7285</v>
      </c>
      <c r="M50" s="588">
        <v>423.7285</v>
      </c>
      <c r="N50" s="611"/>
      <c r="O50" s="599">
        <v>3</v>
      </c>
      <c r="P50" s="600"/>
      <c r="Q50" s="600">
        <f>+P50</f>
        <v>0</v>
      </c>
      <c r="R50" s="601">
        <v>0.68916000766526941</v>
      </c>
      <c r="S50" s="588"/>
      <c r="T50" s="588">
        <v>423.7285</v>
      </c>
    </row>
    <row r="51" spans="1:20" ht="15.75" x14ac:dyDescent="0.25">
      <c r="A51" s="609" t="s">
        <v>492</v>
      </c>
      <c r="B51" s="605" t="s">
        <v>190</v>
      </c>
      <c r="C51" s="606">
        <v>43873</v>
      </c>
      <c r="D51" s="607">
        <v>8475</v>
      </c>
      <c r="E51" s="588">
        <v>1055</v>
      </c>
      <c r="F51" s="605"/>
      <c r="G51" s="599">
        <v>3</v>
      </c>
      <c r="H51" s="600">
        <f t="shared" si="7"/>
        <v>317</v>
      </c>
      <c r="I51" s="600">
        <f>+H51</f>
        <v>317</v>
      </c>
      <c r="J51" s="601">
        <v>0.65015675590705246</v>
      </c>
      <c r="K51" s="588">
        <f t="shared" si="8"/>
        <v>631</v>
      </c>
      <c r="L51" s="610">
        <f t="shared" si="9"/>
        <v>423.75</v>
      </c>
      <c r="M51" s="588">
        <v>423.75</v>
      </c>
      <c r="N51" s="605"/>
      <c r="O51" s="599">
        <v>3</v>
      </c>
      <c r="P51" s="600"/>
      <c r="Q51" s="600">
        <f>+P51</f>
        <v>0</v>
      </c>
      <c r="R51" s="601">
        <v>0.65015675590705246</v>
      </c>
      <c r="S51" s="588"/>
      <c r="T51" s="588">
        <v>423.75</v>
      </c>
    </row>
    <row r="52" spans="1:20" ht="15.75" x14ac:dyDescent="0.25">
      <c r="A52" s="609" t="s">
        <v>492</v>
      </c>
      <c r="B52" s="605" t="s">
        <v>190</v>
      </c>
      <c r="C52" s="606">
        <v>43873</v>
      </c>
      <c r="D52" s="607">
        <v>8475</v>
      </c>
      <c r="E52" s="588">
        <v>1055</v>
      </c>
      <c r="F52" s="605"/>
      <c r="G52" s="599">
        <v>3</v>
      </c>
      <c r="H52" s="600">
        <f t="shared" si="7"/>
        <v>317</v>
      </c>
      <c r="I52" s="600">
        <f t="shared" ref="I52:I63" si="10">+H52</f>
        <v>317</v>
      </c>
      <c r="J52" s="601">
        <v>0.65015675590705246</v>
      </c>
      <c r="K52" s="588">
        <f t="shared" si="8"/>
        <v>631</v>
      </c>
      <c r="L52" s="610">
        <f t="shared" si="9"/>
        <v>423.75</v>
      </c>
      <c r="M52" s="588">
        <v>423.75</v>
      </c>
      <c r="N52" s="605"/>
      <c r="O52" s="599">
        <v>3</v>
      </c>
      <c r="P52" s="600"/>
      <c r="Q52" s="600">
        <f t="shared" ref="Q52:Q63" si="11">+P52</f>
        <v>0</v>
      </c>
      <c r="R52" s="601">
        <v>0.65015675590705246</v>
      </c>
      <c r="S52" s="588"/>
      <c r="T52" s="588">
        <v>423.75</v>
      </c>
    </row>
    <row r="53" spans="1:20" ht="15.75" x14ac:dyDescent="0.25">
      <c r="A53" s="609" t="s">
        <v>492</v>
      </c>
      <c r="B53" s="605" t="s">
        <v>190</v>
      </c>
      <c r="C53" s="606">
        <v>43873</v>
      </c>
      <c r="D53" s="607">
        <v>8475</v>
      </c>
      <c r="E53" s="588">
        <v>1055</v>
      </c>
      <c r="F53" s="605"/>
      <c r="G53" s="599">
        <v>3</v>
      </c>
      <c r="H53" s="600">
        <f t="shared" si="7"/>
        <v>317</v>
      </c>
      <c r="I53" s="600">
        <f t="shared" si="10"/>
        <v>317</v>
      </c>
      <c r="J53" s="601">
        <v>0.65015675590705246</v>
      </c>
      <c r="K53" s="588" t="e">
        <f t="shared" si="8"/>
        <v>#VALUE!</v>
      </c>
      <c r="L53" s="610" t="s">
        <v>745</v>
      </c>
      <c r="M53" s="588">
        <v>423.75</v>
      </c>
      <c r="N53" s="605"/>
      <c r="O53" s="599">
        <v>3</v>
      </c>
      <c r="P53" s="600"/>
      <c r="Q53" s="600">
        <f t="shared" si="11"/>
        <v>0</v>
      </c>
      <c r="R53" s="601">
        <v>0.65015675590705246</v>
      </c>
      <c r="S53" s="588"/>
      <c r="T53" s="588">
        <v>423.75</v>
      </c>
    </row>
    <row r="54" spans="1:20" ht="15.75" x14ac:dyDescent="0.25">
      <c r="A54" s="609" t="s">
        <v>492</v>
      </c>
      <c r="B54" s="605" t="s">
        <v>190</v>
      </c>
      <c r="C54" s="606">
        <v>43873</v>
      </c>
      <c r="D54" s="607">
        <v>8475</v>
      </c>
      <c r="E54" s="588">
        <v>1055</v>
      </c>
      <c r="F54" s="605"/>
      <c r="G54" s="599">
        <v>3</v>
      </c>
      <c r="H54" s="600">
        <f t="shared" si="7"/>
        <v>317</v>
      </c>
      <c r="I54" s="600">
        <f t="shared" si="10"/>
        <v>317</v>
      </c>
      <c r="J54" s="601">
        <v>0.65015675590705246</v>
      </c>
      <c r="K54" s="588">
        <f t="shared" si="8"/>
        <v>631</v>
      </c>
      <c r="L54" s="610">
        <f t="shared" si="9"/>
        <v>423.75</v>
      </c>
      <c r="M54" s="588">
        <v>423.75</v>
      </c>
      <c r="N54" s="605"/>
      <c r="O54" s="599">
        <v>3</v>
      </c>
      <c r="P54" s="600"/>
      <c r="Q54" s="600">
        <f t="shared" si="11"/>
        <v>0</v>
      </c>
      <c r="R54" s="601">
        <v>0.65015675590705246</v>
      </c>
      <c r="S54" s="588"/>
      <c r="T54" s="588">
        <v>423.75</v>
      </c>
    </row>
    <row r="55" spans="1:20" ht="15.75" x14ac:dyDescent="0.25">
      <c r="A55" s="609" t="s">
        <v>492</v>
      </c>
      <c r="B55" s="605" t="s">
        <v>190</v>
      </c>
      <c r="C55" s="606">
        <v>43873</v>
      </c>
      <c r="D55" s="607">
        <v>8475</v>
      </c>
      <c r="E55" s="588">
        <v>1055</v>
      </c>
      <c r="F55" s="605"/>
      <c r="G55" s="599">
        <v>3</v>
      </c>
      <c r="H55" s="600">
        <f t="shared" si="7"/>
        <v>317</v>
      </c>
      <c r="I55" s="600">
        <f t="shared" si="10"/>
        <v>317</v>
      </c>
      <c r="J55" s="601">
        <v>0.65015675590705246</v>
      </c>
      <c r="K55" s="588">
        <f t="shared" si="8"/>
        <v>631</v>
      </c>
      <c r="L55" s="610">
        <f t="shared" si="9"/>
        <v>423.75</v>
      </c>
      <c r="M55" s="588">
        <v>423.75</v>
      </c>
      <c r="N55" s="605"/>
      <c r="O55" s="599">
        <v>3</v>
      </c>
      <c r="P55" s="600"/>
      <c r="Q55" s="600">
        <f t="shared" si="11"/>
        <v>0</v>
      </c>
      <c r="R55" s="601">
        <v>0.65015675590705246</v>
      </c>
      <c r="S55" s="588"/>
      <c r="T55" s="588">
        <v>423.75</v>
      </c>
    </row>
    <row r="56" spans="1:20" ht="15.75" x14ac:dyDescent="0.25">
      <c r="A56" s="609" t="s">
        <v>492</v>
      </c>
      <c r="B56" s="605" t="s">
        <v>190</v>
      </c>
      <c r="C56" s="606">
        <v>43873</v>
      </c>
      <c r="D56" s="607">
        <v>8475</v>
      </c>
      <c r="E56" s="588">
        <v>1055</v>
      </c>
      <c r="F56" s="605"/>
      <c r="G56" s="599">
        <v>3</v>
      </c>
      <c r="H56" s="600">
        <f t="shared" si="7"/>
        <v>317</v>
      </c>
      <c r="I56" s="600">
        <f t="shared" si="10"/>
        <v>317</v>
      </c>
      <c r="J56" s="601">
        <v>0.65015675590705246</v>
      </c>
      <c r="K56" s="588">
        <f t="shared" si="8"/>
        <v>631</v>
      </c>
      <c r="L56" s="610">
        <f t="shared" si="9"/>
        <v>423.75</v>
      </c>
      <c r="M56" s="588">
        <v>423.75</v>
      </c>
      <c r="N56" s="605"/>
      <c r="O56" s="599">
        <v>3</v>
      </c>
      <c r="P56" s="600"/>
      <c r="Q56" s="600">
        <f t="shared" si="11"/>
        <v>0</v>
      </c>
      <c r="R56" s="601">
        <v>0.65015675590705246</v>
      </c>
      <c r="S56" s="588"/>
      <c r="T56" s="588">
        <v>423.75</v>
      </c>
    </row>
    <row r="57" spans="1:20" ht="15.75" x14ac:dyDescent="0.25">
      <c r="A57" s="609" t="s">
        <v>492</v>
      </c>
      <c r="B57" s="605" t="s">
        <v>190</v>
      </c>
      <c r="C57" s="606">
        <v>43873</v>
      </c>
      <c r="D57" s="607">
        <v>8475</v>
      </c>
      <c r="E57" s="588">
        <v>1055</v>
      </c>
      <c r="F57" s="605"/>
      <c r="G57" s="599">
        <v>3</v>
      </c>
      <c r="H57" s="600">
        <f t="shared" si="7"/>
        <v>317</v>
      </c>
      <c r="I57" s="600">
        <f t="shared" si="10"/>
        <v>317</v>
      </c>
      <c r="J57" s="601">
        <v>0.65015675590705246</v>
      </c>
      <c r="K57" s="588">
        <f t="shared" si="8"/>
        <v>631</v>
      </c>
      <c r="L57" s="610">
        <f t="shared" si="9"/>
        <v>423.75</v>
      </c>
      <c r="M57" s="588">
        <v>423.75</v>
      </c>
      <c r="N57" s="605"/>
      <c r="O57" s="599">
        <v>3</v>
      </c>
      <c r="P57" s="600"/>
      <c r="Q57" s="600">
        <f t="shared" si="11"/>
        <v>0</v>
      </c>
      <c r="R57" s="601">
        <v>0.65015675590705246</v>
      </c>
      <c r="S57" s="588"/>
      <c r="T57" s="588">
        <v>423.75</v>
      </c>
    </row>
    <row r="58" spans="1:20" ht="15.75" x14ac:dyDescent="0.25">
      <c r="A58" s="609" t="s">
        <v>475</v>
      </c>
      <c r="B58" s="605" t="s">
        <v>190</v>
      </c>
      <c r="C58" s="606">
        <v>43890</v>
      </c>
      <c r="D58" s="607">
        <v>108000</v>
      </c>
      <c r="E58" s="588">
        <v>13871</v>
      </c>
      <c r="F58" s="605"/>
      <c r="G58" s="599">
        <v>3</v>
      </c>
      <c r="H58" s="600">
        <f t="shared" si="7"/>
        <v>334</v>
      </c>
      <c r="I58" s="600">
        <f t="shared" si="10"/>
        <v>334</v>
      </c>
      <c r="J58" s="601">
        <v>0.66739999999999999</v>
      </c>
      <c r="K58" s="588">
        <f t="shared" si="8"/>
        <v>8471</v>
      </c>
      <c r="L58" s="610">
        <f t="shared" si="9"/>
        <v>5400</v>
      </c>
      <c r="M58" s="588">
        <v>5400</v>
      </c>
      <c r="N58" s="605"/>
      <c r="O58" s="599">
        <v>3</v>
      </c>
      <c r="P58" s="600"/>
      <c r="Q58" s="600">
        <f t="shared" si="11"/>
        <v>0</v>
      </c>
      <c r="R58" s="601">
        <v>0.66739999999999999</v>
      </c>
      <c r="S58" s="588"/>
      <c r="T58" s="588">
        <v>5400</v>
      </c>
    </row>
    <row r="59" spans="1:20" ht="15.75" x14ac:dyDescent="0.25">
      <c r="A59" s="609" t="s">
        <v>475</v>
      </c>
      <c r="B59" s="605" t="s">
        <v>190</v>
      </c>
      <c r="C59" s="606">
        <v>43890</v>
      </c>
      <c r="D59" s="607">
        <v>108000</v>
      </c>
      <c r="E59" s="588">
        <v>13871</v>
      </c>
      <c r="F59" s="605"/>
      <c r="G59" s="599">
        <v>3</v>
      </c>
      <c r="H59" s="600">
        <f t="shared" si="7"/>
        <v>334</v>
      </c>
      <c r="I59" s="600">
        <f t="shared" si="10"/>
        <v>334</v>
      </c>
      <c r="J59" s="601">
        <v>0.64443903924280499</v>
      </c>
      <c r="K59" s="588">
        <f t="shared" si="8"/>
        <v>8471</v>
      </c>
      <c r="L59" s="610">
        <f t="shared" si="9"/>
        <v>5400</v>
      </c>
      <c r="M59" s="588">
        <v>5400</v>
      </c>
      <c r="N59" s="605"/>
      <c r="O59" s="599">
        <v>3</v>
      </c>
      <c r="P59" s="600"/>
      <c r="Q59" s="600">
        <f t="shared" si="11"/>
        <v>0</v>
      </c>
      <c r="R59" s="601">
        <v>0.64443903924280499</v>
      </c>
      <c r="S59" s="588"/>
      <c r="T59" s="588">
        <v>5400</v>
      </c>
    </row>
    <row r="60" spans="1:20" ht="15.75" x14ac:dyDescent="0.25">
      <c r="A60" s="609" t="s">
        <v>475</v>
      </c>
      <c r="B60" s="605" t="s">
        <v>190</v>
      </c>
      <c r="C60" s="606">
        <v>43890</v>
      </c>
      <c r="D60" s="607">
        <v>108000</v>
      </c>
      <c r="E60" s="588">
        <v>13871</v>
      </c>
      <c r="F60" s="605"/>
      <c r="G60" s="599">
        <v>3</v>
      </c>
      <c r="H60" s="600">
        <f t="shared" si="7"/>
        <v>334</v>
      </c>
      <c r="I60" s="600">
        <f t="shared" si="10"/>
        <v>334</v>
      </c>
      <c r="J60" s="601">
        <v>0.64443903924280499</v>
      </c>
      <c r="K60" s="588">
        <f t="shared" si="8"/>
        <v>8471</v>
      </c>
      <c r="L60" s="610">
        <f t="shared" si="9"/>
        <v>5400</v>
      </c>
      <c r="M60" s="588">
        <v>5400</v>
      </c>
      <c r="N60" s="605"/>
      <c r="O60" s="599">
        <v>3</v>
      </c>
      <c r="P60" s="600"/>
      <c r="Q60" s="600">
        <f t="shared" si="11"/>
        <v>0</v>
      </c>
      <c r="R60" s="601">
        <v>0.64443903924280499</v>
      </c>
      <c r="S60" s="588"/>
      <c r="T60" s="588">
        <v>5400</v>
      </c>
    </row>
    <row r="61" spans="1:20" ht="15.75" x14ac:dyDescent="0.25">
      <c r="A61" s="609" t="s">
        <v>475</v>
      </c>
      <c r="B61" s="605" t="s">
        <v>190</v>
      </c>
      <c r="C61" s="606">
        <v>43890</v>
      </c>
      <c r="D61" s="607">
        <v>108000</v>
      </c>
      <c r="E61" s="588">
        <v>13871</v>
      </c>
      <c r="F61" s="605"/>
      <c r="G61" s="599">
        <v>3</v>
      </c>
      <c r="H61" s="600">
        <f t="shared" si="7"/>
        <v>334</v>
      </c>
      <c r="I61" s="600">
        <f t="shared" si="10"/>
        <v>334</v>
      </c>
      <c r="J61" s="601">
        <v>0.64443903924280499</v>
      </c>
      <c r="K61" s="588">
        <f t="shared" si="8"/>
        <v>8471</v>
      </c>
      <c r="L61" s="610">
        <f t="shared" si="9"/>
        <v>5400</v>
      </c>
      <c r="M61" s="588">
        <v>5400</v>
      </c>
      <c r="N61" s="605"/>
      <c r="O61" s="599">
        <v>3</v>
      </c>
      <c r="P61" s="600"/>
      <c r="Q61" s="600">
        <f t="shared" si="11"/>
        <v>0</v>
      </c>
      <c r="R61" s="601">
        <v>0.64443903924280499</v>
      </c>
      <c r="S61" s="588"/>
      <c r="T61" s="588">
        <v>5400</v>
      </c>
    </row>
    <row r="62" spans="1:20" ht="15.75" x14ac:dyDescent="0.25">
      <c r="A62" s="609" t="s">
        <v>475</v>
      </c>
      <c r="B62" s="605" t="s">
        <v>190</v>
      </c>
      <c r="C62" s="606">
        <v>43890</v>
      </c>
      <c r="D62" s="607">
        <v>108000</v>
      </c>
      <c r="E62" s="588">
        <v>13871</v>
      </c>
      <c r="F62" s="605"/>
      <c r="G62" s="599">
        <v>3</v>
      </c>
      <c r="H62" s="600">
        <f t="shared" si="7"/>
        <v>334</v>
      </c>
      <c r="I62" s="600">
        <f t="shared" si="10"/>
        <v>334</v>
      </c>
      <c r="J62" s="601">
        <v>0.64443903924280499</v>
      </c>
      <c r="K62" s="588">
        <f t="shared" si="8"/>
        <v>8471</v>
      </c>
      <c r="L62" s="610">
        <f t="shared" si="9"/>
        <v>5400</v>
      </c>
      <c r="M62" s="588">
        <v>5400</v>
      </c>
      <c r="N62" s="605"/>
      <c r="O62" s="599">
        <v>3</v>
      </c>
      <c r="P62" s="600"/>
      <c r="Q62" s="600">
        <f t="shared" si="11"/>
        <v>0</v>
      </c>
      <c r="R62" s="601">
        <v>0.64443903924280499</v>
      </c>
      <c r="S62" s="588"/>
      <c r="T62" s="588">
        <v>5400</v>
      </c>
    </row>
    <row r="63" spans="1:20" ht="15.75" x14ac:dyDescent="0.25">
      <c r="A63" s="609" t="s">
        <v>465</v>
      </c>
      <c r="B63" s="605" t="s">
        <v>190</v>
      </c>
      <c r="C63" s="606">
        <v>43795</v>
      </c>
      <c r="D63" s="607">
        <f>237200-12500</f>
        <v>224700</v>
      </c>
      <c r="E63" s="588">
        <v>23849</v>
      </c>
      <c r="F63" s="605"/>
      <c r="G63" s="599">
        <v>3</v>
      </c>
      <c r="H63" s="600">
        <f t="shared" si="7"/>
        <v>239</v>
      </c>
      <c r="I63" s="600">
        <f t="shared" si="10"/>
        <v>239</v>
      </c>
      <c r="J63" s="601">
        <v>0.68321555531242173</v>
      </c>
      <c r="K63" s="588">
        <f t="shared" si="8"/>
        <v>12614</v>
      </c>
      <c r="L63" s="610">
        <f t="shared" si="9"/>
        <v>11235</v>
      </c>
      <c r="M63" s="588">
        <v>11235</v>
      </c>
      <c r="N63" s="605"/>
      <c r="O63" s="599">
        <v>3</v>
      </c>
      <c r="P63" s="600"/>
      <c r="Q63" s="600">
        <f t="shared" si="11"/>
        <v>0</v>
      </c>
      <c r="R63" s="601">
        <v>0.68321555531242173</v>
      </c>
      <c r="S63" s="588"/>
      <c r="T63" s="588">
        <v>11235</v>
      </c>
    </row>
    <row r="64" spans="1:20" ht="15.75" x14ac:dyDescent="0.25">
      <c r="A64" s="605" t="s">
        <v>476</v>
      </c>
      <c r="B64" s="605" t="s">
        <v>190</v>
      </c>
      <c r="C64" s="606">
        <v>44023</v>
      </c>
      <c r="D64" s="607">
        <v>1271214</v>
      </c>
      <c r="E64" s="588">
        <v>242913</v>
      </c>
      <c r="F64" s="612"/>
      <c r="G64" s="599">
        <v>3</v>
      </c>
      <c r="H64" s="600">
        <f t="shared" si="7"/>
        <v>467</v>
      </c>
      <c r="I64" s="600">
        <v>365</v>
      </c>
      <c r="J64" s="601">
        <v>0.65032489378677782</v>
      </c>
      <c r="K64" s="588">
        <f t="shared" ref="K64:K70" si="12">+ROUND(E64*J64,0)</f>
        <v>157972</v>
      </c>
      <c r="L64" s="588">
        <f t="shared" ref="L64:L70" si="13">E64-K64</f>
        <v>84941</v>
      </c>
      <c r="M64" s="588">
        <v>84941</v>
      </c>
      <c r="N64" s="612"/>
      <c r="O64" s="599">
        <v>3</v>
      </c>
      <c r="P64" s="600">
        <f t="shared" ref="P64:P72" si="14">IF(C64&lt;$L$4,(O64*365-(DATEDIF(C64,$L$4,"D"))),(O64*365))</f>
        <v>102</v>
      </c>
      <c r="Q64" s="600">
        <v>365</v>
      </c>
      <c r="R64" s="601">
        <v>0.65032489378677782</v>
      </c>
      <c r="S64" s="588">
        <f>+M64-T64</f>
        <v>21380.299999999996</v>
      </c>
      <c r="T64" s="588">
        <f>+D64*0.05</f>
        <v>63560.700000000004</v>
      </c>
    </row>
    <row r="65" spans="1:22" ht="15.75" x14ac:dyDescent="0.25">
      <c r="A65" s="605" t="s">
        <v>746</v>
      </c>
      <c r="B65" s="605" t="s">
        <v>190</v>
      </c>
      <c r="C65" s="606">
        <v>44081</v>
      </c>
      <c r="D65" s="607">
        <v>40900</v>
      </c>
      <c r="E65" s="588">
        <v>9245</v>
      </c>
      <c r="F65" s="612"/>
      <c r="G65" s="599">
        <v>3</v>
      </c>
      <c r="H65" s="600">
        <f t="shared" si="7"/>
        <v>525</v>
      </c>
      <c r="I65" s="600">
        <v>365</v>
      </c>
      <c r="J65" s="601">
        <v>0.65068075191668173</v>
      </c>
      <c r="K65" s="588">
        <f t="shared" si="12"/>
        <v>6016</v>
      </c>
      <c r="L65" s="588">
        <f t="shared" si="13"/>
        <v>3229</v>
      </c>
      <c r="M65" s="588">
        <v>3229</v>
      </c>
      <c r="N65" s="612"/>
      <c r="O65" s="599">
        <v>3</v>
      </c>
      <c r="P65" s="600">
        <f t="shared" si="14"/>
        <v>160</v>
      </c>
      <c r="Q65" s="600">
        <v>365</v>
      </c>
      <c r="R65" s="601">
        <v>0.65068075191668173</v>
      </c>
      <c r="S65" s="588">
        <f t="shared" ref="S65:S68" si="15">+M65-T65</f>
        <v>1184</v>
      </c>
      <c r="T65" s="588">
        <f>+D65*0.05</f>
        <v>2045</v>
      </c>
    </row>
    <row r="66" spans="1:22" ht="15.75" x14ac:dyDescent="0.25">
      <c r="A66" s="605" t="s">
        <v>747</v>
      </c>
      <c r="B66" s="605" t="s">
        <v>190</v>
      </c>
      <c r="C66" s="606">
        <v>44214</v>
      </c>
      <c r="D66" s="607">
        <v>758764</v>
      </c>
      <c r="E66" s="588">
        <v>239187</v>
      </c>
      <c r="F66" s="612"/>
      <c r="G66" s="599">
        <v>3</v>
      </c>
      <c r="H66" s="600">
        <f t="shared" si="7"/>
        <v>658</v>
      </c>
      <c r="I66" s="600">
        <v>365</v>
      </c>
      <c r="J66" s="601">
        <v>0.64090955986640075</v>
      </c>
      <c r="K66" s="588">
        <f t="shared" si="12"/>
        <v>153297</v>
      </c>
      <c r="L66" s="588">
        <f t="shared" si="13"/>
        <v>85890</v>
      </c>
      <c r="M66" s="588">
        <v>85890</v>
      </c>
      <c r="N66" s="612"/>
      <c r="O66" s="599">
        <v>3</v>
      </c>
      <c r="P66" s="600">
        <f t="shared" si="14"/>
        <v>293</v>
      </c>
      <c r="Q66" s="600">
        <v>365</v>
      </c>
      <c r="R66" s="601">
        <v>0.64090955986640075</v>
      </c>
      <c r="S66" s="588">
        <f t="shared" si="15"/>
        <v>47951.799999999996</v>
      </c>
      <c r="T66" s="588">
        <f>+D66*0.05</f>
        <v>37938.200000000004</v>
      </c>
    </row>
    <row r="67" spans="1:22" ht="15.75" x14ac:dyDescent="0.25">
      <c r="A67" s="605" t="s">
        <v>451</v>
      </c>
      <c r="B67" s="605" t="s">
        <v>190</v>
      </c>
      <c r="C67" s="606">
        <v>44264</v>
      </c>
      <c r="D67" s="607">
        <v>124000</v>
      </c>
      <c r="E67" s="588">
        <v>43624</v>
      </c>
      <c r="F67" s="612"/>
      <c r="G67" s="599">
        <v>3</v>
      </c>
      <c r="H67" s="600">
        <f t="shared" si="7"/>
        <v>708</v>
      </c>
      <c r="I67" s="600">
        <v>365</v>
      </c>
      <c r="J67" s="601">
        <v>0.63475075713233953</v>
      </c>
      <c r="K67" s="588">
        <f t="shared" si="12"/>
        <v>27690</v>
      </c>
      <c r="L67" s="588">
        <f t="shared" si="13"/>
        <v>15934</v>
      </c>
      <c r="M67" s="588">
        <v>15934</v>
      </c>
      <c r="N67" s="612"/>
      <c r="O67" s="599">
        <v>3</v>
      </c>
      <c r="P67" s="600">
        <f t="shared" si="14"/>
        <v>343</v>
      </c>
      <c r="Q67" s="600">
        <v>365</v>
      </c>
      <c r="R67" s="601">
        <v>0.63475075713233953</v>
      </c>
      <c r="S67" s="588">
        <f t="shared" si="15"/>
        <v>9734</v>
      </c>
      <c r="T67" s="588">
        <f>+D67*0.05</f>
        <v>6200</v>
      </c>
    </row>
    <row r="68" spans="1:22" ht="15.75" x14ac:dyDescent="0.25">
      <c r="A68" s="605" t="s">
        <v>748</v>
      </c>
      <c r="B68" s="605" t="s">
        <v>190</v>
      </c>
      <c r="C68" s="606">
        <v>44277</v>
      </c>
      <c r="D68" s="607">
        <v>1138145</v>
      </c>
      <c r="E68" s="588">
        <v>411530</v>
      </c>
      <c r="F68" s="612"/>
      <c r="G68" s="599">
        <v>3</v>
      </c>
      <c r="H68" s="600">
        <f t="shared" si="7"/>
        <v>721</v>
      </c>
      <c r="I68" s="600">
        <v>365</v>
      </c>
      <c r="J68" s="601">
        <v>0.63319717128982167</v>
      </c>
      <c r="K68" s="588">
        <f t="shared" si="12"/>
        <v>260580</v>
      </c>
      <c r="L68" s="588">
        <f t="shared" si="13"/>
        <v>150950</v>
      </c>
      <c r="M68" s="588">
        <v>150950</v>
      </c>
      <c r="N68" s="612"/>
      <c r="O68" s="599">
        <v>3</v>
      </c>
      <c r="P68" s="600">
        <f t="shared" si="14"/>
        <v>356</v>
      </c>
      <c r="Q68" s="600">
        <v>365</v>
      </c>
      <c r="R68" s="601">
        <v>0.63319717128982167</v>
      </c>
      <c r="S68" s="588">
        <f t="shared" si="15"/>
        <v>94042.75</v>
      </c>
      <c r="T68" s="588">
        <f>+D68*0.05</f>
        <v>56907.25</v>
      </c>
    </row>
    <row r="69" spans="1:22" ht="15.75" x14ac:dyDescent="0.25">
      <c r="A69" s="605" t="s">
        <v>452</v>
      </c>
      <c r="B69" s="605" t="s">
        <v>190</v>
      </c>
      <c r="C69" s="606">
        <v>44292</v>
      </c>
      <c r="D69" s="607">
        <v>123000</v>
      </c>
      <c r="E69" s="588">
        <v>46590</v>
      </c>
      <c r="F69" s="612"/>
      <c r="G69" s="599">
        <v>3</v>
      </c>
      <c r="H69" s="600">
        <f t="shared" si="7"/>
        <v>736</v>
      </c>
      <c r="I69" s="600">
        <v>365</v>
      </c>
      <c r="J69" s="601">
        <v>0.63416738707320741</v>
      </c>
      <c r="K69" s="588">
        <f t="shared" si="12"/>
        <v>29546</v>
      </c>
      <c r="L69" s="588">
        <f t="shared" si="13"/>
        <v>17044</v>
      </c>
      <c r="M69" s="588">
        <v>17044</v>
      </c>
      <c r="N69" s="612"/>
      <c r="O69" s="599">
        <v>3</v>
      </c>
      <c r="P69" s="600">
        <f t="shared" si="14"/>
        <v>371</v>
      </c>
      <c r="Q69" s="600">
        <v>365</v>
      </c>
      <c r="R69" s="601">
        <v>0.63416738707320741</v>
      </c>
      <c r="S69" s="588">
        <f t="shared" ref="S69:S72" si="16">ROUND(((M69+N69)*R69)*Q69/(IF(P69=Q69,Q69,365)),0)</f>
        <v>10809</v>
      </c>
      <c r="T69" s="588">
        <f t="shared" ref="T69:T70" si="17">M69-S69</f>
        <v>6235</v>
      </c>
    </row>
    <row r="70" spans="1:22" ht="15.75" x14ac:dyDescent="0.25">
      <c r="A70" s="605" t="s">
        <v>461</v>
      </c>
      <c r="B70" s="605" t="s">
        <v>190</v>
      </c>
      <c r="C70" s="606">
        <v>44446</v>
      </c>
      <c r="D70" s="607">
        <v>1510400</v>
      </c>
      <c r="E70" s="588">
        <v>974609</v>
      </c>
      <c r="F70" s="612"/>
      <c r="G70" s="599">
        <v>3</v>
      </c>
      <c r="H70" s="600">
        <f t="shared" si="7"/>
        <v>890</v>
      </c>
      <c r="I70" s="600">
        <v>365</v>
      </c>
      <c r="J70" s="601">
        <v>0.6500969586335118</v>
      </c>
      <c r="K70" s="588">
        <f t="shared" si="12"/>
        <v>633590</v>
      </c>
      <c r="L70" s="588">
        <f t="shared" si="13"/>
        <v>341019</v>
      </c>
      <c r="M70" s="588">
        <v>341019</v>
      </c>
      <c r="N70" s="612"/>
      <c r="O70" s="599">
        <v>3</v>
      </c>
      <c r="P70" s="600">
        <f t="shared" si="14"/>
        <v>525</v>
      </c>
      <c r="Q70" s="600">
        <v>365</v>
      </c>
      <c r="R70" s="601">
        <v>0.6500969586335118</v>
      </c>
      <c r="S70" s="588">
        <f t="shared" si="16"/>
        <v>221695</v>
      </c>
      <c r="T70" s="588">
        <f t="shared" si="17"/>
        <v>119324</v>
      </c>
      <c r="V70" s="847"/>
    </row>
    <row r="71" spans="1:22" ht="15.75" x14ac:dyDescent="0.25">
      <c r="A71" s="605" t="s">
        <v>749</v>
      </c>
      <c r="B71" s="605" t="s">
        <v>190</v>
      </c>
      <c r="C71" s="606">
        <v>45170</v>
      </c>
      <c r="D71" s="607">
        <v>179000</v>
      </c>
      <c r="E71" s="588">
        <v>0</v>
      </c>
      <c r="G71" s="599"/>
      <c r="H71" s="600"/>
      <c r="I71" s="600"/>
      <c r="J71" s="601"/>
      <c r="K71" s="588"/>
      <c r="L71" s="588"/>
      <c r="M71" s="588">
        <v>0</v>
      </c>
      <c r="N71" s="612">
        <v>179000</v>
      </c>
      <c r="O71" s="599">
        <v>3</v>
      </c>
      <c r="P71" s="600">
        <f t="shared" si="14"/>
        <v>1095</v>
      </c>
      <c r="Q71" s="600">
        <v>213</v>
      </c>
      <c r="R71" s="601">
        <v>0.63160000000000005</v>
      </c>
      <c r="S71" s="588">
        <f>ROUND(((M71+N71)*R71)*Q71/(IF(P71=Q71,Q71,365)),0)</f>
        <v>65975</v>
      </c>
      <c r="T71" s="588">
        <f>M71+N71-S71</f>
        <v>113025</v>
      </c>
      <c r="U71" s="616">
        <v>45170</v>
      </c>
    </row>
    <row r="72" spans="1:22" ht="15.75" x14ac:dyDescent="0.25">
      <c r="A72" s="605" t="s">
        <v>750</v>
      </c>
      <c r="B72" s="605" t="s">
        <v>190</v>
      </c>
      <c r="C72" s="606">
        <v>45279</v>
      </c>
      <c r="D72" s="607">
        <v>215930</v>
      </c>
      <c r="E72" s="588">
        <v>0</v>
      </c>
      <c r="G72" s="599"/>
      <c r="H72" s="600"/>
      <c r="I72" s="600"/>
      <c r="J72" s="601"/>
      <c r="K72" s="588"/>
      <c r="L72" s="588"/>
      <c r="M72" s="588">
        <v>0</v>
      </c>
      <c r="N72" s="612">
        <v>215930</v>
      </c>
      <c r="O72" s="599">
        <v>3</v>
      </c>
      <c r="P72" s="600">
        <f t="shared" si="14"/>
        <v>1095</v>
      </c>
      <c r="Q72" s="600">
        <v>104</v>
      </c>
      <c r="R72" s="601">
        <v>0.63160000000000005</v>
      </c>
      <c r="S72" s="588">
        <f t="shared" si="16"/>
        <v>38859</v>
      </c>
      <c r="T72" s="588">
        <f>M72+N72-S72</f>
        <v>177071</v>
      </c>
      <c r="U72" s="616">
        <v>45279</v>
      </c>
    </row>
    <row r="73" spans="1:22" ht="15.75" x14ac:dyDescent="0.25">
      <c r="A73" s="613" t="s">
        <v>13</v>
      </c>
      <c r="B73" s="613"/>
      <c r="C73" s="614"/>
      <c r="D73" s="615">
        <f>SUM(D6:D72)</f>
        <v>17586026.780000001</v>
      </c>
      <c r="E73" s="615">
        <f>SUM(E6:E72)</f>
        <v>2145545.2800000003</v>
      </c>
      <c r="F73" s="615">
        <f>SUM(F6:F72)</f>
        <v>0</v>
      </c>
      <c r="G73" s="615"/>
      <c r="H73" s="615">
        <f>SUM(H6:H70)</f>
        <v>15563</v>
      </c>
      <c r="I73" s="615">
        <f>SUM(I6:I70)</f>
        <v>8959</v>
      </c>
      <c r="J73" s="615"/>
      <c r="K73" s="615" t="e">
        <f>SUM(K6:K70)</f>
        <v>#VALUE!</v>
      </c>
      <c r="L73" s="615">
        <f>SUM(L6:L70)</f>
        <v>790929.09700000007</v>
      </c>
      <c r="M73" s="662">
        <f>SUM(M6:M72)</f>
        <v>791352.84700000007</v>
      </c>
      <c r="N73" s="615">
        <f>SUM(N6:N72)</f>
        <v>394930</v>
      </c>
      <c r="O73" s="615"/>
      <c r="P73" s="615"/>
      <c r="Q73" s="615"/>
      <c r="R73" s="615"/>
      <c r="S73" s="615">
        <f>SUM(S6:S72)</f>
        <v>514971.85</v>
      </c>
      <c r="T73" s="662">
        <f>SUM(T6:T72)</f>
        <v>671310.99699999997</v>
      </c>
      <c r="U73" s="628"/>
    </row>
    <row r="75" spans="1:22" x14ac:dyDescent="0.25">
      <c r="Q75" s="399"/>
    </row>
    <row r="76" spans="1:22" x14ac:dyDescent="0.25">
      <c r="O76" s="616"/>
      <c r="Q76" s="399"/>
    </row>
    <row r="77" spans="1:22" x14ac:dyDescent="0.25">
      <c r="O77" s="617"/>
    </row>
  </sheetData>
  <mergeCells count="1">
    <mergeCell ref="A3:L3"/>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A6176-08F2-44C8-A590-70DB585D7C74}">
  <dimension ref="A1:I50"/>
  <sheetViews>
    <sheetView view="pageBreakPreview" topLeftCell="B1" zoomScale="91" zoomScaleNormal="100" workbookViewId="0">
      <selection activeCell="D9" sqref="D9"/>
    </sheetView>
  </sheetViews>
  <sheetFormatPr defaultRowHeight="15" x14ac:dyDescent="0.25"/>
  <cols>
    <col min="1" max="1" width="5.140625" bestFit="1" customWidth="1"/>
    <col min="2" max="2" width="48.85546875" bestFit="1" customWidth="1"/>
    <col min="3" max="3" width="16" customWidth="1"/>
    <col min="4" max="4" width="18" style="224" bestFit="1" customWidth="1"/>
    <col min="5" max="5" width="18" style="224" customWidth="1"/>
    <col min="6" max="6" width="15.85546875" style="224" bestFit="1" customWidth="1"/>
    <col min="8" max="8" width="15.28515625" bestFit="1" customWidth="1"/>
    <col min="9" max="9" width="11.42578125" bestFit="1" customWidth="1"/>
  </cols>
  <sheetData>
    <row r="1" spans="1:9" x14ac:dyDescent="0.25">
      <c r="A1" s="985" t="s">
        <v>1013</v>
      </c>
      <c r="B1" s="985"/>
      <c r="D1" s="837" t="s">
        <v>1012</v>
      </c>
      <c r="E1" s="837" t="s">
        <v>896</v>
      </c>
    </row>
    <row r="2" spans="1:9" x14ac:dyDescent="0.25">
      <c r="A2" s="286" t="s">
        <v>195</v>
      </c>
      <c r="B2" s="287" t="s">
        <v>196</v>
      </c>
      <c r="C2" s="287"/>
    </row>
    <row r="3" spans="1:9" x14ac:dyDescent="0.25">
      <c r="A3" s="286"/>
      <c r="B3" s="286" t="s">
        <v>20</v>
      </c>
      <c r="C3" s="286"/>
      <c r="D3" s="224">
        <f>+BS!C39</f>
        <v>48111584</v>
      </c>
      <c r="E3" s="224">
        <f>+BS!D39</f>
        <v>31650362</v>
      </c>
      <c r="H3" s="224">
        <f>D3-D4</f>
        <v>10790343</v>
      </c>
    </row>
    <row r="4" spans="1:9" x14ac:dyDescent="0.25">
      <c r="A4" s="286"/>
      <c r="B4" s="286" t="s">
        <v>9</v>
      </c>
      <c r="C4" s="286"/>
      <c r="D4" s="224">
        <f>+BS!C21</f>
        <v>37321241</v>
      </c>
      <c r="E4" s="224">
        <f>+BS!D21</f>
        <v>28872439</v>
      </c>
      <c r="H4" s="224">
        <f>E3-E4</f>
        <v>2777923</v>
      </c>
    </row>
    <row r="5" spans="1:9" x14ac:dyDescent="0.25">
      <c r="A5" s="286"/>
      <c r="B5" s="286" t="s">
        <v>197</v>
      </c>
      <c r="C5" s="286"/>
      <c r="D5" s="224">
        <f>+D3/D4</f>
        <v>1.2891206913510727</v>
      </c>
      <c r="E5" s="224">
        <f>+E3/E4</f>
        <v>1.0962136589846116</v>
      </c>
      <c r="H5" s="224">
        <f>SUM(H3:H4)</f>
        <v>13568266</v>
      </c>
    </row>
    <row r="6" spans="1:9" x14ac:dyDescent="0.25">
      <c r="A6" s="286"/>
      <c r="B6" s="286"/>
      <c r="C6" s="286"/>
      <c r="H6" s="224">
        <f>H5/2</f>
        <v>6784133</v>
      </c>
    </row>
    <row r="7" spans="1:9" x14ac:dyDescent="0.25">
      <c r="A7" s="286" t="s">
        <v>201</v>
      </c>
      <c r="B7" s="287" t="s">
        <v>198</v>
      </c>
      <c r="C7" s="287"/>
    </row>
    <row r="8" spans="1:9" x14ac:dyDescent="0.25">
      <c r="A8" s="286"/>
      <c r="B8" s="286" t="s">
        <v>199</v>
      </c>
      <c r="C8" s="286"/>
      <c r="D8" s="224">
        <f>+'P&amp;L'!C26</f>
        <v>12954665.152799999</v>
      </c>
      <c r="E8" s="224">
        <f>+'P&amp;L'!D26</f>
        <v>28486452.262695998</v>
      </c>
    </row>
    <row r="9" spans="1:9" x14ac:dyDescent="0.25">
      <c r="A9" s="286"/>
      <c r="B9" s="286" t="s">
        <v>200</v>
      </c>
      <c r="C9" s="286"/>
      <c r="D9" s="224">
        <f>+(BS!B11+BS!C11)/2</f>
        <v>8936652</v>
      </c>
      <c r="E9" s="224">
        <v>53907120.5</v>
      </c>
      <c r="F9" s="224" t="s">
        <v>1016</v>
      </c>
      <c r="I9" s="618"/>
    </row>
    <row r="10" spans="1:9" x14ac:dyDescent="0.25">
      <c r="A10" s="286"/>
      <c r="B10" s="286" t="s">
        <v>197</v>
      </c>
      <c r="C10" s="286"/>
      <c r="D10" s="224">
        <f>+D8/D9</f>
        <v>1.4496105647618369</v>
      </c>
      <c r="E10" s="224">
        <f>+E8/E9</f>
        <v>0.52843579843401201</v>
      </c>
      <c r="I10" s="619"/>
    </row>
    <row r="11" spans="1:9" x14ac:dyDescent="0.25">
      <c r="A11" s="286"/>
      <c r="B11" s="286"/>
      <c r="C11" s="286"/>
      <c r="I11" s="618"/>
    </row>
    <row r="12" spans="1:9" x14ac:dyDescent="0.25">
      <c r="A12" s="286" t="s">
        <v>207</v>
      </c>
      <c r="B12" s="287" t="s">
        <v>202</v>
      </c>
      <c r="C12" s="287"/>
      <c r="I12" s="618"/>
    </row>
    <row r="13" spans="1:9" x14ac:dyDescent="0.25">
      <c r="A13" s="286"/>
      <c r="B13" s="286" t="s">
        <v>203</v>
      </c>
      <c r="C13" s="286"/>
      <c r="D13" s="224">
        <f>+'P&amp;L'!C8</f>
        <v>364415590</v>
      </c>
      <c r="E13" s="224">
        <f>+'P&amp;L'!D8</f>
        <v>225987800</v>
      </c>
      <c r="I13" s="618"/>
    </row>
    <row r="14" spans="1:9" x14ac:dyDescent="0.25">
      <c r="A14" s="286"/>
      <c r="B14" s="286" t="s">
        <v>204</v>
      </c>
      <c r="C14" s="286"/>
      <c r="D14" s="224">
        <f>H6</f>
        <v>6784133</v>
      </c>
      <c r="E14" s="224">
        <f>+E3-E4</f>
        <v>2777923</v>
      </c>
      <c r="I14" s="619"/>
    </row>
    <row r="15" spans="1:9" x14ac:dyDescent="0.25">
      <c r="A15" s="286"/>
      <c r="B15" s="286" t="s">
        <v>197</v>
      </c>
      <c r="C15" s="286"/>
      <c r="D15" s="224">
        <f>+D13/D14</f>
        <v>53.715867598704214</v>
      </c>
      <c r="E15" s="224">
        <f>+E13/E14</f>
        <v>81.35135495116316</v>
      </c>
    </row>
    <row r="16" spans="1:9" x14ac:dyDescent="0.25">
      <c r="A16" s="286"/>
      <c r="B16" s="286" t="s">
        <v>205</v>
      </c>
      <c r="C16" s="286"/>
    </row>
    <row r="17" spans="1:6" x14ac:dyDescent="0.25">
      <c r="A17" s="286"/>
      <c r="B17" s="286"/>
      <c r="C17" s="286"/>
    </row>
    <row r="18" spans="1:6" x14ac:dyDescent="0.25">
      <c r="A18" s="286" t="s">
        <v>255</v>
      </c>
      <c r="B18" s="287" t="s">
        <v>206</v>
      </c>
      <c r="C18" s="287"/>
    </row>
    <row r="19" spans="1:6" x14ac:dyDescent="0.25">
      <c r="A19" s="286"/>
      <c r="B19" s="286" t="s">
        <v>199</v>
      </c>
      <c r="C19" s="286"/>
      <c r="D19" s="224">
        <f>+D8</f>
        <v>12954665.152799999</v>
      </c>
      <c r="E19" s="224">
        <f>+E8</f>
        <v>28486452.262695998</v>
      </c>
    </row>
    <row r="20" spans="1:6" x14ac:dyDescent="0.25">
      <c r="A20" s="286"/>
      <c r="B20" s="286" t="s">
        <v>203</v>
      </c>
      <c r="C20" s="286"/>
      <c r="D20" s="224">
        <f>+D13</f>
        <v>364415590</v>
      </c>
      <c r="E20" s="224">
        <f>+E13</f>
        <v>225987800</v>
      </c>
    </row>
    <row r="21" spans="1:6" x14ac:dyDescent="0.25">
      <c r="A21" s="286"/>
      <c r="B21" s="286" t="s">
        <v>197</v>
      </c>
      <c r="C21" s="286"/>
      <c r="D21" s="909">
        <f>+D19/D20</f>
        <v>3.5549151870258894E-2</v>
      </c>
      <c r="E21" s="224">
        <f>+E19/E20</f>
        <v>0.12605305358384833</v>
      </c>
    </row>
    <row r="22" spans="1:6" x14ac:dyDescent="0.25">
      <c r="A22" s="286"/>
      <c r="B22" s="286"/>
      <c r="C22" s="286"/>
    </row>
    <row r="23" spans="1:6" x14ac:dyDescent="0.25">
      <c r="A23" s="286" t="s">
        <v>256</v>
      </c>
      <c r="B23" s="287" t="s">
        <v>208</v>
      </c>
      <c r="C23" s="287"/>
    </row>
    <row r="24" spans="1:6" x14ac:dyDescent="0.25">
      <c r="A24" s="286"/>
      <c r="B24" s="286" t="s">
        <v>209</v>
      </c>
      <c r="C24" s="286"/>
      <c r="D24" s="224">
        <f>+'P&amp;L'!C18</f>
        <v>17311665</v>
      </c>
      <c r="E24" s="224">
        <f>+'P&amp;L'!D18</f>
        <v>38067207</v>
      </c>
    </row>
    <row r="25" spans="1:6" x14ac:dyDescent="0.25">
      <c r="A25" s="286"/>
      <c r="B25" s="286" t="s">
        <v>210</v>
      </c>
      <c r="C25" s="286"/>
      <c r="D25" s="224">
        <f>+BS!C11</f>
        <v>17873304</v>
      </c>
      <c r="E25" s="224">
        <f>+BS!D11</f>
        <v>4918639</v>
      </c>
    </row>
    <row r="26" spans="1:6" x14ac:dyDescent="0.25">
      <c r="A26" s="286"/>
      <c r="B26" s="286" t="s">
        <v>197</v>
      </c>
      <c r="C26" s="286"/>
      <c r="D26" s="224">
        <f>+D24/D25</f>
        <v>0.96857665488149258</v>
      </c>
      <c r="E26" s="224">
        <f>+E24/E25</f>
        <v>7.7393781084564246</v>
      </c>
    </row>
    <row r="27" spans="1:6" x14ac:dyDescent="0.25">
      <c r="A27" s="286"/>
      <c r="B27" s="286"/>
      <c r="C27" s="286"/>
    </row>
    <row r="32" spans="1:6" x14ac:dyDescent="0.25">
      <c r="A32" s="983" t="s">
        <v>1019</v>
      </c>
      <c r="B32" s="984"/>
      <c r="C32" s="984"/>
      <c r="D32" s="984"/>
      <c r="E32" s="984"/>
      <c r="F32" s="452" t="s">
        <v>1020</v>
      </c>
    </row>
    <row r="33" spans="1:7" x14ac:dyDescent="0.25">
      <c r="A33" s="452" t="s">
        <v>655</v>
      </c>
      <c r="B33" s="451" t="s">
        <v>0</v>
      </c>
      <c r="C33" s="452" t="s">
        <v>1014</v>
      </c>
      <c r="D33" s="452" t="s">
        <v>751</v>
      </c>
      <c r="E33" s="453" t="s">
        <v>660</v>
      </c>
      <c r="F33" s="453" t="s">
        <v>654</v>
      </c>
      <c r="G33" s="224"/>
    </row>
    <row r="34" spans="1:7" x14ac:dyDescent="0.25">
      <c r="A34" s="454"/>
      <c r="B34" s="838"/>
      <c r="C34" s="843"/>
      <c r="D34" s="839"/>
      <c r="E34" s="455"/>
      <c r="F34" s="456"/>
      <c r="G34" s="224"/>
    </row>
    <row r="35" spans="1:7" x14ac:dyDescent="0.25">
      <c r="A35" s="457">
        <v>1</v>
      </c>
      <c r="B35" s="460" t="s">
        <v>911</v>
      </c>
      <c r="C35" s="841"/>
      <c r="D35" s="844">
        <v>514971.85</v>
      </c>
      <c r="E35" s="842">
        <v>791353.78000000061</v>
      </c>
      <c r="F35" s="456">
        <v>2145544.7800000007</v>
      </c>
      <c r="G35" s="224"/>
    </row>
    <row r="36" spans="1:7" x14ac:dyDescent="0.25">
      <c r="A36" s="457"/>
      <c r="B36" s="460" t="s">
        <v>912</v>
      </c>
      <c r="C36" s="841"/>
      <c r="D36" s="845">
        <v>1148637.3</v>
      </c>
      <c r="E36" s="842">
        <v>2635857</v>
      </c>
      <c r="F36" s="456">
        <v>4355148.2112149997</v>
      </c>
      <c r="G36" s="224"/>
    </row>
    <row r="37" spans="1:7" x14ac:dyDescent="0.25">
      <c r="A37" s="457"/>
      <c r="B37" s="460"/>
      <c r="C37" s="839"/>
      <c r="D37" s="458">
        <f>D35-D36</f>
        <v>-633665.45000000007</v>
      </c>
      <c r="E37" s="458">
        <v>-1844503.2199999993</v>
      </c>
      <c r="F37" s="458">
        <f>F35-F36</f>
        <v>-2209603.4312149989</v>
      </c>
      <c r="G37" s="224"/>
    </row>
    <row r="38" spans="1:7" x14ac:dyDescent="0.25">
      <c r="A38" s="457"/>
      <c r="B38" s="460"/>
      <c r="C38" s="454"/>
      <c r="D38" s="454"/>
      <c r="E38" s="456"/>
      <c r="F38" s="456"/>
      <c r="G38" s="224"/>
    </row>
    <row r="39" spans="1:7" x14ac:dyDescent="0.25">
      <c r="A39" s="457">
        <v>2</v>
      </c>
      <c r="B39" s="460" t="s">
        <v>656</v>
      </c>
      <c r="C39" s="454"/>
      <c r="D39" s="454"/>
      <c r="E39" s="459">
        <v>-9200</v>
      </c>
      <c r="F39" s="459"/>
      <c r="G39" s="224"/>
    </row>
    <row r="40" spans="1:7" x14ac:dyDescent="0.25">
      <c r="A40" s="457"/>
      <c r="B40" s="460" t="s">
        <v>657</v>
      </c>
      <c r="C40" s="840"/>
      <c r="D40" s="840"/>
      <c r="E40" s="456">
        <v>0</v>
      </c>
      <c r="F40" s="456">
        <v>9200</v>
      </c>
      <c r="G40" s="224"/>
    </row>
    <row r="41" spans="1:7" x14ac:dyDescent="0.25">
      <c r="A41" s="457"/>
      <c r="B41" s="460"/>
      <c r="C41" s="454"/>
      <c r="D41" s="460"/>
      <c r="E41" s="458">
        <v>9200</v>
      </c>
      <c r="F41" s="458">
        <f>F40-F39</f>
        <v>9200</v>
      </c>
      <c r="G41" s="224"/>
    </row>
    <row r="42" spans="1:7" x14ac:dyDescent="0.25">
      <c r="A42" s="457">
        <v>3</v>
      </c>
      <c r="B42" s="460" t="s">
        <v>689</v>
      </c>
      <c r="C42" s="454"/>
      <c r="D42" s="460"/>
      <c r="E42" s="456">
        <v>36000</v>
      </c>
      <c r="F42" s="456"/>
      <c r="G42" s="224"/>
    </row>
    <row r="43" spans="1:7" x14ac:dyDescent="0.25">
      <c r="A43" s="457"/>
      <c r="B43" s="460"/>
      <c r="C43" s="840"/>
      <c r="D43" s="460"/>
      <c r="E43" s="461"/>
      <c r="F43" s="461"/>
      <c r="G43" s="224"/>
    </row>
    <row r="44" spans="1:7" x14ac:dyDescent="0.25">
      <c r="A44" s="457"/>
      <c r="B44" s="462" t="s">
        <v>658</v>
      </c>
      <c r="C44" s="463">
        <f>C37+C41-C42</f>
        <v>0</v>
      </c>
      <c r="D44" s="463">
        <f>D37+D41-D42</f>
        <v>-633665.45000000007</v>
      </c>
      <c r="E44" s="463">
        <f>E37+E41-E42</f>
        <v>-1871303.2199999993</v>
      </c>
      <c r="F44" s="463">
        <f>F37+F41-F42</f>
        <v>-2200403.4312149989</v>
      </c>
      <c r="G44" s="224"/>
    </row>
    <row r="45" spans="1:7" x14ac:dyDescent="0.25">
      <c r="A45" s="457"/>
      <c r="B45" s="455"/>
      <c r="C45" s="455"/>
      <c r="D45" s="455"/>
      <c r="E45" s="456"/>
      <c r="F45" s="456"/>
      <c r="G45" s="224"/>
    </row>
    <row r="46" spans="1:7" x14ac:dyDescent="0.25">
      <c r="A46" s="457"/>
      <c r="B46" s="462" t="s">
        <v>41</v>
      </c>
      <c r="C46" s="462"/>
      <c r="D46" s="464">
        <f>D44*25.168%</f>
        <v>-159480.92045600002</v>
      </c>
      <c r="E46" s="464">
        <v>-470969.59440959984</v>
      </c>
      <c r="F46" s="464">
        <f>F44*26%</f>
        <v>-572104.89211589971</v>
      </c>
      <c r="G46" s="224"/>
    </row>
    <row r="47" spans="1:7" x14ac:dyDescent="0.25">
      <c r="A47" s="457"/>
      <c r="B47" s="462" t="s">
        <v>752</v>
      </c>
      <c r="C47" s="462"/>
      <c r="D47" s="846">
        <v>-473286.15829370002</v>
      </c>
      <c r="E47" s="456">
        <v>-572104.89211589971</v>
      </c>
      <c r="F47" s="456">
        <v>-464104.78133499989</v>
      </c>
      <c r="G47" s="224"/>
    </row>
    <row r="48" spans="1:7" x14ac:dyDescent="0.25">
      <c r="A48" s="457"/>
      <c r="B48" s="462"/>
      <c r="C48" s="462"/>
      <c r="D48" s="462"/>
      <c r="E48" s="456"/>
      <c r="F48" s="456"/>
      <c r="G48" s="224"/>
    </row>
    <row r="49" spans="1:7" ht="15.75" thickBot="1" x14ac:dyDescent="0.3">
      <c r="A49" s="465"/>
      <c r="B49" s="466" t="s">
        <v>659</v>
      </c>
      <c r="C49" s="467">
        <f>C46-C47</f>
        <v>0</v>
      </c>
      <c r="D49" s="467">
        <f>D46-D47</f>
        <v>313805.2378377</v>
      </c>
      <c r="E49" s="467">
        <v>101135.29770629987</v>
      </c>
      <c r="F49" s="467">
        <f>F46-F47</f>
        <v>-108000.11078089982</v>
      </c>
      <c r="G49" s="224"/>
    </row>
    <row r="50" spans="1:7" ht="15.75" thickTop="1" x14ac:dyDescent="0.25"/>
  </sheetData>
  <mergeCells count="2">
    <mergeCell ref="A32:E32"/>
    <mergeCell ref="A1:B1"/>
  </mergeCells>
  <pageMargins left="0.7" right="0.7" top="0.75" bottom="0.75" header="0.3" footer="0.3"/>
  <pageSetup scale="74"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0AEFF-258A-4300-B7B4-06690B66BBB2}">
  <sheetPr>
    <pageSetUpPr fitToPage="1"/>
  </sheetPr>
  <dimension ref="A1:J166"/>
  <sheetViews>
    <sheetView topLeftCell="G109" zoomScale="117" zoomScaleNormal="130" workbookViewId="0">
      <selection activeCell="G120" sqref="G120"/>
    </sheetView>
  </sheetViews>
  <sheetFormatPr defaultColWidth="9.140625" defaultRowHeight="15" x14ac:dyDescent="0.25"/>
  <cols>
    <col min="1" max="1" width="60.42578125" style="286" bestFit="1" customWidth="1"/>
    <col min="2" max="3" width="16.85546875" style="401" bestFit="1" customWidth="1"/>
    <col min="4" max="4" width="15" style="401" bestFit="1" customWidth="1"/>
    <col min="5" max="5" width="14.7109375" style="401" bestFit="1" customWidth="1"/>
    <col min="6" max="7" width="16.85546875" style="401" bestFit="1" customWidth="1"/>
    <col min="8" max="8" width="9.140625" style="286"/>
    <col min="9" max="9" width="12.28515625" style="286" bestFit="1" customWidth="1"/>
    <col min="10" max="10" width="10.7109375" style="286" bestFit="1" customWidth="1"/>
    <col min="11" max="16384" width="9.140625" style="286"/>
  </cols>
  <sheetData>
    <row r="1" spans="1:7" ht="15.75" thickBot="1" x14ac:dyDescent="0.3">
      <c r="A1" s="986" t="s">
        <v>388</v>
      </c>
      <c r="B1" s="987"/>
      <c r="C1" s="987"/>
    </row>
    <row r="2" spans="1:7" s="403" customFormat="1" x14ac:dyDescent="0.25">
      <c r="A2" s="990" t="s">
        <v>263</v>
      </c>
      <c r="B2" s="988" t="s">
        <v>562</v>
      </c>
      <c r="C2" s="989"/>
      <c r="D2" s="988" t="s">
        <v>563</v>
      </c>
      <c r="E2" s="989"/>
      <c r="F2" s="988" t="s">
        <v>564</v>
      </c>
      <c r="G2" s="989"/>
    </row>
    <row r="3" spans="1:7" s="403" customFormat="1" ht="15.75" thickBot="1" x14ac:dyDescent="0.3">
      <c r="A3" s="991"/>
      <c r="B3" s="414" t="s">
        <v>169</v>
      </c>
      <c r="C3" s="415" t="s">
        <v>170</v>
      </c>
      <c r="D3" s="414" t="s">
        <v>169</v>
      </c>
      <c r="E3" s="415" t="s">
        <v>170</v>
      </c>
      <c r="F3" s="414" t="s">
        <v>169</v>
      </c>
      <c r="G3" s="415" t="s">
        <v>170</v>
      </c>
    </row>
    <row r="4" spans="1:7" x14ac:dyDescent="0.25">
      <c r="A4" s="411" t="s">
        <v>14</v>
      </c>
      <c r="B4" s="412" t="s">
        <v>172</v>
      </c>
      <c r="C4" s="413"/>
      <c r="D4" s="418"/>
      <c r="E4" s="413"/>
      <c r="F4" s="418"/>
      <c r="G4" s="413"/>
    </row>
    <row r="5" spans="1:7" x14ac:dyDescent="0.25">
      <c r="A5" s="408" t="s">
        <v>264</v>
      </c>
      <c r="B5" s="405">
        <v>1750</v>
      </c>
      <c r="C5" s="406"/>
      <c r="D5" s="407"/>
      <c r="E5" s="404"/>
      <c r="F5" s="407">
        <f>+B5+D5</f>
        <v>1750</v>
      </c>
      <c r="G5" s="419">
        <f>+C5+E5</f>
        <v>0</v>
      </c>
    </row>
    <row r="6" spans="1:7" x14ac:dyDescent="0.25">
      <c r="A6" s="408" t="s">
        <v>265</v>
      </c>
      <c r="B6" s="405">
        <v>3229</v>
      </c>
      <c r="C6" s="406"/>
      <c r="D6" s="407"/>
      <c r="E6" s="404"/>
      <c r="F6" s="407">
        <f t="shared" ref="F6:F69" si="0">+B6+D6</f>
        <v>3229</v>
      </c>
      <c r="G6" s="419">
        <f t="shared" ref="G6:G69" si="1">+C6+E6</f>
        <v>0</v>
      </c>
    </row>
    <row r="7" spans="1:7" x14ac:dyDescent="0.25">
      <c r="A7" s="408" t="s">
        <v>266</v>
      </c>
      <c r="B7" s="405">
        <v>15934</v>
      </c>
      <c r="C7" s="406"/>
      <c r="D7" s="407"/>
      <c r="E7" s="404"/>
      <c r="F7" s="407">
        <f t="shared" si="0"/>
        <v>15934</v>
      </c>
      <c r="G7" s="419">
        <f t="shared" si="1"/>
        <v>0</v>
      </c>
    </row>
    <row r="8" spans="1:7" x14ac:dyDescent="0.25">
      <c r="A8" s="408" t="s">
        <v>267</v>
      </c>
      <c r="B8" s="405">
        <v>17044</v>
      </c>
      <c r="C8" s="406"/>
      <c r="D8" s="407"/>
      <c r="E8" s="404"/>
      <c r="F8" s="407">
        <f t="shared" si="0"/>
        <v>17044</v>
      </c>
      <c r="G8" s="419">
        <f t="shared" si="1"/>
        <v>0</v>
      </c>
    </row>
    <row r="9" spans="1:7" x14ac:dyDescent="0.25">
      <c r="A9" s="408" t="s">
        <v>268</v>
      </c>
      <c r="B9" s="405">
        <v>3408</v>
      </c>
      <c r="C9" s="406"/>
      <c r="D9" s="407"/>
      <c r="E9" s="404"/>
      <c r="F9" s="407">
        <f t="shared" si="0"/>
        <v>3408</v>
      </c>
      <c r="G9" s="419">
        <f t="shared" si="1"/>
        <v>0</v>
      </c>
    </row>
    <row r="10" spans="1:7" x14ac:dyDescent="0.25">
      <c r="A10" s="408" t="s">
        <v>269</v>
      </c>
      <c r="B10" s="405">
        <v>1</v>
      </c>
      <c r="C10" s="406"/>
      <c r="D10" s="407"/>
      <c r="E10" s="404"/>
      <c r="F10" s="407">
        <f t="shared" si="0"/>
        <v>1</v>
      </c>
      <c r="G10" s="419">
        <f t="shared" si="1"/>
        <v>0</v>
      </c>
    </row>
    <row r="11" spans="1:7" x14ac:dyDescent="0.25">
      <c r="A11" s="408" t="s">
        <v>270</v>
      </c>
      <c r="B11" s="405">
        <v>828</v>
      </c>
      <c r="C11" s="406"/>
      <c r="D11" s="407"/>
      <c r="E11" s="404"/>
      <c r="F11" s="407">
        <f t="shared" si="0"/>
        <v>828</v>
      </c>
      <c r="G11" s="419">
        <f t="shared" si="1"/>
        <v>0</v>
      </c>
    </row>
    <row r="12" spans="1:7" x14ac:dyDescent="0.25">
      <c r="A12" s="408" t="s">
        <v>271</v>
      </c>
      <c r="B12" s="405">
        <v>1</v>
      </c>
      <c r="C12" s="406"/>
      <c r="D12" s="407"/>
      <c r="E12" s="404"/>
      <c r="F12" s="407">
        <f t="shared" si="0"/>
        <v>1</v>
      </c>
      <c r="G12" s="419">
        <f t="shared" si="1"/>
        <v>0</v>
      </c>
    </row>
    <row r="13" spans="1:7" x14ac:dyDescent="0.25">
      <c r="A13" s="408" t="s">
        <v>272</v>
      </c>
      <c r="B13" s="405">
        <v>1</v>
      </c>
      <c r="C13" s="406"/>
      <c r="D13" s="407"/>
      <c r="E13" s="404"/>
      <c r="F13" s="407">
        <f t="shared" si="0"/>
        <v>1</v>
      </c>
      <c r="G13" s="419">
        <f t="shared" si="1"/>
        <v>0</v>
      </c>
    </row>
    <row r="14" spans="1:7" x14ac:dyDescent="0.25">
      <c r="A14" s="408" t="s">
        <v>273</v>
      </c>
      <c r="B14" s="405">
        <v>216685.04</v>
      </c>
      <c r="C14" s="406"/>
      <c r="D14" s="407"/>
      <c r="E14" s="404"/>
      <c r="F14" s="407">
        <f t="shared" si="0"/>
        <v>216685.04</v>
      </c>
      <c r="G14" s="419">
        <f t="shared" si="1"/>
        <v>0</v>
      </c>
    </row>
    <row r="15" spans="1:7" x14ac:dyDescent="0.25">
      <c r="A15" s="408" t="s">
        <v>274</v>
      </c>
      <c r="B15" s="405">
        <v>8789995.1799999997</v>
      </c>
      <c r="C15" s="406"/>
      <c r="D15" s="407"/>
      <c r="E15" s="404"/>
      <c r="F15" s="407">
        <f t="shared" si="0"/>
        <v>8789995.1799999997</v>
      </c>
      <c r="G15" s="419">
        <f t="shared" si="1"/>
        <v>0</v>
      </c>
    </row>
    <row r="16" spans="1:7" x14ac:dyDescent="0.25">
      <c r="A16" s="408" t="s">
        <v>275</v>
      </c>
      <c r="B16" s="405">
        <v>0</v>
      </c>
      <c r="C16" s="406"/>
      <c r="D16" s="407">
        <f>D152</f>
        <v>94883608.220000029</v>
      </c>
      <c r="E16" s="404"/>
      <c r="F16" s="407">
        <f t="shared" si="0"/>
        <v>94883608.220000029</v>
      </c>
      <c r="G16" s="419">
        <f t="shared" si="1"/>
        <v>0</v>
      </c>
    </row>
    <row r="17" spans="1:7" x14ac:dyDescent="0.25">
      <c r="A17" s="408" t="s">
        <v>276</v>
      </c>
      <c r="B17" s="405">
        <v>574498</v>
      </c>
      <c r="C17" s="406"/>
      <c r="D17" s="407"/>
      <c r="E17" s="404">
        <f>'Ratios &amp; Deferred Tax'!E49</f>
        <v>101135.29770629987</v>
      </c>
      <c r="F17" s="407">
        <f t="shared" si="0"/>
        <v>574498</v>
      </c>
      <c r="G17" s="419">
        <f t="shared" si="1"/>
        <v>101135.29770629987</v>
      </c>
    </row>
    <row r="18" spans="1:7" x14ac:dyDescent="0.25">
      <c r="A18" s="408" t="s">
        <v>277</v>
      </c>
      <c r="B18" s="405">
        <v>85889.600000000006</v>
      </c>
      <c r="C18" s="406"/>
      <c r="D18" s="407"/>
      <c r="E18" s="404"/>
      <c r="F18" s="407">
        <f t="shared" si="0"/>
        <v>85889.600000000006</v>
      </c>
      <c r="G18" s="419">
        <f t="shared" si="1"/>
        <v>0</v>
      </c>
    </row>
    <row r="19" spans="1:7" x14ac:dyDescent="0.25">
      <c r="A19" s="408" t="s">
        <v>278</v>
      </c>
      <c r="B19" s="405">
        <v>150950.42000000001</v>
      </c>
      <c r="C19" s="406"/>
      <c r="D19" s="407"/>
      <c r="E19" s="404"/>
      <c r="F19" s="407">
        <f t="shared" si="0"/>
        <v>150950.42000000001</v>
      </c>
      <c r="G19" s="419">
        <f t="shared" si="1"/>
        <v>0</v>
      </c>
    </row>
    <row r="20" spans="1:7" x14ac:dyDescent="0.25">
      <c r="A20" s="408" t="s">
        <v>279</v>
      </c>
      <c r="B20" s="405">
        <v>341019</v>
      </c>
      <c r="C20" s="406"/>
      <c r="D20" s="407"/>
      <c r="E20" s="404"/>
      <c r="F20" s="407">
        <f t="shared" si="0"/>
        <v>341019</v>
      </c>
      <c r="G20" s="419">
        <f t="shared" si="1"/>
        <v>0</v>
      </c>
    </row>
    <row r="21" spans="1:7" x14ac:dyDescent="0.25">
      <c r="A21" s="408" t="s">
        <v>280</v>
      </c>
      <c r="B21" s="405">
        <v>1</v>
      </c>
      <c r="C21" s="406"/>
      <c r="D21" s="407"/>
      <c r="E21" s="404"/>
      <c r="F21" s="407">
        <f t="shared" si="0"/>
        <v>1</v>
      </c>
      <c r="G21" s="419">
        <f t="shared" si="1"/>
        <v>0</v>
      </c>
    </row>
    <row r="22" spans="1:7" x14ac:dyDescent="0.25">
      <c r="A22" s="408" t="s">
        <v>281</v>
      </c>
      <c r="B22" s="405">
        <v>9620</v>
      </c>
      <c r="C22" s="406"/>
      <c r="D22" s="407"/>
      <c r="E22" s="404"/>
      <c r="F22" s="407">
        <f t="shared" si="0"/>
        <v>9620</v>
      </c>
      <c r="G22" s="419">
        <f t="shared" si="1"/>
        <v>0</v>
      </c>
    </row>
    <row r="23" spans="1:7" x14ac:dyDescent="0.25">
      <c r="A23" s="408" t="s">
        <v>282</v>
      </c>
      <c r="B23" s="405">
        <v>1</v>
      </c>
      <c r="C23" s="406"/>
      <c r="D23" s="407"/>
      <c r="E23" s="404"/>
      <c r="F23" s="407">
        <f t="shared" si="0"/>
        <v>1</v>
      </c>
      <c r="G23" s="419">
        <f t="shared" si="1"/>
        <v>0</v>
      </c>
    </row>
    <row r="24" spans="1:7" x14ac:dyDescent="0.25">
      <c r="A24" s="408" t="s">
        <v>283</v>
      </c>
      <c r="B24" s="405">
        <v>3457</v>
      </c>
      <c r="C24" s="406"/>
      <c r="D24" s="407"/>
      <c r="E24" s="404"/>
      <c r="F24" s="407">
        <f t="shared" si="0"/>
        <v>3457</v>
      </c>
      <c r="G24" s="419">
        <f t="shared" si="1"/>
        <v>0</v>
      </c>
    </row>
    <row r="25" spans="1:7" x14ac:dyDescent="0.25">
      <c r="A25" s="408" t="s">
        <v>284</v>
      </c>
      <c r="B25" s="405">
        <v>6512</v>
      </c>
      <c r="C25" s="406"/>
      <c r="D25" s="407"/>
      <c r="E25" s="404"/>
      <c r="F25" s="407">
        <f t="shared" si="0"/>
        <v>6512</v>
      </c>
      <c r="G25" s="419">
        <f t="shared" si="1"/>
        <v>0</v>
      </c>
    </row>
    <row r="26" spans="1:7" x14ac:dyDescent="0.25">
      <c r="A26" s="408" t="s">
        <v>285</v>
      </c>
      <c r="B26" s="405">
        <v>710</v>
      </c>
      <c r="C26" s="406"/>
      <c r="D26" s="407"/>
      <c r="E26" s="404"/>
      <c r="F26" s="407">
        <f t="shared" si="0"/>
        <v>710</v>
      </c>
      <c r="G26" s="419">
        <f t="shared" si="1"/>
        <v>0</v>
      </c>
    </row>
    <row r="27" spans="1:7" x14ac:dyDescent="0.25">
      <c r="A27" s="408" t="s">
        <v>286</v>
      </c>
      <c r="B27" s="405">
        <v>0</v>
      </c>
      <c r="C27" s="406"/>
      <c r="D27" s="407"/>
      <c r="E27" s="404"/>
      <c r="F27" s="407"/>
      <c r="G27" s="419"/>
    </row>
    <row r="28" spans="1:7" x14ac:dyDescent="0.25">
      <c r="A28" s="408" t="s">
        <v>287</v>
      </c>
      <c r="B28" s="405">
        <v>2638601.21</v>
      </c>
      <c r="C28" s="406"/>
      <c r="D28" s="407"/>
      <c r="E28" s="404"/>
      <c r="F28" s="407">
        <f t="shared" si="0"/>
        <v>2638601.21</v>
      </c>
      <c r="G28" s="419">
        <f t="shared" si="1"/>
        <v>0</v>
      </c>
    </row>
    <row r="29" spans="1:7" x14ac:dyDescent="0.25">
      <c r="A29" s="408" t="s">
        <v>288</v>
      </c>
      <c r="B29" s="405">
        <v>790911.78</v>
      </c>
      <c r="C29" s="406"/>
      <c r="D29" s="407"/>
      <c r="E29" s="404"/>
      <c r="F29" s="407">
        <f t="shared" si="0"/>
        <v>790911.78</v>
      </c>
      <c r="G29" s="419">
        <f t="shared" si="1"/>
        <v>0</v>
      </c>
    </row>
    <row r="30" spans="1:7" x14ac:dyDescent="0.25">
      <c r="A30" s="408" t="s">
        <v>289</v>
      </c>
      <c r="B30" s="405">
        <v>2568328.21</v>
      </c>
      <c r="C30" s="406"/>
      <c r="D30" s="407"/>
      <c r="E30" s="404"/>
      <c r="F30" s="407">
        <f t="shared" si="0"/>
        <v>2568328.21</v>
      </c>
      <c r="G30" s="419">
        <f t="shared" si="1"/>
        <v>0</v>
      </c>
    </row>
    <row r="31" spans="1:7" x14ac:dyDescent="0.25">
      <c r="A31" s="408" t="s">
        <v>290</v>
      </c>
      <c r="B31" s="405">
        <v>11235</v>
      </c>
      <c r="C31" s="406"/>
      <c r="D31" s="407"/>
      <c r="E31" s="404"/>
      <c r="F31" s="407">
        <f t="shared" si="0"/>
        <v>11235</v>
      </c>
      <c r="G31" s="419">
        <f t="shared" si="1"/>
        <v>0</v>
      </c>
    </row>
    <row r="32" spans="1:7" x14ac:dyDescent="0.25">
      <c r="A32" s="408" t="s">
        <v>291</v>
      </c>
      <c r="B32" s="405">
        <v>1457611.78</v>
      </c>
      <c r="C32" s="406"/>
      <c r="D32" s="407"/>
      <c r="E32" s="404"/>
      <c r="F32" s="407">
        <f t="shared" si="0"/>
        <v>1457611.78</v>
      </c>
      <c r="G32" s="419">
        <f t="shared" si="1"/>
        <v>0</v>
      </c>
    </row>
    <row r="33" spans="1:7" x14ac:dyDescent="0.25">
      <c r="A33" s="408" t="s">
        <v>292</v>
      </c>
      <c r="B33" s="405">
        <v>662127.46</v>
      </c>
      <c r="C33" s="406"/>
      <c r="D33" s="407"/>
      <c r="E33" s="404"/>
      <c r="F33" s="407">
        <f t="shared" si="0"/>
        <v>662127.46</v>
      </c>
      <c r="G33" s="419">
        <f t="shared" si="1"/>
        <v>0</v>
      </c>
    </row>
    <row r="34" spans="1:7" x14ac:dyDescent="0.25">
      <c r="A34" s="408" t="s">
        <v>293</v>
      </c>
      <c r="B34" s="405">
        <v>1</v>
      </c>
      <c r="C34" s="406"/>
      <c r="D34" s="407"/>
      <c r="E34" s="404"/>
      <c r="F34" s="407">
        <f t="shared" si="0"/>
        <v>1</v>
      </c>
      <c r="G34" s="419">
        <f t="shared" si="1"/>
        <v>0</v>
      </c>
    </row>
    <row r="35" spans="1:7" x14ac:dyDescent="0.25">
      <c r="A35" s="408" t="s">
        <v>294</v>
      </c>
      <c r="B35" s="405">
        <v>18950</v>
      </c>
      <c r="C35" s="406"/>
      <c r="D35" s="407"/>
      <c r="E35" s="404"/>
      <c r="F35" s="407">
        <f t="shared" si="0"/>
        <v>18950</v>
      </c>
      <c r="G35" s="419">
        <f t="shared" si="1"/>
        <v>0</v>
      </c>
    </row>
    <row r="36" spans="1:7" x14ac:dyDescent="0.25">
      <c r="A36" s="408" t="s">
        <v>295</v>
      </c>
      <c r="B36" s="405">
        <v>1</v>
      </c>
      <c r="C36" s="406"/>
      <c r="D36" s="407"/>
      <c r="E36" s="404"/>
      <c r="F36" s="407">
        <f t="shared" si="0"/>
        <v>1</v>
      </c>
      <c r="G36" s="419">
        <f t="shared" si="1"/>
        <v>0</v>
      </c>
    </row>
    <row r="37" spans="1:7" x14ac:dyDescent="0.25">
      <c r="A37" s="408" t="s">
        <v>296</v>
      </c>
      <c r="B37" s="405">
        <v>1</v>
      </c>
      <c r="C37" s="406"/>
      <c r="D37" s="407"/>
      <c r="E37" s="404"/>
      <c r="F37" s="407">
        <f t="shared" si="0"/>
        <v>1</v>
      </c>
      <c r="G37" s="419">
        <f t="shared" si="1"/>
        <v>0</v>
      </c>
    </row>
    <row r="38" spans="1:7" x14ac:dyDescent="0.25">
      <c r="A38" s="408" t="s">
        <v>297</v>
      </c>
      <c r="B38" s="405">
        <v>1</v>
      </c>
      <c r="C38" s="406"/>
      <c r="D38" s="407"/>
      <c r="E38" s="404"/>
      <c r="F38" s="407">
        <f t="shared" si="0"/>
        <v>1</v>
      </c>
      <c r="G38" s="419">
        <f t="shared" si="1"/>
        <v>0</v>
      </c>
    </row>
    <row r="39" spans="1:7" x14ac:dyDescent="0.25">
      <c r="A39" s="408" t="s">
        <v>298</v>
      </c>
      <c r="B39" s="405">
        <v>1</v>
      </c>
      <c r="C39" s="406"/>
      <c r="D39" s="407"/>
      <c r="E39" s="404"/>
      <c r="F39" s="407">
        <f t="shared" si="0"/>
        <v>1</v>
      </c>
      <c r="G39" s="419">
        <f t="shared" si="1"/>
        <v>0</v>
      </c>
    </row>
    <row r="40" spans="1:7" x14ac:dyDescent="0.25">
      <c r="A40" s="408" t="s">
        <v>299</v>
      </c>
      <c r="B40" s="405">
        <v>1</v>
      </c>
      <c r="C40" s="406"/>
      <c r="D40" s="407"/>
      <c r="E40" s="404"/>
      <c r="F40" s="407">
        <f t="shared" si="0"/>
        <v>1</v>
      </c>
      <c r="G40" s="419">
        <f t="shared" si="1"/>
        <v>0</v>
      </c>
    </row>
    <row r="41" spans="1:7" x14ac:dyDescent="0.25">
      <c r="A41" s="408" t="s">
        <v>300</v>
      </c>
      <c r="B41" s="405">
        <v>1</v>
      </c>
      <c r="C41" s="406"/>
      <c r="D41" s="407"/>
      <c r="E41" s="404"/>
      <c r="F41" s="407">
        <f t="shared" si="0"/>
        <v>1</v>
      </c>
      <c r="G41" s="419">
        <f t="shared" si="1"/>
        <v>0</v>
      </c>
    </row>
    <row r="42" spans="1:7" x14ac:dyDescent="0.25">
      <c r="A42" s="408" t="s">
        <v>301</v>
      </c>
      <c r="B42" s="405">
        <v>1</v>
      </c>
      <c r="C42" s="406"/>
      <c r="D42" s="407"/>
      <c r="E42" s="404"/>
      <c r="F42" s="407">
        <f t="shared" si="0"/>
        <v>1</v>
      </c>
      <c r="G42" s="419">
        <f t="shared" si="1"/>
        <v>0</v>
      </c>
    </row>
    <row r="43" spans="1:7" x14ac:dyDescent="0.25">
      <c r="A43" s="408" t="s">
        <v>302</v>
      </c>
      <c r="B43" s="405">
        <v>1</v>
      </c>
      <c r="C43" s="406"/>
      <c r="D43" s="407"/>
      <c r="E43" s="404"/>
      <c r="F43" s="407">
        <f t="shared" si="0"/>
        <v>1</v>
      </c>
      <c r="G43" s="419">
        <f t="shared" si="1"/>
        <v>0</v>
      </c>
    </row>
    <row r="44" spans="1:7" x14ac:dyDescent="0.25">
      <c r="A44" s="408" t="s">
        <v>303</v>
      </c>
      <c r="B44" s="405">
        <v>27000</v>
      </c>
      <c r="C44" s="406"/>
      <c r="D44" s="407"/>
      <c r="E44" s="404"/>
      <c r="F44" s="407">
        <f t="shared" si="0"/>
        <v>27000</v>
      </c>
      <c r="G44" s="419">
        <f t="shared" si="1"/>
        <v>0</v>
      </c>
    </row>
    <row r="45" spans="1:7" x14ac:dyDescent="0.25">
      <c r="A45" s="408" t="s">
        <v>304</v>
      </c>
      <c r="B45" s="405">
        <v>84941</v>
      </c>
      <c r="C45" s="406"/>
      <c r="D45" s="407"/>
      <c r="E45" s="404"/>
      <c r="F45" s="407">
        <f t="shared" si="0"/>
        <v>84941</v>
      </c>
      <c r="G45" s="419">
        <f t="shared" si="1"/>
        <v>0</v>
      </c>
    </row>
    <row r="46" spans="1:7" x14ac:dyDescent="0.25">
      <c r="A46" s="408" t="s">
        <v>305</v>
      </c>
      <c r="B46" s="405">
        <v>1</v>
      </c>
      <c r="C46" s="406"/>
      <c r="D46" s="407"/>
      <c r="E46" s="404"/>
      <c r="F46" s="407">
        <f t="shared" si="0"/>
        <v>1</v>
      </c>
      <c r="G46" s="419">
        <f t="shared" si="1"/>
        <v>0</v>
      </c>
    </row>
    <row r="47" spans="1:7" x14ac:dyDescent="0.25">
      <c r="A47" s="408" t="s">
        <v>306</v>
      </c>
      <c r="B47" s="405">
        <v>1</v>
      </c>
      <c r="C47" s="406"/>
      <c r="D47" s="407"/>
      <c r="E47" s="404"/>
      <c r="F47" s="407">
        <f t="shared" si="0"/>
        <v>1</v>
      </c>
      <c r="G47" s="419">
        <f t="shared" si="1"/>
        <v>0</v>
      </c>
    </row>
    <row r="48" spans="1:7" x14ac:dyDescent="0.25">
      <c r="A48" s="408" t="s">
        <v>307</v>
      </c>
      <c r="B48" s="405">
        <v>1</v>
      </c>
      <c r="C48" s="406"/>
      <c r="D48" s="407"/>
      <c r="E48" s="404"/>
      <c r="F48" s="407">
        <f t="shared" si="0"/>
        <v>1</v>
      </c>
      <c r="G48" s="419">
        <f t="shared" si="1"/>
        <v>0</v>
      </c>
    </row>
    <row r="49" spans="1:7" x14ac:dyDescent="0.25">
      <c r="A49" s="408" t="s">
        <v>308</v>
      </c>
      <c r="B49" s="405">
        <v>1</v>
      </c>
      <c r="C49" s="406"/>
      <c r="D49" s="407"/>
      <c r="E49" s="404"/>
      <c r="F49" s="407">
        <f t="shared" si="0"/>
        <v>1</v>
      </c>
      <c r="G49" s="419">
        <f t="shared" si="1"/>
        <v>0</v>
      </c>
    </row>
    <row r="50" spans="1:7" x14ac:dyDescent="0.25">
      <c r="A50" s="408" t="s">
        <v>309</v>
      </c>
      <c r="B50" s="405">
        <v>1</v>
      </c>
      <c r="C50" s="406"/>
      <c r="D50" s="407"/>
      <c r="E50" s="404"/>
      <c r="F50" s="407">
        <f t="shared" si="0"/>
        <v>1</v>
      </c>
      <c r="G50" s="419">
        <f t="shared" si="1"/>
        <v>0</v>
      </c>
    </row>
    <row r="51" spans="1:7" x14ac:dyDescent="0.25">
      <c r="A51" s="408" t="s">
        <v>310</v>
      </c>
      <c r="B51" s="405">
        <v>1</v>
      </c>
      <c r="C51" s="406"/>
      <c r="D51" s="407"/>
      <c r="E51" s="404"/>
      <c r="F51" s="407">
        <f t="shared" si="0"/>
        <v>1</v>
      </c>
      <c r="G51" s="419">
        <f t="shared" si="1"/>
        <v>0</v>
      </c>
    </row>
    <row r="52" spans="1:7" x14ac:dyDescent="0.25">
      <c r="A52" s="408" t="s">
        <v>311</v>
      </c>
      <c r="B52" s="405">
        <v>1</v>
      </c>
      <c r="C52" s="406"/>
      <c r="D52" s="407"/>
      <c r="E52" s="404"/>
      <c r="F52" s="407">
        <f t="shared" si="0"/>
        <v>1</v>
      </c>
      <c r="G52" s="419">
        <f t="shared" si="1"/>
        <v>0</v>
      </c>
    </row>
    <row r="53" spans="1:7" x14ac:dyDescent="0.25">
      <c r="A53" s="408" t="s">
        <v>312</v>
      </c>
      <c r="B53" s="405">
        <v>1</v>
      </c>
      <c r="C53" s="406"/>
      <c r="D53" s="407"/>
      <c r="E53" s="404"/>
      <c r="F53" s="407">
        <f t="shared" si="0"/>
        <v>1</v>
      </c>
      <c r="G53" s="419">
        <f t="shared" si="1"/>
        <v>0</v>
      </c>
    </row>
    <row r="54" spans="1:7" x14ac:dyDescent="0.25">
      <c r="A54" s="408" t="s">
        <v>313</v>
      </c>
      <c r="B54" s="405">
        <v>3375</v>
      </c>
      <c r="C54" s="406"/>
      <c r="D54" s="407"/>
      <c r="E54" s="404"/>
      <c r="F54" s="407">
        <f t="shared" si="0"/>
        <v>3375</v>
      </c>
      <c r="G54" s="419">
        <f t="shared" si="1"/>
        <v>0</v>
      </c>
    </row>
    <row r="55" spans="1:7" x14ac:dyDescent="0.25">
      <c r="A55" s="408" t="s">
        <v>314</v>
      </c>
      <c r="B55" s="405">
        <v>1</v>
      </c>
      <c r="C55" s="406"/>
      <c r="D55" s="407"/>
      <c r="E55" s="404"/>
      <c r="F55" s="407">
        <f t="shared" si="0"/>
        <v>1</v>
      </c>
      <c r="G55" s="419">
        <f t="shared" si="1"/>
        <v>0</v>
      </c>
    </row>
    <row r="56" spans="1:7" x14ac:dyDescent="0.25">
      <c r="A56" s="408" t="s">
        <v>315</v>
      </c>
      <c r="B56" s="405">
        <v>1</v>
      </c>
      <c r="C56" s="406"/>
      <c r="D56" s="407"/>
      <c r="E56" s="404"/>
      <c r="F56" s="407">
        <f t="shared" si="0"/>
        <v>1</v>
      </c>
      <c r="G56" s="419">
        <f t="shared" si="1"/>
        <v>0</v>
      </c>
    </row>
    <row r="57" spans="1:7" x14ac:dyDescent="0.25">
      <c r="A57" s="408" t="s">
        <v>316</v>
      </c>
      <c r="B57" s="405">
        <v>1</v>
      </c>
      <c r="C57" s="406"/>
      <c r="D57" s="407"/>
      <c r="E57" s="404"/>
      <c r="F57" s="407">
        <f t="shared" si="0"/>
        <v>1</v>
      </c>
      <c r="G57" s="419">
        <f t="shared" si="1"/>
        <v>0</v>
      </c>
    </row>
    <row r="58" spans="1:7" x14ac:dyDescent="0.25">
      <c r="A58" s="408" t="s">
        <v>317</v>
      </c>
      <c r="B58" s="405">
        <v>19880</v>
      </c>
      <c r="C58" s="406"/>
      <c r="D58" s="407"/>
      <c r="E58" s="404"/>
      <c r="F58" s="407">
        <f t="shared" si="0"/>
        <v>19880</v>
      </c>
      <c r="G58" s="419">
        <f t="shared" si="1"/>
        <v>0</v>
      </c>
    </row>
    <row r="59" spans="1:7" x14ac:dyDescent="0.25">
      <c r="A59" s="408" t="s">
        <v>318</v>
      </c>
      <c r="B59" s="405">
        <v>87573.64</v>
      </c>
      <c r="C59" s="406"/>
      <c r="D59" s="407"/>
      <c r="E59" s="404"/>
      <c r="F59" s="407">
        <f t="shared" si="0"/>
        <v>87573.64</v>
      </c>
      <c r="G59" s="419">
        <f t="shared" si="1"/>
        <v>0</v>
      </c>
    </row>
    <row r="60" spans="1:7" x14ac:dyDescent="0.25">
      <c r="A60" s="408" t="s">
        <v>319</v>
      </c>
      <c r="B60" s="405">
        <v>6986.3</v>
      </c>
      <c r="C60" s="406"/>
      <c r="D60" s="407"/>
      <c r="E60" s="404"/>
      <c r="F60" s="407">
        <f t="shared" si="0"/>
        <v>6986.3</v>
      </c>
      <c r="G60" s="419">
        <f t="shared" si="1"/>
        <v>0</v>
      </c>
    </row>
    <row r="61" spans="1:7" x14ac:dyDescent="0.25">
      <c r="A61" s="408" t="s">
        <v>320</v>
      </c>
      <c r="B61" s="405">
        <v>1475249.81</v>
      </c>
      <c r="C61" s="406"/>
      <c r="D61" s="407"/>
      <c r="E61" s="404"/>
      <c r="F61" s="407">
        <f t="shared" si="0"/>
        <v>1475249.81</v>
      </c>
      <c r="G61" s="419">
        <f t="shared" si="1"/>
        <v>0</v>
      </c>
    </row>
    <row r="62" spans="1:7" x14ac:dyDescent="0.25">
      <c r="A62" s="408" t="s">
        <v>321</v>
      </c>
      <c r="B62" s="405">
        <v>1</v>
      </c>
      <c r="C62" s="406"/>
      <c r="D62" s="407"/>
      <c r="E62" s="404"/>
      <c r="F62" s="407">
        <f t="shared" si="0"/>
        <v>1</v>
      </c>
      <c r="G62" s="419">
        <f t="shared" si="1"/>
        <v>0</v>
      </c>
    </row>
    <row r="63" spans="1:7" x14ac:dyDescent="0.25">
      <c r="A63" s="408" t="s">
        <v>322</v>
      </c>
      <c r="B63" s="405">
        <v>1</v>
      </c>
      <c r="C63" s="406"/>
      <c r="D63" s="407"/>
      <c r="E63" s="404"/>
      <c r="F63" s="407">
        <f t="shared" si="0"/>
        <v>1</v>
      </c>
      <c r="G63" s="419">
        <f t="shared" si="1"/>
        <v>0</v>
      </c>
    </row>
    <row r="64" spans="1:7" x14ac:dyDescent="0.25">
      <c r="A64" s="408" t="s">
        <v>323</v>
      </c>
      <c r="B64" s="405">
        <v>1</v>
      </c>
      <c r="C64" s="406"/>
      <c r="D64" s="407"/>
      <c r="E64" s="404"/>
      <c r="F64" s="407">
        <f t="shared" si="0"/>
        <v>1</v>
      </c>
      <c r="G64" s="419">
        <f t="shared" si="1"/>
        <v>0</v>
      </c>
    </row>
    <row r="65" spans="1:7" x14ac:dyDescent="0.25">
      <c r="A65" s="408" t="s">
        <v>324</v>
      </c>
      <c r="B65" s="405">
        <v>847.14</v>
      </c>
      <c r="C65" s="406"/>
      <c r="D65" s="407"/>
      <c r="E65" s="404"/>
      <c r="F65" s="407">
        <f t="shared" si="0"/>
        <v>847.14</v>
      </c>
      <c r="G65" s="419">
        <f t="shared" si="1"/>
        <v>0</v>
      </c>
    </row>
    <row r="66" spans="1:7" x14ac:dyDescent="0.25">
      <c r="A66" s="408" t="s">
        <v>325</v>
      </c>
      <c r="B66" s="405">
        <v>2968</v>
      </c>
      <c r="C66" s="406"/>
      <c r="D66" s="407"/>
      <c r="E66" s="404"/>
      <c r="F66" s="407">
        <f t="shared" si="0"/>
        <v>2968</v>
      </c>
      <c r="G66" s="419">
        <f t="shared" si="1"/>
        <v>0</v>
      </c>
    </row>
    <row r="67" spans="1:7" x14ac:dyDescent="0.25">
      <c r="A67" s="408" t="s">
        <v>326</v>
      </c>
      <c r="B67" s="405">
        <v>1</v>
      </c>
      <c r="C67" s="406"/>
      <c r="D67" s="407"/>
      <c r="E67" s="404"/>
      <c r="F67" s="407">
        <f t="shared" si="0"/>
        <v>1</v>
      </c>
      <c r="G67" s="419">
        <f t="shared" si="1"/>
        <v>0</v>
      </c>
    </row>
    <row r="68" spans="1:7" x14ac:dyDescent="0.25">
      <c r="A68" s="408" t="s">
        <v>327</v>
      </c>
      <c r="B68" s="405">
        <v>1</v>
      </c>
      <c r="C68" s="406"/>
      <c r="D68" s="407"/>
      <c r="E68" s="404"/>
      <c r="F68" s="407">
        <f t="shared" si="0"/>
        <v>1</v>
      </c>
      <c r="G68" s="419">
        <f t="shared" si="1"/>
        <v>0</v>
      </c>
    </row>
    <row r="69" spans="1:7" x14ac:dyDescent="0.25">
      <c r="A69" s="408" t="s">
        <v>328</v>
      </c>
      <c r="B69" s="405">
        <v>1656.14</v>
      </c>
      <c r="C69" s="406"/>
      <c r="D69" s="407"/>
      <c r="E69" s="404"/>
      <c r="F69" s="407">
        <f t="shared" si="0"/>
        <v>1656.14</v>
      </c>
      <c r="G69" s="419">
        <f t="shared" si="1"/>
        <v>0</v>
      </c>
    </row>
    <row r="70" spans="1:7" x14ac:dyDescent="0.25">
      <c r="A70" s="408" t="s">
        <v>329</v>
      </c>
      <c r="B70" s="405">
        <v>1</v>
      </c>
      <c r="C70" s="406"/>
      <c r="D70" s="407"/>
      <c r="E70" s="404"/>
      <c r="F70" s="407">
        <f t="shared" ref="F70:F137" si="2">+B70+D70</f>
        <v>1</v>
      </c>
      <c r="G70" s="419">
        <f t="shared" ref="G70:G137" si="3">+C70+E70</f>
        <v>0</v>
      </c>
    </row>
    <row r="71" spans="1:7" x14ac:dyDescent="0.25">
      <c r="A71" s="408" t="s">
        <v>330</v>
      </c>
      <c r="B71" s="405">
        <v>376200</v>
      </c>
      <c r="C71" s="406"/>
      <c r="D71" s="407"/>
      <c r="E71" s="404"/>
      <c r="F71" s="407">
        <f t="shared" si="2"/>
        <v>376200</v>
      </c>
      <c r="G71" s="419">
        <f t="shared" si="3"/>
        <v>0</v>
      </c>
    </row>
    <row r="72" spans="1:7" x14ac:dyDescent="0.25">
      <c r="A72" s="408" t="s">
        <v>331</v>
      </c>
      <c r="B72" s="405">
        <v>78000</v>
      </c>
      <c r="C72" s="406"/>
      <c r="D72" s="407"/>
      <c r="E72" s="404"/>
      <c r="F72" s="407">
        <f t="shared" si="2"/>
        <v>78000</v>
      </c>
      <c r="G72" s="419">
        <f t="shared" si="3"/>
        <v>0</v>
      </c>
    </row>
    <row r="73" spans="1:7" x14ac:dyDescent="0.25">
      <c r="A73" s="408" t="s">
        <v>332</v>
      </c>
      <c r="B73" s="405">
        <v>84000</v>
      </c>
      <c r="C73" s="406"/>
      <c r="D73" s="407"/>
      <c r="E73" s="404"/>
      <c r="F73" s="407">
        <f t="shared" si="2"/>
        <v>84000</v>
      </c>
      <c r="G73" s="419">
        <f t="shared" si="3"/>
        <v>0</v>
      </c>
    </row>
    <row r="74" spans="1:7" x14ac:dyDescent="0.25">
      <c r="A74" s="408" t="s">
        <v>333</v>
      </c>
      <c r="B74" s="405">
        <v>675000</v>
      </c>
      <c r="C74" s="406"/>
      <c r="D74" s="407"/>
      <c r="E74" s="404"/>
      <c r="F74" s="407">
        <f t="shared" si="2"/>
        <v>675000</v>
      </c>
      <c r="G74" s="419">
        <f t="shared" si="3"/>
        <v>0</v>
      </c>
    </row>
    <row r="75" spans="1:7" x14ac:dyDescent="0.25">
      <c r="A75" s="408" t="s">
        <v>334</v>
      </c>
      <c r="B75" s="405">
        <v>0</v>
      </c>
      <c r="C75" s="406"/>
      <c r="D75" s="407"/>
      <c r="E75" s="404"/>
      <c r="F75" s="407">
        <f t="shared" si="2"/>
        <v>0</v>
      </c>
      <c r="G75" s="419">
        <f t="shared" si="3"/>
        <v>0</v>
      </c>
    </row>
    <row r="76" spans="1:7" x14ac:dyDescent="0.25">
      <c r="A76" s="409" t="s">
        <v>640</v>
      </c>
      <c r="B76" s="405">
        <v>175599.41</v>
      </c>
      <c r="C76" s="404"/>
      <c r="D76" s="407"/>
      <c r="E76" s="404"/>
      <c r="F76" s="407">
        <f t="shared" si="2"/>
        <v>175599.41</v>
      </c>
      <c r="G76" s="419">
        <f t="shared" si="3"/>
        <v>0</v>
      </c>
    </row>
    <row r="77" spans="1:7" x14ac:dyDescent="0.25">
      <c r="A77" s="408" t="s">
        <v>335</v>
      </c>
      <c r="B77" s="405" t="s">
        <v>172</v>
      </c>
      <c r="C77" s="404"/>
      <c r="D77" s="407"/>
      <c r="E77" s="404"/>
      <c r="F77" s="407"/>
      <c r="G77" s="419"/>
    </row>
    <row r="78" spans="1:7" x14ac:dyDescent="0.25">
      <c r="A78" s="409"/>
      <c r="B78" s="405"/>
      <c r="C78" s="404"/>
      <c r="D78" s="407"/>
      <c r="E78" s="404"/>
      <c r="F78" s="407">
        <f t="shared" si="2"/>
        <v>0</v>
      </c>
      <c r="G78" s="419">
        <f t="shared" si="3"/>
        <v>0</v>
      </c>
    </row>
    <row r="79" spans="1:7" x14ac:dyDescent="0.25">
      <c r="A79" s="408" t="s">
        <v>336</v>
      </c>
      <c r="B79" s="405"/>
      <c r="C79" s="406">
        <v>228747</v>
      </c>
      <c r="D79" s="407"/>
      <c r="E79" s="404"/>
      <c r="F79" s="407">
        <f t="shared" si="2"/>
        <v>0</v>
      </c>
      <c r="G79" s="419">
        <f t="shared" si="3"/>
        <v>228747</v>
      </c>
    </row>
    <row r="80" spans="1:7" x14ac:dyDescent="0.25">
      <c r="A80" s="408" t="s">
        <v>588</v>
      </c>
      <c r="B80" s="405"/>
      <c r="C80" s="406"/>
      <c r="D80" s="407"/>
      <c r="E80" s="404">
        <v>20000</v>
      </c>
      <c r="F80" s="407">
        <f t="shared" si="2"/>
        <v>0</v>
      </c>
      <c r="G80" s="419">
        <f t="shared" si="3"/>
        <v>20000</v>
      </c>
    </row>
    <row r="81" spans="1:9" x14ac:dyDescent="0.25">
      <c r="A81" s="408" t="s">
        <v>650</v>
      </c>
      <c r="B81" s="405"/>
      <c r="C81" s="406"/>
      <c r="D81" s="407"/>
      <c r="E81" s="404">
        <v>100000</v>
      </c>
      <c r="F81" s="407"/>
      <c r="G81" s="419">
        <f t="shared" si="3"/>
        <v>100000</v>
      </c>
    </row>
    <row r="82" spans="1:9" x14ac:dyDescent="0.25">
      <c r="A82" s="408" t="s">
        <v>337</v>
      </c>
      <c r="B82" s="405"/>
      <c r="C82" s="406">
        <v>1476580.61</v>
      </c>
      <c r="D82" s="407"/>
      <c r="E82" s="404"/>
      <c r="F82" s="407">
        <f t="shared" si="2"/>
        <v>0</v>
      </c>
      <c r="G82" s="419">
        <f t="shared" si="3"/>
        <v>1476580.61</v>
      </c>
    </row>
    <row r="83" spans="1:9" x14ac:dyDescent="0.25">
      <c r="A83" s="408" t="s">
        <v>338</v>
      </c>
      <c r="B83" s="405"/>
      <c r="C83" s="406">
        <v>16600</v>
      </c>
      <c r="D83" s="407"/>
      <c r="E83" s="404"/>
      <c r="F83" s="407">
        <f t="shared" si="2"/>
        <v>0</v>
      </c>
      <c r="G83" s="419">
        <f t="shared" si="3"/>
        <v>16600</v>
      </c>
    </row>
    <row r="84" spans="1:9" x14ac:dyDescent="0.25">
      <c r="A84" s="408" t="s">
        <v>339</v>
      </c>
      <c r="B84" s="405"/>
      <c r="C84" s="406">
        <v>1551989</v>
      </c>
      <c r="D84" s="407"/>
      <c r="E84" s="404"/>
      <c r="F84" s="407">
        <f t="shared" si="2"/>
        <v>0</v>
      </c>
      <c r="G84" s="419">
        <f t="shared" si="3"/>
        <v>1551989</v>
      </c>
    </row>
    <row r="85" spans="1:9" x14ac:dyDescent="0.25">
      <c r="A85" s="408" t="s">
        <v>340</v>
      </c>
      <c r="B85" s="405"/>
      <c r="C85" s="406">
        <v>6925110</v>
      </c>
      <c r="D85" s="407">
        <v>156549</v>
      </c>
      <c r="E85" s="404"/>
      <c r="F85" s="407">
        <f t="shared" si="2"/>
        <v>156549</v>
      </c>
      <c r="G85" s="419">
        <f t="shared" si="3"/>
        <v>6925110</v>
      </c>
      <c r="I85" s="447">
        <f>G85-F85</f>
        <v>6768561</v>
      </c>
    </row>
    <row r="86" spans="1:9" x14ac:dyDescent="0.25">
      <c r="A86" s="408" t="s">
        <v>341</v>
      </c>
      <c r="B86" s="405">
        <v>312613.15999999997</v>
      </c>
      <c r="C86" s="406">
        <v>0</v>
      </c>
      <c r="D86" s="407">
        <f>157702.84-9060</f>
        <v>148642.84</v>
      </c>
      <c r="E86" s="404"/>
      <c r="F86" s="407">
        <f t="shared" si="2"/>
        <v>461256</v>
      </c>
      <c r="G86" s="419">
        <f t="shared" si="3"/>
        <v>0</v>
      </c>
    </row>
    <row r="87" spans="1:9" x14ac:dyDescent="0.25">
      <c r="A87" s="408" t="s">
        <v>342</v>
      </c>
      <c r="B87" s="405">
        <v>0</v>
      </c>
      <c r="C87" s="406">
        <v>2499254.23</v>
      </c>
      <c r="D87" s="407"/>
      <c r="E87" s="404"/>
      <c r="F87" s="407">
        <f t="shared" si="2"/>
        <v>0</v>
      </c>
      <c r="G87" s="419">
        <f t="shared" si="3"/>
        <v>2499254.23</v>
      </c>
    </row>
    <row r="88" spans="1:9" x14ac:dyDescent="0.25">
      <c r="A88" s="408" t="s">
        <v>343</v>
      </c>
      <c r="B88" s="405">
        <v>0</v>
      </c>
      <c r="C88" s="406">
        <v>1089108</v>
      </c>
      <c r="D88" s="407"/>
      <c r="E88" s="404"/>
      <c r="F88" s="407">
        <f t="shared" si="2"/>
        <v>0</v>
      </c>
      <c r="G88" s="419">
        <f t="shared" si="3"/>
        <v>1089108</v>
      </c>
    </row>
    <row r="89" spans="1:9" x14ac:dyDescent="0.25">
      <c r="A89" s="408" t="s">
        <v>344</v>
      </c>
      <c r="B89" s="405">
        <v>0</v>
      </c>
      <c r="C89" s="406"/>
      <c r="D89" s="407"/>
      <c r="E89" s="404"/>
      <c r="F89" s="407">
        <f t="shared" si="2"/>
        <v>0</v>
      </c>
      <c r="G89" s="419">
        <f t="shared" si="3"/>
        <v>0</v>
      </c>
    </row>
    <row r="90" spans="1:9" x14ac:dyDescent="0.25">
      <c r="A90" s="409"/>
      <c r="B90" s="405">
        <v>0</v>
      </c>
      <c r="C90" s="406"/>
      <c r="D90" s="407"/>
      <c r="E90" s="404"/>
      <c r="F90" s="407"/>
      <c r="G90" s="419"/>
    </row>
    <row r="91" spans="1:9" x14ac:dyDescent="0.25">
      <c r="A91" s="408" t="s">
        <v>345</v>
      </c>
      <c r="B91" s="405" t="s">
        <v>172</v>
      </c>
      <c r="C91" s="406">
        <v>0</v>
      </c>
      <c r="D91" s="407"/>
      <c r="E91" s="404"/>
      <c r="F91" s="407"/>
      <c r="G91" s="419"/>
    </row>
    <row r="92" spans="1:9" x14ac:dyDescent="0.25">
      <c r="A92" s="409"/>
      <c r="B92" s="405">
        <v>0</v>
      </c>
      <c r="C92" s="406"/>
      <c r="D92" s="407"/>
      <c r="E92" s="404"/>
      <c r="F92" s="407"/>
      <c r="G92" s="419"/>
    </row>
    <row r="93" spans="1:9" x14ac:dyDescent="0.25">
      <c r="A93" s="408" t="s">
        <v>346</v>
      </c>
      <c r="B93" s="405">
        <v>0</v>
      </c>
      <c r="C93" s="406">
        <v>75691323</v>
      </c>
      <c r="D93" s="407"/>
      <c r="E93" s="404"/>
      <c r="F93" s="407">
        <f t="shared" si="2"/>
        <v>0</v>
      </c>
      <c r="G93" s="419">
        <f t="shared" si="3"/>
        <v>75691323</v>
      </c>
    </row>
    <row r="94" spans="1:9" x14ac:dyDescent="0.25">
      <c r="A94" s="408" t="s">
        <v>347</v>
      </c>
      <c r="B94" s="405">
        <v>0</v>
      </c>
      <c r="C94" s="406">
        <v>20</v>
      </c>
      <c r="D94" s="407"/>
      <c r="E94" s="404"/>
      <c r="F94" s="407">
        <f t="shared" si="2"/>
        <v>0</v>
      </c>
      <c r="G94" s="419">
        <f t="shared" si="3"/>
        <v>20</v>
      </c>
    </row>
    <row r="95" spans="1:9" x14ac:dyDescent="0.25">
      <c r="A95" s="408" t="s">
        <v>348</v>
      </c>
      <c r="B95" s="405">
        <v>0</v>
      </c>
      <c r="C95" s="406">
        <v>10</v>
      </c>
      <c r="D95" s="407"/>
      <c r="E95" s="404"/>
      <c r="F95" s="407">
        <f t="shared" si="2"/>
        <v>0</v>
      </c>
      <c r="G95" s="419">
        <f t="shared" si="3"/>
        <v>10</v>
      </c>
    </row>
    <row r="96" spans="1:9" x14ac:dyDescent="0.25">
      <c r="A96" s="408" t="s">
        <v>349</v>
      </c>
      <c r="B96" s="405">
        <v>0</v>
      </c>
      <c r="C96" s="406">
        <v>9970</v>
      </c>
      <c r="D96" s="407"/>
      <c r="E96" s="404"/>
      <c r="F96" s="407">
        <f t="shared" si="2"/>
        <v>0</v>
      </c>
      <c r="G96" s="419">
        <f t="shared" si="3"/>
        <v>9970</v>
      </c>
    </row>
    <row r="97" spans="1:7" x14ac:dyDescent="0.25">
      <c r="A97" s="409"/>
      <c r="B97" s="405">
        <v>0</v>
      </c>
      <c r="C97" s="406"/>
      <c r="D97" s="407"/>
      <c r="E97" s="404"/>
      <c r="F97" s="407"/>
      <c r="G97" s="419"/>
    </row>
    <row r="98" spans="1:7" x14ac:dyDescent="0.25">
      <c r="A98" s="408" t="s">
        <v>28</v>
      </c>
      <c r="B98" s="405" t="s">
        <v>172</v>
      </c>
      <c r="C98" s="406">
        <v>0</v>
      </c>
      <c r="D98" s="407"/>
      <c r="E98" s="404"/>
      <c r="F98" s="407"/>
      <c r="G98" s="419"/>
    </row>
    <row r="99" spans="1:7" x14ac:dyDescent="0.25">
      <c r="A99" s="409"/>
      <c r="B99" s="405">
        <v>0</v>
      </c>
      <c r="C99" s="406"/>
      <c r="D99" s="407"/>
      <c r="E99" s="404"/>
      <c r="F99" s="407"/>
      <c r="G99" s="419"/>
    </row>
    <row r="100" spans="1:7" x14ac:dyDescent="0.25">
      <c r="A100" s="408" t="s">
        <v>350</v>
      </c>
      <c r="B100" s="405">
        <v>0</v>
      </c>
      <c r="C100" s="406">
        <v>214429150</v>
      </c>
      <c r="D100" s="407"/>
      <c r="E100" s="404"/>
      <c r="F100" s="407">
        <f t="shared" si="2"/>
        <v>0</v>
      </c>
      <c r="G100" s="419">
        <f t="shared" si="3"/>
        <v>214429150</v>
      </c>
    </row>
    <row r="101" spans="1:7" x14ac:dyDescent="0.25">
      <c r="A101" s="409"/>
      <c r="B101" s="405">
        <v>0</v>
      </c>
      <c r="C101" s="406"/>
      <c r="D101" s="407"/>
      <c r="E101" s="404"/>
      <c r="F101" s="407"/>
      <c r="G101" s="419"/>
    </row>
    <row r="102" spans="1:7" x14ac:dyDescent="0.25">
      <c r="A102" s="408" t="s">
        <v>351</v>
      </c>
      <c r="B102" s="405" t="s">
        <v>172</v>
      </c>
      <c r="C102" s="406">
        <v>0</v>
      </c>
      <c r="D102" s="407"/>
      <c r="E102" s="404"/>
      <c r="F102" s="407"/>
      <c r="G102" s="419"/>
    </row>
    <row r="103" spans="1:7" x14ac:dyDescent="0.25">
      <c r="A103" s="409"/>
      <c r="B103" s="405">
        <v>0</v>
      </c>
      <c r="C103" s="406"/>
      <c r="D103" s="407"/>
      <c r="E103" s="404"/>
      <c r="F103" s="407"/>
      <c r="G103" s="419"/>
    </row>
    <row r="104" spans="1:7" x14ac:dyDescent="0.25">
      <c r="A104" s="408" t="s">
        <v>352</v>
      </c>
      <c r="B104" s="405">
        <v>5000</v>
      </c>
      <c r="C104" s="406">
        <v>0</v>
      </c>
      <c r="D104" s="407"/>
      <c r="E104" s="404"/>
      <c r="F104" s="407">
        <f t="shared" si="2"/>
        <v>5000</v>
      </c>
      <c r="G104" s="419">
        <f t="shared" si="3"/>
        <v>0</v>
      </c>
    </row>
    <row r="105" spans="1:7" x14ac:dyDescent="0.25">
      <c r="A105" s="408" t="s">
        <v>353</v>
      </c>
      <c r="B105" s="405">
        <v>8013.7</v>
      </c>
      <c r="C105" s="406">
        <v>0</v>
      </c>
      <c r="D105" s="407"/>
      <c r="E105" s="404"/>
      <c r="F105" s="407">
        <f t="shared" si="2"/>
        <v>8013.7</v>
      </c>
      <c r="G105" s="419">
        <f t="shared" si="3"/>
        <v>0</v>
      </c>
    </row>
    <row r="106" spans="1:7" x14ac:dyDescent="0.25">
      <c r="A106" s="408" t="s">
        <v>587</v>
      </c>
      <c r="B106" s="405">
        <v>0</v>
      </c>
      <c r="C106" s="406"/>
      <c r="D106" s="407">
        <v>20000</v>
      </c>
      <c r="E106" s="404"/>
      <c r="F106" s="407">
        <f t="shared" si="2"/>
        <v>20000</v>
      </c>
      <c r="G106" s="419">
        <f t="shared" si="3"/>
        <v>0</v>
      </c>
    </row>
    <row r="107" spans="1:7" x14ac:dyDescent="0.25">
      <c r="A107" s="408" t="s">
        <v>649</v>
      </c>
      <c r="B107" s="405"/>
      <c r="C107" s="406"/>
      <c r="D107" s="407">
        <v>100000</v>
      </c>
      <c r="E107" s="404"/>
      <c r="F107" s="407">
        <f t="shared" si="2"/>
        <v>100000</v>
      </c>
      <c r="G107" s="419"/>
    </row>
    <row r="108" spans="1:7" x14ac:dyDescent="0.25">
      <c r="A108" s="408" t="s">
        <v>354</v>
      </c>
      <c r="B108" s="405">
        <v>63958.87</v>
      </c>
      <c r="C108" s="406">
        <v>0</v>
      </c>
      <c r="D108" s="407"/>
      <c r="E108" s="404"/>
      <c r="F108" s="407">
        <f t="shared" si="2"/>
        <v>63958.87</v>
      </c>
      <c r="G108" s="419">
        <f t="shared" si="3"/>
        <v>0</v>
      </c>
    </row>
    <row r="109" spans="1:7" x14ac:dyDescent="0.25">
      <c r="A109" s="408" t="s">
        <v>355</v>
      </c>
      <c r="B109" s="405">
        <v>4130</v>
      </c>
      <c r="C109" s="406">
        <v>0</v>
      </c>
      <c r="D109" s="407"/>
      <c r="E109" s="404"/>
      <c r="F109" s="407">
        <f t="shared" si="2"/>
        <v>4130</v>
      </c>
      <c r="G109" s="419">
        <f t="shared" si="3"/>
        <v>0</v>
      </c>
    </row>
    <row r="110" spans="1:7" x14ac:dyDescent="0.25">
      <c r="A110" s="408" t="s">
        <v>356</v>
      </c>
      <c r="B110" s="405">
        <v>1354191</v>
      </c>
      <c r="C110" s="406">
        <v>0</v>
      </c>
      <c r="D110" s="407"/>
      <c r="E110" s="404"/>
      <c r="F110" s="407">
        <f t="shared" si="2"/>
        <v>1354191</v>
      </c>
      <c r="G110" s="419">
        <f t="shared" si="3"/>
        <v>0</v>
      </c>
    </row>
    <row r="111" spans="1:7" x14ac:dyDescent="0.25">
      <c r="A111" s="408" t="s">
        <v>357</v>
      </c>
      <c r="B111" s="405">
        <v>3492542.38</v>
      </c>
      <c r="C111" s="406">
        <v>0</v>
      </c>
      <c r="D111" s="407"/>
      <c r="E111" s="404"/>
      <c r="F111" s="407">
        <f t="shared" si="2"/>
        <v>3492542.38</v>
      </c>
      <c r="G111" s="419">
        <f t="shared" si="3"/>
        <v>0</v>
      </c>
    </row>
    <row r="112" spans="1:7" x14ac:dyDescent="0.25">
      <c r="A112" s="408" t="s">
        <v>358</v>
      </c>
      <c r="B112" s="405">
        <v>84290</v>
      </c>
      <c r="C112" s="406">
        <v>0</v>
      </c>
      <c r="D112" s="407"/>
      <c r="E112" s="404"/>
      <c r="F112" s="407">
        <f t="shared" si="2"/>
        <v>84290</v>
      </c>
      <c r="G112" s="419">
        <f t="shared" si="3"/>
        <v>0</v>
      </c>
    </row>
    <row r="113" spans="1:7" x14ac:dyDescent="0.25">
      <c r="A113" s="408" t="s">
        <v>359</v>
      </c>
      <c r="B113" s="405">
        <v>29832.79</v>
      </c>
      <c r="C113" s="406">
        <v>0</v>
      </c>
      <c r="D113" s="407"/>
      <c r="E113" s="404"/>
      <c r="F113" s="407">
        <f t="shared" si="2"/>
        <v>29832.79</v>
      </c>
      <c r="G113" s="419">
        <f t="shared" si="3"/>
        <v>0</v>
      </c>
    </row>
    <row r="114" spans="1:7" x14ac:dyDescent="0.25">
      <c r="A114" s="408" t="s">
        <v>360</v>
      </c>
      <c r="B114" s="405">
        <v>233850.57</v>
      </c>
      <c r="C114" s="406">
        <v>0</v>
      </c>
      <c r="D114" s="407"/>
      <c r="E114" s="404"/>
      <c r="F114" s="407">
        <f t="shared" si="2"/>
        <v>233850.57</v>
      </c>
      <c r="G114" s="419">
        <f t="shared" si="3"/>
        <v>0</v>
      </c>
    </row>
    <row r="115" spans="1:7" x14ac:dyDescent="0.25">
      <c r="A115" s="408" t="s">
        <v>361</v>
      </c>
      <c r="B115" s="405">
        <v>1734981.15</v>
      </c>
      <c r="C115" s="406">
        <v>0</v>
      </c>
      <c r="D115" s="407"/>
      <c r="E115" s="404"/>
      <c r="F115" s="407">
        <f t="shared" si="2"/>
        <v>1734981.15</v>
      </c>
      <c r="G115" s="419">
        <f t="shared" si="3"/>
        <v>0</v>
      </c>
    </row>
    <row r="116" spans="1:7" x14ac:dyDescent="0.25">
      <c r="A116" s="408" t="s">
        <v>362</v>
      </c>
      <c r="B116" s="405">
        <v>10719630</v>
      </c>
      <c r="C116" s="406">
        <v>0</v>
      </c>
      <c r="D116" s="407"/>
      <c r="E116" s="404"/>
      <c r="F116" s="407">
        <f t="shared" si="2"/>
        <v>10719630</v>
      </c>
      <c r="G116" s="419">
        <f t="shared" si="3"/>
        <v>0</v>
      </c>
    </row>
    <row r="117" spans="1:7" x14ac:dyDescent="0.25">
      <c r="A117" s="408" t="s">
        <v>363</v>
      </c>
      <c r="B117" s="405">
        <v>0</v>
      </c>
      <c r="C117" s="406">
        <v>769877</v>
      </c>
      <c r="D117" s="407"/>
      <c r="E117" s="407">
        <v>156549</v>
      </c>
      <c r="F117" s="407">
        <f t="shared" si="2"/>
        <v>0</v>
      </c>
      <c r="G117" s="419">
        <f t="shared" si="3"/>
        <v>926426</v>
      </c>
    </row>
    <row r="118" spans="1:7" x14ac:dyDescent="0.25">
      <c r="A118" s="408" t="s">
        <v>364</v>
      </c>
      <c r="B118" s="405">
        <v>9240294.8399999999</v>
      </c>
      <c r="C118" s="406">
        <v>0</v>
      </c>
      <c r="D118" s="407"/>
      <c r="E118" s="407">
        <f>157702.84-9060</f>
        <v>148642.84</v>
      </c>
      <c r="F118" s="407">
        <f t="shared" si="2"/>
        <v>9240294.8399999999</v>
      </c>
      <c r="G118" s="419">
        <f t="shared" si="3"/>
        <v>148642.84</v>
      </c>
    </row>
    <row r="119" spans="1:7" x14ac:dyDescent="0.25">
      <c r="A119" s="408" t="s">
        <v>365</v>
      </c>
      <c r="B119" s="405">
        <v>45</v>
      </c>
      <c r="C119" s="406">
        <v>0</v>
      </c>
      <c r="D119" s="407"/>
      <c r="E119" s="404"/>
      <c r="F119" s="407">
        <f t="shared" si="2"/>
        <v>45</v>
      </c>
      <c r="G119" s="419">
        <f t="shared" si="3"/>
        <v>0</v>
      </c>
    </row>
    <row r="120" spans="1:7" x14ac:dyDescent="0.25">
      <c r="A120" s="408" t="s">
        <v>366</v>
      </c>
      <c r="B120" s="405">
        <v>0</v>
      </c>
      <c r="C120" s="406">
        <v>34497</v>
      </c>
      <c r="D120" s="407"/>
      <c r="E120" s="404"/>
      <c r="F120" s="407">
        <f t="shared" si="2"/>
        <v>0</v>
      </c>
      <c r="G120" s="419">
        <f t="shared" si="3"/>
        <v>34497</v>
      </c>
    </row>
    <row r="121" spans="1:7" x14ac:dyDescent="0.25">
      <c r="A121" s="408" t="s">
        <v>367</v>
      </c>
      <c r="B121" s="405">
        <v>82813.19</v>
      </c>
      <c r="C121" s="406"/>
      <c r="D121" s="407"/>
      <c r="E121" s="404"/>
      <c r="F121" s="407">
        <f t="shared" si="2"/>
        <v>82813.19</v>
      </c>
      <c r="G121" s="419">
        <f t="shared" si="3"/>
        <v>0</v>
      </c>
    </row>
    <row r="122" spans="1:7" x14ac:dyDescent="0.25">
      <c r="A122" s="408" t="s">
        <v>368</v>
      </c>
      <c r="B122" s="405">
        <v>196880.25</v>
      </c>
      <c r="C122" s="406"/>
      <c r="D122" s="407"/>
      <c r="E122" s="404"/>
      <c r="F122" s="407">
        <f t="shared" si="2"/>
        <v>196880.25</v>
      </c>
      <c r="G122" s="419">
        <f t="shared" si="3"/>
        <v>0</v>
      </c>
    </row>
    <row r="123" spans="1:7" x14ac:dyDescent="0.25">
      <c r="A123" s="408" t="s">
        <v>369</v>
      </c>
      <c r="B123" s="405">
        <v>2425909.33</v>
      </c>
      <c r="C123" s="406"/>
      <c r="D123" s="407"/>
      <c r="E123" s="404"/>
      <c r="F123" s="407">
        <f t="shared" si="2"/>
        <v>2425909.33</v>
      </c>
      <c r="G123" s="419">
        <f t="shared" si="3"/>
        <v>0</v>
      </c>
    </row>
    <row r="124" spans="1:7" x14ac:dyDescent="0.25">
      <c r="A124" s="408" t="s">
        <v>370</v>
      </c>
      <c r="B124" s="405">
        <v>13650</v>
      </c>
      <c r="C124" s="406"/>
      <c r="D124" s="407"/>
      <c r="E124" s="404"/>
      <c r="F124" s="407">
        <f t="shared" si="2"/>
        <v>13650</v>
      </c>
      <c r="G124" s="419">
        <f t="shared" si="3"/>
        <v>0</v>
      </c>
    </row>
    <row r="125" spans="1:7" x14ac:dyDescent="0.25">
      <c r="A125" s="408" t="s">
        <v>371</v>
      </c>
      <c r="B125" s="405">
        <v>3249002</v>
      </c>
      <c r="C125" s="406"/>
      <c r="D125" s="407"/>
      <c r="E125" s="404"/>
      <c r="F125" s="407">
        <f t="shared" si="2"/>
        <v>3249002</v>
      </c>
      <c r="G125" s="419">
        <f t="shared" si="3"/>
        <v>0</v>
      </c>
    </row>
    <row r="126" spans="1:7" x14ac:dyDescent="0.25">
      <c r="A126" s="408" t="s">
        <v>372</v>
      </c>
      <c r="B126" s="405">
        <v>0.93</v>
      </c>
      <c r="C126" s="406"/>
      <c r="D126" s="407"/>
      <c r="E126" s="404"/>
      <c r="F126" s="407">
        <f t="shared" si="2"/>
        <v>0.93</v>
      </c>
      <c r="G126" s="419">
        <f t="shared" si="3"/>
        <v>0</v>
      </c>
    </row>
    <row r="127" spans="1:7" x14ac:dyDescent="0.25">
      <c r="A127" s="408" t="s">
        <v>373</v>
      </c>
      <c r="B127" s="405">
        <v>247843212</v>
      </c>
      <c r="C127" s="406"/>
      <c r="D127" s="407"/>
      <c r="E127" s="404"/>
      <c r="F127" s="407">
        <f t="shared" si="2"/>
        <v>247843212</v>
      </c>
      <c r="G127" s="419">
        <f t="shared" si="3"/>
        <v>0</v>
      </c>
    </row>
    <row r="128" spans="1:7" x14ac:dyDescent="0.25">
      <c r="A128" s="408" t="s">
        <v>374</v>
      </c>
      <c r="B128" s="405">
        <v>39714</v>
      </c>
      <c r="C128" s="406"/>
      <c r="D128" s="407"/>
      <c r="E128" s="404"/>
      <c r="F128" s="407">
        <f t="shared" si="2"/>
        <v>39714</v>
      </c>
      <c r="G128" s="419">
        <f t="shared" si="3"/>
        <v>0</v>
      </c>
    </row>
    <row r="129" spans="1:7" x14ac:dyDescent="0.25">
      <c r="A129" s="408" t="s">
        <v>375</v>
      </c>
      <c r="B129" s="405">
        <v>537022</v>
      </c>
      <c r="C129" s="406"/>
      <c r="D129" s="407"/>
      <c r="E129" s="404"/>
      <c r="F129" s="407">
        <f t="shared" si="2"/>
        <v>537022</v>
      </c>
      <c r="G129" s="419">
        <f t="shared" si="3"/>
        <v>0</v>
      </c>
    </row>
    <row r="130" spans="1:7" x14ac:dyDescent="0.25">
      <c r="A130" s="408" t="s">
        <v>376</v>
      </c>
      <c r="B130" s="405">
        <v>105463.95</v>
      </c>
      <c r="C130" s="406"/>
      <c r="D130" s="407"/>
      <c r="E130" s="404"/>
      <c r="F130" s="407">
        <f t="shared" si="2"/>
        <v>105463.95</v>
      </c>
      <c r="G130" s="419">
        <f t="shared" si="3"/>
        <v>0</v>
      </c>
    </row>
    <row r="131" spans="1:7" x14ac:dyDescent="0.25">
      <c r="A131" s="408" t="s">
        <v>377</v>
      </c>
      <c r="B131" s="405">
        <v>940</v>
      </c>
      <c r="C131" s="406"/>
      <c r="D131" s="407"/>
      <c r="E131" s="404"/>
      <c r="F131" s="407">
        <f t="shared" si="2"/>
        <v>940</v>
      </c>
      <c r="G131" s="419">
        <f t="shared" si="3"/>
        <v>0</v>
      </c>
    </row>
    <row r="132" spans="1:7" x14ac:dyDescent="0.25">
      <c r="A132" s="408" t="s">
        <v>378</v>
      </c>
      <c r="B132" s="405">
        <v>27500</v>
      </c>
      <c r="C132" s="406"/>
      <c r="D132" s="407"/>
      <c r="E132" s="404"/>
      <c r="F132" s="407">
        <f t="shared" si="2"/>
        <v>27500</v>
      </c>
      <c r="G132" s="419">
        <f t="shared" si="3"/>
        <v>0</v>
      </c>
    </row>
    <row r="133" spans="1:7" x14ac:dyDescent="0.25">
      <c r="A133" s="408" t="s">
        <v>379</v>
      </c>
      <c r="B133" s="405">
        <v>37870</v>
      </c>
      <c r="C133" s="406"/>
      <c r="D133" s="407"/>
      <c r="E133" s="404"/>
      <c r="F133" s="407">
        <f t="shared" si="2"/>
        <v>37870</v>
      </c>
      <c r="G133" s="419">
        <f t="shared" si="3"/>
        <v>0</v>
      </c>
    </row>
    <row r="134" spans="1:7" x14ac:dyDescent="0.25">
      <c r="A134" s="408" t="s">
        <v>380</v>
      </c>
      <c r="B134" s="405">
        <v>540000</v>
      </c>
      <c r="C134" s="406"/>
      <c r="D134" s="407"/>
      <c r="E134" s="404"/>
      <c r="F134" s="407">
        <f t="shared" si="2"/>
        <v>540000</v>
      </c>
      <c r="G134" s="419">
        <f t="shared" si="3"/>
        <v>0</v>
      </c>
    </row>
    <row r="135" spans="1:7" x14ac:dyDescent="0.25">
      <c r="A135" s="408" t="s">
        <v>381</v>
      </c>
      <c r="B135" s="405">
        <v>1200</v>
      </c>
      <c r="C135" s="406"/>
      <c r="D135" s="407"/>
      <c r="E135" s="404"/>
      <c r="F135" s="407">
        <f t="shared" si="2"/>
        <v>1200</v>
      </c>
      <c r="G135" s="419">
        <f t="shared" si="3"/>
        <v>0</v>
      </c>
    </row>
    <row r="136" spans="1:7" x14ac:dyDescent="0.25">
      <c r="A136" s="408" t="s">
        <v>382</v>
      </c>
      <c r="B136" s="405">
        <v>23.05</v>
      </c>
      <c r="C136" s="406"/>
      <c r="D136" s="407"/>
      <c r="E136" s="404"/>
      <c r="F136" s="407">
        <f t="shared" si="2"/>
        <v>23.05</v>
      </c>
      <c r="G136" s="419">
        <f t="shared" si="3"/>
        <v>0</v>
      </c>
    </row>
    <row r="137" spans="1:7" x14ac:dyDescent="0.25">
      <c r="A137" s="408" t="s">
        <v>383</v>
      </c>
      <c r="B137" s="405">
        <v>635516</v>
      </c>
      <c r="C137" s="406"/>
      <c r="D137" s="407"/>
      <c r="E137" s="404"/>
      <c r="F137" s="407">
        <f t="shared" si="2"/>
        <v>635516</v>
      </c>
      <c r="G137" s="419">
        <f t="shared" si="3"/>
        <v>0</v>
      </c>
    </row>
    <row r="138" spans="1:7" x14ac:dyDescent="0.25">
      <c r="A138" s="408" t="s">
        <v>384</v>
      </c>
      <c r="B138" s="405">
        <v>21433.56</v>
      </c>
      <c r="C138" s="406"/>
      <c r="D138" s="407"/>
      <c r="E138" s="404"/>
      <c r="F138" s="407">
        <f t="shared" ref="F138:F143" si="4">+B138+D138</f>
        <v>21433.56</v>
      </c>
      <c r="G138" s="419">
        <f t="shared" ref="G138:G143" si="5">+C138+E138</f>
        <v>0</v>
      </c>
    </row>
    <row r="139" spans="1:7" x14ac:dyDescent="0.25">
      <c r="A139" s="408" t="s">
        <v>385</v>
      </c>
      <c r="B139" s="405">
        <v>25000</v>
      </c>
      <c r="C139" s="406"/>
      <c r="D139" s="407"/>
      <c r="E139" s="404"/>
      <c r="F139" s="407">
        <f t="shared" si="4"/>
        <v>25000</v>
      </c>
      <c r="G139" s="419">
        <f t="shared" si="5"/>
        <v>0</v>
      </c>
    </row>
    <row r="140" spans="1:7" x14ac:dyDescent="0.25">
      <c r="A140" s="408" t="s">
        <v>386</v>
      </c>
      <c r="B140" s="405">
        <v>6740</v>
      </c>
      <c r="C140" s="406"/>
      <c r="D140" s="407"/>
      <c r="E140" s="404"/>
      <c r="F140" s="407">
        <f t="shared" si="4"/>
        <v>6740</v>
      </c>
      <c r="G140" s="419">
        <f t="shared" si="5"/>
        <v>0</v>
      </c>
    </row>
    <row r="141" spans="1:7" x14ac:dyDescent="0.25">
      <c r="A141" s="408" t="s">
        <v>387</v>
      </c>
      <c r="B141" s="405">
        <v>180370</v>
      </c>
      <c r="C141" s="406"/>
      <c r="D141" s="407"/>
      <c r="E141" s="404"/>
      <c r="F141" s="407">
        <f t="shared" si="4"/>
        <v>180370</v>
      </c>
      <c r="G141" s="419">
        <f t="shared" si="5"/>
        <v>0</v>
      </c>
    </row>
    <row r="142" spans="1:7" x14ac:dyDescent="0.25">
      <c r="A142" s="408" t="s">
        <v>661</v>
      </c>
      <c r="B142" s="405"/>
      <c r="C142" s="406"/>
      <c r="D142" s="407">
        <f>'Ratios &amp; Deferred Tax'!E49</f>
        <v>101135.29770629987</v>
      </c>
      <c r="E142" s="468"/>
      <c r="F142" s="407">
        <f t="shared" si="4"/>
        <v>101135.29770629987</v>
      </c>
      <c r="G142" s="419">
        <f t="shared" si="5"/>
        <v>0</v>
      </c>
    </row>
    <row r="143" spans="1:7" x14ac:dyDescent="0.25">
      <c r="A143" s="409" t="s">
        <v>651</v>
      </c>
      <c r="B143" s="407"/>
      <c r="C143" s="404"/>
      <c r="D143" s="407"/>
      <c r="E143" s="407">
        <f>D152</f>
        <v>94883608.220000029</v>
      </c>
      <c r="F143" s="407">
        <f t="shared" si="4"/>
        <v>0</v>
      </c>
      <c r="G143" s="419">
        <f t="shared" si="5"/>
        <v>94883608.220000029</v>
      </c>
    </row>
    <row r="144" spans="1:7" s="402" customFormat="1" ht="16.5" thickBot="1" x14ac:dyDescent="0.3">
      <c r="A144" s="410" t="s">
        <v>158</v>
      </c>
      <c r="B144" s="416">
        <f t="shared" ref="B144:G144" si="6">SUM(B5:B143)</f>
        <v>304722235.83999997</v>
      </c>
      <c r="C144" s="417">
        <f t="shared" si="6"/>
        <v>304722235.84000003</v>
      </c>
      <c r="D144" s="416">
        <f t="shared" si="6"/>
        <v>95409935.357706338</v>
      </c>
      <c r="E144" s="417">
        <f t="shared" si="6"/>
        <v>95409935.357706323</v>
      </c>
      <c r="F144" s="416">
        <f t="shared" si="6"/>
        <v>400132171.19770634</v>
      </c>
      <c r="G144" s="417">
        <f t="shared" si="6"/>
        <v>400132171.19770628</v>
      </c>
    </row>
    <row r="145" spans="1:10" x14ac:dyDescent="0.25">
      <c r="C145" s="401">
        <f>+B144-C144</f>
        <v>0</v>
      </c>
      <c r="G145" s="401">
        <f>+F144-G144</f>
        <v>0</v>
      </c>
    </row>
    <row r="146" spans="1:10" x14ac:dyDescent="0.25">
      <c r="A146" s="286" t="s">
        <v>652</v>
      </c>
      <c r="E146" s="401">
        <v>9487093</v>
      </c>
    </row>
    <row r="147" spans="1:10" x14ac:dyDescent="0.25">
      <c r="A147" s="286" t="s">
        <v>521</v>
      </c>
      <c r="F147" s="401">
        <v>9091652.4800000004</v>
      </c>
    </row>
    <row r="148" spans="1:10" x14ac:dyDescent="0.25">
      <c r="G148" s="401">
        <f>E146-F147</f>
        <v>395440.51999999955</v>
      </c>
      <c r="I148" s="286">
        <v>461256</v>
      </c>
      <c r="J148" s="447">
        <f>G148-I148</f>
        <v>-65815.480000000447</v>
      </c>
    </row>
    <row r="150" spans="1:10" x14ac:dyDescent="0.25">
      <c r="A150" s="440" t="s">
        <v>0</v>
      </c>
      <c r="B150" s="441" t="s">
        <v>646</v>
      </c>
      <c r="C150" s="444" t="s">
        <v>647</v>
      </c>
      <c r="D150" s="443"/>
    </row>
    <row r="151" spans="1:10" x14ac:dyDescent="0.25">
      <c r="A151" s="439" t="s">
        <v>642</v>
      </c>
      <c r="B151" s="442">
        <f>C100</f>
        <v>214429150</v>
      </c>
      <c r="C151" s="442">
        <f>C100</f>
        <v>214429150</v>
      </c>
      <c r="D151" s="401" t="s">
        <v>648</v>
      </c>
    </row>
    <row r="152" spans="1:10" x14ac:dyDescent="0.25">
      <c r="A152" s="439" t="s">
        <v>643</v>
      </c>
      <c r="B152" s="442">
        <f>SUM(B104:B141)-SUM(C104:C141)-B118+SUM(D104:D141)-E117</f>
        <v>272859802.72000003</v>
      </c>
      <c r="C152" s="445">
        <f>C151-C153</f>
        <v>177976194.5</v>
      </c>
      <c r="D152" s="401">
        <f>B152-C152</f>
        <v>94883608.220000029</v>
      </c>
    </row>
    <row r="153" spans="1:10" x14ac:dyDescent="0.25">
      <c r="A153" s="439" t="s">
        <v>644</v>
      </c>
      <c r="B153" s="442">
        <f>B151-B152</f>
        <v>-58430652.720000029</v>
      </c>
      <c r="C153" s="445">
        <f>B151*17%</f>
        <v>36452955.5</v>
      </c>
    </row>
    <row r="154" spans="1:10" x14ac:dyDescent="0.25">
      <c r="A154" s="439" t="s">
        <v>558</v>
      </c>
      <c r="B154" s="442">
        <f>B118</f>
        <v>9240294.8399999999</v>
      </c>
      <c r="C154" s="445">
        <f>C153*25.168%</f>
        <v>9174479.8402399998</v>
      </c>
    </row>
    <row r="155" spans="1:10" x14ac:dyDescent="0.25">
      <c r="A155" s="439" t="s">
        <v>645</v>
      </c>
      <c r="B155" s="442">
        <f>B153-B154</f>
        <v>-67670947.560000032</v>
      </c>
      <c r="C155" s="442">
        <f>C153-C154</f>
        <v>27278475.659759998</v>
      </c>
    </row>
    <row r="156" spans="1:10" x14ac:dyDescent="0.25">
      <c r="C156" s="401">
        <f>B152-C152</f>
        <v>94883608.220000029</v>
      </c>
    </row>
    <row r="161" spans="1:5" x14ac:dyDescent="0.25">
      <c r="A161" s="286" t="s">
        <v>538</v>
      </c>
      <c r="E161" s="401">
        <v>735000</v>
      </c>
    </row>
    <row r="162" spans="1:5" x14ac:dyDescent="0.25">
      <c r="A162" s="286" t="s">
        <v>666</v>
      </c>
      <c r="B162" s="401">
        <v>86771</v>
      </c>
      <c r="E162" s="401">
        <f>E161*3</f>
        <v>2205000</v>
      </c>
    </row>
    <row r="163" spans="1:5" x14ac:dyDescent="0.25">
      <c r="A163" s="286" t="s">
        <v>665</v>
      </c>
      <c r="B163" s="401">
        <v>6681790</v>
      </c>
    </row>
    <row r="164" spans="1:5" x14ac:dyDescent="0.25">
      <c r="A164" s="402" t="s">
        <v>670</v>
      </c>
      <c r="B164" s="443">
        <f>SUM(B162:B163)</f>
        <v>6768561</v>
      </c>
    </row>
    <row r="165" spans="1:5" x14ac:dyDescent="0.25">
      <c r="A165" s="286" t="s">
        <v>667</v>
      </c>
      <c r="B165" s="401">
        <v>6925110</v>
      </c>
    </row>
    <row r="166" spans="1:5" x14ac:dyDescent="0.25">
      <c r="A166" s="286" t="s">
        <v>669</v>
      </c>
      <c r="B166" s="401">
        <f>B165-B164</f>
        <v>156549</v>
      </c>
    </row>
  </sheetData>
  <mergeCells count="5">
    <mergeCell ref="A1:C1"/>
    <mergeCell ref="B2:C2"/>
    <mergeCell ref="D2:E2"/>
    <mergeCell ref="F2:G2"/>
    <mergeCell ref="A2:A3"/>
  </mergeCells>
  <printOptions horizontalCentered="1"/>
  <pageMargins left="0.27559055118110237" right="0.27559055118110237" top="0.74803149606299213" bottom="0.74803149606299213" header="0.31496062992125984" footer="0.31496062992125984"/>
  <pageSetup paperSize="9" scale="52" fitToHeight="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A9DC-B0A6-4709-9491-ABA39406B37A}">
  <dimension ref="A1:J169"/>
  <sheetViews>
    <sheetView topLeftCell="A31" workbookViewId="0">
      <selection activeCell="A5" sqref="A5:A16"/>
    </sheetView>
  </sheetViews>
  <sheetFormatPr defaultColWidth="9.140625" defaultRowHeight="15" x14ac:dyDescent="0.25"/>
  <cols>
    <col min="1" max="1" width="60.42578125" style="286" bestFit="1" customWidth="1"/>
    <col min="2" max="3" width="16.85546875" style="401" bestFit="1" customWidth="1"/>
    <col min="4" max="4" width="15" style="401" bestFit="1" customWidth="1"/>
    <col min="5" max="5" width="14.7109375" style="401" bestFit="1" customWidth="1"/>
    <col min="6" max="7" width="16.85546875" style="401" bestFit="1" customWidth="1"/>
    <col min="8" max="8" width="9.140625" style="286"/>
    <col min="9" max="9" width="12.28515625" style="286" bestFit="1" customWidth="1"/>
    <col min="10" max="10" width="10.7109375" style="286" bestFit="1" customWidth="1"/>
    <col min="11" max="16384" width="9.140625" style="286"/>
  </cols>
  <sheetData>
    <row r="1" spans="1:7" ht="15.75" thickBot="1" x14ac:dyDescent="0.3">
      <c r="A1" s="986" t="s">
        <v>388</v>
      </c>
      <c r="B1" s="987"/>
      <c r="C1" s="987"/>
    </row>
    <row r="2" spans="1:7" s="403" customFormat="1" x14ac:dyDescent="0.25">
      <c r="A2" s="990" t="s">
        <v>263</v>
      </c>
      <c r="B2" s="988" t="s">
        <v>562</v>
      </c>
      <c r="C2" s="989"/>
      <c r="D2" s="988" t="s">
        <v>563</v>
      </c>
      <c r="E2" s="989"/>
      <c r="F2" s="988" t="s">
        <v>564</v>
      </c>
      <c r="G2" s="989"/>
    </row>
    <row r="3" spans="1:7" s="403" customFormat="1" ht="15.75" thickBot="1" x14ac:dyDescent="0.3">
      <c r="A3" s="991"/>
      <c r="B3" s="414" t="s">
        <v>169</v>
      </c>
      <c r="C3" s="415" t="s">
        <v>170</v>
      </c>
      <c r="D3" s="414" t="s">
        <v>169</v>
      </c>
      <c r="E3" s="415" t="s">
        <v>170</v>
      </c>
      <c r="F3" s="414" t="s">
        <v>169</v>
      </c>
      <c r="G3" s="415" t="s">
        <v>170</v>
      </c>
    </row>
    <row r="4" spans="1:7" x14ac:dyDescent="0.25">
      <c r="A4" s="411" t="s">
        <v>14</v>
      </c>
      <c r="B4" s="412" t="s">
        <v>172</v>
      </c>
      <c r="C4" s="413"/>
      <c r="D4" s="418"/>
      <c r="E4" s="413"/>
      <c r="F4" s="418"/>
      <c r="G4" s="413"/>
    </row>
    <row r="5" spans="1:7" x14ac:dyDescent="0.25">
      <c r="A5" s="620" t="s">
        <v>753</v>
      </c>
      <c r="B5" s="412"/>
      <c r="C5" s="413"/>
      <c r="D5" s="418"/>
      <c r="E5" s="413"/>
      <c r="F5" s="418"/>
      <c r="G5" s="413"/>
    </row>
    <row r="6" spans="1:7" x14ac:dyDescent="0.25">
      <c r="A6" s="408" t="s">
        <v>264</v>
      </c>
      <c r="B6" s="405">
        <v>1750</v>
      </c>
      <c r="C6" s="406"/>
      <c r="D6" s="407"/>
      <c r="E6" s="404"/>
      <c r="F6" s="407">
        <f>+B6+D6</f>
        <v>1750</v>
      </c>
      <c r="G6" s="419">
        <f>+C6+E6</f>
        <v>0</v>
      </c>
    </row>
    <row r="7" spans="1:7" x14ac:dyDescent="0.25">
      <c r="A7" s="408" t="s">
        <v>265</v>
      </c>
      <c r="B7" s="405">
        <v>3229</v>
      </c>
      <c r="C7" s="406"/>
      <c r="D7" s="407"/>
      <c r="E7" s="404"/>
      <c r="F7" s="407">
        <f t="shared" ref="F7:G72" si="0">+B7+D7</f>
        <v>3229</v>
      </c>
      <c r="G7" s="419">
        <f t="shared" si="0"/>
        <v>0</v>
      </c>
    </row>
    <row r="8" spans="1:7" x14ac:dyDescent="0.25">
      <c r="A8" s="408" t="s">
        <v>266</v>
      </c>
      <c r="B8" s="405">
        <v>15934</v>
      </c>
      <c r="C8" s="406"/>
      <c r="D8" s="407"/>
      <c r="E8" s="404"/>
      <c r="F8" s="407">
        <f t="shared" si="0"/>
        <v>15934</v>
      </c>
      <c r="G8" s="419">
        <f t="shared" si="0"/>
        <v>0</v>
      </c>
    </row>
    <row r="9" spans="1:7" x14ac:dyDescent="0.25">
      <c r="A9" s="408" t="s">
        <v>267</v>
      </c>
      <c r="B9" s="405">
        <v>17044</v>
      </c>
      <c r="C9" s="406"/>
      <c r="D9" s="407"/>
      <c r="E9" s="404"/>
      <c r="F9" s="407">
        <f t="shared" si="0"/>
        <v>17044</v>
      </c>
      <c r="G9" s="419">
        <f t="shared" si="0"/>
        <v>0</v>
      </c>
    </row>
    <row r="10" spans="1:7" x14ac:dyDescent="0.25">
      <c r="A10" s="408" t="s">
        <v>268</v>
      </c>
      <c r="B10" s="405">
        <v>3408</v>
      </c>
      <c r="C10" s="406"/>
      <c r="D10" s="407"/>
      <c r="E10" s="404"/>
      <c r="F10" s="407">
        <f t="shared" si="0"/>
        <v>3408</v>
      </c>
      <c r="G10" s="419">
        <f t="shared" si="0"/>
        <v>0</v>
      </c>
    </row>
    <row r="11" spans="1:7" x14ac:dyDescent="0.25">
      <c r="A11" s="620" t="s">
        <v>754</v>
      </c>
      <c r="B11" s="405"/>
      <c r="C11" s="406"/>
      <c r="D11" s="407"/>
      <c r="E11" s="404"/>
      <c r="F11" s="407"/>
      <c r="G11" s="419"/>
    </row>
    <row r="12" spans="1:7" x14ac:dyDescent="0.25">
      <c r="A12" s="620" t="s">
        <v>755</v>
      </c>
      <c r="B12" s="405"/>
      <c r="C12" s="406"/>
      <c r="D12" s="407"/>
      <c r="E12" s="404"/>
      <c r="F12" s="407"/>
      <c r="G12" s="419"/>
    </row>
    <row r="13" spans="1:7" x14ac:dyDescent="0.25">
      <c r="A13" s="408" t="s">
        <v>269</v>
      </c>
      <c r="B13" s="405">
        <v>1</v>
      </c>
      <c r="C13" s="406"/>
      <c r="D13" s="407"/>
      <c r="E13" s="404"/>
      <c r="F13" s="407">
        <f t="shared" si="0"/>
        <v>1</v>
      </c>
      <c r="G13" s="419">
        <f t="shared" si="0"/>
        <v>0</v>
      </c>
    </row>
    <row r="14" spans="1:7" x14ac:dyDescent="0.25">
      <c r="A14" s="408" t="s">
        <v>270</v>
      </c>
      <c r="B14" s="405">
        <v>828</v>
      </c>
      <c r="C14" s="406"/>
      <c r="D14" s="407"/>
      <c r="E14" s="404"/>
      <c r="F14" s="407">
        <f t="shared" si="0"/>
        <v>828</v>
      </c>
      <c r="G14" s="419">
        <f t="shared" si="0"/>
        <v>0</v>
      </c>
    </row>
    <row r="15" spans="1:7" x14ac:dyDescent="0.25">
      <c r="A15" s="408" t="s">
        <v>271</v>
      </c>
      <c r="B15" s="405">
        <v>1</v>
      </c>
      <c r="C15" s="406"/>
      <c r="D15" s="407"/>
      <c r="E15" s="404"/>
      <c r="F15" s="407">
        <f t="shared" si="0"/>
        <v>1</v>
      </c>
      <c r="G15" s="419">
        <f t="shared" si="0"/>
        <v>0</v>
      </c>
    </row>
    <row r="16" spans="1:7" x14ac:dyDescent="0.25">
      <c r="A16" s="408" t="s">
        <v>272</v>
      </c>
      <c r="B16" s="405">
        <v>1</v>
      </c>
      <c r="C16" s="406"/>
      <c r="D16" s="407"/>
      <c r="E16" s="404"/>
      <c r="F16" s="407">
        <f t="shared" si="0"/>
        <v>1</v>
      </c>
      <c r="G16" s="419">
        <f t="shared" si="0"/>
        <v>0</v>
      </c>
    </row>
    <row r="17" spans="1:7" x14ac:dyDescent="0.25">
      <c r="A17" s="408" t="s">
        <v>273</v>
      </c>
      <c r="B17" s="405">
        <v>216685.04</v>
      </c>
      <c r="C17" s="406"/>
      <c r="D17" s="407"/>
      <c r="E17" s="404"/>
      <c r="F17" s="407">
        <f t="shared" si="0"/>
        <v>216685.04</v>
      </c>
      <c r="G17" s="419">
        <f t="shared" si="0"/>
        <v>0</v>
      </c>
    </row>
    <row r="18" spans="1:7" x14ac:dyDescent="0.25">
      <c r="A18" s="408" t="s">
        <v>274</v>
      </c>
      <c r="B18" s="405">
        <v>8789995.1799999997</v>
      </c>
      <c r="C18" s="406"/>
      <c r="D18" s="407"/>
      <c r="E18" s="404"/>
      <c r="F18" s="407">
        <f t="shared" si="0"/>
        <v>8789995.1799999997</v>
      </c>
      <c r="G18" s="419">
        <f t="shared" si="0"/>
        <v>0</v>
      </c>
    </row>
    <row r="19" spans="1:7" x14ac:dyDescent="0.25">
      <c r="A19" s="408" t="s">
        <v>275</v>
      </c>
      <c r="B19" s="405">
        <v>0</v>
      </c>
      <c r="C19" s="406"/>
      <c r="D19" s="407">
        <f>D155</f>
        <v>126467119.40000001</v>
      </c>
      <c r="E19" s="404"/>
      <c r="F19" s="407">
        <f t="shared" si="0"/>
        <v>126467119.40000001</v>
      </c>
      <c r="G19" s="419">
        <f t="shared" si="0"/>
        <v>0</v>
      </c>
    </row>
    <row r="20" spans="1:7" x14ac:dyDescent="0.25">
      <c r="A20" s="408" t="s">
        <v>276</v>
      </c>
      <c r="B20" s="405">
        <v>574498</v>
      </c>
      <c r="C20" s="406"/>
      <c r="D20" s="407"/>
      <c r="E20" s="404">
        <f>'Ratios &amp; Deferred Tax'!E49</f>
        <v>101135.29770629987</v>
      </c>
      <c r="F20" s="407">
        <f t="shared" si="0"/>
        <v>574498</v>
      </c>
      <c r="G20" s="419">
        <f t="shared" si="0"/>
        <v>101135.29770629987</v>
      </c>
    </row>
    <row r="21" spans="1:7" x14ac:dyDescent="0.25">
      <c r="A21" s="408" t="s">
        <v>277</v>
      </c>
      <c r="B21" s="405">
        <v>85889.600000000006</v>
      </c>
      <c r="C21" s="406"/>
      <c r="D21" s="407"/>
      <c r="E21" s="404"/>
      <c r="F21" s="407">
        <f t="shared" si="0"/>
        <v>85889.600000000006</v>
      </c>
      <c r="G21" s="419">
        <f t="shared" si="0"/>
        <v>0</v>
      </c>
    </row>
    <row r="22" spans="1:7" x14ac:dyDescent="0.25">
      <c r="A22" s="408" t="s">
        <v>278</v>
      </c>
      <c r="B22" s="405">
        <v>150950.42000000001</v>
      </c>
      <c r="C22" s="406"/>
      <c r="D22" s="407"/>
      <c r="E22" s="404"/>
      <c r="F22" s="407">
        <f t="shared" si="0"/>
        <v>150950.42000000001</v>
      </c>
      <c r="G22" s="419">
        <f t="shared" si="0"/>
        <v>0</v>
      </c>
    </row>
    <row r="23" spans="1:7" x14ac:dyDescent="0.25">
      <c r="A23" s="408" t="s">
        <v>279</v>
      </c>
      <c r="B23" s="405">
        <v>341019</v>
      </c>
      <c r="C23" s="406"/>
      <c r="D23" s="407"/>
      <c r="E23" s="404"/>
      <c r="F23" s="407">
        <f t="shared" si="0"/>
        <v>341019</v>
      </c>
      <c r="G23" s="419">
        <f t="shared" si="0"/>
        <v>0</v>
      </c>
    </row>
    <row r="24" spans="1:7" x14ac:dyDescent="0.25">
      <c r="A24" s="408" t="s">
        <v>280</v>
      </c>
      <c r="B24" s="405">
        <v>1</v>
      </c>
      <c r="C24" s="406"/>
      <c r="D24" s="407"/>
      <c r="E24" s="404"/>
      <c r="F24" s="407">
        <f t="shared" si="0"/>
        <v>1</v>
      </c>
      <c r="G24" s="419">
        <f t="shared" si="0"/>
        <v>0</v>
      </c>
    </row>
    <row r="25" spans="1:7" x14ac:dyDescent="0.25">
      <c r="A25" s="408" t="s">
        <v>281</v>
      </c>
      <c r="B25" s="405">
        <v>9620</v>
      </c>
      <c r="C25" s="406"/>
      <c r="D25" s="407"/>
      <c r="E25" s="404"/>
      <c r="F25" s="407">
        <f t="shared" si="0"/>
        <v>9620</v>
      </c>
      <c r="G25" s="419">
        <f t="shared" si="0"/>
        <v>0</v>
      </c>
    </row>
    <row r="26" spans="1:7" x14ac:dyDescent="0.25">
      <c r="A26" s="408" t="s">
        <v>282</v>
      </c>
      <c r="B26" s="405">
        <v>1</v>
      </c>
      <c r="C26" s="406"/>
      <c r="D26" s="407"/>
      <c r="E26" s="404"/>
      <c r="F26" s="407">
        <f t="shared" si="0"/>
        <v>1</v>
      </c>
      <c r="G26" s="419">
        <f t="shared" si="0"/>
        <v>0</v>
      </c>
    </row>
    <row r="27" spans="1:7" x14ac:dyDescent="0.25">
      <c r="A27" s="408" t="s">
        <v>283</v>
      </c>
      <c r="B27" s="405">
        <v>3457</v>
      </c>
      <c r="C27" s="406"/>
      <c r="D27" s="407"/>
      <c r="E27" s="404"/>
      <c r="F27" s="407">
        <f t="shared" si="0"/>
        <v>3457</v>
      </c>
      <c r="G27" s="419">
        <f t="shared" si="0"/>
        <v>0</v>
      </c>
    </row>
    <row r="28" spans="1:7" x14ac:dyDescent="0.25">
      <c r="A28" s="408" t="s">
        <v>284</v>
      </c>
      <c r="B28" s="405">
        <v>6512</v>
      </c>
      <c r="C28" s="406"/>
      <c r="D28" s="407"/>
      <c r="E28" s="404"/>
      <c r="F28" s="407">
        <f t="shared" si="0"/>
        <v>6512</v>
      </c>
      <c r="G28" s="419">
        <f t="shared" si="0"/>
        <v>0</v>
      </c>
    </row>
    <row r="29" spans="1:7" x14ac:dyDescent="0.25">
      <c r="A29" s="408" t="s">
        <v>285</v>
      </c>
      <c r="B29" s="405">
        <v>710</v>
      </c>
      <c r="C29" s="406"/>
      <c r="D29" s="407"/>
      <c r="E29" s="404"/>
      <c r="F29" s="407">
        <f t="shared" si="0"/>
        <v>710</v>
      </c>
      <c r="G29" s="419">
        <f t="shared" si="0"/>
        <v>0</v>
      </c>
    </row>
    <row r="30" spans="1:7" x14ac:dyDescent="0.25">
      <c r="A30" s="408" t="s">
        <v>286</v>
      </c>
      <c r="B30" s="405">
        <v>0</v>
      </c>
      <c r="C30" s="406"/>
      <c r="D30" s="407"/>
      <c r="E30" s="404"/>
      <c r="F30" s="407"/>
      <c r="G30" s="419"/>
    </row>
    <row r="31" spans="1:7" x14ac:dyDescent="0.25">
      <c r="A31" s="408" t="s">
        <v>287</v>
      </c>
      <c r="B31" s="405">
        <v>2638601.21</v>
      </c>
      <c r="C31" s="406"/>
      <c r="D31" s="407"/>
      <c r="E31" s="404"/>
      <c r="F31" s="407">
        <f t="shared" si="0"/>
        <v>2638601.21</v>
      </c>
      <c r="G31" s="419">
        <f t="shared" si="0"/>
        <v>0</v>
      </c>
    </row>
    <row r="32" spans="1:7" x14ac:dyDescent="0.25">
      <c r="A32" s="408" t="s">
        <v>288</v>
      </c>
      <c r="B32" s="405">
        <v>790911.78</v>
      </c>
      <c r="C32" s="406"/>
      <c r="D32" s="407"/>
      <c r="E32" s="404"/>
      <c r="F32" s="407">
        <f t="shared" si="0"/>
        <v>790911.78</v>
      </c>
      <c r="G32" s="419">
        <f t="shared" si="0"/>
        <v>0</v>
      </c>
    </row>
    <row r="33" spans="1:7" x14ac:dyDescent="0.25">
      <c r="A33" s="408" t="s">
        <v>289</v>
      </c>
      <c r="B33" s="405">
        <v>2568328.21</v>
      </c>
      <c r="C33" s="406"/>
      <c r="D33" s="407"/>
      <c r="E33" s="404"/>
      <c r="F33" s="407">
        <f t="shared" si="0"/>
        <v>2568328.21</v>
      </c>
      <c r="G33" s="419">
        <f t="shared" si="0"/>
        <v>0</v>
      </c>
    </row>
    <row r="34" spans="1:7" x14ac:dyDescent="0.25">
      <c r="A34" s="408" t="s">
        <v>290</v>
      </c>
      <c r="B34" s="405">
        <v>11235</v>
      </c>
      <c r="C34" s="406"/>
      <c r="D34" s="407"/>
      <c r="E34" s="404"/>
      <c r="F34" s="407">
        <f t="shared" si="0"/>
        <v>11235</v>
      </c>
      <c r="G34" s="419">
        <f t="shared" si="0"/>
        <v>0</v>
      </c>
    </row>
    <row r="35" spans="1:7" x14ac:dyDescent="0.25">
      <c r="A35" s="408" t="s">
        <v>291</v>
      </c>
      <c r="B35" s="405">
        <v>1457611.78</v>
      </c>
      <c r="C35" s="406"/>
      <c r="D35" s="407"/>
      <c r="E35" s="404"/>
      <c r="F35" s="407">
        <f t="shared" si="0"/>
        <v>1457611.78</v>
      </c>
      <c r="G35" s="419">
        <f t="shared" si="0"/>
        <v>0</v>
      </c>
    </row>
    <row r="36" spans="1:7" x14ac:dyDescent="0.25">
      <c r="A36" s="408" t="s">
        <v>292</v>
      </c>
      <c r="B36" s="405">
        <v>662127.46</v>
      </c>
      <c r="C36" s="406"/>
      <c r="D36" s="407"/>
      <c r="E36" s="404"/>
      <c r="F36" s="407">
        <f t="shared" si="0"/>
        <v>662127.46</v>
      </c>
      <c r="G36" s="419">
        <f t="shared" si="0"/>
        <v>0</v>
      </c>
    </row>
    <row r="37" spans="1:7" x14ac:dyDescent="0.25">
      <c r="A37" s="408" t="s">
        <v>293</v>
      </c>
      <c r="B37" s="405">
        <v>1</v>
      </c>
      <c r="C37" s="406"/>
      <c r="D37" s="407"/>
      <c r="E37" s="404"/>
      <c r="F37" s="407">
        <f t="shared" si="0"/>
        <v>1</v>
      </c>
      <c r="G37" s="419">
        <f t="shared" si="0"/>
        <v>0</v>
      </c>
    </row>
    <row r="38" spans="1:7" x14ac:dyDescent="0.25">
      <c r="A38" s="408" t="s">
        <v>294</v>
      </c>
      <c r="B38" s="405">
        <v>18950</v>
      </c>
      <c r="C38" s="406"/>
      <c r="D38" s="407"/>
      <c r="E38" s="404"/>
      <c r="F38" s="407">
        <f t="shared" si="0"/>
        <v>18950</v>
      </c>
      <c r="G38" s="419">
        <f t="shared" si="0"/>
        <v>0</v>
      </c>
    </row>
    <row r="39" spans="1:7" x14ac:dyDescent="0.25">
      <c r="A39" s="408" t="s">
        <v>295</v>
      </c>
      <c r="B39" s="405">
        <v>1</v>
      </c>
      <c r="C39" s="406"/>
      <c r="D39" s="407"/>
      <c r="E39" s="404"/>
      <c r="F39" s="407">
        <f t="shared" si="0"/>
        <v>1</v>
      </c>
      <c r="G39" s="419">
        <f t="shared" si="0"/>
        <v>0</v>
      </c>
    </row>
    <row r="40" spans="1:7" x14ac:dyDescent="0.25">
      <c r="A40" s="408" t="s">
        <v>296</v>
      </c>
      <c r="B40" s="405">
        <v>1</v>
      </c>
      <c r="C40" s="406"/>
      <c r="D40" s="407"/>
      <c r="E40" s="404"/>
      <c r="F40" s="407">
        <f t="shared" si="0"/>
        <v>1</v>
      </c>
      <c r="G40" s="419">
        <f t="shared" si="0"/>
        <v>0</v>
      </c>
    </row>
    <row r="41" spans="1:7" x14ac:dyDescent="0.25">
      <c r="A41" s="408" t="s">
        <v>297</v>
      </c>
      <c r="B41" s="405">
        <v>1</v>
      </c>
      <c r="C41" s="406"/>
      <c r="D41" s="407"/>
      <c r="E41" s="404"/>
      <c r="F41" s="407">
        <f t="shared" si="0"/>
        <v>1</v>
      </c>
      <c r="G41" s="419">
        <f t="shared" si="0"/>
        <v>0</v>
      </c>
    </row>
    <row r="42" spans="1:7" x14ac:dyDescent="0.25">
      <c r="A42" s="408" t="s">
        <v>298</v>
      </c>
      <c r="B42" s="405">
        <v>1</v>
      </c>
      <c r="C42" s="406"/>
      <c r="D42" s="407"/>
      <c r="E42" s="404"/>
      <c r="F42" s="407">
        <f t="shared" si="0"/>
        <v>1</v>
      </c>
      <c r="G42" s="419">
        <f t="shared" si="0"/>
        <v>0</v>
      </c>
    </row>
    <row r="43" spans="1:7" x14ac:dyDescent="0.25">
      <c r="A43" s="408" t="s">
        <v>299</v>
      </c>
      <c r="B43" s="405">
        <v>1</v>
      </c>
      <c r="C43" s="406"/>
      <c r="D43" s="407"/>
      <c r="E43" s="404"/>
      <c r="F43" s="407">
        <f t="shared" si="0"/>
        <v>1</v>
      </c>
      <c r="G43" s="419">
        <f t="shared" si="0"/>
        <v>0</v>
      </c>
    </row>
    <row r="44" spans="1:7" x14ac:dyDescent="0.25">
      <c r="A44" s="408" t="s">
        <v>300</v>
      </c>
      <c r="B44" s="405">
        <v>1</v>
      </c>
      <c r="C44" s="406"/>
      <c r="D44" s="407"/>
      <c r="E44" s="404"/>
      <c r="F44" s="407">
        <f t="shared" si="0"/>
        <v>1</v>
      </c>
      <c r="G44" s="419">
        <f t="shared" si="0"/>
        <v>0</v>
      </c>
    </row>
    <row r="45" spans="1:7" x14ac:dyDescent="0.25">
      <c r="A45" s="408" t="s">
        <v>301</v>
      </c>
      <c r="B45" s="405">
        <v>1</v>
      </c>
      <c r="C45" s="406"/>
      <c r="D45" s="407"/>
      <c r="E45" s="404"/>
      <c r="F45" s="407">
        <f t="shared" si="0"/>
        <v>1</v>
      </c>
      <c r="G45" s="419">
        <f t="shared" si="0"/>
        <v>0</v>
      </c>
    </row>
    <row r="46" spans="1:7" x14ac:dyDescent="0.25">
      <c r="A46" s="408" t="s">
        <v>302</v>
      </c>
      <c r="B46" s="405">
        <v>1</v>
      </c>
      <c r="C46" s="406"/>
      <c r="D46" s="407"/>
      <c r="E46" s="404"/>
      <c r="F46" s="407">
        <f t="shared" si="0"/>
        <v>1</v>
      </c>
      <c r="G46" s="419">
        <f t="shared" si="0"/>
        <v>0</v>
      </c>
    </row>
    <row r="47" spans="1:7" x14ac:dyDescent="0.25">
      <c r="A47" s="408" t="s">
        <v>303</v>
      </c>
      <c r="B47" s="405">
        <v>27000</v>
      </c>
      <c r="C47" s="406"/>
      <c r="D47" s="407"/>
      <c r="E47" s="404"/>
      <c r="F47" s="407">
        <f t="shared" si="0"/>
        <v>27000</v>
      </c>
      <c r="G47" s="419">
        <f t="shared" si="0"/>
        <v>0</v>
      </c>
    </row>
    <row r="48" spans="1:7" x14ac:dyDescent="0.25">
      <c r="A48" s="408" t="s">
        <v>304</v>
      </c>
      <c r="B48" s="405">
        <v>84941</v>
      </c>
      <c r="C48" s="406"/>
      <c r="D48" s="407"/>
      <c r="E48" s="404"/>
      <c r="F48" s="407">
        <f t="shared" si="0"/>
        <v>84941</v>
      </c>
      <c r="G48" s="419">
        <f t="shared" si="0"/>
        <v>0</v>
      </c>
    </row>
    <row r="49" spans="1:7" x14ac:dyDescent="0.25">
      <c r="A49" s="408" t="s">
        <v>305</v>
      </c>
      <c r="B49" s="405">
        <v>1</v>
      </c>
      <c r="C49" s="406"/>
      <c r="D49" s="407"/>
      <c r="E49" s="404"/>
      <c r="F49" s="407">
        <f t="shared" si="0"/>
        <v>1</v>
      </c>
      <c r="G49" s="419">
        <f t="shared" si="0"/>
        <v>0</v>
      </c>
    </row>
    <row r="50" spans="1:7" x14ac:dyDescent="0.25">
      <c r="A50" s="408" t="s">
        <v>306</v>
      </c>
      <c r="B50" s="405">
        <v>1</v>
      </c>
      <c r="C50" s="406"/>
      <c r="D50" s="407"/>
      <c r="E50" s="404"/>
      <c r="F50" s="407">
        <f t="shared" si="0"/>
        <v>1</v>
      </c>
      <c r="G50" s="419">
        <f t="shared" si="0"/>
        <v>0</v>
      </c>
    </row>
    <row r="51" spans="1:7" x14ac:dyDescent="0.25">
      <c r="A51" s="408" t="s">
        <v>307</v>
      </c>
      <c r="B51" s="405">
        <v>1</v>
      </c>
      <c r="C51" s="406"/>
      <c r="D51" s="407"/>
      <c r="E51" s="404"/>
      <c r="F51" s="407">
        <f t="shared" si="0"/>
        <v>1</v>
      </c>
      <c r="G51" s="419">
        <f t="shared" si="0"/>
        <v>0</v>
      </c>
    </row>
    <row r="52" spans="1:7" x14ac:dyDescent="0.25">
      <c r="A52" s="408" t="s">
        <v>308</v>
      </c>
      <c r="B52" s="405">
        <v>1</v>
      </c>
      <c r="C52" s="406"/>
      <c r="D52" s="407"/>
      <c r="E52" s="404"/>
      <c r="F52" s="407">
        <f t="shared" si="0"/>
        <v>1</v>
      </c>
      <c r="G52" s="419">
        <f t="shared" si="0"/>
        <v>0</v>
      </c>
    </row>
    <row r="53" spans="1:7" x14ac:dyDescent="0.25">
      <c r="A53" s="408" t="s">
        <v>309</v>
      </c>
      <c r="B53" s="405">
        <v>1</v>
      </c>
      <c r="C53" s="406"/>
      <c r="D53" s="407"/>
      <c r="E53" s="404"/>
      <c r="F53" s="407">
        <f t="shared" si="0"/>
        <v>1</v>
      </c>
      <c r="G53" s="419">
        <f t="shared" si="0"/>
        <v>0</v>
      </c>
    </row>
    <row r="54" spans="1:7" x14ac:dyDescent="0.25">
      <c r="A54" s="408" t="s">
        <v>310</v>
      </c>
      <c r="B54" s="405">
        <v>1</v>
      </c>
      <c r="C54" s="406"/>
      <c r="D54" s="407"/>
      <c r="E54" s="404"/>
      <c r="F54" s="407">
        <f t="shared" si="0"/>
        <v>1</v>
      </c>
      <c r="G54" s="419">
        <f t="shared" si="0"/>
        <v>0</v>
      </c>
    </row>
    <row r="55" spans="1:7" x14ac:dyDescent="0.25">
      <c r="A55" s="408" t="s">
        <v>311</v>
      </c>
      <c r="B55" s="405">
        <v>1</v>
      </c>
      <c r="C55" s="406"/>
      <c r="D55" s="407"/>
      <c r="E55" s="404"/>
      <c r="F55" s="407">
        <f t="shared" si="0"/>
        <v>1</v>
      </c>
      <c r="G55" s="419">
        <f t="shared" si="0"/>
        <v>0</v>
      </c>
    </row>
    <row r="56" spans="1:7" x14ac:dyDescent="0.25">
      <c r="A56" s="408" t="s">
        <v>312</v>
      </c>
      <c r="B56" s="405">
        <v>1</v>
      </c>
      <c r="C56" s="406"/>
      <c r="D56" s="407"/>
      <c r="E56" s="404"/>
      <c r="F56" s="407">
        <f t="shared" si="0"/>
        <v>1</v>
      </c>
      <c r="G56" s="419">
        <f t="shared" si="0"/>
        <v>0</v>
      </c>
    </row>
    <row r="57" spans="1:7" x14ac:dyDescent="0.25">
      <c r="A57" s="408" t="s">
        <v>313</v>
      </c>
      <c r="B57" s="405">
        <v>3375</v>
      </c>
      <c r="C57" s="406"/>
      <c r="D57" s="407"/>
      <c r="E57" s="404"/>
      <c r="F57" s="407">
        <f t="shared" si="0"/>
        <v>3375</v>
      </c>
      <c r="G57" s="419">
        <f t="shared" si="0"/>
        <v>0</v>
      </c>
    </row>
    <row r="58" spans="1:7" x14ac:dyDescent="0.25">
      <c r="A58" s="408" t="s">
        <v>314</v>
      </c>
      <c r="B58" s="405">
        <v>1</v>
      </c>
      <c r="C58" s="406"/>
      <c r="D58" s="407"/>
      <c r="E58" s="404"/>
      <c r="F58" s="407">
        <f t="shared" si="0"/>
        <v>1</v>
      </c>
      <c r="G58" s="419">
        <f t="shared" si="0"/>
        <v>0</v>
      </c>
    </row>
    <row r="59" spans="1:7" x14ac:dyDescent="0.25">
      <c r="A59" s="408" t="s">
        <v>315</v>
      </c>
      <c r="B59" s="405">
        <v>1</v>
      </c>
      <c r="C59" s="406"/>
      <c r="D59" s="407"/>
      <c r="E59" s="404"/>
      <c r="F59" s="407">
        <f t="shared" si="0"/>
        <v>1</v>
      </c>
      <c r="G59" s="419">
        <f t="shared" si="0"/>
        <v>0</v>
      </c>
    </row>
    <row r="60" spans="1:7" x14ac:dyDescent="0.25">
      <c r="A60" s="408" t="s">
        <v>316</v>
      </c>
      <c r="B60" s="405">
        <v>1</v>
      </c>
      <c r="C60" s="406"/>
      <c r="D60" s="407"/>
      <c r="E60" s="404"/>
      <c r="F60" s="407">
        <f t="shared" si="0"/>
        <v>1</v>
      </c>
      <c r="G60" s="419">
        <f t="shared" si="0"/>
        <v>0</v>
      </c>
    </row>
    <row r="61" spans="1:7" x14ac:dyDescent="0.25">
      <c r="A61" s="408" t="s">
        <v>317</v>
      </c>
      <c r="B61" s="405">
        <v>19880</v>
      </c>
      <c r="C61" s="406"/>
      <c r="D61" s="407"/>
      <c r="E61" s="404"/>
      <c r="F61" s="407">
        <f t="shared" si="0"/>
        <v>19880</v>
      </c>
      <c r="G61" s="419">
        <f t="shared" si="0"/>
        <v>0</v>
      </c>
    </row>
    <row r="62" spans="1:7" x14ac:dyDescent="0.25">
      <c r="A62" s="408" t="s">
        <v>318</v>
      </c>
      <c r="B62" s="405">
        <v>87573.64</v>
      </c>
      <c r="C62" s="406"/>
      <c r="D62" s="407"/>
      <c r="E62" s="404"/>
      <c r="F62" s="407">
        <f t="shared" si="0"/>
        <v>87573.64</v>
      </c>
      <c r="G62" s="419">
        <f t="shared" si="0"/>
        <v>0</v>
      </c>
    </row>
    <row r="63" spans="1:7" x14ac:dyDescent="0.25">
      <c r="A63" s="408" t="s">
        <v>319</v>
      </c>
      <c r="B63" s="405">
        <v>6986.3</v>
      </c>
      <c r="C63" s="406"/>
      <c r="D63" s="407"/>
      <c r="E63" s="404"/>
      <c r="F63" s="407">
        <f t="shared" si="0"/>
        <v>6986.3</v>
      </c>
      <c r="G63" s="419">
        <f t="shared" si="0"/>
        <v>0</v>
      </c>
    </row>
    <row r="64" spans="1:7" x14ac:dyDescent="0.25">
      <c r="A64" s="408" t="s">
        <v>320</v>
      </c>
      <c r="B64" s="405">
        <v>1475249.81</v>
      </c>
      <c r="C64" s="406"/>
      <c r="D64" s="407"/>
      <c r="E64" s="404"/>
      <c r="F64" s="407">
        <f t="shared" si="0"/>
        <v>1475249.81</v>
      </c>
      <c r="G64" s="419">
        <f t="shared" si="0"/>
        <v>0</v>
      </c>
    </row>
    <row r="65" spans="1:7" x14ac:dyDescent="0.25">
      <c r="A65" s="408" t="s">
        <v>321</v>
      </c>
      <c r="B65" s="405">
        <v>1</v>
      </c>
      <c r="C65" s="406"/>
      <c r="D65" s="407"/>
      <c r="E65" s="404"/>
      <c r="F65" s="407">
        <f t="shared" si="0"/>
        <v>1</v>
      </c>
      <c r="G65" s="419">
        <f t="shared" si="0"/>
        <v>0</v>
      </c>
    </row>
    <row r="66" spans="1:7" x14ac:dyDescent="0.25">
      <c r="A66" s="408" t="s">
        <v>322</v>
      </c>
      <c r="B66" s="405">
        <v>1</v>
      </c>
      <c r="C66" s="406"/>
      <c r="D66" s="407"/>
      <c r="E66" s="404"/>
      <c r="F66" s="407">
        <f t="shared" si="0"/>
        <v>1</v>
      </c>
      <c r="G66" s="419">
        <f t="shared" si="0"/>
        <v>0</v>
      </c>
    </row>
    <row r="67" spans="1:7" x14ac:dyDescent="0.25">
      <c r="A67" s="408" t="s">
        <v>323</v>
      </c>
      <c r="B67" s="405">
        <v>1</v>
      </c>
      <c r="C67" s="406"/>
      <c r="D67" s="407"/>
      <c r="E67" s="404"/>
      <c r="F67" s="407">
        <f t="shared" si="0"/>
        <v>1</v>
      </c>
      <c r="G67" s="419">
        <f t="shared" si="0"/>
        <v>0</v>
      </c>
    </row>
    <row r="68" spans="1:7" x14ac:dyDescent="0.25">
      <c r="A68" s="408" t="s">
        <v>324</v>
      </c>
      <c r="B68" s="405">
        <v>847.14</v>
      </c>
      <c r="C68" s="406"/>
      <c r="D68" s="407"/>
      <c r="E68" s="404"/>
      <c r="F68" s="407">
        <f t="shared" si="0"/>
        <v>847.14</v>
      </c>
      <c r="G68" s="419">
        <f t="shared" si="0"/>
        <v>0</v>
      </c>
    </row>
    <row r="69" spans="1:7" x14ac:dyDescent="0.25">
      <c r="A69" s="408" t="s">
        <v>325</v>
      </c>
      <c r="B69" s="405">
        <v>2968</v>
      </c>
      <c r="C69" s="406"/>
      <c r="D69" s="407"/>
      <c r="E69" s="404"/>
      <c r="F69" s="407">
        <f t="shared" si="0"/>
        <v>2968</v>
      </c>
      <c r="G69" s="419">
        <f t="shared" si="0"/>
        <v>0</v>
      </c>
    </row>
    <row r="70" spans="1:7" x14ac:dyDescent="0.25">
      <c r="A70" s="408" t="s">
        <v>326</v>
      </c>
      <c r="B70" s="405">
        <v>1</v>
      </c>
      <c r="C70" s="406"/>
      <c r="D70" s="407"/>
      <c r="E70" s="404"/>
      <c r="F70" s="407">
        <f t="shared" si="0"/>
        <v>1</v>
      </c>
      <c r="G70" s="419">
        <f t="shared" si="0"/>
        <v>0</v>
      </c>
    </row>
    <row r="71" spans="1:7" x14ac:dyDescent="0.25">
      <c r="A71" s="408" t="s">
        <v>327</v>
      </c>
      <c r="B71" s="405">
        <v>1</v>
      </c>
      <c r="C71" s="406"/>
      <c r="D71" s="407"/>
      <c r="E71" s="404"/>
      <c r="F71" s="407">
        <f t="shared" si="0"/>
        <v>1</v>
      </c>
      <c r="G71" s="419">
        <f t="shared" si="0"/>
        <v>0</v>
      </c>
    </row>
    <row r="72" spans="1:7" x14ac:dyDescent="0.25">
      <c r="A72" s="408" t="s">
        <v>328</v>
      </c>
      <c r="B72" s="405">
        <v>1656.14</v>
      </c>
      <c r="C72" s="406"/>
      <c r="D72" s="407"/>
      <c r="E72" s="404"/>
      <c r="F72" s="407">
        <f t="shared" si="0"/>
        <v>1656.14</v>
      </c>
      <c r="G72" s="419">
        <f t="shared" si="0"/>
        <v>0</v>
      </c>
    </row>
    <row r="73" spans="1:7" x14ac:dyDescent="0.25">
      <c r="A73" s="408" t="s">
        <v>329</v>
      </c>
      <c r="B73" s="405">
        <v>1</v>
      </c>
      <c r="C73" s="406"/>
      <c r="D73" s="407"/>
      <c r="E73" s="404"/>
      <c r="F73" s="407">
        <f t="shared" ref="F73:G140" si="1">+B73+D73</f>
        <v>1</v>
      </c>
      <c r="G73" s="419">
        <f t="shared" si="1"/>
        <v>0</v>
      </c>
    </row>
    <row r="74" spans="1:7" x14ac:dyDescent="0.25">
      <c r="A74" s="408" t="s">
        <v>330</v>
      </c>
      <c r="B74" s="405">
        <v>376200</v>
      </c>
      <c r="C74" s="406"/>
      <c r="D74" s="407"/>
      <c r="E74" s="404"/>
      <c r="F74" s="407">
        <f t="shared" si="1"/>
        <v>376200</v>
      </c>
      <c r="G74" s="419">
        <f t="shared" si="1"/>
        <v>0</v>
      </c>
    </row>
    <row r="75" spans="1:7" x14ac:dyDescent="0.25">
      <c r="A75" s="408" t="s">
        <v>331</v>
      </c>
      <c r="B75" s="405">
        <v>78000</v>
      </c>
      <c r="C75" s="406"/>
      <c r="D75" s="407"/>
      <c r="E75" s="404"/>
      <c r="F75" s="407">
        <f t="shared" si="1"/>
        <v>78000</v>
      </c>
      <c r="G75" s="419">
        <f t="shared" si="1"/>
        <v>0</v>
      </c>
    </row>
    <row r="76" spans="1:7" x14ac:dyDescent="0.25">
      <c r="A76" s="408" t="s">
        <v>332</v>
      </c>
      <c r="B76" s="405">
        <v>84000</v>
      </c>
      <c r="C76" s="406"/>
      <c r="D76" s="407"/>
      <c r="E76" s="404"/>
      <c r="F76" s="407">
        <f t="shared" si="1"/>
        <v>84000</v>
      </c>
      <c r="G76" s="419">
        <f t="shared" si="1"/>
        <v>0</v>
      </c>
    </row>
    <row r="77" spans="1:7" x14ac:dyDescent="0.25">
      <c r="A77" s="408" t="s">
        <v>333</v>
      </c>
      <c r="B77" s="405">
        <v>675000</v>
      </c>
      <c r="C77" s="406"/>
      <c r="D77" s="407"/>
      <c r="E77" s="404"/>
      <c r="F77" s="407">
        <f t="shared" si="1"/>
        <v>675000</v>
      </c>
      <c r="G77" s="419">
        <f t="shared" si="1"/>
        <v>0</v>
      </c>
    </row>
    <row r="78" spans="1:7" x14ac:dyDescent="0.25">
      <c r="A78" s="408" t="s">
        <v>334</v>
      </c>
      <c r="B78" s="405">
        <v>0</v>
      </c>
      <c r="C78" s="406"/>
      <c r="D78" s="407"/>
      <c r="E78" s="404"/>
      <c r="F78" s="407">
        <f t="shared" si="1"/>
        <v>0</v>
      </c>
      <c r="G78" s="419">
        <f t="shared" si="1"/>
        <v>0</v>
      </c>
    </row>
    <row r="79" spans="1:7" x14ac:dyDescent="0.25">
      <c r="A79" s="409" t="s">
        <v>640</v>
      </c>
      <c r="B79" s="405">
        <v>175599.41</v>
      </c>
      <c r="C79" s="404"/>
      <c r="D79" s="407"/>
      <c r="E79" s="404"/>
      <c r="F79" s="407">
        <f t="shared" si="1"/>
        <v>175599.41</v>
      </c>
      <c r="G79" s="419">
        <f t="shared" si="1"/>
        <v>0</v>
      </c>
    </row>
    <row r="80" spans="1:7" x14ac:dyDescent="0.25">
      <c r="A80" s="408" t="s">
        <v>335</v>
      </c>
      <c r="B80" s="405" t="s">
        <v>172</v>
      </c>
      <c r="C80" s="404"/>
      <c r="D80" s="407"/>
      <c r="E80" s="404"/>
      <c r="F80" s="407"/>
      <c r="G80" s="419"/>
    </row>
    <row r="81" spans="1:9" x14ac:dyDescent="0.25">
      <c r="A81" s="409"/>
      <c r="B81" s="405"/>
      <c r="C81" s="404"/>
      <c r="D81" s="407"/>
      <c r="E81" s="404"/>
      <c r="F81" s="407">
        <f t="shared" si="1"/>
        <v>0</v>
      </c>
      <c r="G81" s="419">
        <f t="shared" si="1"/>
        <v>0</v>
      </c>
    </row>
    <row r="82" spans="1:9" x14ac:dyDescent="0.25">
      <c r="A82" s="408" t="s">
        <v>336</v>
      </c>
      <c r="B82" s="405"/>
      <c r="C82" s="406">
        <v>228747</v>
      </c>
      <c r="D82" s="407"/>
      <c r="E82" s="404"/>
      <c r="F82" s="407">
        <f t="shared" si="1"/>
        <v>0</v>
      </c>
      <c r="G82" s="419">
        <f t="shared" si="1"/>
        <v>228747</v>
      </c>
    </row>
    <row r="83" spans="1:9" x14ac:dyDescent="0.25">
      <c r="A83" s="408" t="s">
        <v>588</v>
      </c>
      <c r="B83" s="405"/>
      <c r="C83" s="406"/>
      <c r="D83" s="407"/>
      <c r="E83" s="404">
        <v>20000</v>
      </c>
      <c r="F83" s="407">
        <f t="shared" si="1"/>
        <v>0</v>
      </c>
      <c r="G83" s="419">
        <f t="shared" si="1"/>
        <v>20000</v>
      </c>
    </row>
    <row r="84" spans="1:9" x14ac:dyDescent="0.25">
      <c r="A84" s="408" t="s">
        <v>650</v>
      </c>
      <c r="B84" s="405"/>
      <c r="C84" s="406"/>
      <c r="D84" s="407"/>
      <c r="E84" s="404">
        <v>100000</v>
      </c>
      <c r="F84" s="407"/>
      <c r="G84" s="419">
        <f t="shared" si="1"/>
        <v>100000</v>
      </c>
    </row>
    <row r="85" spans="1:9" x14ac:dyDescent="0.25">
      <c r="A85" s="408" t="s">
        <v>337</v>
      </c>
      <c r="B85" s="405"/>
      <c r="C85" s="406">
        <v>1476580.61</v>
      </c>
      <c r="D85" s="407"/>
      <c r="E85" s="404"/>
      <c r="F85" s="407">
        <f t="shared" si="1"/>
        <v>0</v>
      </c>
      <c r="G85" s="419">
        <f t="shared" si="1"/>
        <v>1476580.61</v>
      </c>
    </row>
    <row r="86" spans="1:9" x14ac:dyDescent="0.25">
      <c r="A86" s="408" t="s">
        <v>338</v>
      </c>
      <c r="B86" s="405"/>
      <c r="C86" s="406">
        <v>16600</v>
      </c>
      <c r="D86" s="407"/>
      <c r="E86" s="404"/>
      <c r="F86" s="407">
        <f t="shared" si="1"/>
        <v>0</v>
      </c>
      <c r="G86" s="419">
        <f t="shared" si="1"/>
        <v>16600</v>
      </c>
    </row>
    <row r="87" spans="1:9" x14ac:dyDescent="0.25">
      <c r="A87" s="408" t="s">
        <v>339</v>
      </c>
      <c r="B87" s="405"/>
      <c r="C87" s="406">
        <v>1551989</v>
      </c>
      <c r="D87" s="407"/>
      <c r="E87" s="404"/>
      <c r="F87" s="407">
        <f t="shared" si="1"/>
        <v>0</v>
      </c>
      <c r="G87" s="419">
        <f t="shared" si="1"/>
        <v>1551989</v>
      </c>
    </row>
    <row r="88" spans="1:9" x14ac:dyDescent="0.25">
      <c r="A88" s="408" t="s">
        <v>340</v>
      </c>
      <c r="B88" s="405"/>
      <c r="C88" s="406">
        <v>6925110</v>
      </c>
      <c r="D88" s="407">
        <v>156549</v>
      </c>
      <c r="E88" s="404"/>
      <c r="F88" s="407">
        <f t="shared" si="1"/>
        <v>156549</v>
      </c>
      <c r="G88" s="419">
        <f t="shared" si="1"/>
        <v>6925110</v>
      </c>
      <c r="I88" s="447">
        <f>G88-F88</f>
        <v>6768561</v>
      </c>
    </row>
    <row r="89" spans="1:9" x14ac:dyDescent="0.25">
      <c r="A89" s="408" t="s">
        <v>341</v>
      </c>
      <c r="B89" s="405">
        <v>312613.15999999997</v>
      </c>
      <c r="C89" s="406">
        <v>0</v>
      </c>
      <c r="D89" s="407">
        <f>157702.84-9060</f>
        <v>148642.84</v>
      </c>
      <c r="E89" s="404"/>
      <c r="F89" s="407">
        <f t="shared" si="1"/>
        <v>461256</v>
      </c>
      <c r="G89" s="419">
        <f t="shared" si="1"/>
        <v>0</v>
      </c>
    </row>
    <row r="90" spans="1:9" x14ac:dyDescent="0.25">
      <c r="A90" s="408" t="s">
        <v>342</v>
      </c>
      <c r="B90" s="405">
        <v>0</v>
      </c>
      <c r="C90" s="406">
        <v>2499254.23</v>
      </c>
      <c r="D90" s="407"/>
      <c r="E90" s="404"/>
      <c r="F90" s="407">
        <f t="shared" si="1"/>
        <v>0</v>
      </c>
      <c r="G90" s="419">
        <f t="shared" si="1"/>
        <v>2499254.23</v>
      </c>
    </row>
    <row r="91" spans="1:9" x14ac:dyDescent="0.25">
      <c r="A91" s="408" t="s">
        <v>343</v>
      </c>
      <c r="B91" s="405">
        <v>0</v>
      </c>
      <c r="C91" s="406">
        <v>1089108</v>
      </c>
      <c r="D91" s="407"/>
      <c r="E91" s="404"/>
      <c r="F91" s="407">
        <f t="shared" si="1"/>
        <v>0</v>
      </c>
      <c r="G91" s="419">
        <f t="shared" si="1"/>
        <v>1089108</v>
      </c>
    </row>
    <row r="92" spans="1:9" x14ac:dyDescent="0.25">
      <c r="A92" s="408" t="s">
        <v>344</v>
      </c>
      <c r="B92" s="405">
        <v>0</v>
      </c>
      <c r="C92" s="406"/>
      <c r="D92" s="407"/>
      <c r="E92" s="404"/>
      <c r="F92" s="407">
        <f t="shared" si="1"/>
        <v>0</v>
      </c>
      <c r="G92" s="419">
        <f t="shared" si="1"/>
        <v>0</v>
      </c>
    </row>
    <row r="93" spans="1:9" x14ac:dyDescent="0.25">
      <c r="A93" s="409"/>
      <c r="B93" s="405">
        <v>0</v>
      </c>
      <c r="C93" s="406"/>
      <c r="D93" s="407"/>
      <c r="E93" s="404"/>
      <c r="F93" s="407"/>
      <c r="G93" s="419"/>
    </row>
    <row r="94" spans="1:9" x14ac:dyDescent="0.25">
      <c r="A94" s="408" t="s">
        <v>345</v>
      </c>
      <c r="B94" s="405" t="s">
        <v>172</v>
      </c>
      <c r="C94" s="406">
        <v>0</v>
      </c>
      <c r="D94" s="407"/>
      <c r="E94" s="404"/>
      <c r="F94" s="407"/>
      <c r="G94" s="419"/>
    </row>
    <row r="95" spans="1:9" x14ac:dyDescent="0.25">
      <c r="A95" s="409"/>
      <c r="B95" s="405">
        <v>0</v>
      </c>
      <c r="C95" s="406"/>
      <c r="D95" s="407"/>
      <c r="E95" s="404"/>
      <c r="F95" s="407"/>
      <c r="G95" s="419"/>
    </row>
    <row r="96" spans="1:9" x14ac:dyDescent="0.25">
      <c r="A96" s="408" t="s">
        <v>346</v>
      </c>
      <c r="B96" s="405">
        <v>0</v>
      </c>
      <c r="C96" s="406">
        <v>75691323</v>
      </c>
      <c r="D96" s="407"/>
      <c r="E96" s="404"/>
      <c r="F96" s="407">
        <f t="shared" si="1"/>
        <v>0</v>
      </c>
      <c r="G96" s="419">
        <f t="shared" si="1"/>
        <v>75691323</v>
      </c>
    </row>
    <row r="97" spans="1:7" x14ac:dyDescent="0.25">
      <c r="A97" s="408" t="s">
        <v>347</v>
      </c>
      <c r="B97" s="405">
        <v>0</v>
      </c>
      <c r="C97" s="406">
        <v>20</v>
      </c>
      <c r="D97" s="407"/>
      <c r="E97" s="404"/>
      <c r="F97" s="407">
        <f t="shared" si="1"/>
        <v>0</v>
      </c>
      <c r="G97" s="419">
        <f t="shared" si="1"/>
        <v>20</v>
      </c>
    </row>
    <row r="98" spans="1:7" x14ac:dyDescent="0.25">
      <c r="A98" s="408" t="s">
        <v>348</v>
      </c>
      <c r="B98" s="405">
        <v>0</v>
      </c>
      <c r="C98" s="406">
        <v>10</v>
      </c>
      <c r="D98" s="407"/>
      <c r="E98" s="404"/>
      <c r="F98" s="407">
        <f t="shared" si="1"/>
        <v>0</v>
      </c>
      <c r="G98" s="419">
        <f t="shared" si="1"/>
        <v>10</v>
      </c>
    </row>
    <row r="99" spans="1:7" x14ac:dyDescent="0.25">
      <c r="A99" s="408" t="s">
        <v>349</v>
      </c>
      <c r="B99" s="405">
        <v>0</v>
      </c>
      <c r="C99" s="406">
        <v>9970</v>
      </c>
      <c r="D99" s="407"/>
      <c r="E99" s="404"/>
      <c r="F99" s="407">
        <f t="shared" si="1"/>
        <v>0</v>
      </c>
      <c r="G99" s="419">
        <f t="shared" si="1"/>
        <v>9970</v>
      </c>
    </row>
    <row r="100" spans="1:7" x14ac:dyDescent="0.25">
      <c r="A100" s="409"/>
      <c r="B100" s="405">
        <v>0</v>
      </c>
      <c r="C100" s="406"/>
      <c r="D100" s="407"/>
      <c r="E100" s="404"/>
      <c r="F100" s="407"/>
      <c r="G100" s="419"/>
    </row>
    <row r="101" spans="1:7" x14ac:dyDescent="0.25">
      <c r="A101" s="408" t="s">
        <v>28</v>
      </c>
      <c r="B101" s="405" t="s">
        <v>172</v>
      </c>
      <c r="C101" s="406">
        <v>0</v>
      </c>
      <c r="D101" s="407"/>
      <c r="E101" s="404"/>
      <c r="F101" s="407"/>
      <c r="G101" s="419"/>
    </row>
    <row r="102" spans="1:7" x14ac:dyDescent="0.25">
      <c r="A102" s="409"/>
      <c r="B102" s="405">
        <v>0</v>
      </c>
      <c r="C102" s="406"/>
      <c r="D102" s="407"/>
      <c r="E102" s="404"/>
      <c r="F102" s="407"/>
      <c r="G102" s="419"/>
    </row>
    <row r="103" spans="1:7" x14ac:dyDescent="0.25">
      <c r="A103" s="408" t="s">
        <v>350</v>
      </c>
      <c r="B103" s="405">
        <v>0</v>
      </c>
      <c r="C103" s="406">
        <v>214429150</v>
      </c>
      <c r="D103" s="407"/>
      <c r="E103" s="404"/>
      <c r="F103" s="407">
        <f t="shared" si="1"/>
        <v>0</v>
      </c>
      <c r="G103" s="419">
        <f t="shared" si="1"/>
        <v>214429150</v>
      </c>
    </row>
    <row r="104" spans="1:7" x14ac:dyDescent="0.25">
      <c r="A104" s="409"/>
      <c r="B104" s="405">
        <v>0</v>
      </c>
      <c r="C104" s="406"/>
      <c r="D104" s="407"/>
      <c r="E104" s="404"/>
      <c r="F104" s="407"/>
      <c r="G104" s="419"/>
    </row>
    <row r="105" spans="1:7" x14ac:dyDescent="0.25">
      <c r="A105" s="408" t="s">
        <v>351</v>
      </c>
      <c r="B105" s="405" t="s">
        <v>172</v>
      </c>
      <c r="C105" s="406">
        <v>0</v>
      </c>
      <c r="D105" s="407"/>
      <c r="E105" s="404"/>
      <c r="F105" s="407"/>
      <c r="G105" s="419"/>
    </row>
    <row r="106" spans="1:7" x14ac:dyDescent="0.25">
      <c r="A106" s="409"/>
      <c r="B106" s="405">
        <v>0</v>
      </c>
      <c r="C106" s="406"/>
      <c r="D106" s="407"/>
      <c r="E106" s="404"/>
      <c r="F106" s="407"/>
      <c r="G106" s="419"/>
    </row>
    <row r="107" spans="1:7" x14ac:dyDescent="0.25">
      <c r="A107" s="408" t="s">
        <v>352</v>
      </c>
      <c r="B107" s="405">
        <v>5000</v>
      </c>
      <c r="C107" s="406">
        <v>0</v>
      </c>
      <c r="D107" s="407"/>
      <c r="E107" s="404"/>
      <c r="F107" s="407">
        <f t="shared" si="1"/>
        <v>5000</v>
      </c>
      <c r="G107" s="419">
        <f t="shared" si="1"/>
        <v>0</v>
      </c>
    </row>
    <row r="108" spans="1:7" x14ac:dyDescent="0.25">
      <c r="A108" s="408" t="s">
        <v>353</v>
      </c>
      <c r="B108" s="405">
        <v>8013.7</v>
      </c>
      <c r="C108" s="406">
        <v>0</v>
      </c>
      <c r="D108" s="407"/>
      <c r="E108" s="404"/>
      <c r="F108" s="407">
        <f t="shared" si="1"/>
        <v>8013.7</v>
      </c>
      <c r="G108" s="419">
        <f t="shared" si="1"/>
        <v>0</v>
      </c>
    </row>
    <row r="109" spans="1:7" x14ac:dyDescent="0.25">
      <c r="A109" s="408" t="s">
        <v>587</v>
      </c>
      <c r="B109" s="405">
        <v>0</v>
      </c>
      <c r="C109" s="406"/>
      <c r="D109" s="407">
        <v>20000</v>
      </c>
      <c r="E109" s="404"/>
      <c r="F109" s="407">
        <f t="shared" si="1"/>
        <v>20000</v>
      </c>
      <c r="G109" s="419">
        <f t="shared" si="1"/>
        <v>0</v>
      </c>
    </row>
    <row r="110" spans="1:7" x14ac:dyDescent="0.25">
      <c r="A110" s="408" t="s">
        <v>649</v>
      </c>
      <c r="B110" s="405"/>
      <c r="C110" s="406"/>
      <c r="D110" s="407">
        <v>100000</v>
      </c>
      <c r="E110" s="404"/>
      <c r="F110" s="407">
        <f t="shared" si="1"/>
        <v>100000</v>
      </c>
      <c r="G110" s="419"/>
    </row>
    <row r="111" spans="1:7" x14ac:dyDescent="0.25">
      <c r="A111" s="408" t="s">
        <v>354</v>
      </c>
      <c r="B111" s="405">
        <v>63958.87</v>
      </c>
      <c r="C111" s="406">
        <v>0</v>
      </c>
      <c r="D111" s="407"/>
      <c r="E111" s="404"/>
      <c r="F111" s="407">
        <f t="shared" si="1"/>
        <v>63958.87</v>
      </c>
      <c r="G111" s="419">
        <f t="shared" si="1"/>
        <v>0</v>
      </c>
    </row>
    <row r="112" spans="1:7" x14ac:dyDescent="0.25">
      <c r="A112" s="408" t="s">
        <v>355</v>
      </c>
      <c r="B112" s="405">
        <v>4130</v>
      </c>
      <c r="C112" s="406">
        <v>0</v>
      </c>
      <c r="D112" s="407"/>
      <c r="E112" s="404"/>
      <c r="F112" s="407">
        <f t="shared" si="1"/>
        <v>4130</v>
      </c>
      <c r="G112" s="419">
        <f t="shared" si="1"/>
        <v>0</v>
      </c>
    </row>
    <row r="113" spans="1:7" x14ac:dyDescent="0.25">
      <c r="A113" s="408" t="s">
        <v>356</v>
      </c>
      <c r="B113" s="405">
        <v>1354191</v>
      </c>
      <c r="C113" s="406">
        <v>0</v>
      </c>
      <c r="D113" s="407"/>
      <c r="E113" s="404"/>
      <c r="F113" s="407">
        <f t="shared" si="1"/>
        <v>1354191</v>
      </c>
      <c r="G113" s="419">
        <f t="shared" si="1"/>
        <v>0</v>
      </c>
    </row>
    <row r="114" spans="1:7" x14ac:dyDescent="0.25">
      <c r="A114" s="408" t="s">
        <v>357</v>
      </c>
      <c r="B114" s="405">
        <v>3492542.38</v>
      </c>
      <c r="C114" s="406">
        <v>0</v>
      </c>
      <c r="D114" s="407"/>
      <c r="E114" s="404"/>
      <c r="F114" s="407">
        <f t="shared" si="1"/>
        <v>3492542.38</v>
      </c>
      <c r="G114" s="419">
        <f t="shared" si="1"/>
        <v>0</v>
      </c>
    </row>
    <row r="115" spans="1:7" x14ac:dyDescent="0.25">
      <c r="A115" s="408" t="s">
        <v>358</v>
      </c>
      <c r="B115" s="405">
        <v>84290</v>
      </c>
      <c r="C115" s="406">
        <v>0</v>
      </c>
      <c r="D115" s="407"/>
      <c r="E115" s="404"/>
      <c r="F115" s="407">
        <f t="shared" si="1"/>
        <v>84290</v>
      </c>
      <c r="G115" s="419">
        <f t="shared" si="1"/>
        <v>0</v>
      </c>
    </row>
    <row r="116" spans="1:7" x14ac:dyDescent="0.25">
      <c r="A116" s="408" t="s">
        <v>359</v>
      </c>
      <c r="B116" s="405">
        <v>29832.79</v>
      </c>
      <c r="C116" s="406">
        <v>0</v>
      </c>
      <c r="D116" s="407"/>
      <c r="E116" s="404"/>
      <c r="F116" s="407">
        <f t="shared" si="1"/>
        <v>29832.79</v>
      </c>
      <c r="G116" s="419">
        <f t="shared" si="1"/>
        <v>0</v>
      </c>
    </row>
    <row r="117" spans="1:7" x14ac:dyDescent="0.25">
      <c r="A117" s="408" t="s">
        <v>360</v>
      </c>
      <c r="B117" s="405">
        <v>233850.57</v>
      </c>
      <c r="C117" s="406">
        <v>0</v>
      </c>
      <c r="D117" s="407"/>
      <c r="E117" s="404"/>
      <c r="F117" s="407">
        <f t="shared" si="1"/>
        <v>233850.57</v>
      </c>
      <c r="G117" s="419">
        <f t="shared" si="1"/>
        <v>0</v>
      </c>
    </row>
    <row r="118" spans="1:7" x14ac:dyDescent="0.25">
      <c r="A118" s="408" t="s">
        <v>361</v>
      </c>
      <c r="B118" s="405">
        <v>1734981.15</v>
      </c>
      <c r="C118" s="406">
        <v>0</v>
      </c>
      <c r="D118" s="407"/>
      <c r="E118" s="404"/>
      <c r="F118" s="407">
        <f t="shared" si="1"/>
        <v>1734981.15</v>
      </c>
      <c r="G118" s="419">
        <f t="shared" si="1"/>
        <v>0</v>
      </c>
    </row>
    <row r="119" spans="1:7" x14ac:dyDescent="0.25">
      <c r="A119" s="408" t="s">
        <v>362</v>
      </c>
      <c r="B119" s="405">
        <v>10719630</v>
      </c>
      <c r="C119" s="406">
        <v>0</v>
      </c>
      <c r="D119" s="407"/>
      <c r="E119" s="404"/>
      <c r="F119" s="407">
        <f t="shared" si="1"/>
        <v>10719630</v>
      </c>
      <c r="G119" s="419">
        <f t="shared" si="1"/>
        <v>0</v>
      </c>
    </row>
    <row r="120" spans="1:7" x14ac:dyDescent="0.25">
      <c r="A120" s="408" t="s">
        <v>363</v>
      </c>
      <c r="B120" s="405">
        <v>0</v>
      </c>
      <c r="C120" s="406">
        <v>769877</v>
      </c>
      <c r="D120" s="407"/>
      <c r="E120" s="407">
        <v>156549</v>
      </c>
      <c r="F120" s="407">
        <f t="shared" si="1"/>
        <v>0</v>
      </c>
      <c r="G120" s="419">
        <f t="shared" si="1"/>
        <v>926426</v>
      </c>
    </row>
    <row r="121" spans="1:7" x14ac:dyDescent="0.25">
      <c r="A121" s="408" t="s">
        <v>364</v>
      </c>
      <c r="B121" s="405">
        <v>9240294.8399999999</v>
      </c>
      <c r="C121" s="406">
        <v>0</v>
      </c>
      <c r="D121" s="407"/>
      <c r="E121" s="407">
        <f>157702.84-9060</f>
        <v>148642.84</v>
      </c>
      <c r="F121" s="407">
        <f t="shared" si="1"/>
        <v>9240294.8399999999</v>
      </c>
      <c r="G121" s="419">
        <f t="shared" si="1"/>
        <v>148642.84</v>
      </c>
    </row>
    <row r="122" spans="1:7" x14ac:dyDescent="0.25">
      <c r="A122" s="408" t="s">
        <v>365</v>
      </c>
      <c r="B122" s="405">
        <v>45</v>
      </c>
      <c r="C122" s="406">
        <v>0</v>
      </c>
      <c r="D122" s="407"/>
      <c r="E122" s="404"/>
      <c r="F122" s="407">
        <f t="shared" si="1"/>
        <v>45</v>
      </c>
      <c r="G122" s="419">
        <f t="shared" si="1"/>
        <v>0</v>
      </c>
    </row>
    <row r="123" spans="1:7" x14ac:dyDescent="0.25">
      <c r="A123" s="408" t="s">
        <v>366</v>
      </c>
      <c r="B123" s="405">
        <v>0</v>
      </c>
      <c r="C123" s="406">
        <v>34497</v>
      </c>
      <c r="D123" s="407"/>
      <c r="E123" s="404"/>
      <c r="F123" s="407">
        <f t="shared" si="1"/>
        <v>0</v>
      </c>
      <c r="G123" s="419">
        <f t="shared" si="1"/>
        <v>34497</v>
      </c>
    </row>
    <row r="124" spans="1:7" x14ac:dyDescent="0.25">
      <c r="A124" s="408" t="s">
        <v>367</v>
      </c>
      <c r="B124" s="405">
        <v>82813.19</v>
      </c>
      <c r="C124" s="406"/>
      <c r="D124" s="407"/>
      <c r="E124" s="404"/>
      <c r="F124" s="407">
        <f t="shared" si="1"/>
        <v>82813.19</v>
      </c>
      <c r="G124" s="419">
        <f t="shared" si="1"/>
        <v>0</v>
      </c>
    </row>
    <row r="125" spans="1:7" x14ac:dyDescent="0.25">
      <c r="A125" s="408" t="s">
        <v>368</v>
      </c>
      <c r="B125" s="405">
        <v>196880.25</v>
      </c>
      <c r="C125" s="406"/>
      <c r="D125" s="407"/>
      <c r="E125" s="404"/>
      <c r="F125" s="407">
        <f t="shared" si="1"/>
        <v>196880.25</v>
      </c>
      <c r="G125" s="419">
        <f t="shared" si="1"/>
        <v>0</v>
      </c>
    </row>
    <row r="126" spans="1:7" x14ac:dyDescent="0.25">
      <c r="A126" s="408" t="s">
        <v>369</v>
      </c>
      <c r="B126" s="405">
        <v>2425909.33</v>
      </c>
      <c r="C126" s="406"/>
      <c r="D126" s="407"/>
      <c r="E126" s="404"/>
      <c r="F126" s="407">
        <f t="shared" si="1"/>
        <v>2425909.33</v>
      </c>
      <c r="G126" s="419">
        <f t="shared" si="1"/>
        <v>0</v>
      </c>
    </row>
    <row r="127" spans="1:7" x14ac:dyDescent="0.25">
      <c r="A127" s="408" t="s">
        <v>370</v>
      </c>
      <c r="B127" s="405">
        <v>13650</v>
      </c>
      <c r="C127" s="406"/>
      <c r="D127" s="407"/>
      <c r="E127" s="404"/>
      <c r="F127" s="407">
        <f t="shared" si="1"/>
        <v>13650</v>
      </c>
      <c r="G127" s="419">
        <f t="shared" si="1"/>
        <v>0</v>
      </c>
    </row>
    <row r="128" spans="1:7" x14ac:dyDescent="0.25">
      <c r="A128" s="408" t="s">
        <v>371</v>
      </c>
      <c r="B128" s="405">
        <v>3249002</v>
      </c>
      <c r="C128" s="406"/>
      <c r="D128" s="407"/>
      <c r="E128" s="404"/>
      <c r="F128" s="407">
        <f t="shared" si="1"/>
        <v>3249002</v>
      </c>
      <c r="G128" s="419">
        <f t="shared" si="1"/>
        <v>0</v>
      </c>
    </row>
    <row r="129" spans="1:7" x14ac:dyDescent="0.25">
      <c r="A129" s="408" t="s">
        <v>372</v>
      </c>
      <c r="B129" s="405">
        <v>0.93</v>
      </c>
      <c r="C129" s="406"/>
      <c r="D129" s="407"/>
      <c r="E129" s="404"/>
      <c r="F129" s="407">
        <f t="shared" si="1"/>
        <v>0.93</v>
      </c>
      <c r="G129" s="419">
        <f t="shared" si="1"/>
        <v>0</v>
      </c>
    </row>
    <row r="130" spans="1:7" x14ac:dyDescent="0.25">
      <c r="A130" s="408" t="s">
        <v>373</v>
      </c>
      <c r="B130" s="405">
        <v>247843212</v>
      </c>
      <c r="C130" s="406"/>
      <c r="D130" s="407"/>
      <c r="E130" s="404"/>
      <c r="F130" s="407">
        <f t="shared" si="1"/>
        <v>247843212</v>
      </c>
      <c r="G130" s="419">
        <f t="shared" si="1"/>
        <v>0</v>
      </c>
    </row>
    <row r="131" spans="1:7" x14ac:dyDescent="0.25">
      <c r="A131" s="408" t="s">
        <v>374</v>
      </c>
      <c r="B131" s="405">
        <v>39714</v>
      </c>
      <c r="C131" s="406"/>
      <c r="D131" s="407"/>
      <c r="E131" s="404"/>
      <c r="F131" s="407">
        <f t="shared" si="1"/>
        <v>39714</v>
      </c>
      <c r="G131" s="419">
        <f t="shared" si="1"/>
        <v>0</v>
      </c>
    </row>
    <row r="132" spans="1:7" x14ac:dyDescent="0.25">
      <c r="A132" s="408" t="s">
        <v>375</v>
      </c>
      <c r="B132" s="405">
        <v>537022</v>
      </c>
      <c r="C132" s="406"/>
      <c r="D132" s="407"/>
      <c r="E132" s="404"/>
      <c r="F132" s="407">
        <f t="shared" si="1"/>
        <v>537022</v>
      </c>
      <c r="G132" s="419">
        <f t="shared" si="1"/>
        <v>0</v>
      </c>
    </row>
    <row r="133" spans="1:7" x14ac:dyDescent="0.25">
      <c r="A133" s="408" t="s">
        <v>376</v>
      </c>
      <c r="B133" s="405">
        <v>105463.95</v>
      </c>
      <c r="C133" s="406"/>
      <c r="D133" s="407"/>
      <c r="E133" s="404"/>
      <c r="F133" s="407">
        <f t="shared" si="1"/>
        <v>105463.95</v>
      </c>
      <c r="G133" s="419">
        <f t="shared" si="1"/>
        <v>0</v>
      </c>
    </row>
    <row r="134" spans="1:7" x14ac:dyDescent="0.25">
      <c r="A134" s="408" t="s">
        <v>377</v>
      </c>
      <c r="B134" s="405">
        <v>940</v>
      </c>
      <c r="C134" s="406"/>
      <c r="D134" s="407"/>
      <c r="E134" s="404"/>
      <c r="F134" s="407">
        <f t="shared" si="1"/>
        <v>940</v>
      </c>
      <c r="G134" s="419">
        <f t="shared" si="1"/>
        <v>0</v>
      </c>
    </row>
    <row r="135" spans="1:7" x14ac:dyDescent="0.25">
      <c r="A135" s="408" t="s">
        <v>378</v>
      </c>
      <c r="B135" s="405">
        <v>27500</v>
      </c>
      <c r="C135" s="406"/>
      <c r="D135" s="407"/>
      <c r="E135" s="404"/>
      <c r="F135" s="407">
        <f t="shared" si="1"/>
        <v>27500</v>
      </c>
      <c r="G135" s="419">
        <f t="shared" si="1"/>
        <v>0</v>
      </c>
    </row>
    <row r="136" spans="1:7" x14ac:dyDescent="0.25">
      <c r="A136" s="408" t="s">
        <v>379</v>
      </c>
      <c r="B136" s="405">
        <v>37870</v>
      </c>
      <c r="C136" s="406"/>
      <c r="D136" s="407"/>
      <c r="E136" s="404"/>
      <c r="F136" s="407">
        <f t="shared" si="1"/>
        <v>37870</v>
      </c>
      <c r="G136" s="419">
        <f t="shared" si="1"/>
        <v>0</v>
      </c>
    </row>
    <row r="137" spans="1:7" x14ac:dyDescent="0.25">
      <c r="A137" s="408" t="s">
        <v>380</v>
      </c>
      <c r="B137" s="405">
        <v>540000</v>
      </c>
      <c r="C137" s="406"/>
      <c r="D137" s="407"/>
      <c r="E137" s="404"/>
      <c r="F137" s="407">
        <f t="shared" si="1"/>
        <v>540000</v>
      </c>
      <c r="G137" s="419">
        <f t="shared" si="1"/>
        <v>0</v>
      </c>
    </row>
    <row r="138" spans="1:7" x14ac:dyDescent="0.25">
      <c r="A138" s="408" t="s">
        <v>381</v>
      </c>
      <c r="B138" s="405">
        <v>1200</v>
      </c>
      <c r="C138" s="406"/>
      <c r="D138" s="407"/>
      <c r="E138" s="404"/>
      <c r="F138" s="407">
        <f t="shared" si="1"/>
        <v>1200</v>
      </c>
      <c r="G138" s="419">
        <f t="shared" si="1"/>
        <v>0</v>
      </c>
    </row>
    <row r="139" spans="1:7" x14ac:dyDescent="0.25">
      <c r="A139" s="408" t="s">
        <v>382</v>
      </c>
      <c r="B139" s="405">
        <v>23.05</v>
      </c>
      <c r="C139" s="406"/>
      <c r="D139" s="407"/>
      <c r="E139" s="404"/>
      <c r="F139" s="407">
        <f t="shared" si="1"/>
        <v>23.05</v>
      </c>
      <c r="G139" s="419">
        <f t="shared" si="1"/>
        <v>0</v>
      </c>
    </row>
    <row r="140" spans="1:7" x14ac:dyDescent="0.25">
      <c r="A140" s="408" t="s">
        <v>383</v>
      </c>
      <c r="B140" s="405">
        <v>635516</v>
      </c>
      <c r="C140" s="406"/>
      <c r="D140" s="407"/>
      <c r="E140" s="404"/>
      <c r="F140" s="407">
        <f t="shared" si="1"/>
        <v>635516</v>
      </c>
      <c r="G140" s="419">
        <f t="shared" si="1"/>
        <v>0</v>
      </c>
    </row>
    <row r="141" spans="1:7" x14ac:dyDescent="0.25">
      <c r="A141" s="408" t="s">
        <v>384</v>
      </c>
      <c r="B141" s="405">
        <v>21433.56</v>
      </c>
      <c r="C141" s="406"/>
      <c r="D141" s="407"/>
      <c r="E141" s="404"/>
      <c r="F141" s="407">
        <f t="shared" ref="F141:G146" si="2">+B141+D141</f>
        <v>21433.56</v>
      </c>
      <c r="G141" s="419">
        <f t="shared" si="2"/>
        <v>0</v>
      </c>
    </row>
    <row r="142" spans="1:7" x14ac:dyDescent="0.25">
      <c r="A142" s="408" t="s">
        <v>385</v>
      </c>
      <c r="B142" s="405">
        <v>25000</v>
      </c>
      <c r="C142" s="406"/>
      <c r="D142" s="407"/>
      <c r="E142" s="404"/>
      <c r="F142" s="407">
        <f t="shared" si="2"/>
        <v>25000</v>
      </c>
      <c r="G142" s="419">
        <f t="shared" si="2"/>
        <v>0</v>
      </c>
    </row>
    <row r="143" spans="1:7" x14ac:dyDescent="0.25">
      <c r="A143" s="408" t="s">
        <v>386</v>
      </c>
      <c r="B143" s="405">
        <v>6740</v>
      </c>
      <c r="C143" s="406"/>
      <c r="D143" s="407"/>
      <c r="E143" s="404"/>
      <c r="F143" s="407">
        <f t="shared" si="2"/>
        <v>6740</v>
      </c>
      <c r="G143" s="419">
        <f t="shared" si="2"/>
        <v>0</v>
      </c>
    </row>
    <row r="144" spans="1:7" x14ac:dyDescent="0.25">
      <c r="A144" s="408" t="s">
        <v>387</v>
      </c>
      <c r="B144" s="405">
        <v>180370</v>
      </c>
      <c r="C144" s="406"/>
      <c r="D144" s="407"/>
      <c r="E144" s="404"/>
      <c r="F144" s="407">
        <f t="shared" si="2"/>
        <v>180370</v>
      </c>
      <c r="G144" s="419">
        <f t="shared" si="2"/>
        <v>0</v>
      </c>
    </row>
    <row r="145" spans="1:10" x14ac:dyDescent="0.25">
      <c r="A145" s="408" t="s">
        <v>661</v>
      </c>
      <c r="B145" s="405"/>
      <c r="C145" s="406"/>
      <c r="D145" s="407">
        <f>'Ratios &amp; Deferred Tax'!E49</f>
        <v>101135.29770629987</v>
      </c>
      <c r="E145" s="468"/>
      <c r="F145" s="407">
        <f t="shared" si="2"/>
        <v>101135.29770629987</v>
      </c>
      <c r="G145" s="419">
        <f t="shared" si="2"/>
        <v>0</v>
      </c>
    </row>
    <row r="146" spans="1:10" x14ac:dyDescent="0.25">
      <c r="A146" s="409" t="s">
        <v>651</v>
      </c>
      <c r="B146" s="407"/>
      <c r="C146" s="404"/>
      <c r="D146" s="407"/>
      <c r="E146" s="407">
        <f>D155</f>
        <v>126467119.40000001</v>
      </c>
      <c r="F146" s="407">
        <f t="shared" si="2"/>
        <v>0</v>
      </c>
      <c r="G146" s="419">
        <f t="shared" si="2"/>
        <v>126467119.40000001</v>
      </c>
    </row>
    <row r="147" spans="1:10" s="402" customFormat="1" ht="16.5" thickBot="1" x14ac:dyDescent="0.3">
      <c r="A147" s="410" t="s">
        <v>158</v>
      </c>
      <c r="B147" s="416">
        <f t="shared" ref="B147:G147" si="3">SUM(B6:B146)</f>
        <v>304722235.83999997</v>
      </c>
      <c r="C147" s="417">
        <f t="shared" si="3"/>
        <v>304722235.84000003</v>
      </c>
      <c r="D147" s="416">
        <f t="shared" si="3"/>
        <v>126993446.53770632</v>
      </c>
      <c r="E147" s="417">
        <f t="shared" si="3"/>
        <v>126993446.5377063</v>
      </c>
      <c r="F147" s="416">
        <f t="shared" si="3"/>
        <v>431715682.37770629</v>
      </c>
      <c r="G147" s="417">
        <f t="shared" si="3"/>
        <v>431715682.37770629</v>
      </c>
    </row>
    <row r="148" spans="1:10" x14ac:dyDescent="0.25">
      <c r="C148" s="401">
        <f>+B147-C147</f>
        <v>0</v>
      </c>
      <c r="G148" s="401">
        <f>+F147-G147</f>
        <v>0</v>
      </c>
    </row>
    <row r="149" spans="1:10" x14ac:dyDescent="0.25">
      <c r="A149" s="286" t="s">
        <v>652</v>
      </c>
      <c r="E149" s="401">
        <v>9487093</v>
      </c>
    </row>
    <row r="150" spans="1:10" x14ac:dyDescent="0.25">
      <c r="A150" s="286" t="s">
        <v>521</v>
      </c>
      <c r="F150" s="401">
        <v>9091652.4800000004</v>
      </c>
    </row>
    <row r="151" spans="1:10" x14ac:dyDescent="0.25">
      <c r="G151" s="401">
        <f>E149-F150</f>
        <v>395440.51999999955</v>
      </c>
      <c r="I151" s="286">
        <v>461256</v>
      </c>
      <c r="J151" s="447">
        <f>G151-I151</f>
        <v>-65815.480000000447</v>
      </c>
    </row>
    <row r="153" spans="1:10" x14ac:dyDescent="0.25">
      <c r="A153" s="440" t="s">
        <v>0</v>
      </c>
      <c r="B153" s="441" t="s">
        <v>646</v>
      </c>
      <c r="C153" s="444" t="s">
        <v>758</v>
      </c>
      <c r="D153" s="443"/>
    </row>
    <row r="154" spans="1:10" x14ac:dyDescent="0.25">
      <c r="A154" s="439" t="s">
        <v>642</v>
      </c>
      <c r="B154" s="442">
        <v>225987800</v>
      </c>
      <c r="C154" s="442">
        <v>225987800</v>
      </c>
      <c r="D154" s="401" t="s">
        <v>648</v>
      </c>
    </row>
    <row r="155" spans="1:10" x14ac:dyDescent="0.25">
      <c r="A155" s="439" t="s">
        <v>643</v>
      </c>
      <c r="B155" s="442">
        <f>312656110+1832859</f>
        <v>314488969</v>
      </c>
      <c r="C155" s="445">
        <f>C154-C156</f>
        <v>188021849.59999999</v>
      </c>
      <c r="D155" s="401">
        <f>B155-C155</f>
        <v>126467119.40000001</v>
      </c>
    </row>
    <row r="156" spans="1:10" x14ac:dyDescent="0.25">
      <c r="A156" s="439" t="s">
        <v>644</v>
      </c>
      <c r="B156" s="442">
        <f>B154-B155</f>
        <v>-88501169</v>
      </c>
      <c r="C156" s="445">
        <f>B154*16.8%</f>
        <v>37965950.400000006</v>
      </c>
      <c r="D156" s="401">
        <v>94883608.220000029</v>
      </c>
      <c r="E156" s="401" t="s">
        <v>757</v>
      </c>
    </row>
    <row r="157" spans="1:10" x14ac:dyDescent="0.25">
      <c r="A157" s="439" t="s">
        <v>558</v>
      </c>
      <c r="B157" s="442">
        <v>9556617</v>
      </c>
      <c r="C157" s="445">
        <f>C156*25.168%</f>
        <v>9555270.396672003</v>
      </c>
      <c r="D157" s="401">
        <f>+D155-D156</f>
        <v>31583511.179999977</v>
      </c>
      <c r="E157" s="401" t="s">
        <v>756</v>
      </c>
    </row>
    <row r="158" spans="1:10" x14ac:dyDescent="0.25">
      <c r="A158" s="439" t="s">
        <v>645</v>
      </c>
      <c r="B158" s="442">
        <f>B156-B157</f>
        <v>-98057786</v>
      </c>
      <c r="C158" s="442">
        <f>C156-C157</f>
        <v>28410680.003328003</v>
      </c>
    </row>
    <row r="159" spans="1:10" x14ac:dyDescent="0.25">
      <c r="C159" s="401">
        <f>B155-C155</f>
        <v>126467119.40000001</v>
      </c>
    </row>
    <row r="164" spans="1:5" x14ac:dyDescent="0.25">
      <c r="A164" s="286" t="s">
        <v>538</v>
      </c>
      <c r="E164" s="401">
        <v>735000</v>
      </c>
    </row>
    <row r="165" spans="1:5" x14ac:dyDescent="0.25">
      <c r="A165" s="286" t="s">
        <v>666</v>
      </c>
      <c r="B165" s="401">
        <v>86771</v>
      </c>
      <c r="E165" s="401">
        <f>E164*3</f>
        <v>2205000</v>
      </c>
    </row>
    <row r="166" spans="1:5" x14ac:dyDescent="0.25">
      <c r="A166" s="286" t="s">
        <v>665</v>
      </c>
      <c r="B166" s="401">
        <v>6681790</v>
      </c>
    </row>
    <row r="167" spans="1:5" x14ac:dyDescent="0.25">
      <c r="A167" s="402" t="s">
        <v>670</v>
      </c>
      <c r="B167" s="443">
        <f>SUM(B165:B166)</f>
        <v>6768561</v>
      </c>
    </row>
    <row r="168" spans="1:5" x14ac:dyDescent="0.25">
      <c r="A168" s="286" t="s">
        <v>667</v>
      </c>
      <c r="B168" s="401">
        <v>6925110</v>
      </c>
    </row>
    <row r="169" spans="1:5" x14ac:dyDescent="0.25">
      <c r="A169" s="286" t="s">
        <v>669</v>
      </c>
      <c r="B169" s="401">
        <f>B168-B167</f>
        <v>156549</v>
      </c>
    </row>
  </sheetData>
  <mergeCells count="5">
    <mergeCell ref="A1:C1"/>
    <mergeCell ref="A2:A3"/>
    <mergeCell ref="B2:C2"/>
    <mergeCell ref="D2:E2"/>
    <mergeCell ref="F2:G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3614-B304-43A0-A121-35D5B52613B4}">
  <dimension ref="A1:P12"/>
  <sheetViews>
    <sheetView tabSelected="1" zoomScaleNormal="100" workbookViewId="0">
      <selection activeCell="A2" sqref="A2"/>
    </sheetView>
  </sheetViews>
  <sheetFormatPr defaultRowHeight="12" x14ac:dyDescent="0.2"/>
  <cols>
    <col min="1" max="1" width="3.42578125" style="566" customWidth="1"/>
    <col min="2" max="2" width="17.7109375" style="566" customWidth="1"/>
    <col min="3" max="3" width="10.7109375" style="566" customWidth="1"/>
    <col min="4" max="4" width="11.140625" style="566" customWidth="1"/>
    <col min="5" max="5" width="9.28515625" style="566" customWidth="1"/>
    <col min="6" max="6" width="22.140625" style="566" bestFit="1" customWidth="1"/>
    <col min="7" max="8" width="11.140625" style="566" bestFit="1" customWidth="1"/>
    <col min="9" max="9" width="9.5703125" style="566" customWidth="1"/>
    <col min="10" max="10" width="12.85546875" style="566" bestFit="1" customWidth="1"/>
    <col min="11" max="11" width="12.42578125" style="566" bestFit="1" customWidth="1"/>
    <col min="12" max="12" width="11.42578125" style="566" bestFit="1" customWidth="1"/>
    <col min="13" max="13" width="19.85546875" style="566" bestFit="1" customWidth="1"/>
    <col min="14" max="14" width="22.140625" style="566" bestFit="1" customWidth="1"/>
    <col min="15" max="15" width="9.5703125" style="566" customWidth="1"/>
    <col min="16" max="16" width="11.42578125" style="566" customWidth="1"/>
    <col min="17" max="254" width="9.140625" style="566"/>
    <col min="255" max="255" width="3.42578125" style="566" customWidth="1"/>
    <col min="256" max="256" width="17.7109375" style="566" customWidth="1"/>
    <col min="257" max="257" width="10.7109375" style="566" customWidth="1"/>
    <col min="258" max="258" width="11.140625" style="566" customWidth="1"/>
    <col min="259" max="259" width="9.28515625" style="566" customWidth="1"/>
    <col min="260" max="260" width="10.5703125" style="566" customWidth="1"/>
    <col min="261" max="261" width="11" style="566" customWidth="1"/>
    <col min="262" max="262" width="10.7109375" style="566" customWidth="1"/>
    <col min="263" max="263" width="11" style="566" customWidth="1"/>
    <col min="264" max="264" width="9.140625" style="566"/>
    <col min="265" max="265" width="9.28515625" style="566" customWidth="1"/>
    <col min="266" max="266" width="9.5703125" style="566" customWidth="1"/>
    <col min="267" max="268" width="9.140625" style="566"/>
    <col min="269" max="269" width="10.28515625" style="566" customWidth="1"/>
    <col min="270" max="271" width="10.7109375" style="566" customWidth="1"/>
    <col min="272" max="510" width="9.140625" style="566"/>
    <col min="511" max="511" width="3.42578125" style="566" customWidth="1"/>
    <col min="512" max="512" width="17.7109375" style="566" customWidth="1"/>
    <col min="513" max="513" width="10.7109375" style="566" customWidth="1"/>
    <col min="514" max="514" width="11.140625" style="566" customWidth="1"/>
    <col min="515" max="515" width="9.28515625" style="566" customWidth="1"/>
    <col min="516" max="516" width="10.5703125" style="566" customWidth="1"/>
    <col min="517" max="517" width="11" style="566" customWidth="1"/>
    <col min="518" max="518" width="10.7109375" style="566" customWidth="1"/>
    <col min="519" max="519" width="11" style="566" customWidth="1"/>
    <col min="520" max="520" width="9.140625" style="566"/>
    <col min="521" max="521" width="9.28515625" style="566" customWidth="1"/>
    <col min="522" max="522" width="9.5703125" style="566" customWidth="1"/>
    <col min="523" max="524" width="9.140625" style="566"/>
    <col min="525" max="525" width="10.28515625" style="566" customWidth="1"/>
    <col min="526" max="527" width="10.7109375" style="566" customWidth="1"/>
    <col min="528" max="766" width="9.140625" style="566"/>
    <col min="767" max="767" width="3.42578125" style="566" customWidth="1"/>
    <col min="768" max="768" width="17.7109375" style="566" customWidth="1"/>
    <col min="769" max="769" width="10.7109375" style="566" customWidth="1"/>
    <col min="770" max="770" width="11.140625" style="566" customWidth="1"/>
    <col min="771" max="771" width="9.28515625" style="566" customWidth="1"/>
    <col min="772" max="772" width="10.5703125" style="566" customWidth="1"/>
    <col min="773" max="773" width="11" style="566" customWidth="1"/>
    <col min="774" max="774" width="10.7109375" style="566" customWidth="1"/>
    <col min="775" max="775" width="11" style="566" customWidth="1"/>
    <col min="776" max="776" width="9.140625" style="566"/>
    <col min="777" max="777" width="9.28515625" style="566" customWidth="1"/>
    <col min="778" max="778" width="9.5703125" style="566" customWidth="1"/>
    <col min="779" max="780" width="9.140625" style="566"/>
    <col min="781" max="781" width="10.28515625" style="566" customWidth="1"/>
    <col min="782" max="783" width="10.7109375" style="566" customWidth="1"/>
    <col min="784" max="1022" width="9.140625" style="566"/>
    <col min="1023" max="1023" width="3.42578125" style="566" customWidth="1"/>
    <col min="1024" max="1024" width="17.7109375" style="566" customWidth="1"/>
    <col min="1025" max="1025" width="10.7109375" style="566" customWidth="1"/>
    <col min="1026" max="1026" width="11.140625" style="566" customWidth="1"/>
    <col min="1027" max="1027" width="9.28515625" style="566" customWidth="1"/>
    <col min="1028" max="1028" width="10.5703125" style="566" customWidth="1"/>
    <col min="1029" max="1029" width="11" style="566" customWidth="1"/>
    <col min="1030" max="1030" width="10.7109375" style="566" customWidth="1"/>
    <col min="1031" max="1031" width="11" style="566" customWidth="1"/>
    <col min="1032" max="1032" width="9.140625" style="566"/>
    <col min="1033" max="1033" width="9.28515625" style="566" customWidth="1"/>
    <col min="1034" max="1034" width="9.5703125" style="566" customWidth="1"/>
    <col min="1035" max="1036" width="9.140625" style="566"/>
    <col min="1037" max="1037" width="10.28515625" style="566" customWidth="1"/>
    <col min="1038" max="1039" width="10.7109375" style="566" customWidth="1"/>
    <col min="1040" max="1278" width="9.140625" style="566"/>
    <col min="1279" max="1279" width="3.42578125" style="566" customWidth="1"/>
    <col min="1280" max="1280" width="17.7109375" style="566" customWidth="1"/>
    <col min="1281" max="1281" width="10.7109375" style="566" customWidth="1"/>
    <col min="1282" max="1282" width="11.140625" style="566" customWidth="1"/>
    <col min="1283" max="1283" width="9.28515625" style="566" customWidth="1"/>
    <col min="1284" max="1284" width="10.5703125" style="566" customWidth="1"/>
    <col min="1285" max="1285" width="11" style="566" customWidth="1"/>
    <col min="1286" max="1286" width="10.7109375" style="566" customWidth="1"/>
    <col min="1287" max="1287" width="11" style="566" customWidth="1"/>
    <col min="1288" max="1288" width="9.140625" style="566"/>
    <col min="1289" max="1289" width="9.28515625" style="566" customWidth="1"/>
    <col min="1290" max="1290" width="9.5703125" style="566" customWidth="1"/>
    <col min="1291" max="1292" width="9.140625" style="566"/>
    <col min="1293" max="1293" width="10.28515625" style="566" customWidth="1"/>
    <col min="1294" max="1295" width="10.7109375" style="566" customWidth="1"/>
    <col min="1296" max="1534" width="9.140625" style="566"/>
    <col min="1535" max="1535" width="3.42578125" style="566" customWidth="1"/>
    <col min="1536" max="1536" width="17.7109375" style="566" customWidth="1"/>
    <col min="1537" max="1537" width="10.7109375" style="566" customWidth="1"/>
    <col min="1538" max="1538" width="11.140625" style="566" customWidth="1"/>
    <col min="1539" max="1539" width="9.28515625" style="566" customWidth="1"/>
    <col min="1540" max="1540" width="10.5703125" style="566" customWidth="1"/>
    <col min="1541" max="1541" width="11" style="566" customWidth="1"/>
    <col min="1542" max="1542" width="10.7109375" style="566" customWidth="1"/>
    <col min="1543" max="1543" width="11" style="566" customWidth="1"/>
    <col min="1544" max="1544" width="9.140625" style="566"/>
    <col min="1545" max="1545" width="9.28515625" style="566" customWidth="1"/>
    <col min="1546" max="1546" width="9.5703125" style="566" customWidth="1"/>
    <col min="1547" max="1548" width="9.140625" style="566"/>
    <col min="1549" max="1549" width="10.28515625" style="566" customWidth="1"/>
    <col min="1550" max="1551" width="10.7109375" style="566" customWidth="1"/>
    <col min="1552" max="1790" width="9.140625" style="566"/>
    <col min="1791" max="1791" width="3.42578125" style="566" customWidth="1"/>
    <col min="1792" max="1792" width="17.7109375" style="566" customWidth="1"/>
    <col min="1793" max="1793" width="10.7109375" style="566" customWidth="1"/>
    <col min="1794" max="1794" width="11.140625" style="566" customWidth="1"/>
    <col min="1795" max="1795" width="9.28515625" style="566" customWidth="1"/>
    <col min="1796" max="1796" width="10.5703125" style="566" customWidth="1"/>
    <col min="1797" max="1797" width="11" style="566" customWidth="1"/>
    <col min="1798" max="1798" width="10.7109375" style="566" customWidth="1"/>
    <col min="1799" max="1799" width="11" style="566" customWidth="1"/>
    <col min="1800" max="1800" width="9.140625" style="566"/>
    <col min="1801" max="1801" width="9.28515625" style="566" customWidth="1"/>
    <col min="1802" max="1802" width="9.5703125" style="566" customWidth="1"/>
    <col min="1803" max="1804" width="9.140625" style="566"/>
    <col min="1805" max="1805" width="10.28515625" style="566" customWidth="1"/>
    <col min="1806" max="1807" width="10.7109375" style="566" customWidth="1"/>
    <col min="1808" max="2046" width="9.140625" style="566"/>
    <col min="2047" max="2047" width="3.42578125" style="566" customWidth="1"/>
    <col min="2048" max="2048" width="17.7109375" style="566" customWidth="1"/>
    <col min="2049" max="2049" width="10.7109375" style="566" customWidth="1"/>
    <col min="2050" max="2050" width="11.140625" style="566" customWidth="1"/>
    <col min="2051" max="2051" width="9.28515625" style="566" customWidth="1"/>
    <col min="2052" max="2052" width="10.5703125" style="566" customWidth="1"/>
    <col min="2053" max="2053" width="11" style="566" customWidth="1"/>
    <col min="2054" max="2054" width="10.7109375" style="566" customWidth="1"/>
    <col min="2055" max="2055" width="11" style="566" customWidth="1"/>
    <col min="2056" max="2056" width="9.140625" style="566"/>
    <col min="2057" max="2057" width="9.28515625" style="566" customWidth="1"/>
    <col min="2058" max="2058" width="9.5703125" style="566" customWidth="1"/>
    <col min="2059" max="2060" width="9.140625" style="566"/>
    <col min="2061" max="2061" width="10.28515625" style="566" customWidth="1"/>
    <col min="2062" max="2063" width="10.7109375" style="566" customWidth="1"/>
    <col min="2064" max="2302" width="9.140625" style="566"/>
    <col min="2303" max="2303" width="3.42578125" style="566" customWidth="1"/>
    <col min="2304" max="2304" width="17.7109375" style="566" customWidth="1"/>
    <col min="2305" max="2305" width="10.7109375" style="566" customWidth="1"/>
    <col min="2306" max="2306" width="11.140625" style="566" customWidth="1"/>
    <col min="2307" max="2307" width="9.28515625" style="566" customWidth="1"/>
    <col min="2308" max="2308" width="10.5703125" style="566" customWidth="1"/>
    <col min="2309" max="2309" width="11" style="566" customWidth="1"/>
    <col min="2310" max="2310" width="10.7109375" style="566" customWidth="1"/>
    <col min="2311" max="2311" width="11" style="566" customWidth="1"/>
    <col min="2312" max="2312" width="9.140625" style="566"/>
    <col min="2313" max="2313" width="9.28515625" style="566" customWidth="1"/>
    <col min="2314" max="2314" width="9.5703125" style="566" customWidth="1"/>
    <col min="2315" max="2316" width="9.140625" style="566"/>
    <col min="2317" max="2317" width="10.28515625" style="566" customWidth="1"/>
    <col min="2318" max="2319" width="10.7109375" style="566" customWidth="1"/>
    <col min="2320" max="2558" width="9.140625" style="566"/>
    <col min="2559" max="2559" width="3.42578125" style="566" customWidth="1"/>
    <col min="2560" max="2560" width="17.7109375" style="566" customWidth="1"/>
    <col min="2561" max="2561" width="10.7109375" style="566" customWidth="1"/>
    <col min="2562" max="2562" width="11.140625" style="566" customWidth="1"/>
    <col min="2563" max="2563" width="9.28515625" style="566" customWidth="1"/>
    <col min="2564" max="2564" width="10.5703125" style="566" customWidth="1"/>
    <col min="2565" max="2565" width="11" style="566" customWidth="1"/>
    <col min="2566" max="2566" width="10.7109375" style="566" customWidth="1"/>
    <col min="2567" max="2567" width="11" style="566" customWidth="1"/>
    <col min="2568" max="2568" width="9.140625" style="566"/>
    <col min="2569" max="2569" width="9.28515625" style="566" customWidth="1"/>
    <col min="2570" max="2570" width="9.5703125" style="566" customWidth="1"/>
    <col min="2571" max="2572" width="9.140625" style="566"/>
    <col min="2573" max="2573" width="10.28515625" style="566" customWidth="1"/>
    <col min="2574" max="2575" width="10.7109375" style="566" customWidth="1"/>
    <col min="2576" max="2814" width="9.140625" style="566"/>
    <col min="2815" max="2815" width="3.42578125" style="566" customWidth="1"/>
    <col min="2816" max="2816" width="17.7109375" style="566" customWidth="1"/>
    <col min="2817" max="2817" width="10.7109375" style="566" customWidth="1"/>
    <col min="2818" max="2818" width="11.140625" style="566" customWidth="1"/>
    <col min="2819" max="2819" width="9.28515625" style="566" customWidth="1"/>
    <col min="2820" max="2820" width="10.5703125" style="566" customWidth="1"/>
    <col min="2821" max="2821" width="11" style="566" customWidth="1"/>
    <col min="2822" max="2822" width="10.7109375" style="566" customWidth="1"/>
    <col min="2823" max="2823" width="11" style="566" customWidth="1"/>
    <col min="2824" max="2824" width="9.140625" style="566"/>
    <col min="2825" max="2825" width="9.28515625" style="566" customWidth="1"/>
    <col min="2826" max="2826" width="9.5703125" style="566" customWidth="1"/>
    <col min="2827" max="2828" width="9.140625" style="566"/>
    <col min="2829" max="2829" width="10.28515625" style="566" customWidth="1"/>
    <col min="2830" max="2831" width="10.7109375" style="566" customWidth="1"/>
    <col min="2832" max="3070" width="9.140625" style="566"/>
    <col min="3071" max="3071" width="3.42578125" style="566" customWidth="1"/>
    <col min="3072" max="3072" width="17.7109375" style="566" customWidth="1"/>
    <col min="3073" max="3073" width="10.7109375" style="566" customWidth="1"/>
    <col min="3074" max="3074" width="11.140625" style="566" customWidth="1"/>
    <col min="3075" max="3075" width="9.28515625" style="566" customWidth="1"/>
    <col min="3076" max="3076" width="10.5703125" style="566" customWidth="1"/>
    <col min="3077" max="3077" width="11" style="566" customWidth="1"/>
    <col min="3078" max="3078" width="10.7109375" style="566" customWidth="1"/>
    <col min="3079" max="3079" width="11" style="566" customWidth="1"/>
    <col min="3080" max="3080" width="9.140625" style="566"/>
    <col min="3081" max="3081" width="9.28515625" style="566" customWidth="1"/>
    <col min="3082" max="3082" width="9.5703125" style="566" customWidth="1"/>
    <col min="3083" max="3084" width="9.140625" style="566"/>
    <col min="3085" max="3085" width="10.28515625" style="566" customWidth="1"/>
    <col min="3086" max="3087" width="10.7109375" style="566" customWidth="1"/>
    <col min="3088" max="3326" width="9.140625" style="566"/>
    <col min="3327" max="3327" width="3.42578125" style="566" customWidth="1"/>
    <col min="3328" max="3328" width="17.7109375" style="566" customWidth="1"/>
    <col min="3329" max="3329" width="10.7109375" style="566" customWidth="1"/>
    <col min="3330" max="3330" width="11.140625" style="566" customWidth="1"/>
    <col min="3331" max="3331" width="9.28515625" style="566" customWidth="1"/>
    <col min="3332" max="3332" width="10.5703125" style="566" customWidth="1"/>
    <col min="3333" max="3333" width="11" style="566" customWidth="1"/>
    <col min="3334" max="3334" width="10.7109375" style="566" customWidth="1"/>
    <col min="3335" max="3335" width="11" style="566" customWidth="1"/>
    <col min="3336" max="3336" width="9.140625" style="566"/>
    <col min="3337" max="3337" width="9.28515625" style="566" customWidth="1"/>
    <col min="3338" max="3338" width="9.5703125" style="566" customWidth="1"/>
    <col min="3339" max="3340" width="9.140625" style="566"/>
    <col min="3341" max="3341" width="10.28515625" style="566" customWidth="1"/>
    <col min="3342" max="3343" width="10.7109375" style="566" customWidth="1"/>
    <col min="3344" max="3582" width="9.140625" style="566"/>
    <col min="3583" max="3583" width="3.42578125" style="566" customWidth="1"/>
    <col min="3584" max="3584" width="17.7109375" style="566" customWidth="1"/>
    <col min="3585" max="3585" width="10.7109375" style="566" customWidth="1"/>
    <col min="3586" max="3586" width="11.140625" style="566" customWidth="1"/>
    <col min="3587" max="3587" width="9.28515625" style="566" customWidth="1"/>
    <col min="3588" max="3588" width="10.5703125" style="566" customWidth="1"/>
    <col min="3589" max="3589" width="11" style="566" customWidth="1"/>
    <col min="3590" max="3590" width="10.7109375" style="566" customWidth="1"/>
    <col min="3591" max="3591" width="11" style="566" customWidth="1"/>
    <col min="3592" max="3592" width="9.140625" style="566"/>
    <col min="3593" max="3593" width="9.28515625" style="566" customWidth="1"/>
    <col min="3594" max="3594" width="9.5703125" style="566" customWidth="1"/>
    <col min="3595" max="3596" width="9.140625" style="566"/>
    <col min="3597" max="3597" width="10.28515625" style="566" customWidth="1"/>
    <col min="3598" max="3599" width="10.7109375" style="566" customWidth="1"/>
    <col min="3600" max="3838" width="9.140625" style="566"/>
    <col min="3839" max="3839" width="3.42578125" style="566" customWidth="1"/>
    <col min="3840" max="3840" width="17.7109375" style="566" customWidth="1"/>
    <col min="3841" max="3841" width="10.7109375" style="566" customWidth="1"/>
    <col min="3842" max="3842" width="11.140625" style="566" customWidth="1"/>
    <col min="3843" max="3843" width="9.28515625" style="566" customWidth="1"/>
    <col min="3844" max="3844" width="10.5703125" style="566" customWidth="1"/>
    <col min="3845" max="3845" width="11" style="566" customWidth="1"/>
    <col min="3846" max="3846" width="10.7109375" style="566" customWidth="1"/>
    <col min="3847" max="3847" width="11" style="566" customWidth="1"/>
    <col min="3848" max="3848" width="9.140625" style="566"/>
    <col min="3849" max="3849" width="9.28515625" style="566" customWidth="1"/>
    <col min="3850" max="3850" width="9.5703125" style="566" customWidth="1"/>
    <col min="3851" max="3852" width="9.140625" style="566"/>
    <col min="3853" max="3853" width="10.28515625" style="566" customWidth="1"/>
    <col min="3854" max="3855" width="10.7109375" style="566" customWidth="1"/>
    <col min="3856" max="4094" width="9.140625" style="566"/>
    <col min="4095" max="4095" width="3.42578125" style="566" customWidth="1"/>
    <col min="4096" max="4096" width="17.7109375" style="566" customWidth="1"/>
    <col min="4097" max="4097" width="10.7109375" style="566" customWidth="1"/>
    <col min="4098" max="4098" width="11.140625" style="566" customWidth="1"/>
    <col min="4099" max="4099" width="9.28515625" style="566" customWidth="1"/>
    <col min="4100" max="4100" width="10.5703125" style="566" customWidth="1"/>
    <col min="4101" max="4101" width="11" style="566" customWidth="1"/>
    <col min="4102" max="4102" width="10.7109375" style="566" customWidth="1"/>
    <col min="4103" max="4103" width="11" style="566" customWidth="1"/>
    <col min="4104" max="4104" width="9.140625" style="566"/>
    <col min="4105" max="4105" width="9.28515625" style="566" customWidth="1"/>
    <col min="4106" max="4106" width="9.5703125" style="566" customWidth="1"/>
    <col min="4107" max="4108" width="9.140625" style="566"/>
    <col min="4109" max="4109" width="10.28515625" style="566" customWidth="1"/>
    <col min="4110" max="4111" width="10.7109375" style="566" customWidth="1"/>
    <col min="4112" max="4350" width="9.140625" style="566"/>
    <col min="4351" max="4351" width="3.42578125" style="566" customWidth="1"/>
    <col min="4352" max="4352" width="17.7109375" style="566" customWidth="1"/>
    <col min="4353" max="4353" width="10.7109375" style="566" customWidth="1"/>
    <col min="4354" max="4354" width="11.140625" style="566" customWidth="1"/>
    <col min="4355" max="4355" width="9.28515625" style="566" customWidth="1"/>
    <col min="4356" max="4356" width="10.5703125" style="566" customWidth="1"/>
    <col min="4357" max="4357" width="11" style="566" customWidth="1"/>
    <col min="4358" max="4358" width="10.7109375" style="566" customWidth="1"/>
    <col min="4359" max="4359" width="11" style="566" customWidth="1"/>
    <col min="4360" max="4360" width="9.140625" style="566"/>
    <col min="4361" max="4361" width="9.28515625" style="566" customWidth="1"/>
    <col min="4362" max="4362" width="9.5703125" style="566" customWidth="1"/>
    <col min="4363" max="4364" width="9.140625" style="566"/>
    <col min="4365" max="4365" width="10.28515625" style="566" customWidth="1"/>
    <col min="4366" max="4367" width="10.7109375" style="566" customWidth="1"/>
    <col min="4368" max="4606" width="9.140625" style="566"/>
    <col min="4607" max="4607" width="3.42578125" style="566" customWidth="1"/>
    <col min="4608" max="4608" width="17.7109375" style="566" customWidth="1"/>
    <col min="4609" max="4609" width="10.7109375" style="566" customWidth="1"/>
    <col min="4610" max="4610" width="11.140625" style="566" customWidth="1"/>
    <col min="4611" max="4611" width="9.28515625" style="566" customWidth="1"/>
    <col min="4612" max="4612" width="10.5703125" style="566" customWidth="1"/>
    <col min="4613" max="4613" width="11" style="566" customWidth="1"/>
    <col min="4614" max="4614" width="10.7109375" style="566" customWidth="1"/>
    <col min="4615" max="4615" width="11" style="566" customWidth="1"/>
    <col min="4616" max="4616" width="9.140625" style="566"/>
    <col min="4617" max="4617" width="9.28515625" style="566" customWidth="1"/>
    <col min="4618" max="4618" width="9.5703125" style="566" customWidth="1"/>
    <col min="4619" max="4620" width="9.140625" style="566"/>
    <col min="4621" max="4621" width="10.28515625" style="566" customWidth="1"/>
    <col min="4622" max="4623" width="10.7109375" style="566" customWidth="1"/>
    <col min="4624" max="4862" width="9.140625" style="566"/>
    <col min="4863" max="4863" width="3.42578125" style="566" customWidth="1"/>
    <col min="4864" max="4864" width="17.7109375" style="566" customWidth="1"/>
    <col min="4865" max="4865" width="10.7109375" style="566" customWidth="1"/>
    <col min="4866" max="4866" width="11.140625" style="566" customWidth="1"/>
    <col min="4867" max="4867" width="9.28515625" style="566" customWidth="1"/>
    <col min="4868" max="4868" width="10.5703125" style="566" customWidth="1"/>
    <col min="4869" max="4869" width="11" style="566" customWidth="1"/>
    <col min="4870" max="4870" width="10.7109375" style="566" customWidth="1"/>
    <col min="4871" max="4871" width="11" style="566" customWidth="1"/>
    <col min="4872" max="4872" width="9.140625" style="566"/>
    <col min="4873" max="4873" width="9.28515625" style="566" customWidth="1"/>
    <col min="4874" max="4874" width="9.5703125" style="566" customWidth="1"/>
    <col min="4875" max="4876" width="9.140625" style="566"/>
    <col min="4877" max="4877" width="10.28515625" style="566" customWidth="1"/>
    <col min="4878" max="4879" width="10.7109375" style="566" customWidth="1"/>
    <col min="4880" max="5118" width="9.140625" style="566"/>
    <col min="5119" max="5119" width="3.42578125" style="566" customWidth="1"/>
    <col min="5120" max="5120" width="17.7109375" style="566" customWidth="1"/>
    <col min="5121" max="5121" width="10.7109375" style="566" customWidth="1"/>
    <col min="5122" max="5122" width="11.140625" style="566" customWidth="1"/>
    <col min="5123" max="5123" width="9.28515625" style="566" customWidth="1"/>
    <col min="5124" max="5124" width="10.5703125" style="566" customWidth="1"/>
    <col min="5125" max="5125" width="11" style="566" customWidth="1"/>
    <col min="5126" max="5126" width="10.7109375" style="566" customWidth="1"/>
    <col min="5127" max="5127" width="11" style="566" customWidth="1"/>
    <col min="5128" max="5128" width="9.140625" style="566"/>
    <col min="5129" max="5129" width="9.28515625" style="566" customWidth="1"/>
    <col min="5130" max="5130" width="9.5703125" style="566" customWidth="1"/>
    <col min="5131" max="5132" width="9.140625" style="566"/>
    <col min="5133" max="5133" width="10.28515625" style="566" customWidth="1"/>
    <col min="5134" max="5135" width="10.7109375" style="566" customWidth="1"/>
    <col min="5136" max="5374" width="9.140625" style="566"/>
    <col min="5375" max="5375" width="3.42578125" style="566" customWidth="1"/>
    <col min="5376" max="5376" width="17.7109375" style="566" customWidth="1"/>
    <col min="5377" max="5377" width="10.7109375" style="566" customWidth="1"/>
    <col min="5378" max="5378" width="11.140625" style="566" customWidth="1"/>
    <col min="5379" max="5379" width="9.28515625" style="566" customWidth="1"/>
    <col min="5380" max="5380" width="10.5703125" style="566" customWidth="1"/>
    <col min="5381" max="5381" width="11" style="566" customWidth="1"/>
    <col min="5382" max="5382" width="10.7109375" style="566" customWidth="1"/>
    <col min="5383" max="5383" width="11" style="566" customWidth="1"/>
    <col min="5384" max="5384" width="9.140625" style="566"/>
    <col min="5385" max="5385" width="9.28515625" style="566" customWidth="1"/>
    <col min="5386" max="5386" width="9.5703125" style="566" customWidth="1"/>
    <col min="5387" max="5388" width="9.140625" style="566"/>
    <col min="5389" max="5389" width="10.28515625" style="566" customWidth="1"/>
    <col min="5390" max="5391" width="10.7109375" style="566" customWidth="1"/>
    <col min="5392" max="5630" width="9.140625" style="566"/>
    <col min="5631" max="5631" width="3.42578125" style="566" customWidth="1"/>
    <col min="5632" max="5632" width="17.7109375" style="566" customWidth="1"/>
    <col min="5633" max="5633" width="10.7109375" style="566" customWidth="1"/>
    <col min="5634" max="5634" width="11.140625" style="566" customWidth="1"/>
    <col min="5635" max="5635" width="9.28515625" style="566" customWidth="1"/>
    <col min="5636" max="5636" width="10.5703125" style="566" customWidth="1"/>
    <col min="5637" max="5637" width="11" style="566" customWidth="1"/>
    <col min="5638" max="5638" width="10.7109375" style="566" customWidth="1"/>
    <col min="5639" max="5639" width="11" style="566" customWidth="1"/>
    <col min="5640" max="5640" width="9.140625" style="566"/>
    <col min="5641" max="5641" width="9.28515625" style="566" customWidth="1"/>
    <col min="5642" max="5642" width="9.5703125" style="566" customWidth="1"/>
    <col min="5643" max="5644" width="9.140625" style="566"/>
    <col min="5645" max="5645" width="10.28515625" style="566" customWidth="1"/>
    <col min="5646" max="5647" width="10.7109375" style="566" customWidth="1"/>
    <col min="5648" max="5886" width="9.140625" style="566"/>
    <col min="5887" max="5887" width="3.42578125" style="566" customWidth="1"/>
    <col min="5888" max="5888" width="17.7109375" style="566" customWidth="1"/>
    <col min="5889" max="5889" width="10.7109375" style="566" customWidth="1"/>
    <col min="5890" max="5890" width="11.140625" style="566" customWidth="1"/>
    <col min="5891" max="5891" width="9.28515625" style="566" customWidth="1"/>
    <col min="5892" max="5892" width="10.5703125" style="566" customWidth="1"/>
    <col min="5893" max="5893" width="11" style="566" customWidth="1"/>
    <col min="5894" max="5894" width="10.7109375" style="566" customWidth="1"/>
    <col min="5895" max="5895" width="11" style="566" customWidth="1"/>
    <col min="5896" max="5896" width="9.140625" style="566"/>
    <col min="5897" max="5897" width="9.28515625" style="566" customWidth="1"/>
    <col min="5898" max="5898" width="9.5703125" style="566" customWidth="1"/>
    <col min="5899" max="5900" width="9.140625" style="566"/>
    <col min="5901" max="5901" width="10.28515625" style="566" customWidth="1"/>
    <col min="5902" max="5903" width="10.7109375" style="566" customWidth="1"/>
    <col min="5904" max="6142" width="9.140625" style="566"/>
    <col min="6143" max="6143" width="3.42578125" style="566" customWidth="1"/>
    <col min="6144" max="6144" width="17.7109375" style="566" customWidth="1"/>
    <col min="6145" max="6145" width="10.7109375" style="566" customWidth="1"/>
    <col min="6146" max="6146" width="11.140625" style="566" customWidth="1"/>
    <col min="6147" max="6147" width="9.28515625" style="566" customWidth="1"/>
    <col min="6148" max="6148" width="10.5703125" style="566" customWidth="1"/>
    <col min="6149" max="6149" width="11" style="566" customWidth="1"/>
    <col min="6150" max="6150" width="10.7109375" style="566" customWidth="1"/>
    <col min="6151" max="6151" width="11" style="566" customWidth="1"/>
    <col min="6152" max="6152" width="9.140625" style="566"/>
    <col min="6153" max="6153" width="9.28515625" style="566" customWidth="1"/>
    <col min="6154" max="6154" width="9.5703125" style="566" customWidth="1"/>
    <col min="6155" max="6156" width="9.140625" style="566"/>
    <col min="6157" max="6157" width="10.28515625" style="566" customWidth="1"/>
    <col min="6158" max="6159" width="10.7109375" style="566" customWidth="1"/>
    <col min="6160" max="6398" width="9.140625" style="566"/>
    <col min="6399" max="6399" width="3.42578125" style="566" customWidth="1"/>
    <col min="6400" max="6400" width="17.7109375" style="566" customWidth="1"/>
    <col min="6401" max="6401" width="10.7109375" style="566" customWidth="1"/>
    <col min="6402" max="6402" width="11.140625" style="566" customWidth="1"/>
    <col min="6403" max="6403" width="9.28515625" style="566" customWidth="1"/>
    <col min="6404" max="6404" width="10.5703125" style="566" customWidth="1"/>
    <col min="6405" max="6405" width="11" style="566" customWidth="1"/>
    <col min="6406" max="6406" width="10.7109375" style="566" customWidth="1"/>
    <col min="6407" max="6407" width="11" style="566" customWidth="1"/>
    <col min="6408" max="6408" width="9.140625" style="566"/>
    <col min="6409" max="6409" width="9.28515625" style="566" customWidth="1"/>
    <col min="6410" max="6410" width="9.5703125" style="566" customWidth="1"/>
    <col min="6411" max="6412" width="9.140625" style="566"/>
    <col min="6413" max="6413" width="10.28515625" style="566" customWidth="1"/>
    <col min="6414" max="6415" width="10.7109375" style="566" customWidth="1"/>
    <col min="6416" max="6654" width="9.140625" style="566"/>
    <col min="6655" max="6655" width="3.42578125" style="566" customWidth="1"/>
    <col min="6656" max="6656" width="17.7109375" style="566" customWidth="1"/>
    <col min="6657" max="6657" width="10.7109375" style="566" customWidth="1"/>
    <col min="6658" max="6658" width="11.140625" style="566" customWidth="1"/>
    <col min="6659" max="6659" width="9.28515625" style="566" customWidth="1"/>
    <col min="6660" max="6660" width="10.5703125" style="566" customWidth="1"/>
    <col min="6661" max="6661" width="11" style="566" customWidth="1"/>
    <col min="6662" max="6662" width="10.7109375" style="566" customWidth="1"/>
    <col min="6663" max="6663" width="11" style="566" customWidth="1"/>
    <col min="6664" max="6664" width="9.140625" style="566"/>
    <col min="6665" max="6665" width="9.28515625" style="566" customWidth="1"/>
    <col min="6666" max="6666" width="9.5703125" style="566" customWidth="1"/>
    <col min="6667" max="6668" width="9.140625" style="566"/>
    <col min="6669" max="6669" width="10.28515625" style="566" customWidth="1"/>
    <col min="6670" max="6671" width="10.7109375" style="566" customWidth="1"/>
    <col min="6672" max="6910" width="9.140625" style="566"/>
    <col min="6911" max="6911" width="3.42578125" style="566" customWidth="1"/>
    <col min="6912" max="6912" width="17.7109375" style="566" customWidth="1"/>
    <col min="6913" max="6913" width="10.7109375" style="566" customWidth="1"/>
    <col min="6914" max="6914" width="11.140625" style="566" customWidth="1"/>
    <col min="6915" max="6915" width="9.28515625" style="566" customWidth="1"/>
    <col min="6916" max="6916" width="10.5703125" style="566" customWidth="1"/>
    <col min="6917" max="6917" width="11" style="566" customWidth="1"/>
    <col min="6918" max="6918" width="10.7109375" style="566" customWidth="1"/>
    <col min="6919" max="6919" width="11" style="566" customWidth="1"/>
    <col min="6920" max="6920" width="9.140625" style="566"/>
    <col min="6921" max="6921" width="9.28515625" style="566" customWidth="1"/>
    <col min="6922" max="6922" width="9.5703125" style="566" customWidth="1"/>
    <col min="6923" max="6924" width="9.140625" style="566"/>
    <col min="6925" max="6925" width="10.28515625" style="566" customWidth="1"/>
    <col min="6926" max="6927" width="10.7109375" style="566" customWidth="1"/>
    <col min="6928" max="7166" width="9.140625" style="566"/>
    <col min="7167" max="7167" width="3.42578125" style="566" customWidth="1"/>
    <col min="7168" max="7168" width="17.7109375" style="566" customWidth="1"/>
    <col min="7169" max="7169" width="10.7109375" style="566" customWidth="1"/>
    <col min="7170" max="7170" width="11.140625" style="566" customWidth="1"/>
    <col min="7171" max="7171" width="9.28515625" style="566" customWidth="1"/>
    <col min="7172" max="7172" width="10.5703125" style="566" customWidth="1"/>
    <col min="7173" max="7173" width="11" style="566" customWidth="1"/>
    <col min="7174" max="7174" width="10.7109375" style="566" customWidth="1"/>
    <col min="7175" max="7175" width="11" style="566" customWidth="1"/>
    <col min="7176" max="7176" width="9.140625" style="566"/>
    <col min="7177" max="7177" width="9.28515625" style="566" customWidth="1"/>
    <col min="7178" max="7178" width="9.5703125" style="566" customWidth="1"/>
    <col min="7179" max="7180" width="9.140625" style="566"/>
    <col min="7181" max="7181" width="10.28515625" style="566" customWidth="1"/>
    <col min="7182" max="7183" width="10.7109375" style="566" customWidth="1"/>
    <col min="7184" max="7422" width="9.140625" style="566"/>
    <col min="7423" max="7423" width="3.42578125" style="566" customWidth="1"/>
    <col min="7424" max="7424" width="17.7109375" style="566" customWidth="1"/>
    <col min="7425" max="7425" width="10.7109375" style="566" customWidth="1"/>
    <col min="7426" max="7426" width="11.140625" style="566" customWidth="1"/>
    <col min="7427" max="7427" width="9.28515625" style="566" customWidth="1"/>
    <col min="7428" max="7428" width="10.5703125" style="566" customWidth="1"/>
    <col min="7429" max="7429" width="11" style="566" customWidth="1"/>
    <col min="7430" max="7430" width="10.7109375" style="566" customWidth="1"/>
    <col min="7431" max="7431" width="11" style="566" customWidth="1"/>
    <col min="7432" max="7432" width="9.140625" style="566"/>
    <col min="7433" max="7433" width="9.28515625" style="566" customWidth="1"/>
    <col min="7434" max="7434" width="9.5703125" style="566" customWidth="1"/>
    <col min="7435" max="7436" width="9.140625" style="566"/>
    <col min="7437" max="7437" width="10.28515625" style="566" customWidth="1"/>
    <col min="7438" max="7439" width="10.7109375" style="566" customWidth="1"/>
    <col min="7440" max="7678" width="9.140625" style="566"/>
    <col min="7679" max="7679" width="3.42578125" style="566" customWidth="1"/>
    <col min="7680" max="7680" width="17.7109375" style="566" customWidth="1"/>
    <col min="7681" max="7681" width="10.7109375" style="566" customWidth="1"/>
    <col min="7682" max="7682" width="11.140625" style="566" customWidth="1"/>
    <col min="7683" max="7683" width="9.28515625" style="566" customWidth="1"/>
    <col min="7684" max="7684" width="10.5703125" style="566" customWidth="1"/>
    <col min="7685" max="7685" width="11" style="566" customWidth="1"/>
    <col min="7686" max="7686" width="10.7109375" style="566" customWidth="1"/>
    <col min="7687" max="7687" width="11" style="566" customWidth="1"/>
    <col min="7688" max="7688" width="9.140625" style="566"/>
    <col min="7689" max="7689" width="9.28515625" style="566" customWidth="1"/>
    <col min="7690" max="7690" width="9.5703125" style="566" customWidth="1"/>
    <col min="7691" max="7692" width="9.140625" style="566"/>
    <col min="7693" max="7693" width="10.28515625" style="566" customWidth="1"/>
    <col min="7694" max="7695" width="10.7109375" style="566" customWidth="1"/>
    <col min="7696" max="7934" width="9.140625" style="566"/>
    <col min="7935" max="7935" width="3.42578125" style="566" customWidth="1"/>
    <col min="7936" max="7936" width="17.7109375" style="566" customWidth="1"/>
    <col min="7937" max="7937" width="10.7109375" style="566" customWidth="1"/>
    <col min="7938" max="7938" width="11.140625" style="566" customWidth="1"/>
    <col min="7939" max="7939" width="9.28515625" style="566" customWidth="1"/>
    <col min="7940" max="7940" width="10.5703125" style="566" customWidth="1"/>
    <col min="7941" max="7941" width="11" style="566" customWidth="1"/>
    <col min="7942" max="7942" width="10.7109375" style="566" customWidth="1"/>
    <col min="7943" max="7943" width="11" style="566" customWidth="1"/>
    <col min="7944" max="7944" width="9.140625" style="566"/>
    <col min="7945" max="7945" width="9.28515625" style="566" customWidth="1"/>
    <col min="7946" max="7946" width="9.5703125" style="566" customWidth="1"/>
    <col min="7947" max="7948" width="9.140625" style="566"/>
    <col min="7949" max="7949" width="10.28515625" style="566" customWidth="1"/>
    <col min="7950" max="7951" width="10.7109375" style="566" customWidth="1"/>
    <col min="7952" max="8190" width="9.140625" style="566"/>
    <col min="8191" max="8191" width="3.42578125" style="566" customWidth="1"/>
    <col min="8192" max="8192" width="17.7109375" style="566" customWidth="1"/>
    <col min="8193" max="8193" width="10.7109375" style="566" customWidth="1"/>
    <col min="8194" max="8194" width="11.140625" style="566" customWidth="1"/>
    <col min="8195" max="8195" width="9.28515625" style="566" customWidth="1"/>
    <col min="8196" max="8196" width="10.5703125" style="566" customWidth="1"/>
    <col min="8197" max="8197" width="11" style="566" customWidth="1"/>
    <col min="8198" max="8198" width="10.7109375" style="566" customWidth="1"/>
    <col min="8199" max="8199" width="11" style="566" customWidth="1"/>
    <col min="8200" max="8200" width="9.140625" style="566"/>
    <col min="8201" max="8201" width="9.28515625" style="566" customWidth="1"/>
    <col min="8202" max="8202" width="9.5703125" style="566" customWidth="1"/>
    <col min="8203" max="8204" width="9.140625" style="566"/>
    <col min="8205" max="8205" width="10.28515625" style="566" customWidth="1"/>
    <col min="8206" max="8207" width="10.7109375" style="566" customWidth="1"/>
    <col min="8208" max="8446" width="9.140625" style="566"/>
    <col min="8447" max="8447" width="3.42578125" style="566" customWidth="1"/>
    <col min="8448" max="8448" width="17.7109375" style="566" customWidth="1"/>
    <col min="8449" max="8449" width="10.7109375" style="566" customWidth="1"/>
    <col min="8450" max="8450" width="11.140625" style="566" customWidth="1"/>
    <col min="8451" max="8451" width="9.28515625" style="566" customWidth="1"/>
    <col min="8452" max="8452" width="10.5703125" style="566" customWidth="1"/>
    <col min="8453" max="8453" width="11" style="566" customWidth="1"/>
    <col min="8454" max="8454" width="10.7109375" style="566" customWidth="1"/>
    <col min="8455" max="8455" width="11" style="566" customWidth="1"/>
    <col min="8456" max="8456" width="9.140625" style="566"/>
    <col min="8457" max="8457" width="9.28515625" style="566" customWidth="1"/>
    <col min="8458" max="8458" width="9.5703125" style="566" customWidth="1"/>
    <col min="8459" max="8460" width="9.140625" style="566"/>
    <col min="8461" max="8461" width="10.28515625" style="566" customWidth="1"/>
    <col min="8462" max="8463" width="10.7109375" style="566" customWidth="1"/>
    <col min="8464" max="8702" width="9.140625" style="566"/>
    <col min="8703" max="8703" width="3.42578125" style="566" customWidth="1"/>
    <col min="8704" max="8704" width="17.7109375" style="566" customWidth="1"/>
    <col min="8705" max="8705" width="10.7109375" style="566" customWidth="1"/>
    <col min="8706" max="8706" width="11.140625" style="566" customWidth="1"/>
    <col min="8707" max="8707" width="9.28515625" style="566" customWidth="1"/>
    <col min="8708" max="8708" width="10.5703125" style="566" customWidth="1"/>
    <col min="8709" max="8709" width="11" style="566" customWidth="1"/>
    <col min="8710" max="8710" width="10.7109375" style="566" customWidth="1"/>
    <col min="8711" max="8711" width="11" style="566" customWidth="1"/>
    <col min="8712" max="8712" width="9.140625" style="566"/>
    <col min="8713" max="8713" width="9.28515625" style="566" customWidth="1"/>
    <col min="8714" max="8714" width="9.5703125" style="566" customWidth="1"/>
    <col min="8715" max="8716" width="9.140625" style="566"/>
    <col min="8717" max="8717" width="10.28515625" style="566" customWidth="1"/>
    <col min="8718" max="8719" width="10.7109375" style="566" customWidth="1"/>
    <col min="8720" max="8958" width="9.140625" style="566"/>
    <col min="8959" max="8959" width="3.42578125" style="566" customWidth="1"/>
    <col min="8960" max="8960" width="17.7109375" style="566" customWidth="1"/>
    <col min="8961" max="8961" width="10.7109375" style="566" customWidth="1"/>
    <col min="8962" max="8962" width="11.140625" style="566" customWidth="1"/>
    <col min="8963" max="8963" width="9.28515625" style="566" customWidth="1"/>
    <col min="8964" max="8964" width="10.5703125" style="566" customWidth="1"/>
    <col min="8965" max="8965" width="11" style="566" customWidth="1"/>
    <col min="8966" max="8966" width="10.7109375" style="566" customWidth="1"/>
    <col min="8967" max="8967" width="11" style="566" customWidth="1"/>
    <col min="8968" max="8968" width="9.140625" style="566"/>
    <col min="8969" max="8969" width="9.28515625" style="566" customWidth="1"/>
    <col min="8970" max="8970" width="9.5703125" style="566" customWidth="1"/>
    <col min="8971" max="8972" width="9.140625" style="566"/>
    <col min="8973" max="8973" width="10.28515625" style="566" customWidth="1"/>
    <col min="8974" max="8975" width="10.7109375" style="566" customWidth="1"/>
    <col min="8976" max="9214" width="9.140625" style="566"/>
    <col min="9215" max="9215" width="3.42578125" style="566" customWidth="1"/>
    <col min="9216" max="9216" width="17.7109375" style="566" customWidth="1"/>
    <col min="9217" max="9217" width="10.7109375" style="566" customWidth="1"/>
    <col min="9218" max="9218" width="11.140625" style="566" customWidth="1"/>
    <col min="9219" max="9219" width="9.28515625" style="566" customWidth="1"/>
    <col min="9220" max="9220" width="10.5703125" style="566" customWidth="1"/>
    <col min="9221" max="9221" width="11" style="566" customWidth="1"/>
    <col min="9222" max="9222" width="10.7109375" style="566" customWidth="1"/>
    <col min="9223" max="9223" width="11" style="566" customWidth="1"/>
    <col min="9224" max="9224" width="9.140625" style="566"/>
    <col min="9225" max="9225" width="9.28515625" style="566" customWidth="1"/>
    <col min="9226" max="9226" width="9.5703125" style="566" customWidth="1"/>
    <col min="9227" max="9228" width="9.140625" style="566"/>
    <col min="9229" max="9229" width="10.28515625" style="566" customWidth="1"/>
    <col min="9230" max="9231" width="10.7109375" style="566" customWidth="1"/>
    <col min="9232" max="9470" width="9.140625" style="566"/>
    <col min="9471" max="9471" width="3.42578125" style="566" customWidth="1"/>
    <col min="9472" max="9472" width="17.7109375" style="566" customWidth="1"/>
    <col min="9473" max="9473" width="10.7109375" style="566" customWidth="1"/>
    <col min="9474" max="9474" width="11.140625" style="566" customWidth="1"/>
    <col min="9475" max="9475" width="9.28515625" style="566" customWidth="1"/>
    <col min="9476" max="9476" width="10.5703125" style="566" customWidth="1"/>
    <col min="9477" max="9477" width="11" style="566" customWidth="1"/>
    <col min="9478" max="9478" width="10.7109375" style="566" customWidth="1"/>
    <col min="9479" max="9479" width="11" style="566" customWidth="1"/>
    <col min="9480" max="9480" width="9.140625" style="566"/>
    <col min="9481" max="9481" width="9.28515625" style="566" customWidth="1"/>
    <col min="9482" max="9482" width="9.5703125" style="566" customWidth="1"/>
    <col min="9483" max="9484" width="9.140625" style="566"/>
    <col min="9485" max="9485" width="10.28515625" style="566" customWidth="1"/>
    <col min="9486" max="9487" width="10.7109375" style="566" customWidth="1"/>
    <col min="9488" max="9726" width="9.140625" style="566"/>
    <col min="9727" max="9727" width="3.42578125" style="566" customWidth="1"/>
    <col min="9728" max="9728" width="17.7109375" style="566" customWidth="1"/>
    <col min="9729" max="9729" width="10.7109375" style="566" customWidth="1"/>
    <col min="9730" max="9730" width="11.140625" style="566" customWidth="1"/>
    <col min="9731" max="9731" width="9.28515625" style="566" customWidth="1"/>
    <col min="9732" max="9732" width="10.5703125" style="566" customWidth="1"/>
    <col min="9733" max="9733" width="11" style="566" customWidth="1"/>
    <col min="9734" max="9734" width="10.7109375" style="566" customWidth="1"/>
    <col min="9735" max="9735" width="11" style="566" customWidth="1"/>
    <col min="9736" max="9736" width="9.140625" style="566"/>
    <col min="9737" max="9737" width="9.28515625" style="566" customWidth="1"/>
    <col min="9738" max="9738" width="9.5703125" style="566" customWidth="1"/>
    <col min="9739" max="9740" width="9.140625" style="566"/>
    <col min="9741" max="9741" width="10.28515625" style="566" customWidth="1"/>
    <col min="9742" max="9743" width="10.7109375" style="566" customWidth="1"/>
    <col min="9744" max="9982" width="9.140625" style="566"/>
    <col min="9983" max="9983" width="3.42578125" style="566" customWidth="1"/>
    <col min="9984" max="9984" width="17.7109375" style="566" customWidth="1"/>
    <col min="9985" max="9985" width="10.7109375" style="566" customWidth="1"/>
    <col min="9986" max="9986" width="11.140625" style="566" customWidth="1"/>
    <col min="9987" max="9987" width="9.28515625" style="566" customWidth="1"/>
    <col min="9988" max="9988" width="10.5703125" style="566" customWidth="1"/>
    <col min="9989" max="9989" width="11" style="566" customWidth="1"/>
    <col min="9990" max="9990" width="10.7109375" style="566" customWidth="1"/>
    <col min="9991" max="9991" width="11" style="566" customWidth="1"/>
    <col min="9992" max="9992" width="9.140625" style="566"/>
    <col min="9993" max="9993" width="9.28515625" style="566" customWidth="1"/>
    <col min="9994" max="9994" width="9.5703125" style="566" customWidth="1"/>
    <col min="9995" max="9996" width="9.140625" style="566"/>
    <col min="9997" max="9997" width="10.28515625" style="566" customWidth="1"/>
    <col min="9998" max="9999" width="10.7109375" style="566" customWidth="1"/>
    <col min="10000" max="10238" width="9.140625" style="566"/>
    <col min="10239" max="10239" width="3.42578125" style="566" customWidth="1"/>
    <col min="10240" max="10240" width="17.7109375" style="566" customWidth="1"/>
    <col min="10241" max="10241" width="10.7109375" style="566" customWidth="1"/>
    <col min="10242" max="10242" width="11.140625" style="566" customWidth="1"/>
    <col min="10243" max="10243" width="9.28515625" style="566" customWidth="1"/>
    <col min="10244" max="10244" width="10.5703125" style="566" customWidth="1"/>
    <col min="10245" max="10245" width="11" style="566" customWidth="1"/>
    <col min="10246" max="10246" width="10.7109375" style="566" customWidth="1"/>
    <col min="10247" max="10247" width="11" style="566" customWidth="1"/>
    <col min="10248" max="10248" width="9.140625" style="566"/>
    <col min="10249" max="10249" width="9.28515625" style="566" customWidth="1"/>
    <col min="10250" max="10250" width="9.5703125" style="566" customWidth="1"/>
    <col min="10251" max="10252" width="9.140625" style="566"/>
    <col min="10253" max="10253" width="10.28515625" style="566" customWidth="1"/>
    <col min="10254" max="10255" width="10.7109375" style="566" customWidth="1"/>
    <col min="10256" max="10494" width="9.140625" style="566"/>
    <col min="10495" max="10495" width="3.42578125" style="566" customWidth="1"/>
    <col min="10496" max="10496" width="17.7109375" style="566" customWidth="1"/>
    <col min="10497" max="10497" width="10.7109375" style="566" customWidth="1"/>
    <col min="10498" max="10498" width="11.140625" style="566" customWidth="1"/>
    <col min="10499" max="10499" width="9.28515625" style="566" customWidth="1"/>
    <col min="10500" max="10500" width="10.5703125" style="566" customWidth="1"/>
    <col min="10501" max="10501" width="11" style="566" customWidth="1"/>
    <col min="10502" max="10502" width="10.7109375" style="566" customWidth="1"/>
    <col min="10503" max="10503" width="11" style="566" customWidth="1"/>
    <col min="10504" max="10504" width="9.140625" style="566"/>
    <col min="10505" max="10505" width="9.28515625" style="566" customWidth="1"/>
    <col min="10506" max="10506" width="9.5703125" style="566" customWidth="1"/>
    <col min="10507" max="10508" width="9.140625" style="566"/>
    <col min="10509" max="10509" width="10.28515625" style="566" customWidth="1"/>
    <col min="10510" max="10511" width="10.7109375" style="566" customWidth="1"/>
    <col min="10512" max="10750" width="9.140625" style="566"/>
    <col min="10751" max="10751" width="3.42578125" style="566" customWidth="1"/>
    <col min="10752" max="10752" width="17.7109375" style="566" customWidth="1"/>
    <col min="10753" max="10753" width="10.7109375" style="566" customWidth="1"/>
    <col min="10754" max="10754" width="11.140625" style="566" customWidth="1"/>
    <col min="10755" max="10755" width="9.28515625" style="566" customWidth="1"/>
    <col min="10756" max="10756" width="10.5703125" style="566" customWidth="1"/>
    <col min="10757" max="10757" width="11" style="566" customWidth="1"/>
    <col min="10758" max="10758" width="10.7109375" style="566" customWidth="1"/>
    <col min="10759" max="10759" width="11" style="566" customWidth="1"/>
    <col min="10760" max="10760" width="9.140625" style="566"/>
    <col min="10761" max="10761" width="9.28515625" style="566" customWidth="1"/>
    <col min="10762" max="10762" width="9.5703125" style="566" customWidth="1"/>
    <col min="10763" max="10764" width="9.140625" style="566"/>
    <col min="10765" max="10765" width="10.28515625" style="566" customWidth="1"/>
    <col min="10766" max="10767" width="10.7109375" style="566" customWidth="1"/>
    <col min="10768" max="11006" width="9.140625" style="566"/>
    <col min="11007" max="11007" width="3.42578125" style="566" customWidth="1"/>
    <col min="11008" max="11008" width="17.7109375" style="566" customWidth="1"/>
    <col min="11009" max="11009" width="10.7109375" style="566" customWidth="1"/>
    <col min="11010" max="11010" width="11.140625" style="566" customWidth="1"/>
    <col min="11011" max="11011" width="9.28515625" style="566" customWidth="1"/>
    <col min="11012" max="11012" width="10.5703125" style="566" customWidth="1"/>
    <col min="11013" max="11013" width="11" style="566" customWidth="1"/>
    <col min="11014" max="11014" width="10.7109375" style="566" customWidth="1"/>
    <col min="11015" max="11015" width="11" style="566" customWidth="1"/>
    <col min="11016" max="11016" width="9.140625" style="566"/>
    <col min="11017" max="11017" width="9.28515625" style="566" customWidth="1"/>
    <col min="11018" max="11018" width="9.5703125" style="566" customWidth="1"/>
    <col min="11019" max="11020" width="9.140625" style="566"/>
    <col min="11021" max="11021" width="10.28515625" style="566" customWidth="1"/>
    <col min="11022" max="11023" width="10.7109375" style="566" customWidth="1"/>
    <col min="11024" max="11262" width="9.140625" style="566"/>
    <col min="11263" max="11263" width="3.42578125" style="566" customWidth="1"/>
    <col min="11264" max="11264" width="17.7109375" style="566" customWidth="1"/>
    <col min="11265" max="11265" width="10.7109375" style="566" customWidth="1"/>
    <col min="11266" max="11266" width="11.140625" style="566" customWidth="1"/>
    <col min="11267" max="11267" width="9.28515625" style="566" customWidth="1"/>
    <col min="11268" max="11268" width="10.5703125" style="566" customWidth="1"/>
    <col min="11269" max="11269" width="11" style="566" customWidth="1"/>
    <col min="11270" max="11270" width="10.7109375" style="566" customWidth="1"/>
    <col min="11271" max="11271" width="11" style="566" customWidth="1"/>
    <col min="11272" max="11272" width="9.140625" style="566"/>
    <col min="11273" max="11273" width="9.28515625" style="566" customWidth="1"/>
    <col min="11274" max="11274" width="9.5703125" style="566" customWidth="1"/>
    <col min="11275" max="11276" width="9.140625" style="566"/>
    <col min="11277" max="11277" width="10.28515625" style="566" customWidth="1"/>
    <col min="11278" max="11279" width="10.7109375" style="566" customWidth="1"/>
    <col min="11280" max="11518" width="9.140625" style="566"/>
    <col min="11519" max="11519" width="3.42578125" style="566" customWidth="1"/>
    <col min="11520" max="11520" width="17.7109375" style="566" customWidth="1"/>
    <col min="11521" max="11521" width="10.7109375" style="566" customWidth="1"/>
    <col min="11522" max="11522" width="11.140625" style="566" customWidth="1"/>
    <col min="11523" max="11523" width="9.28515625" style="566" customWidth="1"/>
    <col min="11524" max="11524" width="10.5703125" style="566" customWidth="1"/>
    <col min="11525" max="11525" width="11" style="566" customWidth="1"/>
    <col min="11526" max="11526" width="10.7109375" style="566" customWidth="1"/>
    <col min="11527" max="11527" width="11" style="566" customWidth="1"/>
    <col min="11528" max="11528" width="9.140625" style="566"/>
    <col min="11529" max="11529" width="9.28515625" style="566" customWidth="1"/>
    <col min="11530" max="11530" width="9.5703125" style="566" customWidth="1"/>
    <col min="11531" max="11532" width="9.140625" style="566"/>
    <col min="11533" max="11533" width="10.28515625" style="566" customWidth="1"/>
    <col min="11534" max="11535" width="10.7109375" style="566" customWidth="1"/>
    <col min="11536" max="11774" width="9.140625" style="566"/>
    <col min="11775" max="11775" width="3.42578125" style="566" customWidth="1"/>
    <col min="11776" max="11776" width="17.7109375" style="566" customWidth="1"/>
    <col min="11777" max="11777" width="10.7109375" style="566" customWidth="1"/>
    <col min="11778" max="11778" width="11.140625" style="566" customWidth="1"/>
    <col min="11779" max="11779" width="9.28515625" style="566" customWidth="1"/>
    <col min="11780" max="11780" width="10.5703125" style="566" customWidth="1"/>
    <col min="11781" max="11781" width="11" style="566" customWidth="1"/>
    <col min="11782" max="11782" width="10.7109375" style="566" customWidth="1"/>
    <col min="11783" max="11783" width="11" style="566" customWidth="1"/>
    <col min="11784" max="11784" width="9.140625" style="566"/>
    <col min="11785" max="11785" width="9.28515625" style="566" customWidth="1"/>
    <col min="11786" max="11786" width="9.5703125" style="566" customWidth="1"/>
    <col min="11787" max="11788" width="9.140625" style="566"/>
    <col min="11789" max="11789" width="10.28515625" style="566" customWidth="1"/>
    <col min="11790" max="11791" width="10.7109375" style="566" customWidth="1"/>
    <col min="11792" max="12030" width="9.140625" style="566"/>
    <col min="12031" max="12031" width="3.42578125" style="566" customWidth="1"/>
    <col min="12032" max="12032" width="17.7109375" style="566" customWidth="1"/>
    <col min="12033" max="12033" width="10.7109375" style="566" customWidth="1"/>
    <col min="12034" max="12034" width="11.140625" style="566" customWidth="1"/>
    <col min="12035" max="12035" width="9.28515625" style="566" customWidth="1"/>
    <col min="12036" max="12036" width="10.5703125" style="566" customWidth="1"/>
    <col min="12037" max="12037" width="11" style="566" customWidth="1"/>
    <col min="12038" max="12038" width="10.7109375" style="566" customWidth="1"/>
    <col min="12039" max="12039" width="11" style="566" customWidth="1"/>
    <col min="12040" max="12040" width="9.140625" style="566"/>
    <col min="12041" max="12041" width="9.28515625" style="566" customWidth="1"/>
    <col min="12042" max="12042" width="9.5703125" style="566" customWidth="1"/>
    <col min="12043" max="12044" width="9.140625" style="566"/>
    <col min="12045" max="12045" width="10.28515625" style="566" customWidth="1"/>
    <col min="12046" max="12047" width="10.7109375" style="566" customWidth="1"/>
    <col min="12048" max="12286" width="9.140625" style="566"/>
    <col min="12287" max="12287" width="3.42578125" style="566" customWidth="1"/>
    <col min="12288" max="12288" width="17.7109375" style="566" customWidth="1"/>
    <col min="12289" max="12289" width="10.7109375" style="566" customWidth="1"/>
    <col min="12290" max="12290" width="11.140625" style="566" customWidth="1"/>
    <col min="12291" max="12291" width="9.28515625" style="566" customWidth="1"/>
    <col min="12292" max="12292" width="10.5703125" style="566" customWidth="1"/>
    <col min="12293" max="12293" width="11" style="566" customWidth="1"/>
    <col min="12294" max="12294" width="10.7109375" style="566" customWidth="1"/>
    <col min="12295" max="12295" width="11" style="566" customWidth="1"/>
    <col min="12296" max="12296" width="9.140625" style="566"/>
    <col min="12297" max="12297" width="9.28515625" style="566" customWidth="1"/>
    <col min="12298" max="12298" width="9.5703125" style="566" customWidth="1"/>
    <col min="12299" max="12300" width="9.140625" style="566"/>
    <col min="12301" max="12301" width="10.28515625" style="566" customWidth="1"/>
    <col min="12302" max="12303" width="10.7109375" style="566" customWidth="1"/>
    <col min="12304" max="12542" width="9.140625" style="566"/>
    <col min="12543" max="12543" width="3.42578125" style="566" customWidth="1"/>
    <col min="12544" max="12544" width="17.7109375" style="566" customWidth="1"/>
    <col min="12545" max="12545" width="10.7109375" style="566" customWidth="1"/>
    <col min="12546" max="12546" width="11.140625" style="566" customWidth="1"/>
    <col min="12547" max="12547" width="9.28515625" style="566" customWidth="1"/>
    <col min="12548" max="12548" width="10.5703125" style="566" customWidth="1"/>
    <col min="12549" max="12549" width="11" style="566" customWidth="1"/>
    <col min="12550" max="12550" width="10.7109375" style="566" customWidth="1"/>
    <col min="12551" max="12551" width="11" style="566" customWidth="1"/>
    <col min="12552" max="12552" width="9.140625" style="566"/>
    <col min="12553" max="12553" width="9.28515625" style="566" customWidth="1"/>
    <col min="12554" max="12554" width="9.5703125" style="566" customWidth="1"/>
    <col min="12555" max="12556" width="9.140625" style="566"/>
    <col min="12557" max="12557" width="10.28515625" style="566" customWidth="1"/>
    <col min="12558" max="12559" width="10.7109375" style="566" customWidth="1"/>
    <col min="12560" max="12798" width="9.140625" style="566"/>
    <col min="12799" max="12799" width="3.42578125" style="566" customWidth="1"/>
    <col min="12800" max="12800" width="17.7109375" style="566" customWidth="1"/>
    <col min="12801" max="12801" width="10.7109375" style="566" customWidth="1"/>
    <col min="12802" max="12802" width="11.140625" style="566" customWidth="1"/>
    <col min="12803" max="12803" width="9.28515625" style="566" customWidth="1"/>
    <col min="12804" max="12804" width="10.5703125" style="566" customWidth="1"/>
    <col min="12805" max="12805" width="11" style="566" customWidth="1"/>
    <col min="12806" max="12806" width="10.7109375" style="566" customWidth="1"/>
    <col min="12807" max="12807" width="11" style="566" customWidth="1"/>
    <col min="12808" max="12808" width="9.140625" style="566"/>
    <col min="12809" max="12809" width="9.28515625" style="566" customWidth="1"/>
    <col min="12810" max="12810" width="9.5703125" style="566" customWidth="1"/>
    <col min="12811" max="12812" width="9.140625" style="566"/>
    <col min="12813" max="12813" width="10.28515625" style="566" customWidth="1"/>
    <col min="12814" max="12815" width="10.7109375" style="566" customWidth="1"/>
    <col min="12816" max="13054" width="9.140625" style="566"/>
    <col min="13055" max="13055" width="3.42578125" style="566" customWidth="1"/>
    <col min="13056" max="13056" width="17.7109375" style="566" customWidth="1"/>
    <col min="13057" max="13057" width="10.7109375" style="566" customWidth="1"/>
    <col min="13058" max="13058" width="11.140625" style="566" customWidth="1"/>
    <col min="13059" max="13059" width="9.28515625" style="566" customWidth="1"/>
    <col min="13060" max="13060" width="10.5703125" style="566" customWidth="1"/>
    <col min="13061" max="13061" width="11" style="566" customWidth="1"/>
    <col min="13062" max="13062" width="10.7109375" style="566" customWidth="1"/>
    <col min="13063" max="13063" width="11" style="566" customWidth="1"/>
    <col min="13064" max="13064" width="9.140625" style="566"/>
    <col min="13065" max="13065" width="9.28515625" style="566" customWidth="1"/>
    <col min="13066" max="13066" width="9.5703125" style="566" customWidth="1"/>
    <col min="13067" max="13068" width="9.140625" style="566"/>
    <col min="13069" max="13069" width="10.28515625" style="566" customWidth="1"/>
    <col min="13070" max="13071" width="10.7109375" style="566" customWidth="1"/>
    <col min="13072" max="13310" width="9.140625" style="566"/>
    <col min="13311" max="13311" width="3.42578125" style="566" customWidth="1"/>
    <col min="13312" max="13312" width="17.7109375" style="566" customWidth="1"/>
    <col min="13313" max="13313" width="10.7109375" style="566" customWidth="1"/>
    <col min="13314" max="13314" width="11.140625" style="566" customWidth="1"/>
    <col min="13315" max="13315" width="9.28515625" style="566" customWidth="1"/>
    <col min="13316" max="13316" width="10.5703125" style="566" customWidth="1"/>
    <col min="13317" max="13317" width="11" style="566" customWidth="1"/>
    <col min="13318" max="13318" width="10.7109375" style="566" customWidth="1"/>
    <col min="13319" max="13319" width="11" style="566" customWidth="1"/>
    <col min="13320" max="13320" width="9.140625" style="566"/>
    <col min="13321" max="13321" width="9.28515625" style="566" customWidth="1"/>
    <col min="13322" max="13322" width="9.5703125" style="566" customWidth="1"/>
    <col min="13323" max="13324" width="9.140625" style="566"/>
    <col min="13325" max="13325" width="10.28515625" style="566" customWidth="1"/>
    <col min="13326" max="13327" width="10.7109375" style="566" customWidth="1"/>
    <col min="13328" max="13566" width="9.140625" style="566"/>
    <col min="13567" max="13567" width="3.42578125" style="566" customWidth="1"/>
    <col min="13568" max="13568" width="17.7109375" style="566" customWidth="1"/>
    <col min="13569" max="13569" width="10.7109375" style="566" customWidth="1"/>
    <col min="13570" max="13570" width="11.140625" style="566" customWidth="1"/>
    <col min="13571" max="13571" width="9.28515625" style="566" customWidth="1"/>
    <col min="13572" max="13572" width="10.5703125" style="566" customWidth="1"/>
    <col min="13573" max="13573" width="11" style="566" customWidth="1"/>
    <col min="13574" max="13574" width="10.7109375" style="566" customWidth="1"/>
    <col min="13575" max="13575" width="11" style="566" customWidth="1"/>
    <col min="13576" max="13576" width="9.140625" style="566"/>
    <col min="13577" max="13577" width="9.28515625" style="566" customWidth="1"/>
    <col min="13578" max="13578" width="9.5703125" style="566" customWidth="1"/>
    <col min="13579" max="13580" width="9.140625" style="566"/>
    <col min="13581" max="13581" width="10.28515625" style="566" customWidth="1"/>
    <col min="13582" max="13583" width="10.7109375" style="566" customWidth="1"/>
    <col min="13584" max="13822" width="9.140625" style="566"/>
    <col min="13823" max="13823" width="3.42578125" style="566" customWidth="1"/>
    <col min="13824" max="13824" width="17.7109375" style="566" customWidth="1"/>
    <col min="13825" max="13825" width="10.7109375" style="566" customWidth="1"/>
    <col min="13826" max="13826" width="11.140625" style="566" customWidth="1"/>
    <col min="13827" max="13827" width="9.28515625" style="566" customWidth="1"/>
    <col min="13828" max="13828" width="10.5703125" style="566" customWidth="1"/>
    <col min="13829" max="13829" width="11" style="566" customWidth="1"/>
    <col min="13830" max="13830" width="10.7109375" style="566" customWidth="1"/>
    <col min="13831" max="13831" width="11" style="566" customWidth="1"/>
    <col min="13832" max="13832" width="9.140625" style="566"/>
    <col min="13833" max="13833" width="9.28515625" style="566" customWidth="1"/>
    <col min="13834" max="13834" width="9.5703125" style="566" customWidth="1"/>
    <col min="13835" max="13836" width="9.140625" style="566"/>
    <col min="13837" max="13837" width="10.28515625" style="566" customWidth="1"/>
    <col min="13838" max="13839" width="10.7109375" style="566" customWidth="1"/>
    <col min="13840" max="14078" width="9.140625" style="566"/>
    <col min="14079" max="14079" width="3.42578125" style="566" customWidth="1"/>
    <col min="14080" max="14080" width="17.7109375" style="566" customWidth="1"/>
    <col min="14081" max="14081" width="10.7109375" style="566" customWidth="1"/>
    <col min="14082" max="14082" width="11.140625" style="566" customWidth="1"/>
    <col min="14083" max="14083" width="9.28515625" style="566" customWidth="1"/>
    <col min="14084" max="14084" width="10.5703125" style="566" customWidth="1"/>
    <col min="14085" max="14085" width="11" style="566" customWidth="1"/>
    <col min="14086" max="14086" width="10.7109375" style="566" customWidth="1"/>
    <col min="14087" max="14087" width="11" style="566" customWidth="1"/>
    <col min="14088" max="14088" width="9.140625" style="566"/>
    <col min="14089" max="14089" width="9.28515625" style="566" customWidth="1"/>
    <col min="14090" max="14090" width="9.5703125" style="566" customWidth="1"/>
    <col min="14091" max="14092" width="9.140625" style="566"/>
    <col min="14093" max="14093" width="10.28515625" style="566" customWidth="1"/>
    <col min="14094" max="14095" width="10.7109375" style="566" customWidth="1"/>
    <col min="14096" max="14334" width="9.140625" style="566"/>
    <col min="14335" max="14335" width="3.42578125" style="566" customWidth="1"/>
    <col min="14336" max="14336" width="17.7109375" style="566" customWidth="1"/>
    <col min="14337" max="14337" width="10.7109375" style="566" customWidth="1"/>
    <col min="14338" max="14338" width="11.140625" style="566" customWidth="1"/>
    <col min="14339" max="14339" width="9.28515625" style="566" customWidth="1"/>
    <col min="14340" max="14340" width="10.5703125" style="566" customWidth="1"/>
    <col min="14341" max="14341" width="11" style="566" customWidth="1"/>
    <col min="14342" max="14342" width="10.7109375" style="566" customWidth="1"/>
    <col min="14343" max="14343" width="11" style="566" customWidth="1"/>
    <col min="14344" max="14344" width="9.140625" style="566"/>
    <col min="14345" max="14345" width="9.28515625" style="566" customWidth="1"/>
    <col min="14346" max="14346" width="9.5703125" style="566" customWidth="1"/>
    <col min="14347" max="14348" width="9.140625" style="566"/>
    <col min="14349" max="14349" width="10.28515625" style="566" customWidth="1"/>
    <col min="14350" max="14351" width="10.7109375" style="566" customWidth="1"/>
    <col min="14352" max="14590" width="9.140625" style="566"/>
    <col min="14591" max="14591" width="3.42578125" style="566" customWidth="1"/>
    <col min="14592" max="14592" width="17.7109375" style="566" customWidth="1"/>
    <col min="14593" max="14593" width="10.7109375" style="566" customWidth="1"/>
    <col min="14594" max="14594" width="11.140625" style="566" customWidth="1"/>
    <col min="14595" max="14595" width="9.28515625" style="566" customWidth="1"/>
    <col min="14596" max="14596" width="10.5703125" style="566" customWidth="1"/>
    <col min="14597" max="14597" width="11" style="566" customWidth="1"/>
    <col min="14598" max="14598" width="10.7109375" style="566" customWidth="1"/>
    <col min="14599" max="14599" width="11" style="566" customWidth="1"/>
    <col min="14600" max="14600" width="9.140625" style="566"/>
    <col min="14601" max="14601" width="9.28515625" style="566" customWidth="1"/>
    <col min="14602" max="14602" width="9.5703125" style="566" customWidth="1"/>
    <col min="14603" max="14604" width="9.140625" style="566"/>
    <col min="14605" max="14605" width="10.28515625" style="566" customWidth="1"/>
    <col min="14606" max="14607" width="10.7109375" style="566" customWidth="1"/>
    <col min="14608" max="14846" width="9.140625" style="566"/>
    <col min="14847" max="14847" width="3.42578125" style="566" customWidth="1"/>
    <col min="14848" max="14848" width="17.7109375" style="566" customWidth="1"/>
    <col min="14849" max="14849" width="10.7109375" style="566" customWidth="1"/>
    <col min="14850" max="14850" width="11.140625" style="566" customWidth="1"/>
    <col min="14851" max="14851" width="9.28515625" style="566" customWidth="1"/>
    <col min="14852" max="14852" width="10.5703125" style="566" customWidth="1"/>
    <col min="14853" max="14853" width="11" style="566" customWidth="1"/>
    <col min="14854" max="14854" width="10.7109375" style="566" customWidth="1"/>
    <col min="14855" max="14855" width="11" style="566" customWidth="1"/>
    <col min="14856" max="14856" width="9.140625" style="566"/>
    <col min="14857" max="14857" width="9.28515625" style="566" customWidth="1"/>
    <col min="14858" max="14858" width="9.5703125" style="566" customWidth="1"/>
    <col min="14859" max="14860" width="9.140625" style="566"/>
    <col min="14861" max="14861" width="10.28515625" style="566" customWidth="1"/>
    <col min="14862" max="14863" width="10.7109375" style="566" customWidth="1"/>
    <col min="14864" max="15102" width="9.140625" style="566"/>
    <col min="15103" max="15103" width="3.42578125" style="566" customWidth="1"/>
    <col min="15104" max="15104" width="17.7109375" style="566" customWidth="1"/>
    <col min="15105" max="15105" width="10.7109375" style="566" customWidth="1"/>
    <col min="15106" max="15106" width="11.140625" style="566" customWidth="1"/>
    <col min="15107" max="15107" width="9.28515625" style="566" customWidth="1"/>
    <col min="15108" max="15108" width="10.5703125" style="566" customWidth="1"/>
    <col min="15109" max="15109" width="11" style="566" customWidth="1"/>
    <col min="15110" max="15110" width="10.7109375" style="566" customWidth="1"/>
    <col min="15111" max="15111" width="11" style="566" customWidth="1"/>
    <col min="15112" max="15112" width="9.140625" style="566"/>
    <col min="15113" max="15113" width="9.28515625" style="566" customWidth="1"/>
    <col min="15114" max="15114" width="9.5703125" style="566" customWidth="1"/>
    <col min="15115" max="15116" width="9.140625" style="566"/>
    <col min="15117" max="15117" width="10.28515625" style="566" customWidth="1"/>
    <col min="15118" max="15119" width="10.7109375" style="566" customWidth="1"/>
    <col min="15120" max="15358" width="9.140625" style="566"/>
    <col min="15359" max="15359" width="3.42578125" style="566" customWidth="1"/>
    <col min="15360" max="15360" width="17.7109375" style="566" customWidth="1"/>
    <col min="15361" max="15361" width="10.7109375" style="566" customWidth="1"/>
    <col min="15362" max="15362" width="11.140625" style="566" customWidth="1"/>
    <col min="15363" max="15363" width="9.28515625" style="566" customWidth="1"/>
    <col min="15364" max="15364" width="10.5703125" style="566" customWidth="1"/>
    <col min="15365" max="15365" width="11" style="566" customWidth="1"/>
    <col min="15366" max="15366" width="10.7109375" style="566" customWidth="1"/>
    <col min="15367" max="15367" width="11" style="566" customWidth="1"/>
    <col min="15368" max="15368" width="9.140625" style="566"/>
    <col min="15369" max="15369" width="9.28515625" style="566" customWidth="1"/>
    <col min="15370" max="15370" width="9.5703125" style="566" customWidth="1"/>
    <col min="15371" max="15372" width="9.140625" style="566"/>
    <col min="15373" max="15373" width="10.28515625" style="566" customWidth="1"/>
    <col min="15374" max="15375" width="10.7109375" style="566" customWidth="1"/>
    <col min="15376" max="15614" width="9.140625" style="566"/>
    <col min="15615" max="15615" width="3.42578125" style="566" customWidth="1"/>
    <col min="15616" max="15616" width="17.7109375" style="566" customWidth="1"/>
    <col min="15617" max="15617" width="10.7109375" style="566" customWidth="1"/>
    <col min="15618" max="15618" width="11.140625" style="566" customWidth="1"/>
    <col min="15619" max="15619" width="9.28515625" style="566" customWidth="1"/>
    <col min="15620" max="15620" width="10.5703125" style="566" customWidth="1"/>
    <col min="15621" max="15621" width="11" style="566" customWidth="1"/>
    <col min="15622" max="15622" width="10.7109375" style="566" customWidth="1"/>
    <col min="15623" max="15623" width="11" style="566" customWidth="1"/>
    <col min="15624" max="15624" width="9.140625" style="566"/>
    <col min="15625" max="15625" width="9.28515625" style="566" customWidth="1"/>
    <col min="15626" max="15626" width="9.5703125" style="566" customWidth="1"/>
    <col min="15627" max="15628" width="9.140625" style="566"/>
    <col min="15629" max="15629" width="10.28515625" style="566" customWidth="1"/>
    <col min="15630" max="15631" width="10.7109375" style="566" customWidth="1"/>
    <col min="15632" max="15870" width="9.140625" style="566"/>
    <col min="15871" max="15871" width="3.42578125" style="566" customWidth="1"/>
    <col min="15872" max="15872" width="17.7109375" style="566" customWidth="1"/>
    <col min="15873" max="15873" width="10.7109375" style="566" customWidth="1"/>
    <col min="15874" max="15874" width="11.140625" style="566" customWidth="1"/>
    <col min="15875" max="15875" width="9.28515625" style="566" customWidth="1"/>
    <col min="15876" max="15876" width="10.5703125" style="566" customWidth="1"/>
    <col min="15877" max="15877" width="11" style="566" customWidth="1"/>
    <col min="15878" max="15878" width="10.7109375" style="566" customWidth="1"/>
    <col min="15879" max="15879" width="11" style="566" customWidth="1"/>
    <col min="15880" max="15880" width="9.140625" style="566"/>
    <col min="15881" max="15881" width="9.28515625" style="566" customWidth="1"/>
    <col min="15882" max="15882" width="9.5703125" style="566" customWidth="1"/>
    <col min="15883" max="15884" width="9.140625" style="566"/>
    <col min="15885" max="15885" width="10.28515625" style="566" customWidth="1"/>
    <col min="15886" max="15887" width="10.7109375" style="566" customWidth="1"/>
    <col min="15888" max="16126" width="9.140625" style="566"/>
    <col min="16127" max="16127" width="3.42578125" style="566" customWidth="1"/>
    <col min="16128" max="16128" width="17.7109375" style="566" customWidth="1"/>
    <col min="16129" max="16129" width="10.7109375" style="566" customWidth="1"/>
    <col min="16130" max="16130" width="11.140625" style="566" customWidth="1"/>
    <col min="16131" max="16131" width="9.28515625" style="566" customWidth="1"/>
    <col min="16132" max="16132" width="10.5703125" style="566" customWidth="1"/>
    <col min="16133" max="16133" width="11" style="566" customWidth="1"/>
    <col min="16134" max="16134" width="10.7109375" style="566" customWidth="1"/>
    <col min="16135" max="16135" width="11" style="566" customWidth="1"/>
    <col min="16136" max="16136" width="9.140625" style="566"/>
    <col min="16137" max="16137" width="9.28515625" style="566" customWidth="1"/>
    <col min="16138" max="16138" width="9.5703125" style="566" customWidth="1"/>
    <col min="16139" max="16140" width="9.140625" style="566"/>
    <col min="16141" max="16141" width="10.28515625" style="566" customWidth="1"/>
    <col min="16142" max="16143" width="10.7109375" style="566" customWidth="1"/>
    <col min="16144" max="16382" width="9.140625" style="566"/>
    <col min="16383" max="16384" width="9.140625" style="566" customWidth="1"/>
  </cols>
  <sheetData>
    <row r="1" spans="1:16" x14ac:dyDescent="0.2">
      <c r="A1" s="565" t="s">
        <v>1083</v>
      </c>
      <c r="B1" s="565"/>
      <c r="C1" s="565"/>
      <c r="D1" s="565"/>
      <c r="E1" s="565"/>
      <c r="F1" s="565"/>
      <c r="G1" s="565"/>
      <c r="H1" s="565"/>
      <c r="I1" s="565"/>
      <c r="J1" s="565"/>
      <c r="K1" s="565"/>
      <c r="L1" s="565"/>
      <c r="M1" s="565" t="s">
        <v>1015</v>
      </c>
      <c r="N1" s="565"/>
      <c r="O1" s="565"/>
    </row>
    <row r="2" spans="1:16" x14ac:dyDescent="0.2">
      <c r="A2" s="567" t="s">
        <v>672</v>
      </c>
      <c r="B2" s="567"/>
      <c r="C2" s="567"/>
      <c r="D2" s="567"/>
      <c r="E2" s="567"/>
      <c r="F2" s="567"/>
      <c r="G2" s="567"/>
      <c r="H2" s="567"/>
      <c r="I2" s="567"/>
      <c r="J2" s="567"/>
      <c r="K2" s="567"/>
      <c r="L2" s="567"/>
      <c r="M2" s="567"/>
      <c r="N2" s="567"/>
      <c r="O2" s="567"/>
    </row>
    <row r="6" spans="1:16" x14ac:dyDescent="0.2">
      <c r="A6" s="568" t="s">
        <v>673</v>
      </c>
    </row>
    <row r="7" spans="1:16" x14ac:dyDescent="0.2">
      <c r="A7" s="566" t="s">
        <v>674</v>
      </c>
      <c r="O7" s="569"/>
    </row>
    <row r="8" spans="1:16" x14ac:dyDescent="0.2">
      <c r="A8" s="995" t="s">
        <v>675</v>
      </c>
      <c r="B8" s="994" t="s">
        <v>676</v>
      </c>
      <c r="C8" s="994" t="s">
        <v>677</v>
      </c>
      <c r="D8" s="994"/>
      <c r="E8" s="994" t="s">
        <v>678</v>
      </c>
      <c r="F8" s="994" t="s">
        <v>1017</v>
      </c>
      <c r="G8" s="994" t="s">
        <v>679</v>
      </c>
      <c r="H8" s="994" t="s">
        <v>680</v>
      </c>
      <c r="I8" s="994" t="s">
        <v>121</v>
      </c>
      <c r="J8" s="994" t="s">
        <v>158</v>
      </c>
      <c r="K8" s="994" t="s">
        <v>681</v>
      </c>
      <c r="L8" s="994"/>
      <c r="M8" s="994"/>
      <c r="N8" s="994" t="s">
        <v>1018</v>
      </c>
      <c r="O8" s="994" t="s">
        <v>682</v>
      </c>
      <c r="P8" s="994" t="s">
        <v>683</v>
      </c>
    </row>
    <row r="9" spans="1:16" x14ac:dyDescent="0.2">
      <c r="A9" s="992"/>
      <c r="B9" s="993"/>
      <c r="C9" s="993"/>
      <c r="D9" s="993"/>
      <c r="E9" s="993"/>
      <c r="F9" s="993"/>
      <c r="G9" s="993"/>
      <c r="H9" s="993"/>
      <c r="I9" s="993"/>
      <c r="J9" s="993"/>
      <c r="K9" s="570" t="s">
        <v>684</v>
      </c>
      <c r="L9" s="570" t="s">
        <v>685</v>
      </c>
      <c r="M9" s="570" t="s">
        <v>158</v>
      </c>
      <c r="N9" s="993"/>
      <c r="O9" s="993"/>
      <c r="P9" s="993"/>
    </row>
    <row r="10" spans="1:16" ht="34.15" customHeight="1" x14ac:dyDescent="0.2">
      <c r="A10" s="571">
        <v>1</v>
      </c>
      <c r="B10" s="572" t="s">
        <v>686</v>
      </c>
      <c r="C10" s="996" t="s">
        <v>687</v>
      </c>
      <c r="D10" s="996"/>
      <c r="E10" s="573">
        <v>0.1</v>
      </c>
      <c r="F10" s="812">
        <v>61474.5</v>
      </c>
      <c r="G10" s="812">
        <v>0</v>
      </c>
      <c r="H10" s="812">
        <v>0</v>
      </c>
      <c r="I10" s="812">
        <v>0</v>
      </c>
      <c r="J10" s="812">
        <f>+F10+G10+H10-I10</f>
        <v>61474.5</v>
      </c>
      <c r="K10" s="812">
        <f>+F10*E10</f>
        <v>6147.4500000000007</v>
      </c>
      <c r="L10" s="812">
        <f>+(H10*E10/2)+G10*E10</f>
        <v>0</v>
      </c>
      <c r="M10" s="812">
        <f>+K10+L10</f>
        <v>6147.4500000000007</v>
      </c>
      <c r="N10" s="812">
        <f>+J10-M10</f>
        <v>55327.05</v>
      </c>
      <c r="O10" s="812">
        <v>0</v>
      </c>
      <c r="P10" s="812">
        <v>0</v>
      </c>
    </row>
    <row r="11" spans="1:16" ht="34.15" customHeight="1" x14ac:dyDescent="0.2">
      <c r="A11" s="571">
        <v>2</v>
      </c>
      <c r="B11" s="572" t="s">
        <v>688</v>
      </c>
      <c r="C11" s="996" t="s">
        <v>190</v>
      </c>
      <c r="D11" s="996"/>
      <c r="E11" s="573">
        <v>0.4</v>
      </c>
      <c r="F11" s="812">
        <v>1820675.2</v>
      </c>
      <c r="G11" s="812">
        <v>0</v>
      </c>
      <c r="H11" s="812">
        <v>0</v>
      </c>
      <c r="I11" s="812">
        <v>0</v>
      </c>
      <c r="J11" s="812">
        <f>+F11+G11+H11-I11</f>
        <v>1820675.2</v>
      </c>
      <c r="K11" s="812">
        <f>+(F11)*E11</f>
        <v>728270.08000000007</v>
      </c>
      <c r="L11" s="812">
        <f>+(H11*E11/2)+G11*E11</f>
        <v>0</v>
      </c>
      <c r="M11" s="812">
        <f>+L11+K11</f>
        <v>728270.08000000007</v>
      </c>
      <c r="N11" s="812">
        <f>+J11-M11</f>
        <v>1092405.1199999999</v>
      </c>
      <c r="O11" s="812">
        <v>0</v>
      </c>
      <c r="P11" s="812">
        <v>0</v>
      </c>
    </row>
    <row r="12" spans="1:16" x14ac:dyDescent="0.2">
      <c r="A12" s="992" t="s">
        <v>13</v>
      </c>
      <c r="B12" s="993"/>
      <c r="C12" s="993"/>
      <c r="D12" s="993"/>
      <c r="E12" s="993"/>
      <c r="F12" s="813">
        <f>SUM(F10:F11)</f>
        <v>1882149.7</v>
      </c>
      <c r="G12" s="813">
        <v>0</v>
      </c>
      <c r="H12" s="813">
        <v>0</v>
      </c>
      <c r="I12" s="813">
        <v>0</v>
      </c>
      <c r="J12" s="813">
        <f>SUM(J10:J11)</f>
        <v>1882149.7</v>
      </c>
      <c r="K12" s="813">
        <f>SUM(K10:K11)</f>
        <v>734417.53</v>
      </c>
      <c r="L12" s="813">
        <f t="shared" ref="L12:P12" si="0">SUM(L10:L11)</f>
        <v>0</v>
      </c>
      <c r="M12" s="813">
        <f t="shared" si="0"/>
        <v>734417.53</v>
      </c>
      <c r="N12" s="813">
        <f t="shared" si="0"/>
        <v>1147732.17</v>
      </c>
      <c r="O12" s="813">
        <f t="shared" si="0"/>
        <v>0</v>
      </c>
      <c r="P12" s="813">
        <f t="shared" si="0"/>
        <v>0</v>
      </c>
    </row>
  </sheetData>
  <mergeCells count="16">
    <mergeCell ref="N8:N9"/>
    <mergeCell ref="O8:O9"/>
    <mergeCell ref="P8:P9"/>
    <mergeCell ref="C10:D10"/>
    <mergeCell ref="C11:D11"/>
    <mergeCell ref="J8:J9"/>
    <mergeCell ref="K8:M8"/>
    <mergeCell ref="A12:E12"/>
    <mergeCell ref="G8:G9"/>
    <mergeCell ref="H8:H9"/>
    <mergeCell ref="I8:I9"/>
    <mergeCell ref="A8:A9"/>
    <mergeCell ref="B8:B9"/>
    <mergeCell ref="C8:D9"/>
    <mergeCell ref="E8:E9"/>
    <mergeCell ref="F8:F9"/>
  </mergeCells>
  <pageMargins left="0.61" right="0.7" top="0.5" bottom="0.4" header="0.5" footer="0.5"/>
  <pageSetup scale="72" orientation="landscape" r:id="rId1"/>
  <headerFooter alignWithMargins="0">
    <oddFooter>&amp;RPage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FA79C-C48C-4679-B996-50DB2F68A486}">
  <sheetPr>
    <pageSetUpPr fitToPage="1"/>
  </sheetPr>
  <dimension ref="A1:K171"/>
  <sheetViews>
    <sheetView topLeftCell="A141" zoomScale="130" zoomScaleNormal="130" workbookViewId="0">
      <selection activeCell="G162" sqref="G162"/>
    </sheetView>
  </sheetViews>
  <sheetFormatPr defaultRowHeight="15" x14ac:dyDescent="0.25"/>
  <cols>
    <col min="1" max="1" width="46.42578125" customWidth="1"/>
    <col min="2" max="5" width="14.5703125" hidden="1" customWidth="1"/>
    <col min="6" max="6" width="15.28515625" bestFit="1" customWidth="1"/>
    <col min="7" max="7" width="14.5703125" customWidth="1"/>
    <col min="8" max="8" width="15.85546875" bestFit="1" customWidth="1"/>
    <col min="9" max="9" width="18" bestFit="1" customWidth="1"/>
    <col min="10" max="10" width="16.28515625" bestFit="1" customWidth="1"/>
    <col min="11" max="11" width="11.7109375" bestFit="1" customWidth="1"/>
    <col min="257" max="257" width="46.42578125" customWidth="1"/>
    <col min="258" max="261" width="14.5703125" customWidth="1"/>
    <col min="262" max="262" width="15.28515625" bestFit="1" customWidth="1"/>
    <col min="263" max="263" width="14.5703125" customWidth="1"/>
    <col min="264" max="264" width="15.85546875" bestFit="1" customWidth="1"/>
    <col min="265" max="265" width="18" bestFit="1" customWidth="1"/>
    <col min="266" max="266" width="16.28515625" bestFit="1" customWidth="1"/>
    <col min="267" max="267" width="11.7109375" bestFit="1" customWidth="1"/>
    <col min="513" max="513" width="46.42578125" customWidth="1"/>
    <col min="514" max="517" width="14.5703125" customWidth="1"/>
    <col min="518" max="518" width="15.28515625" bestFit="1" customWidth="1"/>
    <col min="519" max="519" width="14.5703125" customWidth="1"/>
    <col min="520" max="520" width="15.85546875" bestFit="1" customWidth="1"/>
    <col min="521" max="521" width="18" bestFit="1" customWidth="1"/>
    <col min="522" max="522" width="16.28515625" bestFit="1" customWidth="1"/>
    <col min="523" max="523" width="11.7109375" bestFit="1" customWidth="1"/>
    <col min="769" max="769" width="46.42578125" customWidth="1"/>
    <col min="770" max="773" width="14.5703125" customWidth="1"/>
    <col min="774" max="774" width="15.28515625" bestFit="1" customWidth="1"/>
    <col min="775" max="775" width="14.5703125" customWidth="1"/>
    <col min="776" max="776" width="15.85546875" bestFit="1" customWidth="1"/>
    <col min="777" max="777" width="18" bestFit="1" customWidth="1"/>
    <col min="778" max="778" width="16.28515625" bestFit="1" customWidth="1"/>
    <col min="779" max="779" width="11.7109375" bestFit="1" customWidth="1"/>
    <col min="1025" max="1025" width="46.42578125" customWidth="1"/>
    <col min="1026" max="1029" width="14.5703125" customWidth="1"/>
    <col min="1030" max="1030" width="15.28515625" bestFit="1" customWidth="1"/>
    <col min="1031" max="1031" width="14.5703125" customWidth="1"/>
    <col min="1032" max="1032" width="15.85546875" bestFit="1" customWidth="1"/>
    <col min="1033" max="1033" width="18" bestFit="1" customWidth="1"/>
    <col min="1034" max="1034" width="16.28515625" bestFit="1" customWidth="1"/>
    <col min="1035" max="1035" width="11.7109375" bestFit="1" customWidth="1"/>
    <col min="1281" max="1281" width="46.42578125" customWidth="1"/>
    <col min="1282" max="1285" width="14.5703125" customWidth="1"/>
    <col min="1286" max="1286" width="15.28515625" bestFit="1" customWidth="1"/>
    <col min="1287" max="1287" width="14.5703125" customWidth="1"/>
    <col min="1288" max="1288" width="15.85546875" bestFit="1" customWidth="1"/>
    <col min="1289" max="1289" width="18" bestFit="1" customWidth="1"/>
    <col min="1290" max="1290" width="16.28515625" bestFit="1" customWidth="1"/>
    <col min="1291" max="1291" width="11.7109375" bestFit="1" customWidth="1"/>
    <col min="1537" max="1537" width="46.42578125" customWidth="1"/>
    <col min="1538" max="1541" width="14.5703125" customWidth="1"/>
    <col min="1542" max="1542" width="15.28515625" bestFit="1" customWidth="1"/>
    <col min="1543" max="1543" width="14.5703125" customWidth="1"/>
    <col min="1544" max="1544" width="15.85546875" bestFit="1" customWidth="1"/>
    <col min="1545" max="1545" width="18" bestFit="1" customWidth="1"/>
    <col min="1546" max="1546" width="16.28515625" bestFit="1" customWidth="1"/>
    <col min="1547" max="1547" width="11.7109375" bestFit="1" customWidth="1"/>
    <col min="1793" max="1793" width="46.42578125" customWidth="1"/>
    <col min="1794" max="1797" width="14.5703125" customWidth="1"/>
    <col min="1798" max="1798" width="15.28515625" bestFit="1" customWidth="1"/>
    <col min="1799" max="1799" width="14.5703125" customWidth="1"/>
    <col min="1800" max="1800" width="15.85546875" bestFit="1" customWidth="1"/>
    <col min="1801" max="1801" width="18" bestFit="1" customWidth="1"/>
    <col min="1802" max="1802" width="16.28515625" bestFit="1" customWidth="1"/>
    <col min="1803" max="1803" width="11.7109375" bestFit="1" customWidth="1"/>
    <col min="2049" max="2049" width="46.42578125" customWidth="1"/>
    <col min="2050" max="2053" width="14.5703125" customWidth="1"/>
    <col min="2054" max="2054" width="15.28515625" bestFit="1" customWidth="1"/>
    <col min="2055" max="2055" width="14.5703125" customWidth="1"/>
    <col min="2056" max="2056" width="15.85546875" bestFit="1" customWidth="1"/>
    <col min="2057" max="2057" width="18" bestFit="1" customWidth="1"/>
    <col min="2058" max="2058" width="16.28515625" bestFit="1" customWidth="1"/>
    <col min="2059" max="2059" width="11.7109375" bestFit="1" customWidth="1"/>
    <col min="2305" max="2305" width="46.42578125" customWidth="1"/>
    <col min="2306" max="2309" width="14.5703125" customWidth="1"/>
    <col min="2310" max="2310" width="15.28515625" bestFit="1" customWidth="1"/>
    <col min="2311" max="2311" width="14.5703125" customWidth="1"/>
    <col min="2312" max="2312" width="15.85546875" bestFit="1" customWidth="1"/>
    <col min="2313" max="2313" width="18" bestFit="1" customWidth="1"/>
    <col min="2314" max="2314" width="16.28515625" bestFit="1" customWidth="1"/>
    <col min="2315" max="2315" width="11.7109375" bestFit="1" customWidth="1"/>
    <col min="2561" max="2561" width="46.42578125" customWidth="1"/>
    <col min="2562" max="2565" width="14.5703125" customWidth="1"/>
    <col min="2566" max="2566" width="15.28515625" bestFit="1" customWidth="1"/>
    <col min="2567" max="2567" width="14.5703125" customWidth="1"/>
    <col min="2568" max="2568" width="15.85546875" bestFit="1" customWidth="1"/>
    <col min="2569" max="2569" width="18" bestFit="1" customWidth="1"/>
    <col min="2570" max="2570" width="16.28515625" bestFit="1" customWidth="1"/>
    <col min="2571" max="2571" width="11.7109375" bestFit="1" customWidth="1"/>
    <col min="2817" max="2817" width="46.42578125" customWidth="1"/>
    <col min="2818" max="2821" width="14.5703125" customWidth="1"/>
    <col min="2822" max="2822" width="15.28515625" bestFit="1" customWidth="1"/>
    <col min="2823" max="2823" width="14.5703125" customWidth="1"/>
    <col min="2824" max="2824" width="15.85546875" bestFit="1" customWidth="1"/>
    <col min="2825" max="2825" width="18" bestFit="1" customWidth="1"/>
    <col min="2826" max="2826" width="16.28515625" bestFit="1" customWidth="1"/>
    <col min="2827" max="2827" width="11.7109375" bestFit="1" customWidth="1"/>
    <col min="3073" max="3073" width="46.42578125" customWidth="1"/>
    <col min="3074" max="3077" width="14.5703125" customWidth="1"/>
    <col min="3078" max="3078" width="15.28515625" bestFit="1" customWidth="1"/>
    <col min="3079" max="3079" width="14.5703125" customWidth="1"/>
    <col min="3080" max="3080" width="15.85546875" bestFit="1" customWidth="1"/>
    <col min="3081" max="3081" width="18" bestFit="1" customWidth="1"/>
    <col min="3082" max="3082" width="16.28515625" bestFit="1" customWidth="1"/>
    <col min="3083" max="3083" width="11.7109375" bestFit="1" customWidth="1"/>
    <col min="3329" max="3329" width="46.42578125" customWidth="1"/>
    <col min="3330" max="3333" width="14.5703125" customWidth="1"/>
    <col min="3334" max="3334" width="15.28515625" bestFit="1" customWidth="1"/>
    <col min="3335" max="3335" width="14.5703125" customWidth="1"/>
    <col min="3336" max="3336" width="15.85546875" bestFit="1" customWidth="1"/>
    <col min="3337" max="3337" width="18" bestFit="1" customWidth="1"/>
    <col min="3338" max="3338" width="16.28515625" bestFit="1" customWidth="1"/>
    <col min="3339" max="3339" width="11.7109375" bestFit="1" customWidth="1"/>
    <col min="3585" max="3585" width="46.42578125" customWidth="1"/>
    <col min="3586" max="3589" width="14.5703125" customWidth="1"/>
    <col min="3590" max="3590" width="15.28515625" bestFit="1" customWidth="1"/>
    <col min="3591" max="3591" width="14.5703125" customWidth="1"/>
    <col min="3592" max="3592" width="15.85546875" bestFit="1" customWidth="1"/>
    <col min="3593" max="3593" width="18" bestFit="1" customWidth="1"/>
    <col min="3594" max="3594" width="16.28515625" bestFit="1" customWidth="1"/>
    <col min="3595" max="3595" width="11.7109375" bestFit="1" customWidth="1"/>
    <col min="3841" max="3841" width="46.42578125" customWidth="1"/>
    <col min="3842" max="3845" width="14.5703125" customWidth="1"/>
    <col min="3846" max="3846" width="15.28515625" bestFit="1" customWidth="1"/>
    <col min="3847" max="3847" width="14.5703125" customWidth="1"/>
    <col min="3848" max="3848" width="15.85546875" bestFit="1" customWidth="1"/>
    <col min="3849" max="3849" width="18" bestFit="1" customWidth="1"/>
    <col min="3850" max="3850" width="16.28515625" bestFit="1" customWidth="1"/>
    <col min="3851" max="3851" width="11.7109375" bestFit="1" customWidth="1"/>
    <col min="4097" max="4097" width="46.42578125" customWidth="1"/>
    <col min="4098" max="4101" width="14.5703125" customWidth="1"/>
    <col min="4102" max="4102" width="15.28515625" bestFit="1" customWidth="1"/>
    <col min="4103" max="4103" width="14.5703125" customWidth="1"/>
    <col min="4104" max="4104" width="15.85546875" bestFit="1" customWidth="1"/>
    <col min="4105" max="4105" width="18" bestFit="1" customWidth="1"/>
    <col min="4106" max="4106" width="16.28515625" bestFit="1" customWidth="1"/>
    <col min="4107" max="4107" width="11.7109375" bestFit="1" customWidth="1"/>
    <col min="4353" max="4353" width="46.42578125" customWidth="1"/>
    <col min="4354" max="4357" width="14.5703125" customWidth="1"/>
    <col min="4358" max="4358" width="15.28515625" bestFit="1" customWidth="1"/>
    <col min="4359" max="4359" width="14.5703125" customWidth="1"/>
    <col min="4360" max="4360" width="15.85546875" bestFit="1" customWidth="1"/>
    <col min="4361" max="4361" width="18" bestFit="1" customWidth="1"/>
    <col min="4362" max="4362" width="16.28515625" bestFit="1" customWidth="1"/>
    <col min="4363" max="4363" width="11.7109375" bestFit="1" customWidth="1"/>
    <col min="4609" max="4609" width="46.42578125" customWidth="1"/>
    <col min="4610" max="4613" width="14.5703125" customWidth="1"/>
    <col min="4614" max="4614" width="15.28515625" bestFit="1" customWidth="1"/>
    <col min="4615" max="4615" width="14.5703125" customWidth="1"/>
    <col min="4616" max="4616" width="15.85546875" bestFit="1" customWidth="1"/>
    <col min="4617" max="4617" width="18" bestFit="1" customWidth="1"/>
    <col min="4618" max="4618" width="16.28515625" bestFit="1" customWidth="1"/>
    <col min="4619" max="4619" width="11.7109375" bestFit="1" customWidth="1"/>
    <col min="4865" max="4865" width="46.42578125" customWidth="1"/>
    <col min="4866" max="4869" width="14.5703125" customWidth="1"/>
    <col min="4870" max="4870" width="15.28515625" bestFit="1" customWidth="1"/>
    <col min="4871" max="4871" width="14.5703125" customWidth="1"/>
    <col min="4872" max="4872" width="15.85546875" bestFit="1" customWidth="1"/>
    <col min="4873" max="4873" width="18" bestFit="1" customWidth="1"/>
    <col min="4874" max="4874" width="16.28515625" bestFit="1" customWidth="1"/>
    <col min="4875" max="4875" width="11.7109375" bestFit="1" customWidth="1"/>
    <col min="5121" max="5121" width="46.42578125" customWidth="1"/>
    <col min="5122" max="5125" width="14.5703125" customWidth="1"/>
    <col min="5126" max="5126" width="15.28515625" bestFit="1" customWidth="1"/>
    <col min="5127" max="5127" width="14.5703125" customWidth="1"/>
    <col min="5128" max="5128" width="15.85546875" bestFit="1" customWidth="1"/>
    <col min="5129" max="5129" width="18" bestFit="1" customWidth="1"/>
    <col min="5130" max="5130" width="16.28515625" bestFit="1" customWidth="1"/>
    <col min="5131" max="5131" width="11.7109375" bestFit="1" customWidth="1"/>
    <col min="5377" max="5377" width="46.42578125" customWidth="1"/>
    <col min="5378" max="5381" width="14.5703125" customWidth="1"/>
    <col min="5382" max="5382" width="15.28515625" bestFit="1" customWidth="1"/>
    <col min="5383" max="5383" width="14.5703125" customWidth="1"/>
    <col min="5384" max="5384" width="15.85546875" bestFit="1" customWidth="1"/>
    <col min="5385" max="5385" width="18" bestFit="1" customWidth="1"/>
    <col min="5386" max="5386" width="16.28515625" bestFit="1" customWidth="1"/>
    <col min="5387" max="5387" width="11.7109375" bestFit="1" customWidth="1"/>
    <col min="5633" max="5633" width="46.42578125" customWidth="1"/>
    <col min="5634" max="5637" width="14.5703125" customWidth="1"/>
    <col min="5638" max="5638" width="15.28515625" bestFit="1" customWidth="1"/>
    <col min="5639" max="5639" width="14.5703125" customWidth="1"/>
    <col min="5640" max="5640" width="15.85546875" bestFit="1" customWidth="1"/>
    <col min="5641" max="5641" width="18" bestFit="1" customWidth="1"/>
    <col min="5642" max="5642" width="16.28515625" bestFit="1" customWidth="1"/>
    <col min="5643" max="5643" width="11.7109375" bestFit="1" customWidth="1"/>
    <col min="5889" max="5889" width="46.42578125" customWidth="1"/>
    <col min="5890" max="5893" width="14.5703125" customWidth="1"/>
    <col min="5894" max="5894" width="15.28515625" bestFit="1" customWidth="1"/>
    <col min="5895" max="5895" width="14.5703125" customWidth="1"/>
    <col min="5896" max="5896" width="15.85546875" bestFit="1" customWidth="1"/>
    <col min="5897" max="5897" width="18" bestFit="1" customWidth="1"/>
    <col min="5898" max="5898" width="16.28515625" bestFit="1" customWidth="1"/>
    <col min="5899" max="5899" width="11.7109375" bestFit="1" customWidth="1"/>
    <col min="6145" max="6145" width="46.42578125" customWidth="1"/>
    <col min="6146" max="6149" width="14.5703125" customWidth="1"/>
    <col min="6150" max="6150" width="15.28515625" bestFit="1" customWidth="1"/>
    <col min="6151" max="6151" width="14.5703125" customWidth="1"/>
    <col min="6152" max="6152" width="15.85546875" bestFit="1" customWidth="1"/>
    <col min="6153" max="6153" width="18" bestFit="1" customWidth="1"/>
    <col min="6154" max="6154" width="16.28515625" bestFit="1" customWidth="1"/>
    <col min="6155" max="6155" width="11.7109375" bestFit="1" customWidth="1"/>
    <col min="6401" max="6401" width="46.42578125" customWidth="1"/>
    <col min="6402" max="6405" width="14.5703125" customWidth="1"/>
    <col min="6406" max="6406" width="15.28515625" bestFit="1" customWidth="1"/>
    <col min="6407" max="6407" width="14.5703125" customWidth="1"/>
    <col min="6408" max="6408" width="15.85546875" bestFit="1" customWidth="1"/>
    <col min="6409" max="6409" width="18" bestFit="1" customWidth="1"/>
    <col min="6410" max="6410" width="16.28515625" bestFit="1" customWidth="1"/>
    <col min="6411" max="6411" width="11.7109375" bestFit="1" customWidth="1"/>
    <col min="6657" max="6657" width="46.42578125" customWidth="1"/>
    <col min="6658" max="6661" width="14.5703125" customWidth="1"/>
    <col min="6662" max="6662" width="15.28515625" bestFit="1" customWidth="1"/>
    <col min="6663" max="6663" width="14.5703125" customWidth="1"/>
    <col min="6664" max="6664" width="15.85546875" bestFit="1" customWidth="1"/>
    <col min="6665" max="6665" width="18" bestFit="1" customWidth="1"/>
    <col min="6666" max="6666" width="16.28515625" bestFit="1" customWidth="1"/>
    <col min="6667" max="6667" width="11.7109375" bestFit="1" customWidth="1"/>
    <col min="6913" max="6913" width="46.42578125" customWidth="1"/>
    <col min="6914" max="6917" width="14.5703125" customWidth="1"/>
    <col min="6918" max="6918" width="15.28515625" bestFit="1" customWidth="1"/>
    <col min="6919" max="6919" width="14.5703125" customWidth="1"/>
    <col min="6920" max="6920" width="15.85546875" bestFit="1" customWidth="1"/>
    <col min="6921" max="6921" width="18" bestFit="1" customWidth="1"/>
    <col min="6922" max="6922" width="16.28515625" bestFit="1" customWidth="1"/>
    <col min="6923" max="6923" width="11.7109375" bestFit="1" customWidth="1"/>
    <col min="7169" max="7169" width="46.42578125" customWidth="1"/>
    <col min="7170" max="7173" width="14.5703125" customWidth="1"/>
    <col min="7174" max="7174" width="15.28515625" bestFit="1" customWidth="1"/>
    <col min="7175" max="7175" width="14.5703125" customWidth="1"/>
    <col min="7176" max="7176" width="15.85546875" bestFit="1" customWidth="1"/>
    <col min="7177" max="7177" width="18" bestFit="1" customWidth="1"/>
    <col min="7178" max="7178" width="16.28515625" bestFit="1" customWidth="1"/>
    <col min="7179" max="7179" width="11.7109375" bestFit="1" customWidth="1"/>
    <col min="7425" max="7425" width="46.42578125" customWidth="1"/>
    <col min="7426" max="7429" width="14.5703125" customWidth="1"/>
    <col min="7430" max="7430" width="15.28515625" bestFit="1" customWidth="1"/>
    <col min="7431" max="7431" width="14.5703125" customWidth="1"/>
    <col min="7432" max="7432" width="15.85546875" bestFit="1" customWidth="1"/>
    <col min="7433" max="7433" width="18" bestFit="1" customWidth="1"/>
    <col min="7434" max="7434" width="16.28515625" bestFit="1" customWidth="1"/>
    <col min="7435" max="7435" width="11.7109375" bestFit="1" customWidth="1"/>
    <col min="7681" max="7681" width="46.42578125" customWidth="1"/>
    <col min="7682" max="7685" width="14.5703125" customWidth="1"/>
    <col min="7686" max="7686" width="15.28515625" bestFit="1" customWidth="1"/>
    <col min="7687" max="7687" width="14.5703125" customWidth="1"/>
    <col min="7688" max="7688" width="15.85546875" bestFit="1" customWidth="1"/>
    <col min="7689" max="7689" width="18" bestFit="1" customWidth="1"/>
    <col min="7690" max="7690" width="16.28515625" bestFit="1" customWidth="1"/>
    <col min="7691" max="7691" width="11.7109375" bestFit="1" customWidth="1"/>
    <col min="7937" max="7937" width="46.42578125" customWidth="1"/>
    <col min="7938" max="7941" width="14.5703125" customWidth="1"/>
    <col min="7942" max="7942" width="15.28515625" bestFit="1" customWidth="1"/>
    <col min="7943" max="7943" width="14.5703125" customWidth="1"/>
    <col min="7944" max="7944" width="15.85546875" bestFit="1" customWidth="1"/>
    <col min="7945" max="7945" width="18" bestFit="1" customWidth="1"/>
    <col min="7946" max="7946" width="16.28515625" bestFit="1" customWidth="1"/>
    <col min="7947" max="7947" width="11.7109375" bestFit="1" customWidth="1"/>
    <col min="8193" max="8193" width="46.42578125" customWidth="1"/>
    <col min="8194" max="8197" width="14.5703125" customWidth="1"/>
    <col min="8198" max="8198" width="15.28515625" bestFit="1" customWidth="1"/>
    <col min="8199" max="8199" width="14.5703125" customWidth="1"/>
    <col min="8200" max="8200" width="15.85546875" bestFit="1" customWidth="1"/>
    <col min="8201" max="8201" width="18" bestFit="1" customWidth="1"/>
    <col min="8202" max="8202" width="16.28515625" bestFit="1" customWidth="1"/>
    <col min="8203" max="8203" width="11.7109375" bestFit="1" customWidth="1"/>
    <col min="8449" max="8449" width="46.42578125" customWidth="1"/>
    <col min="8450" max="8453" width="14.5703125" customWidth="1"/>
    <col min="8454" max="8454" width="15.28515625" bestFit="1" customWidth="1"/>
    <col min="8455" max="8455" width="14.5703125" customWidth="1"/>
    <col min="8456" max="8456" width="15.85546875" bestFit="1" customWidth="1"/>
    <col min="8457" max="8457" width="18" bestFit="1" customWidth="1"/>
    <col min="8458" max="8458" width="16.28515625" bestFit="1" customWidth="1"/>
    <col min="8459" max="8459" width="11.7109375" bestFit="1" customWidth="1"/>
    <col min="8705" max="8705" width="46.42578125" customWidth="1"/>
    <col min="8706" max="8709" width="14.5703125" customWidth="1"/>
    <col min="8710" max="8710" width="15.28515625" bestFit="1" customWidth="1"/>
    <col min="8711" max="8711" width="14.5703125" customWidth="1"/>
    <col min="8712" max="8712" width="15.85546875" bestFit="1" customWidth="1"/>
    <col min="8713" max="8713" width="18" bestFit="1" customWidth="1"/>
    <col min="8714" max="8714" width="16.28515625" bestFit="1" customWidth="1"/>
    <col min="8715" max="8715" width="11.7109375" bestFit="1" customWidth="1"/>
    <col min="8961" max="8961" width="46.42578125" customWidth="1"/>
    <col min="8962" max="8965" width="14.5703125" customWidth="1"/>
    <col min="8966" max="8966" width="15.28515625" bestFit="1" customWidth="1"/>
    <col min="8967" max="8967" width="14.5703125" customWidth="1"/>
    <col min="8968" max="8968" width="15.85546875" bestFit="1" customWidth="1"/>
    <col min="8969" max="8969" width="18" bestFit="1" customWidth="1"/>
    <col min="8970" max="8970" width="16.28515625" bestFit="1" customWidth="1"/>
    <col min="8971" max="8971" width="11.7109375" bestFit="1" customWidth="1"/>
    <col min="9217" max="9217" width="46.42578125" customWidth="1"/>
    <col min="9218" max="9221" width="14.5703125" customWidth="1"/>
    <col min="9222" max="9222" width="15.28515625" bestFit="1" customWidth="1"/>
    <col min="9223" max="9223" width="14.5703125" customWidth="1"/>
    <col min="9224" max="9224" width="15.85546875" bestFit="1" customWidth="1"/>
    <col min="9225" max="9225" width="18" bestFit="1" customWidth="1"/>
    <col min="9226" max="9226" width="16.28515625" bestFit="1" customWidth="1"/>
    <col min="9227" max="9227" width="11.7109375" bestFit="1" customWidth="1"/>
    <col min="9473" max="9473" width="46.42578125" customWidth="1"/>
    <col min="9474" max="9477" width="14.5703125" customWidth="1"/>
    <col min="9478" max="9478" width="15.28515625" bestFit="1" customWidth="1"/>
    <col min="9479" max="9479" width="14.5703125" customWidth="1"/>
    <col min="9480" max="9480" width="15.85546875" bestFit="1" customWidth="1"/>
    <col min="9481" max="9481" width="18" bestFit="1" customWidth="1"/>
    <col min="9482" max="9482" width="16.28515625" bestFit="1" customWidth="1"/>
    <col min="9483" max="9483" width="11.7109375" bestFit="1" customWidth="1"/>
    <col min="9729" max="9729" width="46.42578125" customWidth="1"/>
    <col min="9730" max="9733" width="14.5703125" customWidth="1"/>
    <col min="9734" max="9734" width="15.28515625" bestFit="1" customWidth="1"/>
    <col min="9735" max="9735" width="14.5703125" customWidth="1"/>
    <col min="9736" max="9736" width="15.85546875" bestFit="1" customWidth="1"/>
    <col min="9737" max="9737" width="18" bestFit="1" customWidth="1"/>
    <col min="9738" max="9738" width="16.28515625" bestFit="1" customWidth="1"/>
    <col min="9739" max="9739" width="11.7109375" bestFit="1" customWidth="1"/>
    <col min="9985" max="9985" width="46.42578125" customWidth="1"/>
    <col min="9986" max="9989" width="14.5703125" customWidth="1"/>
    <col min="9990" max="9990" width="15.28515625" bestFit="1" customWidth="1"/>
    <col min="9991" max="9991" width="14.5703125" customWidth="1"/>
    <col min="9992" max="9992" width="15.85546875" bestFit="1" customWidth="1"/>
    <col min="9993" max="9993" width="18" bestFit="1" customWidth="1"/>
    <col min="9994" max="9994" width="16.28515625" bestFit="1" customWidth="1"/>
    <col min="9995" max="9995" width="11.7109375" bestFit="1" customWidth="1"/>
    <col min="10241" max="10241" width="46.42578125" customWidth="1"/>
    <col min="10242" max="10245" width="14.5703125" customWidth="1"/>
    <col min="10246" max="10246" width="15.28515625" bestFit="1" customWidth="1"/>
    <col min="10247" max="10247" width="14.5703125" customWidth="1"/>
    <col min="10248" max="10248" width="15.85546875" bestFit="1" customWidth="1"/>
    <col min="10249" max="10249" width="18" bestFit="1" customWidth="1"/>
    <col min="10250" max="10250" width="16.28515625" bestFit="1" customWidth="1"/>
    <col min="10251" max="10251" width="11.7109375" bestFit="1" customWidth="1"/>
    <col min="10497" max="10497" width="46.42578125" customWidth="1"/>
    <col min="10498" max="10501" width="14.5703125" customWidth="1"/>
    <col min="10502" max="10502" width="15.28515625" bestFit="1" customWidth="1"/>
    <col min="10503" max="10503" width="14.5703125" customWidth="1"/>
    <col min="10504" max="10504" width="15.85546875" bestFit="1" customWidth="1"/>
    <col min="10505" max="10505" width="18" bestFit="1" customWidth="1"/>
    <col min="10506" max="10506" width="16.28515625" bestFit="1" customWidth="1"/>
    <col min="10507" max="10507" width="11.7109375" bestFit="1" customWidth="1"/>
    <col min="10753" max="10753" width="46.42578125" customWidth="1"/>
    <col min="10754" max="10757" width="14.5703125" customWidth="1"/>
    <col min="10758" max="10758" width="15.28515625" bestFit="1" customWidth="1"/>
    <col min="10759" max="10759" width="14.5703125" customWidth="1"/>
    <col min="10760" max="10760" width="15.85546875" bestFit="1" customWidth="1"/>
    <col min="10761" max="10761" width="18" bestFit="1" customWidth="1"/>
    <col min="10762" max="10762" width="16.28515625" bestFit="1" customWidth="1"/>
    <col min="10763" max="10763" width="11.7109375" bestFit="1" customWidth="1"/>
    <col min="11009" max="11009" width="46.42578125" customWidth="1"/>
    <col min="11010" max="11013" width="14.5703125" customWidth="1"/>
    <col min="11014" max="11014" width="15.28515625" bestFit="1" customWidth="1"/>
    <col min="11015" max="11015" width="14.5703125" customWidth="1"/>
    <col min="11016" max="11016" width="15.85546875" bestFit="1" customWidth="1"/>
    <col min="11017" max="11017" width="18" bestFit="1" customWidth="1"/>
    <col min="11018" max="11018" width="16.28515625" bestFit="1" customWidth="1"/>
    <col min="11019" max="11019" width="11.7109375" bestFit="1" customWidth="1"/>
    <col min="11265" max="11265" width="46.42578125" customWidth="1"/>
    <col min="11266" max="11269" width="14.5703125" customWidth="1"/>
    <col min="11270" max="11270" width="15.28515625" bestFit="1" customWidth="1"/>
    <col min="11271" max="11271" width="14.5703125" customWidth="1"/>
    <col min="11272" max="11272" width="15.85546875" bestFit="1" customWidth="1"/>
    <col min="11273" max="11273" width="18" bestFit="1" customWidth="1"/>
    <col min="11274" max="11274" width="16.28515625" bestFit="1" customWidth="1"/>
    <col min="11275" max="11275" width="11.7109375" bestFit="1" customWidth="1"/>
    <col min="11521" max="11521" width="46.42578125" customWidth="1"/>
    <col min="11522" max="11525" width="14.5703125" customWidth="1"/>
    <col min="11526" max="11526" width="15.28515625" bestFit="1" customWidth="1"/>
    <col min="11527" max="11527" width="14.5703125" customWidth="1"/>
    <col min="11528" max="11528" width="15.85546875" bestFit="1" customWidth="1"/>
    <col min="11529" max="11529" width="18" bestFit="1" customWidth="1"/>
    <col min="11530" max="11530" width="16.28515625" bestFit="1" customWidth="1"/>
    <col min="11531" max="11531" width="11.7109375" bestFit="1" customWidth="1"/>
    <col min="11777" max="11777" width="46.42578125" customWidth="1"/>
    <col min="11778" max="11781" width="14.5703125" customWidth="1"/>
    <col min="11782" max="11782" width="15.28515625" bestFit="1" customWidth="1"/>
    <col min="11783" max="11783" width="14.5703125" customWidth="1"/>
    <col min="11784" max="11784" width="15.85546875" bestFit="1" customWidth="1"/>
    <col min="11785" max="11785" width="18" bestFit="1" customWidth="1"/>
    <col min="11786" max="11786" width="16.28515625" bestFit="1" customWidth="1"/>
    <col min="11787" max="11787" width="11.7109375" bestFit="1" customWidth="1"/>
    <col min="12033" max="12033" width="46.42578125" customWidth="1"/>
    <col min="12034" max="12037" width="14.5703125" customWidth="1"/>
    <col min="12038" max="12038" width="15.28515625" bestFit="1" customWidth="1"/>
    <col min="12039" max="12039" width="14.5703125" customWidth="1"/>
    <col min="12040" max="12040" width="15.85546875" bestFit="1" customWidth="1"/>
    <col min="12041" max="12041" width="18" bestFit="1" customWidth="1"/>
    <col min="12042" max="12042" width="16.28515625" bestFit="1" customWidth="1"/>
    <col min="12043" max="12043" width="11.7109375" bestFit="1" customWidth="1"/>
    <col min="12289" max="12289" width="46.42578125" customWidth="1"/>
    <col min="12290" max="12293" width="14.5703125" customWidth="1"/>
    <col min="12294" max="12294" width="15.28515625" bestFit="1" customWidth="1"/>
    <col min="12295" max="12295" width="14.5703125" customWidth="1"/>
    <col min="12296" max="12296" width="15.85546875" bestFit="1" customWidth="1"/>
    <col min="12297" max="12297" width="18" bestFit="1" customWidth="1"/>
    <col min="12298" max="12298" width="16.28515625" bestFit="1" customWidth="1"/>
    <col min="12299" max="12299" width="11.7109375" bestFit="1" customWidth="1"/>
    <col min="12545" max="12545" width="46.42578125" customWidth="1"/>
    <col min="12546" max="12549" width="14.5703125" customWidth="1"/>
    <col min="12550" max="12550" width="15.28515625" bestFit="1" customWidth="1"/>
    <col min="12551" max="12551" width="14.5703125" customWidth="1"/>
    <col min="12552" max="12552" width="15.85546875" bestFit="1" customWidth="1"/>
    <col min="12553" max="12553" width="18" bestFit="1" customWidth="1"/>
    <col min="12554" max="12554" width="16.28515625" bestFit="1" customWidth="1"/>
    <col min="12555" max="12555" width="11.7109375" bestFit="1" customWidth="1"/>
    <col min="12801" max="12801" width="46.42578125" customWidth="1"/>
    <col min="12802" max="12805" width="14.5703125" customWidth="1"/>
    <col min="12806" max="12806" width="15.28515625" bestFit="1" customWidth="1"/>
    <col min="12807" max="12807" width="14.5703125" customWidth="1"/>
    <col min="12808" max="12808" width="15.85546875" bestFit="1" customWidth="1"/>
    <col min="12809" max="12809" width="18" bestFit="1" customWidth="1"/>
    <col min="12810" max="12810" width="16.28515625" bestFit="1" customWidth="1"/>
    <col min="12811" max="12811" width="11.7109375" bestFit="1" customWidth="1"/>
    <col min="13057" max="13057" width="46.42578125" customWidth="1"/>
    <col min="13058" max="13061" width="14.5703125" customWidth="1"/>
    <col min="13062" max="13062" width="15.28515625" bestFit="1" customWidth="1"/>
    <col min="13063" max="13063" width="14.5703125" customWidth="1"/>
    <col min="13064" max="13064" width="15.85546875" bestFit="1" customWidth="1"/>
    <col min="13065" max="13065" width="18" bestFit="1" customWidth="1"/>
    <col min="13066" max="13066" width="16.28515625" bestFit="1" customWidth="1"/>
    <col min="13067" max="13067" width="11.7109375" bestFit="1" customWidth="1"/>
    <col min="13313" max="13313" width="46.42578125" customWidth="1"/>
    <col min="13314" max="13317" width="14.5703125" customWidth="1"/>
    <col min="13318" max="13318" width="15.28515625" bestFit="1" customWidth="1"/>
    <col min="13319" max="13319" width="14.5703125" customWidth="1"/>
    <col min="13320" max="13320" width="15.85546875" bestFit="1" customWidth="1"/>
    <col min="13321" max="13321" width="18" bestFit="1" customWidth="1"/>
    <col min="13322" max="13322" width="16.28515625" bestFit="1" customWidth="1"/>
    <col min="13323" max="13323" width="11.7109375" bestFit="1" customWidth="1"/>
    <col min="13569" max="13569" width="46.42578125" customWidth="1"/>
    <col min="13570" max="13573" width="14.5703125" customWidth="1"/>
    <col min="13574" max="13574" width="15.28515625" bestFit="1" customWidth="1"/>
    <col min="13575" max="13575" width="14.5703125" customWidth="1"/>
    <col min="13576" max="13576" width="15.85546875" bestFit="1" customWidth="1"/>
    <col min="13577" max="13577" width="18" bestFit="1" customWidth="1"/>
    <col min="13578" max="13578" width="16.28515625" bestFit="1" customWidth="1"/>
    <col min="13579" max="13579" width="11.7109375" bestFit="1" customWidth="1"/>
    <col min="13825" max="13825" width="46.42578125" customWidth="1"/>
    <col min="13826" max="13829" width="14.5703125" customWidth="1"/>
    <col min="13830" max="13830" width="15.28515625" bestFit="1" customWidth="1"/>
    <col min="13831" max="13831" width="14.5703125" customWidth="1"/>
    <col min="13832" max="13832" width="15.85546875" bestFit="1" customWidth="1"/>
    <col min="13833" max="13833" width="18" bestFit="1" customWidth="1"/>
    <col min="13834" max="13834" width="16.28515625" bestFit="1" customWidth="1"/>
    <col min="13835" max="13835" width="11.7109375" bestFit="1" customWidth="1"/>
    <col min="14081" max="14081" width="46.42578125" customWidth="1"/>
    <col min="14082" max="14085" width="14.5703125" customWidth="1"/>
    <col min="14086" max="14086" width="15.28515625" bestFit="1" customWidth="1"/>
    <col min="14087" max="14087" width="14.5703125" customWidth="1"/>
    <col min="14088" max="14088" width="15.85546875" bestFit="1" customWidth="1"/>
    <col min="14089" max="14089" width="18" bestFit="1" customWidth="1"/>
    <col min="14090" max="14090" width="16.28515625" bestFit="1" customWidth="1"/>
    <col min="14091" max="14091" width="11.7109375" bestFit="1" customWidth="1"/>
    <col min="14337" max="14337" width="46.42578125" customWidth="1"/>
    <col min="14338" max="14341" width="14.5703125" customWidth="1"/>
    <col min="14342" max="14342" width="15.28515625" bestFit="1" customWidth="1"/>
    <col min="14343" max="14343" width="14.5703125" customWidth="1"/>
    <col min="14344" max="14344" width="15.85546875" bestFit="1" customWidth="1"/>
    <col min="14345" max="14345" width="18" bestFit="1" customWidth="1"/>
    <col min="14346" max="14346" width="16.28515625" bestFit="1" customWidth="1"/>
    <col min="14347" max="14347" width="11.7109375" bestFit="1" customWidth="1"/>
    <col min="14593" max="14593" width="46.42578125" customWidth="1"/>
    <col min="14594" max="14597" width="14.5703125" customWidth="1"/>
    <col min="14598" max="14598" width="15.28515625" bestFit="1" customWidth="1"/>
    <col min="14599" max="14599" width="14.5703125" customWidth="1"/>
    <col min="14600" max="14600" width="15.85546875" bestFit="1" customWidth="1"/>
    <col min="14601" max="14601" width="18" bestFit="1" customWidth="1"/>
    <col min="14602" max="14602" width="16.28515625" bestFit="1" customWidth="1"/>
    <col min="14603" max="14603" width="11.7109375" bestFit="1" customWidth="1"/>
    <col min="14849" max="14849" width="46.42578125" customWidth="1"/>
    <col min="14850" max="14853" width="14.5703125" customWidth="1"/>
    <col min="14854" max="14854" width="15.28515625" bestFit="1" customWidth="1"/>
    <col min="14855" max="14855" width="14.5703125" customWidth="1"/>
    <col min="14856" max="14856" width="15.85546875" bestFit="1" customWidth="1"/>
    <col min="14857" max="14857" width="18" bestFit="1" customWidth="1"/>
    <col min="14858" max="14858" width="16.28515625" bestFit="1" customWidth="1"/>
    <col min="14859" max="14859" width="11.7109375" bestFit="1" customWidth="1"/>
    <col min="15105" max="15105" width="46.42578125" customWidth="1"/>
    <col min="15106" max="15109" width="14.5703125" customWidth="1"/>
    <col min="15110" max="15110" width="15.28515625" bestFit="1" customWidth="1"/>
    <col min="15111" max="15111" width="14.5703125" customWidth="1"/>
    <col min="15112" max="15112" width="15.85546875" bestFit="1" customWidth="1"/>
    <col min="15113" max="15113" width="18" bestFit="1" customWidth="1"/>
    <col min="15114" max="15114" width="16.28515625" bestFit="1" customWidth="1"/>
    <col min="15115" max="15115" width="11.7109375" bestFit="1" customWidth="1"/>
    <col min="15361" max="15361" width="46.42578125" customWidth="1"/>
    <col min="15362" max="15365" width="14.5703125" customWidth="1"/>
    <col min="15366" max="15366" width="15.28515625" bestFit="1" customWidth="1"/>
    <col min="15367" max="15367" width="14.5703125" customWidth="1"/>
    <col min="15368" max="15368" width="15.85546875" bestFit="1" customWidth="1"/>
    <col min="15369" max="15369" width="18" bestFit="1" customWidth="1"/>
    <col min="15370" max="15370" width="16.28515625" bestFit="1" customWidth="1"/>
    <col min="15371" max="15371" width="11.7109375" bestFit="1" customWidth="1"/>
    <col min="15617" max="15617" width="46.42578125" customWidth="1"/>
    <col min="15618" max="15621" width="14.5703125" customWidth="1"/>
    <col min="15622" max="15622" width="15.28515625" bestFit="1" customWidth="1"/>
    <col min="15623" max="15623" width="14.5703125" customWidth="1"/>
    <col min="15624" max="15624" width="15.85546875" bestFit="1" customWidth="1"/>
    <col min="15625" max="15625" width="18" bestFit="1" customWidth="1"/>
    <col min="15626" max="15626" width="16.28515625" bestFit="1" customWidth="1"/>
    <col min="15627" max="15627" width="11.7109375" bestFit="1" customWidth="1"/>
    <col min="15873" max="15873" width="46.42578125" customWidth="1"/>
    <col min="15874" max="15877" width="14.5703125" customWidth="1"/>
    <col min="15878" max="15878" width="15.28515625" bestFit="1" customWidth="1"/>
    <col min="15879" max="15879" width="14.5703125" customWidth="1"/>
    <col min="15880" max="15880" width="15.85546875" bestFit="1" customWidth="1"/>
    <col min="15881" max="15881" width="18" bestFit="1" customWidth="1"/>
    <col min="15882" max="15882" width="16.28515625" bestFit="1" customWidth="1"/>
    <col min="15883" max="15883" width="11.7109375" bestFit="1" customWidth="1"/>
    <col min="16129" max="16129" width="46.42578125" customWidth="1"/>
    <col min="16130" max="16133" width="14.5703125" customWidth="1"/>
    <col min="16134" max="16134" width="15.28515625" bestFit="1" customWidth="1"/>
    <col min="16135" max="16135" width="14.5703125" customWidth="1"/>
    <col min="16136" max="16136" width="15.85546875" bestFit="1" customWidth="1"/>
    <col min="16137" max="16137" width="18" bestFit="1" customWidth="1"/>
    <col min="16138" max="16138" width="16.28515625" bestFit="1" customWidth="1"/>
    <col min="16139" max="16139" width="11.7109375" bestFit="1" customWidth="1"/>
  </cols>
  <sheetData>
    <row r="1" spans="1:8" ht="18" x14ac:dyDescent="0.25">
      <c r="A1" s="998" t="s">
        <v>259</v>
      </c>
      <c r="B1" s="916"/>
      <c r="C1" s="916"/>
      <c r="D1" s="916"/>
      <c r="E1" s="916"/>
      <c r="F1" s="916"/>
      <c r="G1" s="916"/>
    </row>
    <row r="2" spans="1:8" ht="18" x14ac:dyDescent="0.25">
      <c r="A2" s="998" t="s">
        <v>390</v>
      </c>
      <c r="B2" s="916"/>
      <c r="C2" s="916"/>
      <c r="D2" s="916"/>
      <c r="E2" s="916"/>
      <c r="F2" s="916"/>
      <c r="G2" s="916"/>
    </row>
    <row r="3" spans="1:8" x14ac:dyDescent="0.25">
      <c r="A3" s="999" t="s">
        <v>391</v>
      </c>
      <c r="B3" s="916"/>
      <c r="C3" s="916"/>
      <c r="D3" s="916"/>
      <c r="E3" s="916"/>
      <c r="F3" s="916"/>
      <c r="G3" s="916"/>
    </row>
    <row r="5" spans="1:8" x14ac:dyDescent="0.25">
      <c r="A5" s="382"/>
      <c r="B5" s="1000" t="s">
        <v>392</v>
      </c>
      <c r="C5" s="1001"/>
      <c r="D5" s="1000" t="s">
        <v>393</v>
      </c>
      <c r="E5" s="1001"/>
      <c r="F5" s="1000" t="s">
        <v>174</v>
      </c>
      <c r="G5" s="1001"/>
    </row>
    <row r="6" spans="1:8" x14ac:dyDescent="0.25">
      <c r="A6" s="382"/>
      <c r="B6" s="383" t="s">
        <v>169</v>
      </c>
      <c r="C6" s="383" t="s">
        <v>170</v>
      </c>
      <c r="D6" s="383" t="s">
        <v>169</v>
      </c>
      <c r="E6" s="383" t="s">
        <v>170</v>
      </c>
      <c r="F6" s="383" t="s">
        <v>169</v>
      </c>
      <c r="G6" s="383" t="s">
        <v>170</v>
      </c>
    </row>
    <row r="7" spans="1:8" x14ac:dyDescent="0.25">
      <c r="A7" s="384" t="s">
        <v>435</v>
      </c>
      <c r="B7" s="385">
        <f>6987940.08</f>
        <v>6987940.0800000001</v>
      </c>
      <c r="C7" s="386"/>
      <c r="D7" s="385">
        <f>205829603.81</f>
        <v>205829603.81</v>
      </c>
      <c r="E7" s="385">
        <f>193257680.4</f>
        <v>193257680.40000001</v>
      </c>
      <c r="F7" s="387">
        <f>19559863.49</f>
        <v>19559863.489999998</v>
      </c>
      <c r="G7" s="386"/>
    </row>
    <row r="8" spans="1:8" x14ac:dyDescent="0.25">
      <c r="A8" s="384" t="s">
        <v>395</v>
      </c>
      <c r="B8" s="385">
        <f>13814</f>
        <v>13814</v>
      </c>
      <c r="C8" s="386"/>
      <c r="D8" s="385">
        <f>275495</f>
        <v>275495</v>
      </c>
      <c r="E8" s="385">
        <f>262393</f>
        <v>262393</v>
      </c>
      <c r="F8" s="387">
        <f>26916</f>
        <v>26916</v>
      </c>
      <c r="G8" s="386"/>
    </row>
    <row r="9" spans="1:8" x14ac:dyDescent="0.25">
      <c r="A9" s="388" t="s">
        <v>396</v>
      </c>
      <c r="B9" s="385">
        <f>305667504.6</f>
        <v>305667504.60000002</v>
      </c>
      <c r="C9" s="385">
        <f>305667504.6</f>
        <v>305667504.60000002</v>
      </c>
      <c r="D9" s="385">
        <f>203386558.4</f>
        <v>203386558.40000001</v>
      </c>
      <c r="E9" s="385">
        <f>203386558.4</f>
        <v>203386558.40000001</v>
      </c>
      <c r="F9" s="386"/>
      <c r="G9" s="386"/>
    </row>
    <row r="10" spans="1:8" x14ac:dyDescent="0.25">
      <c r="A10" s="384" t="s">
        <v>436</v>
      </c>
      <c r="B10" s="386"/>
      <c r="C10" s="386"/>
      <c r="D10" s="385">
        <f>77613</f>
        <v>77613</v>
      </c>
      <c r="E10" s="386"/>
      <c r="F10" s="387">
        <f>77613</f>
        <v>77613</v>
      </c>
      <c r="G10" s="386"/>
    </row>
    <row r="11" spans="1:8" x14ac:dyDescent="0.25">
      <c r="A11" s="384" t="s">
        <v>437</v>
      </c>
      <c r="B11" s="385">
        <f>30429742</f>
        <v>30429742</v>
      </c>
      <c r="C11" s="386"/>
      <c r="D11" s="385">
        <f>52915304</f>
        <v>52915304</v>
      </c>
      <c r="E11" s="385">
        <f>30656912</f>
        <v>30656912</v>
      </c>
      <c r="F11" s="387">
        <f>52688134</f>
        <v>52688134</v>
      </c>
      <c r="G11" s="386"/>
      <c r="H11" s="389"/>
    </row>
    <row r="12" spans="1:8" x14ac:dyDescent="0.25">
      <c r="A12" s="388" t="s">
        <v>438</v>
      </c>
      <c r="B12" s="385">
        <f>967348</f>
        <v>967348</v>
      </c>
      <c r="C12" s="385">
        <f>967348</f>
        <v>967348</v>
      </c>
      <c r="D12" s="386"/>
      <c r="E12" s="386"/>
      <c r="F12" s="386"/>
      <c r="G12" s="386"/>
    </row>
    <row r="13" spans="1:8" x14ac:dyDescent="0.25">
      <c r="A13" s="388" t="s">
        <v>439</v>
      </c>
      <c r="B13" s="386"/>
      <c r="C13" s="386"/>
      <c r="D13" s="386"/>
      <c r="E13" s="386"/>
      <c r="F13" s="386"/>
      <c r="G13" s="386"/>
    </row>
    <row r="14" spans="1:8" x14ac:dyDescent="0.25">
      <c r="A14" s="388" t="s">
        <v>440</v>
      </c>
      <c r="B14" s="385">
        <f>4896405</f>
        <v>4896405</v>
      </c>
      <c r="C14" s="386"/>
      <c r="D14" s="385">
        <f>1743086</f>
        <v>1743086</v>
      </c>
      <c r="E14" s="385">
        <f>750000</f>
        <v>750000</v>
      </c>
      <c r="F14" s="385">
        <f>5889491</f>
        <v>5889491</v>
      </c>
      <c r="G14" s="386"/>
      <c r="H14" s="385"/>
    </row>
    <row r="15" spans="1:8" x14ac:dyDescent="0.25">
      <c r="A15" s="388" t="s">
        <v>441</v>
      </c>
      <c r="B15" s="390">
        <f t="shared" ref="B15:G15" si="0">(B13)+(B14)</f>
        <v>4896405</v>
      </c>
      <c r="C15" s="390">
        <f t="shared" si="0"/>
        <v>0</v>
      </c>
      <c r="D15" s="390">
        <f t="shared" si="0"/>
        <v>1743086</v>
      </c>
      <c r="E15" s="390">
        <f t="shared" si="0"/>
        <v>750000</v>
      </c>
      <c r="F15" s="390">
        <f t="shared" si="0"/>
        <v>5889491</v>
      </c>
      <c r="G15" s="390">
        <f t="shared" si="0"/>
        <v>0</v>
      </c>
    </row>
    <row r="16" spans="1:8" x14ac:dyDescent="0.25">
      <c r="A16" s="388" t="s">
        <v>442</v>
      </c>
      <c r="B16" s="385">
        <f>10955.93</f>
        <v>10955.93</v>
      </c>
      <c r="C16" s="386"/>
      <c r="D16" s="386"/>
      <c r="E16" s="385">
        <f>10955.93</f>
        <v>10955.93</v>
      </c>
      <c r="F16" s="386"/>
      <c r="G16" s="386"/>
    </row>
    <row r="17" spans="1:7" x14ac:dyDescent="0.25">
      <c r="A17" s="388" t="s">
        <v>443</v>
      </c>
      <c r="B17" s="385">
        <f>985615</f>
        <v>985615</v>
      </c>
      <c r="C17" s="386"/>
      <c r="D17" s="386"/>
      <c r="E17" s="385">
        <f>985615</f>
        <v>985615</v>
      </c>
      <c r="F17" s="386"/>
      <c r="G17" s="386"/>
    </row>
    <row r="18" spans="1:7" x14ac:dyDescent="0.25">
      <c r="A18" s="384" t="s">
        <v>444</v>
      </c>
      <c r="B18" s="385">
        <f>3500961</f>
        <v>3500961</v>
      </c>
      <c r="C18" s="385">
        <f>3500961</f>
        <v>3500961</v>
      </c>
      <c r="D18" s="385">
        <f>1803441</f>
        <v>1803441</v>
      </c>
      <c r="E18" s="386"/>
      <c r="F18" s="387">
        <f>1803441</f>
        <v>1803441</v>
      </c>
      <c r="G18" s="386"/>
    </row>
    <row r="19" spans="1:7" ht="23.25" x14ac:dyDescent="0.25">
      <c r="A19" s="384" t="s">
        <v>445</v>
      </c>
      <c r="B19" s="385">
        <f>210489</f>
        <v>210489</v>
      </c>
      <c r="C19" s="385">
        <f>210489</f>
        <v>210489</v>
      </c>
      <c r="D19" s="385">
        <f>87587</f>
        <v>87587</v>
      </c>
      <c r="E19" s="386"/>
      <c r="F19" s="387">
        <f>87587</f>
        <v>87587</v>
      </c>
      <c r="G19" s="386"/>
    </row>
    <row r="20" spans="1:7" x14ac:dyDescent="0.25">
      <c r="A20" s="388" t="s">
        <v>446</v>
      </c>
      <c r="B20" s="386"/>
      <c r="C20" s="386"/>
      <c r="D20" s="385">
        <f>112870</f>
        <v>112870</v>
      </c>
      <c r="E20" s="385">
        <f>112870</f>
        <v>112870</v>
      </c>
      <c r="F20" s="386"/>
      <c r="G20" s="386"/>
    </row>
    <row r="21" spans="1:7" x14ac:dyDescent="0.25">
      <c r="A21" s="388" t="s">
        <v>447</v>
      </c>
      <c r="B21" s="386"/>
      <c r="C21" s="386"/>
      <c r="D21" s="385">
        <f>187048.27</f>
        <v>187048.27</v>
      </c>
      <c r="E21" s="385">
        <f>187048.27</f>
        <v>187048.27</v>
      </c>
      <c r="F21" s="386"/>
      <c r="G21" s="386"/>
    </row>
    <row r="22" spans="1:7" x14ac:dyDescent="0.25">
      <c r="A22" s="388" t="s">
        <v>448</v>
      </c>
      <c r="B22" s="385">
        <f>20000</f>
        <v>20000</v>
      </c>
      <c r="C22" s="385">
        <f>20000</f>
        <v>20000</v>
      </c>
      <c r="D22" s="386"/>
      <c r="E22" s="386"/>
      <c r="F22" s="386"/>
      <c r="G22" s="386"/>
    </row>
    <row r="23" spans="1:7" x14ac:dyDescent="0.25">
      <c r="A23" s="388" t="s">
        <v>449</v>
      </c>
      <c r="B23" s="385">
        <f>1388680</f>
        <v>1388680</v>
      </c>
      <c r="C23" s="385">
        <f>1388680</f>
        <v>1388680</v>
      </c>
      <c r="D23" s="386"/>
      <c r="E23" s="386"/>
      <c r="F23" s="386"/>
      <c r="G23" s="386"/>
    </row>
    <row r="24" spans="1:7" x14ac:dyDescent="0.25">
      <c r="A24" s="393" t="s">
        <v>450</v>
      </c>
      <c r="B24" s="385">
        <f>9503</f>
        <v>9503</v>
      </c>
      <c r="C24" s="386"/>
      <c r="D24" s="386"/>
      <c r="E24" s="385">
        <f>6002</f>
        <v>6002</v>
      </c>
      <c r="F24" s="385">
        <f>3501</f>
        <v>3501</v>
      </c>
      <c r="G24" s="386"/>
    </row>
    <row r="25" spans="1:7" x14ac:dyDescent="0.25">
      <c r="A25" s="393" t="s">
        <v>451</v>
      </c>
      <c r="B25" s="385">
        <f>119279</f>
        <v>119279</v>
      </c>
      <c r="C25" s="386"/>
      <c r="D25" s="386"/>
      <c r="E25" s="385">
        <f>75655</f>
        <v>75655</v>
      </c>
      <c r="F25" s="385">
        <f>43624</f>
        <v>43624</v>
      </c>
      <c r="G25" s="386"/>
    </row>
    <row r="26" spans="1:7" x14ac:dyDescent="0.25">
      <c r="A26" s="393" t="s">
        <v>452</v>
      </c>
      <c r="B26" s="386"/>
      <c r="C26" s="386"/>
      <c r="D26" s="385">
        <f>123000</f>
        <v>123000</v>
      </c>
      <c r="E26" s="385">
        <f>76410</f>
        <v>76410</v>
      </c>
      <c r="F26" s="385">
        <f>46590</f>
        <v>46590</v>
      </c>
      <c r="G26" s="386"/>
    </row>
    <row r="27" spans="1:7" x14ac:dyDescent="0.25">
      <c r="A27" s="393" t="s">
        <v>453</v>
      </c>
      <c r="B27" s="385">
        <f>12858</f>
        <v>12858</v>
      </c>
      <c r="C27" s="386"/>
      <c r="D27" s="386"/>
      <c r="E27" s="385">
        <f>8121</f>
        <v>8121</v>
      </c>
      <c r="F27" s="385">
        <f>4737</f>
        <v>4737</v>
      </c>
      <c r="G27" s="386"/>
    </row>
    <row r="28" spans="1:7" x14ac:dyDescent="0.25">
      <c r="A28" s="393" t="s">
        <v>454</v>
      </c>
      <c r="B28" s="385">
        <f>26110</f>
        <v>26110</v>
      </c>
      <c r="C28" s="386"/>
      <c r="D28" s="386"/>
      <c r="E28" s="385">
        <f>26109</f>
        <v>26109</v>
      </c>
      <c r="F28" s="385">
        <f>1</f>
        <v>1</v>
      </c>
      <c r="G28" s="386"/>
    </row>
    <row r="29" spans="1:7" x14ac:dyDescent="0.25">
      <c r="A29" s="393" t="s">
        <v>455</v>
      </c>
      <c r="B29" s="385">
        <f>3070</f>
        <v>3070</v>
      </c>
      <c r="C29" s="386"/>
      <c r="D29" s="386"/>
      <c r="E29" s="385">
        <f>1939</f>
        <v>1939</v>
      </c>
      <c r="F29" s="385">
        <f>1131</f>
        <v>1131</v>
      </c>
      <c r="G29" s="386"/>
    </row>
    <row r="30" spans="1:7" x14ac:dyDescent="0.25">
      <c r="A30" s="393" t="s">
        <v>456</v>
      </c>
      <c r="B30" s="385">
        <f>1</f>
        <v>1</v>
      </c>
      <c r="C30" s="386"/>
      <c r="D30" s="386"/>
      <c r="E30" s="386"/>
      <c r="F30" s="385">
        <f>1</f>
        <v>1</v>
      </c>
      <c r="G30" s="386"/>
    </row>
    <row r="31" spans="1:7" x14ac:dyDescent="0.25">
      <c r="A31" s="393" t="s">
        <v>457</v>
      </c>
      <c r="B31" s="385">
        <f>2109</f>
        <v>2109</v>
      </c>
      <c r="C31" s="386"/>
      <c r="D31" s="386"/>
      <c r="E31" s="385">
        <f>2108</f>
        <v>2108</v>
      </c>
      <c r="F31" s="385">
        <f>1</f>
        <v>1</v>
      </c>
      <c r="G31" s="386"/>
    </row>
    <row r="32" spans="1:7" x14ac:dyDescent="0.25">
      <c r="A32" s="393" t="s">
        <v>458</v>
      </c>
      <c r="B32" s="385">
        <f>12356.22</f>
        <v>12356.22</v>
      </c>
      <c r="C32" s="386"/>
      <c r="D32" s="386"/>
      <c r="E32" s="385">
        <f>12356.22</f>
        <v>12356.22</v>
      </c>
      <c r="F32" s="386"/>
      <c r="G32" s="386"/>
    </row>
    <row r="33" spans="1:7" x14ac:dyDescent="0.25">
      <c r="A33" s="393" t="s">
        <v>459</v>
      </c>
      <c r="B33" s="385">
        <f>664229.6</f>
        <v>664229.6</v>
      </c>
      <c r="C33" s="386"/>
      <c r="D33" s="386"/>
      <c r="E33" s="385">
        <f>425043</f>
        <v>425043</v>
      </c>
      <c r="F33" s="385">
        <f>239186.6</f>
        <v>239186.6</v>
      </c>
      <c r="G33" s="386"/>
    </row>
    <row r="34" spans="1:7" x14ac:dyDescent="0.25">
      <c r="A34" s="393" t="s">
        <v>460</v>
      </c>
      <c r="B34" s="385">
        <f>1120420.42</f>
        <v>1120420.42</v>
      </c>
      <c r="C34" s="386"/>
      <c r="D34" s="386"/>
      <c r="E34" s="385">
        <f>708890</f>
        <v>708890</v>
      </c>
      <c r="F34" s="385">
        <f>411530.42</f>
        <v>411530.42</v>
      </c>
      <c r="G34" s="386"/>
    </row>
    <row r="35" spans="1:7" x14ac:dyDescent="0.25">
      <c r="A35" s="393" t="s">
        <v>461</v>
      </c>
      <c r="B35" s="386"/>
      <c r="C35" s="386"/>
      <c r="D35" s="385">
        <f>1510400</f>
        <v>1510400</v>
      </c>
      <c r="E35" s="385">
        <f>535791</f>
        <v>535791</v>
      </c>
      <c r="F35" s="385">
        <f>974609</f>
        <v>974609</v>
      </c>
      <c r="G35" s="386"/>
    </row>
    <row r="36" spans="1:7" x14ac:dyDescent="0.25">
      <c r="A36" s="393" t="s">
        <v>462</v>
      </c>
      <c r="B36" s="385">
        <f>1</f>
        <v>1</v>
      </c>
      <c r="C36" s="386"/>
      <c r="D36" s="386"/>
      <c r="E36" s="386"/>
      <c r="F36" s="385">
        <f>1</f>
        <v>1</v>
      </c>
      <c r="G36" s="386"/>
    </row>
    <row r="37" spans="1:7" x14ac:dyDescent="0.25">
      <c r="A37" s="393" t="s">
        <v>400</v>
      </c>
      <c r="B37" s="385">
        <f>9639</f>
        <v>9639</v>
      </c>
      <c r="C37" s="386"/>
      <c r="D37" s="386"/>
      <c r="E37" s="385">
        <f>9638</f>
        <v>9638</v>
      </c>
      <c r="F37" s="385">
        <f>1</f>
        <v>1</v>
      </c>
      <c r="G37" s="386"/>
    </row>
    <row r="38" spans="1:7" x14ac:dyDescent="0.25">
      <c r="A38" s="393" t="s">
        <v>463</v>
      </c>
      <c r="B38" s="385">
        <f>6295</f>
        <v>6295</v>
      </c>
      <c r="C38" s="386"/>
      <c r="D38" s="386"/>
      <c r="E38" s="385">
        <f>1630</f>
        <v>1630</v>
      </c>
      <c r="F38" s="385">
        <f>4665</f>
        <v>4665</v>
      </c>
      <c r="G38" s="386"/>
    </row>
    <row r="39" spans="1:7" x14ac:dyDescent="0.25">
      <c r="A39" s="393" t="s">
        <v>464</v>
      </c>
      <c r="B39" s="385">
        <f>11857</f>
        <v>11857</v>
      </c>
      <c r="C39" s="386"/>
      <c r="D39" s="386"/>
      <c r="E39" s="385">
        <f>3070</f>
        <v>3070</v>
      </c>
      <c r="F39" s="385">
        <f>8787</f>
        <v>8787</v>
      </c>
      <c r="G39" s="386"/>
    </row>
    <row r="40" spans="1:7" x14ac:dyDescent="0.25">
      <c r="A40" s="393" t="s">
        <v>465</v>
      </c>
      <c r="B40" s="385">
        <f>68332</f>
        <v>68332</v>
      </c>
      <c r="C40" s="386"/>
      <c r="D40" s="386"/>
      <c r="E40" s="385">
        <f>44483</f>
        <v>44483</v>
      </c>
      <c r="F40" s="385">
        <f>23849</f>
        <v>23849</v>
      </c>
      <c r="G40" s="386"/>
    </row>
    <row r="41" spans="1:7" x14ac:dyDescent="0.25">
      <c r="A41" s="393" t="s">
        <v>466</v>
      </c>
      <c r="B41" s="385">
        <f>5362</f>
        <v>5362</v>
      </c>
      <c r="C41" s="386"/>
      <c r="D41" s="386"/>
      <c r="E41" s="385">
        <f>5361</f>
        <v>5361</v>
      </c>
      <c r="F41" s="385">
        <f>1</f>
        <v>1</v>
      </c>
      <c r="G41" s="386"/>
    </row>
    <row r="42" spans="1:7" x14ac:dyDescent="0.25">
      <c r="A42" s="393" t="s">
        <v>467</v>
      </c>
      <c r="B42" s="385">
        <f>1</f>
        <v>1</v>
      </c>
      <c r="C42" s="386"/>
      <c r="D42" s="386"/>
      <c r="E42" s="386"/>
      <c r="F42" s="385">
        <f>1</f>
        <v>1</v>
      </c>
      <c r="G42" s="386"/>
    </row>
    <row r="43" spans="1:7" x14ac:dyDescent="0.25">
      <c r="A43" s="393" t="s">
        <v>468</v>
      </c>
      <c r="B43" s="385">
        <f>16231</f>
        <v>16231</v>
      </c>
      <c r="C43" s="386"/>
      <c r="D43" s="386"/>
      <c r="E43" s="385">
        <f>16230</f>
        <v>16230</v>
      </c>
      <c r="F43" s="385">
        <f>1</f>
        <v>1</v>
      </c>
      <c r="G43" s="386"/>
    </row>
    <row r="44" spans="1:7" x14ac:dyDescent="0.25">
      <c r="A44" s="393" t="s">
        <v>469</v>
      </c>
      <c r="B44" s="385">
        <f>75689</f>
        <v>75689</v>
      </c>
      <c r="C44" s="386"/>
      <c r="D44" s="386"/>
      <c r="E44" s="385">
        <f>75688</f>
        <v>75688</v>
      </c>
      <c r="F44" s="385">
        <f>1</f>
        <v>1</v>
      </c>
      <c r="G44" s="386"/>
    </row>
    <row r="45" spans="1:7" x14ac:dyDescent="0.25">
      <c r="A45" s="393" t="s">
        <v>470</v>
      </c>
      <c r="B45" s="385">
        <f>89960</f>
        <v>89960</v>
      </c>
      <c r="C45" s="386"/>
      <c r="D45" s="386"/>
      <c r="E45" s="385">
        <f>89959</f>
        <v>89959</v>
      </c>
      <c r="F45" s="385">
        <f>1</f>
        <v>1</v>
      </c>
      <c r="G45" s="386"/>
    </row>
    <row r="46" spans="1:7" x14ac:dyDescent="0.25">
      <c r="A46" s="393" t="s">
        <v>471</v>
      </c>
      <c r="B46" s="385">
        <f>123387</f>
        <v>123387</v>
      </c>
      <c r="C46" s="386"/>
      <c r="D46" s="386"/>
      <c r="E46" s="385">
        <f>123386</f>
        <v>123386</v>
      </c>
      <c r="F46" s="385">
        <f>1</f>
        <v>1</v>
      </c>
      <c r="G46" s="386"/>
    </row>
    <row r="47" spans="1:7" x14ac:dyDescent="0.25">
      <c r="A47" s="393" t="s">
        <v>472</v>
      </c>
      <c r="B47" s="385">
        <f>129384</f>
        <v>129384</v>
      </c>
      <c r="C47" s="386"/>
      <c r="D47" s="386"/>
      <c r="E47" s="385">
        <f>129383</f>
        <v>129383</v>
      </c>
      <c r="F47" s="385">
        <f>1</f>
        <v>1</v>
      </c>
      <c r="G47" s="386"/>
    </row>
    <row r="48" spans="1:7" x14ac:dyDescent="0.25">
      <c r="A48" s="393" t="s">
        <v>473</v>
      </c>
      <c r="B48" s="385">
        <f>65350</f>
        <v>65350</v>
      </c>
      <c r="C48" s="386"/>
      <c r="D48" s="386"/>
      <c r="E48" s="385">
        <f>65349</f>
        <v>65349</v>
      </c>
      <c r="F48" s="385">
        <f>1</f>
        <v>1</v>
      </c>
      <c r="G48" s="386"/>
    </row>
    <row r="49" spans="1:7" x14ac:dyDescent="0.25">
      <c r="A49" s="393" t="s">
        <v>474</v>
      </c>
      <c r="B49" s="385">
        <f>65613</f>
        <v>65613</v>
      </c>
      <c r="C49" s="386"/>
      <c r="D49" s="386"/>
      <c r="E49" s="385">
        <f>65612</f>
        <v>65612</v>
      </c>
      <c r="F49" s="385">
        <f>1</f>
        <v>1</v>
      </c>
      <c r="G49" s="386"/>
    </row>
    <row r="50" spans="1:7" x14ac:dyDescent="0.25">
      <c r="A50" s="393" t="s">
        <v>475</v>
      </c>
      <c r="B50" s="385">
        <f>188265</f>
        <v>188265</v>
      </c>
      <c r="C50" s="386"/>
      <c r="D50" s="386"/>
      <c r="E50" s="385">
        <f>118910</f>
        <v>118910</v>
      </c>
      <c r="F50" s="385">
        <f>69355</f>
        <v>69355</v>
      </c>
      <c r="G50" s="386"/>
    </row>
    <row r="51" spans="1:7" x14ac:dyDescent="0.25">
      <c r="A51" s="393" t="s">
        <v>476</v>
      </c>
      <c r="B51" s="385">
        <f>692690</f>
        <v>692690</v>
      </c>
      <c r="C51" s="386"/>
      <c r="D51" s="386"/>
      <c r="E51" s="385">
        <f>449777</f>
        <v>449777</v>
      </c>
      <c r="F51" s="385">
        <f>242913</f>
        <v>242913</v>
      </c>
      <c r="G51" s="386"/>
    </row>
    <row r="52" spans="1:7" x14ac:dyDescent="0.25">
      <c r="A52" s="393" t="s">
        <v>477</v>
      </c>
      <c r="B52" s="385">
        <f>1</f>
        <v>1</v>
      </c>
      <c r="C52" s="386"/>
      <c r="D52" s="386"/>
      <c r="E52" s="386"/>
      <c r="F52" s="385">
        <f>1</f>
        <v>1</v>
      </c>
      <c r="G52" s="386"/>
    </row>
    <row r="53" spans="1:7" x14ac:dyDescent="0.25">
      <c r="A53" s="393" t="s">
        <v>478</v>
      </c>
      <c r="B53" s="385">
        <f>1</f>
        <v>1</v>
      </c>
      <c r="C53" s="386"/>
      <c r="D53" s="386"/>
      <c r="E53" s="386"/>
      <c r="F53" s="385">
        <f>1</f>
        <v>1</v>
      </c>
      <c r="G53" s="386"/>
    </row>
    <row r="54" spans="1:7" x14ac:dyDescent="0.25">
      <c r="A54" s="393" t="s">
        <v>479</v>
      </c>
      <c r="B54" s="385">
        <f>1</f>
        <v>1</v>
      </c>
      <c r="C54" s="386"/>
      <c r="D54" s="386"/>
      <c r="E54" s="386"/>
      <c r="F54" s="385">
        <f>1</f>
        <v>1</v>
      </c>
      <c r="G54" s="386"/>
    </row>
    <row r="55" spans="1:7" x14ac:dyDescent="0.25">
      <c r="A55" s="393" t="s">
        <v>480</v>
      </c>
      <c r="B55" s="385">
        <f>1</f>
        <v>1</v>
      </c>
      <c r="C55" s="386"/>
      <c r="D55" s="386"/>
      <c r="E55" s="386"/>
      <c r="F55" s="385">
        <f>1</f>
        <v>1</v>
      </c>
      <c r="G55" s="386"/>
    </row>
    <row r="56" spans="1:7" x14ac:dyDescent="0.25">
      <c r="A56" s="393" t="s">
        <v>481</v>
      </c>
      <c r="B56" s="385">
        <f>1</f>
        <v>1</v>
      </c>
      <c r="C56" s="386"/>
      <c r="D56" s="386"/>
      <c r="E56" s="386"/>
      <c r="F56" s="385">
        <f>1</f>
        <v>1</v>
      </c>
      <c r="G56" s="386"/>
    </row>
    <row r="57" spans="1:7" x14ac:dyDescent="0.25">
      <c r="A57" s="393" t="s">
        <v>482</v>
      </c>
      <c r="B57" s="385">
        <f>1</f>
        <v>1</v>
      </c>
      <c r="C57" s="386"/>
      <c r="D57" s="386"/>
      <c r="E57" s="386"/>
      <c r="F57" s="385">
        <f>1</f>
        <v>1</v>
      </c>
      <c r="G57" s="386"/>
    </row>
    <row r="58" spans="1:7" x14ac:dyDescent="0.25">
      <c r="A58" s="393" t="s">
        <v>483</v>
      </c>
      <c r="B58" s="385">
        <f>11623</f>
        <v>11623</v>
      </c>
      <c r="C58" s="386"/>
      <c r="D58" s="386"/>
      <c r="E58" s="385">
        <f>11622</f>
        <v>11622</v>
      </c>
      <c r="F58" s="385">
        <f>1</f>
        <v>1</v>
      </c>
      <c r="G58" s="386"/>
    </row>
    <row r="59" spans="1:7" x14ac:dyDescent="0.25">
      <c r="A59" s="393" t="s">
        <v>484</v>
      </c>
      <c r="B59" s="385">
        <f>44511</f>
        <v>44511</v>
      </c>
      <c r="C59" s="386"/>
      <c r="D59" s="386"/>
      <c r="E59" s="385">
        <f>44510</f>
        <v>44510</v>
      </c>
      <c r="F59" s="385">
        <f>1</f>
        <v>1</v>
      </c>
      <c r="G59" s="386"/>
    </row>
    <row r="60" spans="1:7" x14ac:dyDescent="0.25">
      <c r="A60" s="393" t="s">
        <v>485</v>
      </c>
      <c r="B60" s="385">
        <f>7655</f>
        <v>7655</v>
      </c>
      <c r="C60" s="386"/>
      <c r="D60" s="386"/>
      <c r="E60" s="385">
        <f>7654</f>
        <v>7654</v>
      </c>
      <c r="F60" s="385">
        <f>1</f>
        <v>1</v>
      </c>
      <c r="G60" s="386"/>
    </row>
    <row r="61" spans="1:7" x14ac:dyDescent="0.25">
      <c r="A61" s="393" t="s">
        <v>486</v>
      </c>
      <c r="B61" s="385">
        <f>3864</f>
        <v>3864</v>
      </c>
      <c r="C61" s="386"/>
      <c r="D61" s="386"/>
      <c r="E61" s="385">
        <f>3863</f>
        <v>3863</v>
      </c>
      <c r="F61" s="385">
        <f>1</f>
        <v>1</v>
      </c>
      <c r="G61" s="386"/>
    </row>
    <row r="62" spans="1:7" x14ac:dyDescent="0.25">
      <c r="A62" s="393" t="s">
        <v>487</v>
      </c>
      <c r="B62" s="385">
        <f>1284</f>
        <v>1284</v>
      </c>
      <c r="C62" s="386"/>
      <c r="D62" s="386"/>
      <c r="E62" s="385">
        <f>1283</f>
        <v>1283</v>
      </c>
      <c r="F62" s="385">
        <f>1</f>
        <v>1</v>
      </c>
      <c r="G62" s="386"/>
    </row>
    <row r="63" spans="1:7" x14ac:dyDescent="0.25">
      <c r="A63" s="393" t="s">
        <v>488</v>
      </c>
      <c r="B63" s="385">
        <f>1167</f>
        <v>1167</v>
      </c>
      <c r="C63" s="386"/>
      <c r="D63" s="386"/>
      <c r="E63" s="385">
        <f>1166</f>
        <v>1166</v>
      </c>
      <c r="F63" s="385">
        <f>1</f>
        <v>1</v>
      </c>
      <c r="G63" s="386"/>
    </row>
    <row r="64" spans="1:7" x14ac:dyDescent="0.25">
      <c r="A64" s="393" t="s">
        <v>489</v>
      </c>
      <c r="B64" s="385">
        <f>5793</f>
        <v>5793</v>
      </c>
      <c r="C64" s="386"/>
      <c r="D64" s="386"/>
      <c r="E64" s="385">
        <f>5792</f>
        <v>5792</v>
      </c>
      <c r="F64" s="385">
        <f>1</f>
        <v>1</v>
      </c>
      <c r="G64" s="386"/>
    </row>
    <row r="65" spans="1:7" x14ac:dyDescent="0.25">
      <c r="A65" s="393" t="s">
        <v>490</v>
      </c>
      <c r="B65" s="385">
        <f>1106</f>
        <v>1106</v>
      </c>
      <c r="C65" s="386"/>
      <c r="D65" s="386"/>
      <c r="E65" s="385">
        <f>1105</f>
        <v>1105</v>
      </c>
      <c r="F65" s="385">
        <f>1</f>
        <v>1</v>
      </c>
      <c r="G65" s="386"/>
    </row>
    <row r="66" spans="1:7" x14ac:dyDescent="0.25">
      <c r="A66" s="393" t="s">
        <v>491</v>
      </c>
      <c r="B66" s="385">
        <f>4743.14</f>
        <v>4743.1400000000003</v>
      </c>
      <c r="C66" s="386"/>
      <c r="D66" s="386"/>
      <c r="E66" s="385">
        <f>2996</f>
        <v>2996</v>
      </c>
      <c r="F66" s="385">
        <f>1747.14</f>
        <v>1747.14</v>
      </c>
      <c r="G66" s="386"/>
    </row>
    <row r="67" spans="1:7" x14ac:dyDescent="0.25">
      <c r="A67" s="393" t="s">
        <v>492</v>
      </c>
      <c r="B67" s="385">
        <f>20041</f>
        <v>20041</v>
      </c>
      <c r="C67" s="386"/>
      <c r="D67" s="386"/>
      <c r="E67" s="385">
        <f>12656</f>
        <v>12656</v>
      </c>
      <c r="F67" s="385">
        <f>7385</f>
        <v>7385</v>
      </c>
      <c r="G67" s="386"/>
    </row>
    <row r="68" spans="1:7" x14ac:dyDescent="0.25">
      <c r="A68" s="393" t="s">
        <v>493</v>
      </c>
      <c r="B68" s="385">
        <f>1568</f>
        <v>1568</v>
      </c>
      <c r="C68" s="386"/>
      <c r="D68" s="386"/>
      <c r="E68" s="385">
        <f>1567</f>
        <v>1567</v>
      </c>
      <c r="F68" s="385">
        <f>1</f>
        <v>1</v>
      </c>
      <c r="G68" s="386"/>
    </row>
    <row r="69" spans="1:7" x14ac:dyDescent="0.25">
      <c r="A69" s="393" t="s">
        <v>494</v>
      </c>
      <c r="B69" s="385">
        <f>2306.75</f>
        <v>2306.75</v>
      </c>
      <c r="C69" s="386"/>
      <c r="D69" s="386"/>
      <c r="E69" s="385">
        <f>2306.75</f>
        <v>2306.75</v>
      </c>
      <c r="F69" s="386"/>
      <c r="G69" s="386"/>
    </row>
    <row r="70" spans="1:7" x14ac:dyDescent="0.25">
      <c r="A70" s="393" t="s">
        <v>495</v>
      </c>
      <c r="B70" s="385">
        <f>4070</f>
        <v>4070</v>
      </c>
      <c r="C70" s="386"/>
      <c r="D70" s="386"/>
      <c r="E70" s="385">
        <f>4069</f>
        <v>4069</v>
      </c>
      <c r="F70" s="385">
        <f>1</f>
        <v>1</v>
      </c>
      <c r="G70" s="386"/>
    </row>
    <row r="71" spans="1:7" x14ac:dyDescent="0.25">
      <c r="A71" s="393" t="s">
        <v>496</v>
      </c>
      <c r="B71" s="385">
        <f>5574.14</f>
        <v>5574.14</v>
      </c>
      <c r="C71" s="386"/>
      <c r="D71" s="386"/>
      <c r="E71" s="385">
        <f>2512</f>
        <v>2512</v>
      </c>
      <c r="F71" s="385">
        <f>3062.14</f>
        <v>3062.14</v>
      </c>
      <c r="G71" s="386"/>
    </row>
    <row r="72" spans="1:7" x14ac:dyDescent="0.25">
      <c r="A72" s="393" t="s">
        <v>497</v>
      </c>
      <c r="B72" s="385">
        <f>5574.14</f>
        <v>5574.14</v>
      </c>
      <c r="C72" s="386"/>
      <c r="D72" s="386"/>
      <c r="E72" s="385">
        <f>5574.14</f>
        <v>5574.14</v>
      </c>
      <c r="F72" s="386"/>
      <c r="G72" s="386"/>
    </row>
    <row r="73" spans="1:7" x14ac:dyDescent="0.25">
      <c r="A73" s="393" t="s">
        <v>498</v>
      </c>
      <c r="B73" s="385">
        <f>447</f>
        <v>447</v>
      </c>
      <c r="C73" s="386"/>
      <c r="D73" s="386"/>
      <c r="E73" s="385">
        <f>446</f>
        <v>446</v>
      </c>
      <c r="F73" s="385">
        <f>1</f>
        <v>1</v>
      </c>
      <c r="G73" s="386"/>
    </row>
    <row r="74" spans="1:7" x14ac:dyDescent="0.25">
      <c r="A74" s="393" t="s">
        <v>499</v>
      </c>
      <c r="B74" s="385">
        <f>3426.93</f>
        <v>3426.93</v>
      </c>
      <c r="C74" s="386"/>
      <c r="D74" s="386"/>
      <c r="E74" s="385">
        <f>3426.93</f>
        <v>3426.93</v>
      </c>
      <c r="F74" s="386"/>
      <c r="G74" s="386"/>
    </row>
    <row r="75" spans="1:7" x14ac:dyDescent="0.25">
      <c r="A75" s="393" t="s">
        <v>500</v>
      </c>
      <c r="B75" s="385">
        <f>3426.93</f>
        <v>3426.93</v>
      </c>
      <c r="C75" s="386"/>
      <c r="D75" s="386"/>
      <c r="E75" s="385">
        <f>3426.93</f>
        <v>3426.93</v>
      </c>
      <c r="F75" s="386"/>
      <c r="G75" s="386"/>
    </row>
    <row r="76" spans="1:7" x14ac:dyDescent="0.25">
      <c r="A76" s="384" t="s">
        <v>501</v>
      </c>
      <c r="B76" s="386"/>
      <c r="C76" s="386"/>
      <c r="D76" s="385">
        <f>45000</f>
        <v>45000</v>
      </c>
      <c r="E76" s="386"/>
      <c r="F76" s="387">
        <f>45000</f>
        <v>45000</v>
      </c>
      <c r="G76" s="386"/>
    </row>
    <row r="77" spans="1:7" x14ac:dyDescent="0.25">
      <c r="A77" s="388" t="s">
        <v>502</v>
      </c>
      <c r="B77" s="385">
        <f>464106</f>
        <v>464106</v>
      </c>
      <c r="C77" s="386"/>
      <c r="D77" s="385">
        <v>110392</v>
      </c>
      <c r="E77" s="386"/>
      <c r="F77" s="385">
        <v>574498</v>
      </c>
      <c r="G77" s="386"/>
    </row>
    <row r="78" spans="1:7" x14ac:dyDescent="0.25">
      <c r="A78" s="388" t="s">
        <v>503</v>
      </c>
      <c r="B78" s="386"/>
      <c r="C78" s="386"/>
      <c r="D78" s="385">
        <f>376200</f>
        <v>376200</v>
      </c>
      <c r="E78" s="386"/>
      <c r="F78" s="387">
        <f>376200</f>
        <v>376200</v>
      </c>
      <c r="G78" s="386"/>
    </row>
    <row r="79" spans="1:7" x14ac:dyDescent="0.25">
      <c r="A79" s="384" t="s">
        <v>504</v>
      </c>
      <c r="B79" s="385">
        <f>1820000</f>
        <v>1820000</v>
      </c>
      <c r="C79" s="386"/>
      <c r="D79" s="386"/>
      <c r="E79" s="385">
        <f>1820000</f>
        <v>1820000</v>
      </c>
      <c r="F79" s="386"/>
      <c r="G79" s="386"/>
    </row>
    <row r="80" spans="1:7" x14ac:dyDescent="0.25">
      <c r="A80" s="388" t="s">
        <v>505</v>
      </c>
      <c r="B80" s="385">
        <f>1815600</f>
        <v>1815600</v>
      </c>
      <c r="C80" s="385">
        <f>1815600</f>
        <v>1815600</v>
      </c>
      <c r="D80" s="386"/>
      <c r="E80" s="386"/>
      <c r="F80" s="386"/>
      <c r="G80" s="386"/>
    </row>
    <row r="81" spans="1:7" x14ac:dyDescent="0.25">
      <c r="A81" s="384" t="s">
        <v>406</v>
      </c>
      <c r="B81" s="386"/>
      <c r="C81" s="385">
        <f>1227253.42</f>
        <v>1227253.42</v>
      </c>
      <c r="D81" s="385">
        <f>14689785.42</f>
        <v>14689785.42</v>
      </c>
      <c r="E81" s="385">
        <f>13512482</f>
        <v>13512482</v>
      </c>
      <c r="F81" s="386"/>
      <c r="G81" s="387">
        <f>49950</f>
        <v>49950</v>
      </c>
    </row>
    <row r="82" spans="1:7" x14ac:dyDescent="0.25">
      <c r="A82" s="388" t="s">
        <v>506</v>
      </c>
      <c r="B82" s="385">
        <f>9064900</f>
        <v>9064900</v>
      </c>
      <c r="C82" s="385">
        <f>9064900</f>
        <v>9064900</v>
      </c>
      <c r="D82" s="386"/>
      <c r="E82" s="386"/>
      <c r="F82" s="386"/>
      <c r="G82" s="386"/>
    </row>
    <row r="83" spans="1:7" x14ac:dyDescent="0.25">
      <c r="A83" s="388" t="s">
        <v>507</v>
      </c>
      <c r="B83" s="385">
        <f>21990</f>
        <v>21990</v>
      </c>
      <c r="C83" s="385">
        <f>21990</f>
        <v>21990</v>
      </c>
      <c r="D83" s="386"/>
      <c r="E83" s="386"/>
      <c r="F83" s="386"/>
      <c r="G83" s="386"/>
    </row>
    <row r="84" spans="1:7" x14ac:dyDescent="0.25">
      <c r="A84" s="384" t="s">
        <v>407</v>
      </c>
      <c r="B84" s="385">
        <f>2208548</f>
        <v>2208548</v>
      </c>
      <c r="C84" s="386"/>
      <c r="D84" s="385">
        <f>464216.98</f>
        <v>464216.98</v>
      </c>
      <c r="E84" s="386"/>
      <c r="F84" s="387">
        <f>2672764.98</f>
        <v>2672764.98</v>
      </c>
      <c r="G84" s="386"/>
    </row>
    <row r="85" spans="1:7" x14ac:dyDescent="0.25">
      <c r="A85" s="388" t="s">
        <v>508</v>
      </c>
      <c r="B85" s="385">
        <f>32310.46</f>
        <v>32310.46</v>
      </c>
      <c r="C85" s="385">
        <f>32310.46</f>
        <v>32310.46</v>
      </c>
      <c r="D85" s="386"/>
      <c r="E85" s="386"/>
      <c r="F85" s="394"/>
      <c r="G85" s="386"/>
    </row>
    <row r="86" spans="1:7" x14ac:dyDescent="0.25">
      <c r="A86" s="388" t="s">
        <v>509</v>
      </c>
      <c r="B86" s="385">
        <f>15646.24</f>
        <v>15646.24</v>
      </c>
      <c r="C86" s="385">
        <f>15646.24</f>
        <v>15646.24</v>
      </c>
      <c r="D86" s="386"/>
      <c r="E86" s="386"/>
      <c r="F86" s="386"/>
      <c r="G86" s="386"/>
    </row>
    <row r="87" spans="1:7" x14ac:dyDescent="0.25">
      <c r="A87" s="388" t="s">
        <v>510</v>
      </c>
      <c r="B87" s="385">
        <f>218.3</f>
        <v>218.3</v>
      </c>
      <c r="C87" s="385">
        <f>218.3</f>
        <v>218.3</v>
      </c>
      <c r="D87" s="386"/>
      <c r="E87" s="386"/>
      <c r="F87" s="386"/>
      <c r="G87" s="386"/>
    </row>
    <row r="88" spans="1:7" x14ac:dyDescent="0.25">
      <c r="A88" s="388" t="s">
        <v>408</v>
      </c>
      <c r="B88" s="385">
        <f>2934942.69</f>
        <v>2934942.69</v>
      </c>
      <c r="C88" s="385">
        <f>2934942.69</f>
        <v>2934942.69</v>
      </c>
      <c r="D88" s="386"/>
      <c r="E88" s="386"/>
      <c r="F88" s="386"/>
      <c r="G88" s="386"/>
    </row>
    <row r="89" spans="1:7" x14ac:dyDescent="0.25">
      <c r="A89" s="388" t="s">
        <v>511</v>
      </c>
      <c r="B89" s="385">
        <f>10132</f>
        <v>10132</v>
      </c>
      <c r="C89" s="385">
        <f>10132</f>
        <v>10132</v>
      </c>
      <c r="D89" s="386"/>
      <c r="E89" s="386"/>
      <c r="F89" s="386"/>
      <c r="G89" s="386"/>
    </row>
    <row r="90" spans="1:7" x14ac:dyDescent="0.25">
      <c r="A90" s="384" t="s">
        <v>409</v>
      </c>
      <c r="B90" s="385">
        <f>18847</f>
        <v>18847</v>
      </c>
      <c r="C90" s="386"/>
      <c r="D90" s="385">
        <f>544978.33</f>
        <v>544978.32999999996</v>
      </c>
      <c r="E90" s="385">
        <f>536225.65</f>
        <v>536225.65</v>
      </c>
      <c r="F90" s="387">
        <f>27599.68</f>
        <v>27599.68</v>
      </c>
      <c r="G90" s="386"/>
    </row>
    <row r="91" spans="1:7" x14ac:dyDescent="0.25">
      <c r="A91" s="388" t="s">
        <v>410</v>
      </c>
      <c r="B91" s="385">
        <f>244685.5</f>
        <v>244685.5</v>
      </c>
      <c r="C91" s="385">
        <f>244685.5</f>
        <v>244685.5</v>
      </c>
      <c r="D91" s="386"/>
      <c r="E91" s="386"/>
      <c r="F91" s="386"/>
      <c r="G91" s="386"/>
    </row>
    <row r="92" spans="1:7" x14ac:dyDescent="0.25">
      <c r="A92" s="384" t="s">
        <v>411</v>
      </c>
      <c r="B92" s="385">
        <f>2138275</f>
        <v>2138275</v>
      </c>
      <c r="C92" s="386"/>
      <c r="D92" s="385">
        <f>464216.98</f>
        <v>464216.98</v>
      </c>
      <c r="E92" s="386"/>
      <c r="F92" s="387">
        <f>2602491.98</f>
        <v>2602491.98</v>
      </c>
      <c r="G92" s="386"/>
    </row>
    <row r="93" spans="1:7" x14ac:dyDescent="0.25">
      <c r="A93" s="388" t="s">
        <v>512</v>
      </c>
      <c r="B93" s="385">
        <f>32310.46</f>
        <v>32310.46</v>
      </c>
      <c r="C93" s="385">
        <f>32310.46</f>
        <v>32310.46</v>
      </c>
      <c r="D93" s="386"/>
      <c r="E93" s="386"/>
      <c r="F93" s="386"/>
      <c r="G93" s="386"/>
    </row>
    <row r="94" spans="1:7" x14ac:dyDescent="0.25">
      <c r="A94" s="388" t="s">
        <v>513</v>
      </c>
      <c r="B94" s="385">
        <f>15646.24</f>
        <v>15646.24</v>
      </c>
      <c r="C94" s="385">
        <f>15646.24</f>
        <v>15646.24</v>
      </c>
      <c r="D94" s="386"/>
      <c r="E94" s="386"/>
      <c r="F94" s="386"/>
      <c r="G94" s="386"/>
    </row>
    <row r="95" spans="1:7" x14ac:dyDescent="0.25">
      <c r="A95" s="388" t="s">
        <v>514</v>
      </c>
      <c r="B95" s="385">
        <f>218.3</f>
        <v>218.3</v>
      </c>
      <c r="C95" s="385">
        <f>218.3</f>
        <v>218.3</v>
      </c>
      <c r="D95" s="386"/>
      <c r="E95" s="386"/>
      <c r="F95" s="386"/>
      <c r="G95" s="386"/>
    </row>
    <row r="96" spans="1:7" x14ac:dyDescent="0.25">
      <c r="A96" s="388" t="s">
        <v>412</v>
      </c>
      <c r="B96" s="385">
        <f>2934942.69</f>
        <v>2934942.69</v>
      </c>
      <c r="C96" s="385">
        <f>2934942.69</f>
        <v>2934942.69</v>
      </c>
      <c r="D96" s="386"/>
      <c r="E96" s="386"/>
      <c r="F96" s="386"/>
      <c r="G96" s="386"/>
    </row>
    <row r="97" spans="1:7" x14ac:dyDescent="0.25">
      <c r="A97" s="388" t="s">
        <v>515</v>
      </c>
      <c r="B97" s="385">
        <f>10132</f>
        <v>10132</v>
      </c>
      <c r="C97" s="385">
        <f>10132</f>
        <v>10132</v>
      </c>
      <c r="D97" s="386"/>
      <c r="E97" s="386"/>
      <c r="F97" s="386"/>
      <c r="G97" s="386"/>
    </row>
    <row r="98" spans="1:7" x14ac:dyDescent="0.25">
      <c r="A98" s="388" t="s">
        <v>516</v>
      </c>
      <c r="B98" s="386"/>
      <c r="C98" s="386"/>
      <c r="D98" s="385">
        <f>1529.84</f>
        <v>1529.84</v>
      </c>
      <c r="E98" s="385">
        <f>1529.84</f>
        <v>1529.84</v>
      </c>
      <c r="F98" s="386"/>
      <c r="G98" s="386"/>
    </row>
    <row r="99" spans="1:7" x14ac:dyDescent="0.25">
      <c r="A99" s="388" t="s">
        <v>517</v>
      </c>
      <c r="B99" s="386"/>
      <c r="C99" s="386"/>
      <c r="D99" s="385">
        <f>1529.81</f>
        <v>1529.81</v>
      </c>
      <c r="E99" s="385">
        <f>1529.81</f>
        <v>1529.81</v>
      </c>
      <c r="F99" s="386"/>
      <c r="G99" s="386"/>
    </row>
    <row r="100" spans="1:7" x14ac:dyDescent="0.25">
      <c r="A100" s="384" t="s">
        <v>413</v>
      </c>
      <c r="B100" s="386"/>
      <c r="C100" s="385">
        <f>510331.33</f>
        <v>510331.33</v>
      </c>
      <c r="D100" s="385">
        <f>128099175</f>
        <v>128099175</v>
      </c>
      <c r="E100" s="385">
        <f>127954928.67</f>
        <v>127954928.67</v>
      </c>
      <c r="F100" s="386"/>
      <c r="G100" s="387">
        <f>366085</f>
        <v>366085</v>
      </c>
    </row>
    <row r="101" spans="1:7" x14ac:dyDescent="0.25">
      <c r="A101" s="384" t="s">
        <v>414</v>
      </c>
      <c r="B101" s="386"/>
      <c r="C101" s="385">
        <f>20800</f>
        <v>20800</v>
      </c>
      <c r="D101" s="385">
        <f>227750</f>
        <v>227750</v>
      </c>
      <c r="E101" s="385">
        <f>223950</f>
        <v>223950</v>
      </c>
      <c r="F101" s="386"/>
      <c r="G101" s="387">
        <f>17000</f>
        <v>17000</v>
      </c>
    </row>
    <row r="102" spans="1:7" x14ac:dyDescent="0.25">
      <c r="A102" s="384" t="s">
        <v>415</v>
      </c>
      <c r="B102" s="386"/>
      <c r="C102" s="385">
        <f>1605076</f>
        <v>1605076</v>
      </c>
      <c r="D102" s="385">
        <f>19265422</f>
        <v>19265422</v>
      </c>
      <c r="E102" s="385">
        <f>19181688</f>
        <v>19181688</v>
      </c>
      <c r="F102" s="386"/>
      <c r="G102" s="387">
        <f>1521342</f>
        <v>1521342</v>
      </c>
    </row>
    <row r="103" spans="1:7" x14ac:dyDescent="0.25">
      <c r="A103" s="384" t="s">
        <v>518</v>
      </c>
      <c r="B103" s="386"/>
      <c r="C103" s="386"/>
      <c r="D103" s="386"/>
      <c r="E103" s="385">
        <f>7926272</f>
        <v>7926272</v>
      </c>
      <c r="F103" s="386"/>
      <c r="G103" s="387">
        <f>7926272</f>
        <v>7926272</v>
      </c>
    </row>
    <row r="104" spans="1:7" x14ac:dyDescent="0.25">
      <c r="A104" s="384" t="s">
        <v>519</v>
      </c>
      <c r="B104" s="386"/>
      <c r="C104" s="385">
        <f>100000</f>
        <v>100000</v>
      </c>
      <c r="D104" s="385">
        <f>100000</f>
        <v>100000</v>
      </c>
      <c r="E104" s="386">
        <v>100000</v>
      </c>
      <c r="F104" s="386"/>
      <c r="G104" s="394">
        <v>100000</v>
      </c>
    </row>
    <row r="105" spans="1:7" x14ac:dyDescent="0.25">
      <c r="A105" s="384" t="s">
        <v>520</v>
      </c>
      <c r="B105" s="386"/>
      <c r="C105" s="385">
        <v>20000</v>
      </c>
      <c r="D105" s="385">
        <f>20000</f>
        <v>20000</v>
      </c>
      <c r="E105" s="386">
        <v>20000</v>
      </c>
      <c r="F105" s="386"/>
      <c r="G105" s="387">
        <f>20000</f>
        <v>20000</v>
      </c>
    </row>
    <row r="106" spans="1:7" x14ac:dyDescent="0.25">
      <c r="A106" s="388" t="s">
        <v>521</v>
      </c>
      <c r="B106" s="385">
        <v>17616113</v>
      </c>
      <c r="C106" s="385">
        <v>17616113</v>
      </c>
      <c r="D106" s="386">
        <v>10800066</v>
      </c>
      <c r="E106" s="386">
        <v>10533953</v>
      </c>
      <c r="F106" s="385">
        <v>266113</v>
      </c>
      <c r="G106" s="386"/>
    </row>
    <row r="107" spans="1:7" x14ac:dyDescent="0.25">
      <c r="A107" s="388" t="s">
        <v>522</v>
      </c>
      <c r="B107" s="385">
        <f>15000</f>
        <v>15000</v>
      </c>
      <c r="C107" s="385">
        <f>15000</f>
        <v>15000</v>
      </c>
      <c r="D107" s="386"/>
      <c r="E107" s="386"/>
      <c r="F107" s="386"/>
      <c r="G107" s="386"/>
    </row>
    <row r="108" spans="1:7" x14ac:dyDescent="0.25">
      <c r="A108" s="384" t="s">
        <v>416</v>
      </c>
      <c r="B108" s="386"/>
      <c r="C108" s="386"/>
      <c r="D108" s="385">
        <f>17229626</f>
        <v>17229626</v>
      </c>
      <c r="E108" s="385">
        <f>19355767</f>
        <v>19355767</v>
      </c>
      <c r="F108" s="386"/>
      <c r="G108" s="387">
        <f>2126141</f>
        <v>2126141</v>
      </c>
    </row>
    <row r="109" spans="1:7" x14ac:dyDescent="0.25">
      <c r="A109" s="388" t="s">
        <v>417</v>
      </c>
      <c r="B109" s="386"/>
      <c r="C109" s="385">
        <f>2381065</f>
        <v>2381065</v>
      </c>
      <c r="D109" s="385">
        <f>2381065</f>
        <v>2381065</v>
      </c>
      <c r="E109" s="386"/>
      <c r="F109" s="386"/>
      <c r="G109" s="386"/>
    </row>
    <row r="110" spans="1:7" x14ac:dyDescent="0.25">
      <c r="A110" s="388" t="s">
        <v>418</v>
      </c>
      <c r="B110" s="386"/>
      <c r="C110" s="385">
        <f>314</f>
        <v>314</v>
      </c>
      <c r="D110" s="385">
        <f>314</f>
        <v>314</v>
      </c>
      <c r="E110" s="386"/>
      <c r="F110" s="386"/>
      <c r="G110" s="386"/>
    </row>
    <row r="111" spans="1:7" x14ac:dyDescent="0.25">
      <c r="A111" s="388" t="s">
        <v>419</v>
      </c>
      <c r="B111" s="386"/>
      <c r="C111" s="385">
        <f>25594</f>
        <v>25594</v>
      </c>
      <c r="D111" s="385">
        <f>25594</f>
        <v>25594</v>
      </c>
      <c r="E111" s="386"/>
      <c r="F111" s="386"/>
      <c r="G111" s="386"/>
    </row>
    <row r="112" spans="1:7" x14ac:dyDescent="0.25">
      <c r="A112" s="388" t="s">
        <v>420</v>
      </c>
      <c r="B112" s="386"/>
      <c r="C112" s="385">
        <f>4518</f>
        <v>4518</v>
      </c>
      <c r="D112" s="385">
        <f>4518</f>
        <v>4518</v>
      </c>
      <c r="E112" s="386"/>
      <c r="F112" s="386"/>
      <c r="G112" s="386"/>
    </row>
    <row r="113" spans="1:11" x14ac:dyDescent="0.25">
      <c r="A113" s="388" t="s">
        <v>523</v>
      </c>
      <c r="B113" s="385">
        <f>42383</f>
        <v>42383</v>
      </c>
      <c r="C113" s="385">
        <f>42383</f>
        <v>42383</v>
      </c>
      <c r="D113" s="386"/>
      <c r="E113" s="386"/>
      <c r="F113" s="386"/>
      <c r="G113" s="386"/>
    </row>
    <row r="114" spans="1:11" x14ac:dyDescent="0.25">
      <c r="A114" s="388" t="s">
        <v>175</v>
      </c>
      <c r="B114" s="385"/>
      <c r="C114" s="385">
        <v>46745912.530000001</v>
      </c>
      <c r="D114" s="386"/>
      <c r="E114" s="386"/>
      <c r="F114" s="386"/>
      <c r="G114" s="385">
        <v>46745912.530000001</v>
      </c>
      <c r="I114" s="389"/>
      <c r="K114" s="389"/>
    </row>
    <row r="115" spans="1:11" x14ac:dyDescent="0.25">
      <c r="A115" s="384" t="s">
        <v>524</v>
      </c>
      <c r="B115" s="386"/>
      <c r="C115" s="385">
        <f>969563</f>
        <v>969563</v>
      </c>
      <c r="D115" s="386"/>
      <c r="E115" s="386"/>
      <c r="F115" s="386"/>
      <c r="G115" s="387">
        <f>969563</f>
        <v>969563</v>
      </c>
    </row>
    <row r="116" spans="1:11" x14ac:dyDescent="0.25">
      <c r="A116" s="388" t="s">
        <v>525</v>
      </c>
      <c r="B116" s="385">
        <f>10</f>
        <v>10</v>
      </c>
      <c r="C116" s="385">
        <f>10</f>
        <v>10</v>
      </c>
      <c r="D116" s="386"/>
      <c r="E116" s="386"/>
      <c r="F116" s="386"/>
      <c r="G116" s="386"/>
    </row>
    <row r="117" spans="1:11" x14ac:dyDescent="0.25">
      <c r="A117" s="388" t="s">
        <v>526</v>
      </c>
      <c r="B117" s="386"/>
      <c r="C117" s="385">
        <f>20</f>
        <v>20</v>
      </c>
      <c r="D117" s="386"/>
      <c r="E117" s="386"/>
      <c r="F117" s="386"/>
      <c r="G117" s="385">
        <f>20</f>
        <v>20</v>
      </c>
    </row>
    <row r="118" spans="1:11" x14ac:dyDescent="0.25">
      <c r="A118" s="388" t="s">
        <v>527</v>
      </c>
      <c r="B118" s="386"/>
      <c r="C118" s="386"/>
      <c r="D118" s="386"/>
      <c r="E118" s="385">
        <f>10</f>
        <v>10</v>
      </c>
      <c r="F118" s="386"/>
      <c r="G118" s="385">
        <f>10</f>
        <v>10</v>
      </c>
    </row>
    <row r="119" spans="1:11" x14ac:dyDescent="0.25">
      <c r="A119" s="388" t="s">
        <v>528</v>
      </c>
      <c r="B119" s="385">
        <f>10</f>
        <v>10</v>
      </c>
      <c r="C119" s="385">
        <f>10</f>
        <v>10</v>
      </c>
      <c r="D119" s="386"/>
      <c r="E119" s="386"/>
      <c r="F119" s="386"/>
      <c r="G119" s="386"/>
    </row>
    <row r="120" spans="1:11" x14ac:dyDescent="0.25">
      <c r="A120" s="388" t="s">
        <v>529</v>
      </c>
      <c r="B120" s="386"/>
      <c r="C120" s="385">
        <f>9970</f>
        <v>9970</v>
      </c>
      <c r="D120" s="385">
        <f>9970</f>
        <v>9970</v>
      </c>
      <c r="E120" s="386"/>
      <c r="F120" s="386"/>
      <c r="G120" s="386"/>
    </row>
    <row r="121" spans="1:11" x14ac:dyDescent="0.25">
      <c r="A121" s="388" t="s">
        <v>530</v>
      </c>
      <c r="B121" s="386"/>
      <c r="C121" s="386"/>
      <c r="D121" s="386"/>
      <c r="E121" s="385">
        <f>9970</f>
        <v>9970</v>
      </c>
      <c r="F121" s="386"/>
      <c r="G121" s="385">
        <f>9970</f>
        <v>9970</v>
      </c>
    </row>
    <row r="122" spans="1:11" x14ac:dyDescent="0.25">
      <c r="A122" s="388" t="s">
        <v>531</v>
      </c>
      <c r="B122" s="386"/>
      <c r="C122" s="385">
        <f>10</f>
        <v>10</v>
      </c>
      <c r="D122" s="385">
        <f>10</f>
        <v>10</v>
      </c>
      <c r="E122" s="386"/>
      <c r="F122" s="386"/>
      <c r="G122" s="386"/>
    </row>
    <row r="123" spans="1:11" x14ac:dyDescent="0.25">
      <c r="A123" s="384" t="s">
        <v>422</v>
      </c>
      <c r="B123" s="386"/>
      <c r="C123" s="386"/>
      <c r="D123" s="386"/>
      <c r="E123" s="385">
        <f>203239262</f>
        <v>203239262</v>
      </c>
      <c r="F123" s="386"/>
      <c r="G123" s="387">
        <f>203239262</f>
        <v>203239262</v>
      </c>
    </row>
    <row r="124" spans="1:11" x14ac:dyDescent="0.25">
      <c r="A124" s="384" t="s">
        <v>532</v>
      </c>
      <c r="B124" s="386"/>
      <c r="C124" s="386"/>
      <c r="D124" s="385">
        <f>39785.93</f>
        <v>39785.93</v>
      </c>
      <c r="E124" s="386"/>
      <c r="F124" s="387">
        <f>39785.93</f>
        <v>39785.93</v>
      </c>
      <c r="G124" s="386"/>
    </row>
    <row r="125" spans="1:11" x14ac:dyDescent="0.25">
      <c r="A125" s="384" t="s">
        <v>423</v>
      </c>
      <c r="B125" s="386"/>
      <c r="C125" s="386"/>
      <c r="D125" s="385">
        <f>52003.98</f>
        <v>52003.98</v>
      </c>
      <c r="E125" s="386"/>
      <c r="F125" s="387">
        <f>52003.98</f>
        <v>52003.98</v>
      </c>
      <c r="G125" s="386"/>
    </row>
    <row r="126" spans="1:11" x14ac:dyDescent="0.25">
      <c r="A126" s="384" t="s">
        <v>533</v>
      </c>
      <c r="B126" s="386"/>
      <c r="C126" s="386"/>
      <c r="D126" s="385">
        <f>205416</f>
        <v>205416</v>
      </c>
      <c r="E126" s="386"/>
      <c r="F126" s="387">
        <f>205416</f>
        <v>205416</v>
      </c>
      <c r="G126" s="386"/>
    </row>
    <row r="127" spans="1:11" x14ac:dyDescent="0.25">
      <c r="A127" s="384" t="s">
        <v>534</v>
      </c>
      <c r="B127" s="386"/>
      <c r="C127" s="386"/>
      <c r="D127" s="385">
        <f>20000</f>
        <v>20000</v>
      </c>
      <c r="E127" s="386"/>
      <c r="F127" s="387">
        <f>20000</f>
        <v>20000</v>
      </c>
      <c r="G127" s="386"/>
    </row>
    <row r="128" spans="1:11" x14ac:dyDescent="0.25">
      <c r="A128" s="384" t="s">
        <v>424</v>
      </c>
      <c r="B128" s="386"/>
      <c r="C128" s="386"/>
      <c r="D128" s="385">
        <f>3175878</f>
        <v>3175878</v>
      </c>
      <c r="E128" s="386"/>
      <c r="F128" s="387">
        <f>3175878</f>
        <v>3175878</v>
      </c>
      <c r="G128" s="386"/>
      <c r="H128" s="392">
        <v>102176</v>
      </c>
      <c r="I128" s="389">
        <f>F128+H128</f>
        <v>3278054</v>
      </c>
    </row>
    <row r="129" spans="1:7" x14ac:dyDescent="0.25">
      <c r="A129" s="384" t="s">
        <v>425</v>
      </c>
      <c r="B129" s="386"/>
      <c r="C129" s="386"/>
      <c r="D129" s="385">
        <f>129476.82</f>
        <v>129476.82</v>
      </c>
      <c r="E129" s="386"/>
      <c r="F129" s="387">
        <f>129476.82</f>
        <v>129476.82</v>
      </c>
      <c r="G129" s="386"/>
    </row>
    <row r="130" spans="1:7" x14ac:dyDescent="0.25">
      <c r="A130" s="384" t="s">
        <v>426</v>
      </c>
      <c r="B130" s="386"/>
      <c r="C130" s="386"/>
      <c r="D130" s="385">
        <f>1058245</f>
        <v>1058245</v>
      </c>
      <c r="E130" s="386"/>
      <c r="F130" s="387">
        <f>1058245</f>
        <v>1058245</v>
      </c>
      <c r="G130" s="386"/>
    </row>
    <row r="131" spans="1:7" x14ac:dyDescent="0.25">
      <c r="A131" s="384" t="s">
        <v>535</v>
      </c>
      <c r="B131" s="394"/>
      <c r="C131" s="394"/>
      <c r="D131" s="387">
        <f>2269</f>
        <v>2269</v>
      </c>
      <c r="E131" s="394"/>
      <c r="F131" s="387">
        <f>2269</f>
        <v>2269</v>
      </c>
      <c r="G131" s="386"/>
    </row>
    <row r="132" spans="1:7" x14ac:dyDescent="0.25">
      <c r="A132" s="384" t="s">
        <v>536</v>
      </c>
      <c r="B132" s="386"/>
      <c r="C132" s="386"/>
      <c r="D132" s="385">
        <f>9302337</f>
        <v>9302337</v>
      </c>
      <c r="E132" s="386"/>
      <c r="F132" s="387">
        <f>9302337</f>
        <v>9302337</v>
      </c>
      <c r="G132" s="386"/>
    </row>
    <row r="133" spans="1:7" x14ac:dyDescent="0.25">
      <c r="A133" s="384" t="s">
        <v>537</v>
      </c>
      <c r="B133" s="386"/>
      <c r="C133" s="386"/>
      <c r="D133" s="385">
        <f>513941.39</f>
        <v>513941.39</v>
      </c>
      <c r="E133" s="386"/>
      <c r="F133" s="387">
        <f>513941.39</f>
        <v>513941.39</v>
      </c>
      <c r="G133" s="386"/>
    </row>
    <row r="134" spans="1:7" x14ac:dyDescent="0.25">
      <c r="A134" s="384" t="s">
        <v>538</v>
      </c>
      <c r="B134" s="386"/>
      <c r="C134" s="386"/>
      <c r="D134" s="385">
        <f>7926272</f>
        <v>7926272</v>
      </c>
      <c r="E134" s="386"/>
      <c r="F134" s="387">
        <f>7926272</f>
        <v>7926272</v>
      </c>
      <c r="G134" s="386"/>
    </row>
    <row r="135" spans="1:7" x14ac:dyDescent="0.25">
      <c r="A135" s="384" t="s">
        <v>539</v>
      </c>
      <c r="B135" s="386"/>
      <c r="C135" s="386"/>
      <c r="D135" s="385">
        <f>66555</f>
        <v>66555</v>
      </c>
      <c r="E135" s="386"/>
      <c r="F135" s="387">
        <f>66555</f>
        <v>66555</v>
      </c>
      <c r="G135" s="386"/>
    </row>
    <row r="136" spans="1:7" x14ac:dyDescent="0.25">
      <c r="A136" s="384" t="s">
        <v>176</v>
      </c>
      <c r="B136" s="386"/>
      <c r="C136" s="386"/>
      <c r="D136" s="385">
        <f>92</f>
        <v>92</v>
      </c>
      <c r="E136" s="386"/>
      <c r="F136" s="387">
        <f>92</f>
        <v>92</v>
      </c>
      <c r="G136" s="386"/>
    </row>
    <row r="137" spans="1:7" x14ac:dyDescent="0.25">
      <c r="A137" s="384" t="s">
        <v>540</v>
      </c>
      <c r="B137" s="386"/>
      <c r="C137" s="386"/>
      <c r="D137" s="385">
        <f>830398</f>
        <v>830398</v>
      </c>
      <c r="E137" s="386"/>
      <c r="F137" s="387">
        <f>830398</f>
        <v>830398</v>
      </c>
      <c r="G137" s="386"/>
    </row>
    <row r="138" spans="1:7" x14ac:dyDescent="0.25">
      <c r="A138" s="384" t="s">
        <v>427</v>
      </c>
      <c r="B138" s="386"/>
      <c r="C138" s="386"/>
      <c r="D138" s="385">
        <f>100000</f>
        <v>100000</v>
      </c>
      <c r="E138" s="386"/>
      <c r="F138" s="387">
        <f>100000</f>
        <v>100000</v>
      </c>
      <c r="G138" s="386"/>
    </row>
    <row r="139" spans="1:7" x14ac:dyDescent="0.25">
      <c r="A139" s="384" t="s">
        <v>428</v>
      </c>
      <c r="B139" s="386"/>
      <c r="C139" s="386"/>
      <c r="D139" s="385">
        <f>984839.3</f>
        <v>984839.3</v>
      </c>
      <c r="E139" s="385">
        <f>147296.4</f>
        <v>147296.4</v>
      </c>
      <c r="F139" s="387">
        <f>837542.9</f>
        <v>837542.9</v>
      </c>
      <c r="G139" s="386"/>
    </row>
    <row r="140" spans="1:7" x14ac:dyDescent="0.25">
      <c r="A140" s="384" t="s">
        <v>541</v>
      </c>
      <c r="B140" s="386"/>
      <c r="C140" s="386"/>
      <c r="D140" s="385">
        <f>83156</f>
        <v>83156</v>
      </c>
      <c r="E140" s="386"/>
      <c r="F140" s="387">
        <f>83156</f>
        <v>83156</v>
      </c>
      <c r="G140" s="386"/>
    </row>
    <row r="141" spans="1:7" x14ac:dyDescent="0.25">
      <c r="A141" s="384" t="s">
        <v>542</v>
      </c>
      <c r="B141" s="386"/>
      <c r="C141" s="386"/>
      <c r="D141" s="385">
        <f>50306</f>
        <v>50306</v>
      </c>
      <c r="E141" s="386"/>
      <c r="F141" s="387">
        <f>50306</f>
        <v>50306</v>
      </c>
      <c r="G141" s="386"/>
    </row>
    <row r="142" spans="1:7" x14ac:dyDescent="0.25">
      <c r="A142" s="384" t="s">
        <v>429</v>
      </c>
      <c r="B142" s="386"/>
      <c r="C142" s="386"/>
      <c r="D142" s="385">
        <f>3331161</f>
        <v>3331161</v>
      </c>
      <c r="E142" s="386"/>
      <c r="F142" s="387">
        <f>3331161</f>
        <v>3331161</v>
      </c>
      <c r="G142" s="386"/>
    </row>
    <row r="143" spans="1:7" x14ac:dyDescent="0.25">
      <c r="A143" s="384" t="s">
        <v>543</v>
      </c>
      <c r="B143" s="386"/>
      <c r="C143" s="386"/>
      <c r="D143" s="385">
        <f>2454850.68</f>
        <v>2454850.6800000002</v>
      </c>
      <c r="E143" s="386"/>
      <c r="F143" s="387">
        <f>2454850.68</f>
        <v>2454850.6800000002</v>
      </c>
      <c r="G143" s="386"/>
    </row>
    <row r="144" spans="1:7" x14ac:dyDescent="0.25">
      <c r="A144" s="388" t="s">
        <v>544</v>
      </c>
      <c r="B144" s="386"/>
      <c r="C144" s="386"/>
      <c r="D144" s="385">
        <f>216718</f>
        <v>216718</v>
      </c>
      <c r="E144" s="385">
        <f>216718</f>
        <v>216718</v>
      </c>
      <c r="F144" s="386"/>
      <c r="G144" s="386"/>
    </row>
    <row r="145" spans="1:10" x14ac:dyDescent="0.25">
      <c r="A145" s="384" t="s">
        <v>430</v>
      </c>
      <c r="B145" s="386"/>
      <c r="C145" s="386"/>
      <c r="D145" s="385">
        <f>184712872</f>
        <v>184712872</v>
      </c>
      <c r="E145" s="385">
        <f>53489976.27</f>
        <v>53489976.270000003</v>
      </c>
      <c r="F145" s="387">
        <f>131222895.73</f>
        <v>131222895.73</v>
      </c>
      <c r="G145" s="386"/>
      <c r="H145" s="395"/>
    </row>
    <row r="146" spans="1:10" x14ac:dyDescent="0.25">
      <c r="A146" s="384" t="s">
        <v>431</v>
      </c>
      <c r="B146" s="386"/>
      <c r="C146" s="386"/>
      <c r="D146" s="385">
        <f>216169</f>
        <v>216169</v>
      </c>
      <c r="E146" s="386"/>
      <c r="F146" s="387">
        <f>216169</f>
        <v>216169</v>
      </c>
      <c r="G146" s="386"/>
    </row>
    <row r="147" spans="1:10" x14ac:dyDescent="0.25">
      <c r="A147" s="384" t="s">
        <v>545</v>
      </c>
      <c r="B147" s="386"/>
      <c r="C147" s="386"/>
      <c r="D147" s="385">
        <f>494486</f>
        <v>494486</v>
      </c>
      <c r="E147" s="386"/>
      <c r="F147" s="387">
        <f>494486</f>
        <v>494486</v>
      </c>
      <c r="G147" s="386"/>
    </row>
    <row r="148" spans="1:10" x14ac:dyDescent="0.25">
      <c r="A148" s="384" t="s">
        <v>546</v>
      </c>
      <c r="B148" s="386"/>
      <c r="C148" s="386"/>
      <c r="D148" s="385">
        <f>142159.98</f>
        <v>142159.98000000001</v>
      </c>
      <c r="E148" s="386"/>
      <c r="F148" s="387">
        <f>142159.98</f>
        <v>142159.98000000001</v>
      </c>
      <c r="G148" s="386"/>
    </row>
    <row r="149" spans="1:10" x14ac:dyDescent="0.25">
      <c r="A149" s="384" t="s">
        <v>547</v>
      </c>
      <c r="B149" s="386"/>
      <c r="C149" s="386"/>
      <c r="D149" s="385">
        <f>2500</f>
        <v>2500</v>
      </c>
      <c r="E149" s="386"/>
      <c r="F149" s="387">
        <f>2500</f>
        <v>2500</v>
      </c>
      <c r="G149" s="386"/>
    </row>
    <row r="150" spans="1:10" x14ac:dyDescent="0.25">
      <c r="A150" s="384" t="s">
        <v>548</v>
      </c>
      <c r="B150" s="386"/>
      <c r="C150" s="386"/>
      <c r="D150" s="385">
        <f>394639.67</f>
        <v>394639.67</v>
      </c>
      <c r="E150" s="386"/>
      <c r="F150" s="387">
        <f>394639.67</f>
        <v>394639.67</v>
      </c>
      <c r="G150" s="386"/>
    </row>
    <row r="151" spans="1:10" x14ac:dyDescent="0.25">
      <c r="A151" s="384" t="s">
        <v>549</v>
      </c>
      <c r="B151" s="386"/>
      <c r="C151" s="386"/>
      <c r="D151" s="385">
        <f>2500</f>
        <v>2500</v>
      </c>
      <c r="E151" s="386"/>
      <c r="F151" s="387">
        <f>2500</f>
        <v>2500</v>
      </c>
      <c r="G151" s="386"/>
    </row>
    <row r="152" spans="1:10" x14ac:dyDescent="0.25">
      <c r="A152" s="384" t="s">
        <v>550</v>
      </c>
      <c r="B152" s="386"/>
      <c r="C152" s="386"/>
      <c r="D152" s="385">
        <f>107372</f>
        <v>107372</v>
      </c>
      <c r="E152" s="386"/>
      <c r="F152" s="387">
        <f>107372</f>
        <v>107372</v>
      </c>
      <c r="G152" s="386"/>
    </row>
    <row r="153" spans="1:10" x14ac:dyDescent="0.25">
      <c r="A153" s="384" t="s">
        <v>551</v>
      </c>
      <c r="B153" s="386"/>
      <c r="C153" s="386"/>
      <c r="D153" s="385">
        <v>20000</v>
      </c>
      <c r="E153" s="386"/>
      <c r="F153" s="387">
        <f>D153</f>
        <v>20000</v>
      </c>
      <c r="G153" s="386"/>
    </row>
    <row r="154" spans="1:10" x14ac:dyDescent="0.25">
      <c r="A154" s="384" t="s">
        <v>552</v>
      </c>
      <c r="B154" s="386"/>
      <c r="C154" s="386"/>
      <c r="D154" s="385">
        <v>100000</v>
      </c>
      <c r="E154" s="386"/>
      <c r="F154" s="387">
        <f>D154</f>
        <v>100000</v>
      </c>
      <c r="G154" s="386"/>
    </row>
    <row r="155" spans="1:10" x14ac:dyDescent="0.25">
      <c r="A155" s="384" t="s">
        <v>177</v>
      </c>
      <c r="B155" s="386"/>
      <c r="C155" s="386"/>
      <c r="D155" s="385">
        <f>540000</f>
        <v>540000</v>
      </c>
      <c r="E155" s="386"/>
      <c r="F155" s="387">
        <f>540000</f>
        <v>540000</v>
      </c>
      <c r="G155" s="386"/>
    </row>
    <row r="156" spans="1:10" x14ac:dyDescent="0.25">
      <c r="A156" s="384" t="s">
        <v>553</v>
      </c>
      <c r="B156" s="386"/>
      <c r="C156" s="386"/>
      <c r="D156" s="385">
        <f>1700</f>
        <v>1700</v>
      </c>
      <c r="E156" s="386"/>
      <c r="F156" s="387">
        <f>1700</f>
        <v>1700</v>
      </c>
      <c r="G156" s="386"/>
    </row>
    <row r="157" spans="1:10" x14ac:dyDescent="0.25">
      <c r="A157" s="384" t="s">
        <v>173</v>
      </c>
      <c r="B157" s="386"/>
      <c r="C157" s="386"/>
      <c r="D157" s="385">
        <f>334226</f>
        <v>334226</v>
      </c>
      <c r="E157" s="386"/>
      <c r="F157" s="387">
        <f>334226</f>
        <v>334226</v>
      </c>
      <c r="G157" s="386"/>
    </row>
    <row r="158" spans="1:10" x14ac:dyDescent="0.25">
      <c r="A158" s="384" t="s">
        <v>554</v>
      </c>
      <c r="B158" s="386"/>
      <c r="C158" s="386"/>
      <c r="D158" s="385">
        <f>620</f>
        <v>620</v>
      </c>
      <c r="E158" s="386"/>
      <c r="F158" s="387">
        <f>620</f>
        <v>620</v>
      </c>
      <c r="G158" s="386"/>
    </row>
    <row r="159" spans="1:10" x14ac:dyDescent="0.25">
      <c r="A159" s="384" t="s">
        <v>432</v>
      </c>
      <c r="B159" s="386"/>
      <c r="C159" s="386"/>
      <c r="D159" s="385">
        <f>80516.61</f>
        <v>80516.61</v>
      </c>
      <c r="E159" s="385">
        <f>118</f>
        <v>118</v>
      </c>
      <c r="F159" s="387">
        <f>80398.61</f>
        <v>80398.61</v>
      </c>
      <c r="G159" s="386"/>
    </row>
    <row r="160" spans="1:10" x14ac:dyDescent="0.25">
      <c r="A160" s="384" t="s">
        <v>555</v>
      </c>
      <c r="B160" s="386"/>
      <c r="C160" s="386"/>
      <c r="D160" s="385">
        <f>48944</f>
        <v>48944</v>
      </c>
      <c r="E160" s="386"/>
      <c r="F160" s="387">
        <f>48944</f>
        <v>48944</v>
      </c>
      <c r="G160" s="386"/>
      <c r="I160" s="392"/>
      <c r="J160" s="396"/>
    </row>
    <row r="161" spans="1:9" x14ac:dyDescent="0.25">
      <c r="A161" s="384" t="s">
        <v>556</v>
      </c>
      <c r="B161" s="386"/>
      <c r="C161" s="386"/>
      <c r="D161" s="386"/>
      <c r="E161" s="385">
        <f>4742.38</f>
        <v>4742.38</v>
      </c>
      <c r="F161" s="386"/>
      <c r="G161" s="387">
        <f>4742.38</f>
        <v>4742.38</v>
      </c>
    </row>
    <row r="162" spans="1:9" x14ac:dyDescent="0.25">
      <c r="A162" s="384" t="s">
        <v>557</v>
      </c>
      <c r="B162" s="386"/>
      <c r="C162" s="386"/>
      <c r="D162" s="385"/>
      <c r="E162" s="385">
        <v>110392</v>
      </c>
      <c r="F162" s="386"/>
      <c r="G162" s="387">
        <f>E162</f>
        <v>110392</v>
      </c>
    </row>
    <row r="163" spans="1:9" x14ac:dyDescent="0.25">
      <c r="A163" s="384" t="s">
        <v>558</v>
      </c>
      <c r="B163" s="386"/>
      <c r="C163" s="386"/>
      <c r="D163" s="386">
        <v>10533953</v>
      </c>
      <c r="E163" s="385"/>
      <c r="F163" s="386">
        <v>10533953</v>
      </c>
      <c r="G163" s="387"/>
    </row>
    <row r="164" spans="1:9" x14ac:dyDescent="0.25">
      <c r="A164" s="384" t="s">
        <v>433</v>
      </c>
      <c r="B164" s="386"/>
      <c r="C164" s="386"/>
      <c r="D164" s="385">
        <f>28.31</f>
        <v>28.31</v>
      </c>
      <c r="E164" s="385">
        <f>33.52</f>
        <v>33.520000000000003</v>
      </c>
      <c r="F164" s="386"/>
      <c r="G164" s="387">
        <f>5.21</f>
        <v>5.21</v>
      </c>
    </row>
    <row r="165" spans="1:9" x14ac:dyDescent="0.25">
      <c r="A165" s="388" t="s">
        <v>158</v>
      </c>
      <c r="B165" s="397">
        <f>SUM(B7:B14)+SUM(B16:B164)</f>
        <v>400182600.75999999</v>
      </c>
      <c r="C165" s="390">
        <f>SUM(C7:C164)</f>
        <v>400182600.75999999</v>
      </c>
      <c r="D165" s="397">
        <f>SUM(D7:D14)+SUM(D16:D164)</f>
        <v>891189753.51000011</v>
      </c>
      <c r="E165" s="390">
        <f>SUM(E7:E164)</f>
        <v>891939753.50999987</v>
      </c>
      <c r="F165" s="390">
        <f>SUM(F7:F14)+SUM(F16:F164)</f>
        <v>263206667.12</v>
      </c>
      <c r="G165" s="390">
        <f>SUM(G7:G164)</f>
        <v>263206667.12</v>
      </c>
      <c r="H165" s="398"/>
    </row>
    <row r="166" spans="1:9" x14ac:dyDescent="0.25">
      <c r="A166" s="388"/>
      <c r="B166" s="386"/>
      <c r="C166" s="386"/>
      <c r="D166" s="386"/>
      <c r="E166" s="386"/>
      <c r="F166" s="386"/>
      <c r="G166" s="385"/>
      <c r="H166" s="395"/>
    </row>
    <row r="167" spans="1:9" x14ac:dyDescent="0.25">
      <c r="C167" s="391"/>
      <c r="D167" s="391"/>
      <c r="E167" s="391"/>
      <c r="F167" s="391"/>
      <c r="H167" s="389"/>
    </row>
    <row r="168" spans="1:9" x14ac:dyDescent="0.25">
      <c r="F168" s="389"/>
      <c r="G168" s="389"/>
      <c r="H168" s="399"/>
      <c r="I168" s="389"/>
    </row>
    <row r="169" spans="1:9" x14ac:dyDescent="0.25">
      <c r="A169" s="997" t="s">
        <v>559</v>
      </c>
      <c r="B169" s="916"/>
      <c r="C169" s="916"/>
      <c r="D169" s="916"/>
      <c r="E169" s="916"/>
      <c r="F169" s="916"/>
      <c r="G169" s="916"/>
    </row>
    <row r="171" spans="1:9" x14ac:dyDescent="0.25">
      <c r="B171" s="389"/>
    </row>
  </sheetData>
  <mergeCells count="7">
    <mergeCell ref="A169:G169"/>
    <mergeCell ref="A1:G1"/>
    <mergeCell ref="A2:G2"/>
    <mergeCell ref="A3:G3"/>
    <mergeCell ref="B5:C5"/>
    <mergeCell ref="D5:E5"/>
    <mergeCell ref="F5:G5"/>
  </mergeCells>
  <printOptions horizontalCentered="1"/>
  <pageMargins left="0.43307086614173229" right="0.31496062992125984" top="0.43307086614173229" bottom="0.47244094488188981" header="0.31496062992125984" footer="0.31496062992125984"/>
  <pageSetup paperSize="9" scale="87" fitToHeight="6"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D1263-AEC6-429E-A938-5CA36E92BEC7}">
  <dimension ref="A1:L52"/>
  <sheetViews>
    <sheetView topLeftCell="A9" zoomScale="130" zoomScaleNormal="130" workbookViewId="0">
      <selection activeCell="G29" sqref="G29"/>
    </sheetView>
  </sheetViews>
  <sheetFormatPr defaultRowHeight="15" x14ac:dyDescent="0.25"/>
  <cols>
    <col min="1" max="1" width="41.28515625" customWidth="1"/>
    <col min="2" max="3" width="13.7109375" hidden="1" customWidth="1"/>
    <col min="4" max="5" width="14.5703125" hidden="1" customWidth="1"/>
    <col min="6" max="7" width="14.85546875" bestFit="1" customWidth="1"/>
    <col min="8" max="8" width="14" bestFit="1" customWidth="1"/>
    <col min="10" max="10" width="12.7109375" bestFit="1" customWidth="1"/>
    <col min="12" max="12" width="11.7109375" bestFit="1" customWidth="1"/>
    <col min="257" max="257" width="41.28515625" customWidth="1"/>
    <col min="258" max="259" width="13.7109375" customWidth="1"/>
    <col min="260" max="261" width="14.5703125" customWidth="1"/>
    <col min="262" max="263" width="14.85546875" bestFit="1" customWidth="1"/>
    <col min="264" max="264" width="14" bestFit="1" customWidth="1"/>
    <col min="266" max="266" width="12.7109375" bestFit="1" customWidth="1"/>
    <col min="268" max="268" width="11.7109375" bestFit="1" customWidth="1"/>
    <col min="513" max="513" width="41.28515625" customWidth="1"/>
    <col min="514" max="515" width="13.7109375" customWidth="1"/>
    <col min="516" max="517" width="14.5703125" customWidth="1"/>
    <col min="518" max="519" width="14.85546875" bestFit="1" customWidth="1"/>
    <col min="520" max="520" width="14" bestFit="1" customWidth="1"/>
    <col min="522" max="522" width="12.7109375" bestFit="1" customWidth="1"/>
    <col min="524" max="524" width="11.7109375" bestFit="1" customWidth="1"/>
    <col min="769" max="769" width="41.28515625" customWidth="1"/>
    <col min="770" max="771" width="13.7109375" customWidth="1"/>
    <col min="772" max="773" width="14.5703125" customWidth="1"/>
    <col min="774" max="775" width="14.85546875" bestFit="1" customWidth="1"/>
    <col min="776" max="776" width="14" bestFit="1" customWidth="1"/>
    <col min="778" max="778" width="12.7109375" bestFit="1" customWidth="1"/>
    <col min="780" max="780" width="11.7109375" bestFit="1" customWidth="1"/>
    <col min="1025" max="1025" width="41.28515625" customWidth="1"/>
    <col min="1026" max="1027" width="13.7109375" customWidth="1"/>
    <col min="1028" max="1029" width="14.5703125" customWidth="1"/>
    <col min="1030" max="1031" width="14.85546875" bestFit="1" customWidth="1"/>
    <col min="1032" max="1032" width="14" bestFit="1" customWidth="1"/>
    <col min="1034" max="1034" width="12.7109375" bestFit="1" customWidth="1"/>
    <col min="1036" max="1036" width="11.7109375" bestFit="1" customWidth="1"/>
    <col min="1281" max="1281" width="41.28515625" customWidth="1"/>
    <col min="1282" max="1283" width="13.7109375" customWidth="1"/>
    <col min="1284" max="1285" width="14.5703125" customWidth="1"/>
    <col min="1286" max="1287" width="14.85546875" bestFit="1" customWidth="1"/>
    <col min="1288" max="1288" width="14" bestFit="1" customWidth="1"/>
    <col min="1290" max="1290" width="12.7109375" bestFit="1" customWidth="1"/>
    <col min="1292" max="1292" width="11.7109375" bestFit="1" customWidth="1"/>
    <col min="1537" max="1537" width="41.28515625" customWidth="1"/>
    <col min="1538" max="1539" width="13.7109375" customWidth="1"/>
    <col min="1540" max="1541" width="14.5703125" customWidth="1"/>
    <col min="1542" max="1543" width="14.85546875" bestFit="1" customWidth="1"/>
    <col min="1544" max="1544" width="14" bestFit="1" customWidth="1"/>
    <col min="1546" max="1546" width="12.7109375" bestFit="1" customWidth="1"/>
    <col min="1548" max="1548" width="11.7109375" bestFit="1" customWidth="1"/>
    <col min="1793" max="1793" width="41.28515625" customWidth="1"/>
    <col min="1794" max="1795" width="13.7109375" customWidth="1"/>
    <col min="1796" max="1797" width="14.5703125" customWidth="1"/>
    <col min="1798" max="1799" width="14.85546875" bestFit="1" customWidth="1"/>
    <col min="1800" max="1800" width="14" bestFit="1" customWidth="1"/>
    <col min="1802" max="1802" width="12.7109375" bestFit="1" customWidth="1"/>
    <col min="1804" max="1804" width="11.7109375" bestFit="1" customWidth="1"/>
    <col min="2049" max="2049" width="41.28515625" customWidth="1"/>
    <col min="2050" max="2051" width="13.7109375" customWidth="1"/>
    <col min="2052" max="2053" width="14.5703125" customWidth="1"/>
    <col min="2054" max="2055" width="14.85546875" bestFit="1" customWidth="1"/>
    <col min="2056" max="2056" width="14" bestFit="1" customWidth="1"/>
    <col min="2058" max="2058" width="12.7109375" bestFit="1" customWidth="1"/>
    <col min="2060" max="2060" width="11.7109375" bestFit="1" customWidth="1"/>
    <col min="2305" max="2305" width="41.28515625" customWidth="1"/>
    <col min="2306" max="2307" width="13.7109375" customWidth="1"/>
    <col min="2308" max="2309" width="14.5703125" customWidth="1"/>
    <col min="2310" max="2311" width="14.85546875" bestFit="1" customWidth="1"/>
    <col min="2312" max="2312" width="14" bestFit="1" customWidth="1"/>
    <col min="2314" max="2314" width="12.7109375" bestFit="1" customWidth="1"/>
    <col min="2316" max="2316" width="11.7109375" bestFit="1" customWidth="1"/>
    <col min="2561" max="2561" width="41.28515625" customWidth="1"/>
    <col min="2562" max="2563" width="13.7109375" customWidth="1"/>
    <col min="2564" max="2565" width="14.5703125" customWidth="1"/>
    <col min="2566" max="2567" width="14.85546875" bestFit="1" customWidth="1"/>
    <col min="2568" max="2568" width="14" bestFit="1" customWidth="1"/>
    <col min="2570" max="2570" width="12.7109375" bestFit="1" customWidth="1"/>
    <col min="2572" max="2572" width="11.7109375" bestFit="1" customWidth="1"/>
    <col min="2817" max="2817" width="41.28515625" customWidth="1"/>
    <col min="2818" max="2819" width="13.7109375" customWidth="1"/>
    <col min="2820" max="2821" width="14.5703125" customWidth="1"/>
    <col min="2822" max="2823" width="14.85546875" bestFit="1" customWidth="1"/>
    <col min="2824" max="2824" width="14" bestFit="1" customWidth="1"/>
    <col min="2826" max="2826" width="12.7109375" bestFit="1" customWidth="1"/>
    <col min="2828" max="2828" width="11.7109375" bestFit="1" customWidth="1"/>
    <col min="3073" max="3073" width="41.28515625" customWidth="1"/>
    <col min="3074" max="3075" width="13.7109375" customWidth="1"/>
    <col min="3076" max="3077" width="14.5703125" customWidth="1"/>
    <col min="3078" max="3079" width="14.85546875" bestFit="1" customWidth="1"/>
    <col min="3080" max="3080" width="14" bestFit="1" customWidth="1"/>
    <col min="3082" max="3082" width="12.7109375" bestFit="1" customWidth="1"/>
    <col min="3084" max="3084" width="11.7109375" bestFit="1" customWidth="1"/>
    <col min="3329" max="3329" width="41.28515625" customWidth="1"/>
    <col min="3330" max="3331" width="13.7109375" customWidth="1"/>
    <col min="3332" max="3333" width="14.5703125" customWidth="1"/>
    <col min="3334" max="3335" width="14.85546875" bestFit="1" customWidth="1"/>
    <col min="3336" max="3336" width="14" bestFit="1" customWidth="1"/>
    <col min="3338" max="3338" width="12.7109375" bestFit="1" customWidth="1"/>
    <col min="3340" max="3340" width="11.7109375" bestFit="1" customWidth="1"/>
    <col min="3585" max="3585" width="41.28515625" customWidth="1"/>
    <col min="3586" max="3587" width="13.7109375" customWidth="1"/>
    <col min="3588" max="3589" width="14.5703125" customWidth="1"/>
    <col min="3590" max="3591" width="14.85546875" bestFit="1" customWidth="1"/>
    <col min="3592" max="3592" width="14" bestFit="1" customWidth="1"/>
    <col min="3594" max="3594" width="12.7109375" bestFit="1" customWidth="1"/>
    <col min="3596" max="3596" width="11.7109375" bestFit="1" customWidth="1"/>
    <col min="3841" max="3841" width="41.28515625" customWidth="1"/>
    <col min="3842" max="3843" width="13.7109375" customWidth="1"/>
    <col min="3844" max="3845" width="14.5703125" customWidth="1"/>
    <col min="3846" max="3847" width="14.85546875" bestFit="1" customWidth="1"/>
    <col min="3848" max="3848" width="14" bestFit="1" customWidth="1"/>
    <col min="3850" max="3850" width="12.7109375" bestFit="1" customWidth="1"/>
    <col min="3852" max="3852" width="11.7109375" bestFit="1" customWidth="1"/>
    <col min="4097" max="4097" width="41.28515625" customWidth="1"/>
    <col min="4098" max="4099" width="13.7109375" customWidth="1"/>
    <col min="4100" max="4101" width="14.5703125" customWidth="1"/>
    <col min="4102" max="4103" width="14.85546875" bestFit="1" customWidth="1"/>
    <col min="4104" max="4104" width="14" bestFit="1" customWidth="1"/>
    <col min="4106" max="4106" width="12.7109375" bestFit="1" customWidth="1"/>
    <col min="4108" max="4108" width="11.7109375" bestFit="1" customWidth="1"/>
    <col min="4353" max="4353" width="41.28515625" customWidth="1"/>
    <col min="4354" max="4355" width="13.7109375" customWidth="1"/>
    <col min="4356" max="4357" width="14.5703125" customWidth="1"/>
    <col min="4358" max="4359" width="14.85546875" bestFit="1" customWidth="1"/>
    <col min="4360" max="4360" width="14" bestFit="1" customWidth="1"/>
    <col min="4362" max="4362" width="12.7109375" bestFit="1" customWidth="1"/>
    <col min="4364" max="4364" width="11.7109375" bestFit="1" customWidth="1"/>
    <col min="4609" max="4609" width="41.28515625" customWidth="1"/>
    <col min="4610" max="4611" width="13.7109375" customWidth="1"/>
    <col min="4612" max="4613" width="14.5703125" customWidth="1"/>
    <col min="4614" max="4615" width="14.85546875" bestFit="1" customWidth="1"/>
    <col min="4616" max="4616" width="14" bestFit="1" customWidth="1"/>
    <col min="4618" max="4618" width="12.7109375" bestFit="1" customWidth="1"/>
    <col min="4620" max="4620" width="11.7109375" bestFit="1" customWidth="1"/>
    <col min="4865" max="4865" width="41.28515625" customWidth="1"/>
    <col min="4866" max="4867" width="13.7109375" customWidth="1"/>
    <col min="4868" max="4869" width="14.5703125" customWidth="1"/>
    <col min="4870" max="4871" width="14.85546875" bestFit="1" customWidth="1"/>
    <col min="4872" max="4872" width="14" bestFit="1" customWidth="1"/>
    <col min="4874" max="4874" width="12.7109375" bestFit="1" customWidth="1"/>
    <col min="4876" max="4876" width="11.7109375" bestFit="1" customWidth="1"/>
    <col min="5121" max="5121" width="41.28515625" customWidth="1"/>
    <col min="5122" max="5123" width="13.7109375" customWidth="1"/>
    <col min="5124" max="5125" width="14.5703125" customWidth="1"/>
    <col min="5126" max="5127" width="14.85546875" bestFit="1" customWidth="1"/>
    <col min="5128" max="5128" width="14" bestFit="1" customWidth="1"/>
    <col min="5130" max="5130" width="12.7109375" bestFit="1" customWidth="1"/>
    <col min="5132" max="5132" width="11.7109375" bestFit="1" customWidth="1"/>
    <col min="5377" max="5377" width="41.28515625" customWidth="1"/>
    <col min="5378" max="5379" width="13.7109375" customWidth="1"/>
    <col min="5380" max="5381" width="14.5703125" customWidth="1"/>
    <col min="5382" max="5383" width="14.85546875" bestFit="1" customWidth="1"/>
    <col min="5384" max="5384" width="14" bestFit="1" customWidth="1"/>
    <col min="5386" max="5386" width="12.7109375" bestFit="1" customWidth="1"/>
    <col min="5388" max="5388" width="11.7109375" bestFit="1" customWidth="1"/>
    <col min="5633" max="5633" width="41.28515625" customWidth="1"/>
    <col min="5634" max="5635" width="13.7109375" customWidth="1"/>
    <col min="5636" max="5637" width="14.5703125" customWidth="1"/>
    <col min="5638" max="5639" width="14.85546875" bestFit="1" customWidth="1"/>
    <col min="5640" max="5640" width="14" bestFit="1" customWidth="1"/>
    <col min="5642" max="5642" width="12.7109375" bestFit="1" customWidth="1"/>
    <col min="5644" max="5644" width="11.7109375" bestFit="1" customWidth="1"/>
    <col min="5889" max="5889" width="41.28515625" customWidth="1"/>
    <col min="5890" max="5891" width="13.7109375" customWidth="1"/>
    <col min="5892" max="5893" width="14.5703125" customWidth="1"/>
    <col min="5894" max="5895" width="14.85546875" bestFit="1" customWidth="1"/>
    <col min="5896" max="5896" width="14" bestFit="1" customWidth="1"/>
    <col min="5898" max="5898" width="12.7109375" bestFit="1" customWidth="1"/>
    <col min="5900" max="5900" width="11.7109375" bestFit="1" customWidth="1"/>
    <col min="6145" max="6145" width="41.28515625" customWidth="1"/>
    <col min="6146" max="6147" width="13.7109375" customWidth="1"/>
    <col min="6148" max="6149" width="14.5703125" customWidth="1"/>
    <col min="6150" max="6151" width="14.85546875" bestFit="1" customWidth="1"/>
    <col min="6152" max="6152" width="14" bestFit="1" customWidth="1"/>
    <col min="6154" max="6154" width="12.7109375" bestFit="1" customWidth="1"/>
    <col min="6156" max="6156" width="11.7109375" bestFit="1" customWidth="1"/>
    <col min="6401" max="6401" width="41.28515625" customWidth="1"/>
    <col min="6402" max="6403" width="13.7109375" customWidth="1"/>
    <col min="6404" max="6405" width="14.5703125" customWidth="1"/>
    <col min="6406" max="6407" width="14.85546875" bestFit="1" customWidth="1"/>
    <col min="6408" max="6408" width="14" bestFit="1" customWidth="1"/>
    <col min="6410" max="6410" width="12.7109375" bestFit="1" customWidth="1"/>
    <col min="6412" max="6412" width="11.7109375" bestFit="1" customWidth="1"/>
    <col min="6657" max="6657" width="41.28515625" customWidth="1"/>
    <col min="6658" max="6659" width="13.7109375" customWidth="1"/>
    <col min="6660" max="6661" width="14.5703125" customWidth="1"/>
    <col min="6662" max="6663" width="14.85546875" bestFit="1" customWidth="1"/>
    <col min="6664" max="6664" width="14" bestFit="1" customWidth="1"/>
    <col min="6666" max="6666" width="12.7109375" bestFit="1" customWidth="1"/>
    <col min="6668" max="6668" width="11.7109375" bestFit="1" customWidth="1"/>
    <col min="6913" max="6913" width="41.28515625" customWidth="1"/>
    <col min="6914" max="6915" width="13.7109375" customWidth="1"/>
    <col min="6916" max="6917" width="14.5703125" customWidth="1"/>
    <col min="6918" max="6919" width="14.85546875" bestFit="1" customWidth="1"/>
    <col min="6920" max="6920" width="14" bestFit="1" customWidth="1"/>
    <col min="6922" max="6922" width="12.7109375" bestFit="1" customWidth="1"/>
    <col min="6924" max="6924" width="11.7109375" bestFit="1" customWidth="1"/>
    <col min="7169" max="7169" width="41.28515625" customWidth="1"/>
    <col min="7170" max="7171" width="13.7109375" customWidth="1"/>
    <col min="7172" max="7173" width="14.5703125" customWidth="1"/>
    <col min="7174" max="7175" width="14.85546875" bestFit="1" customWidth="1"/>
    <col min="7176" max="7176" width="14" bestFit="1" customWidth="1"/>
    <col min="7178" max="7178" width="12.7109375" bestFit="1" customWidth="1"/>
    <col min="7180" max="7180" width="11.7109375" bestFit="1" customWidth="1"/>
    <col min="7425" max="7425" width="41.28515625" customWidth="1"/>
    <col min="7426" max="7427" width="13.7109375" customWidth="1"/>
    <col min="7428" max="7429" width="14.5703125" customWidth="1"/>
    <col min="7430" max="7431" width="14.85546875" bestFit="1" customWidth="1"/>
    <col min="7432" max="7432" width="14" bestFit="1" customWidth="1"/>
    <col min="7434" max="7434" width="12.7109375" bestFit="1" customWidth="1"/>
    <col min="7436" max="7436" width="11.7109375" bestFit="1" customWidth="1"/>
    <col min="7681" max="7681" width="41.28515625" customWidth="1"/>
    <col min="7682" max="7683" width="13.7109375" customWidth="1"/>
    <col min="7684" max="7685" width="14.5703125" customWidth="1"/>
    <col min="7686" max="7687" width="14.85546875" bestFit="1" customWidth="1"/>
    <col min="7688" max="7688" width="14" bestFit="1" customWidth="1"/>
    <col min="7690" max="7690" width="12.7109375" bestFit="1" customWidth="1"/>
    <col min="7692" max="7692" width="11.7109375" bestFit="1" customWidth="1"/>
    <col min="7937" max="7937" width="41.28515625" customWidth="1"/>
    <col min="7938" max="7939" width="13.7109375" customWidth="1"/>
    <col min="7940" max="7941" width="14.5703125" customWidth="1"/>
    <col min="7942" max="7943" width="14.85546875" bestFit="1" customWidth="1"/>
    <col min="7944" max="7944" width="14" bestFit="1" customWidth="1"/>
    <col min="7946" max="7946" width="12.7109375" bestFit="1" customWidth="1"/>
    <col min="7948" max="7948" width="11.7109375" bestFit="1" customWidth="1"/>
    <col min="8193" max="8193" width="41.28515625" customWidth="1"/>
    <col min="8194" max="8195" width="13.7109375" customWidth="1"/>
    <col min="8196" max="8197" width="14.5703125" customWidth="1"/>
    <col min="8198" max="8199" width="14.85546875" bestFit="1" customWidth="1"/>
    <col min="8200" max="8200" width="14" bestFit="1" customWidth="1"/>
    <col min="8202" max="8202" width="12.7109375" bestFit="1" customWidth="1"/>
    <col min="8204" max="8204" width="11.7109375" bestFit="1" customWidth="1"/>
    <col min="8449" max="8449" width="41.28515625" customWidth="1"/>
    <col min="8450" max="8451" width="13.7109375" customWidth="1"/>
    <col min="8452" max="8453" width="14.5703125" customWidth="1"/>
    <col min="8454" max="8455" width="14.85546875" bestFit="1" customWidth="1"/>
    <col min="8456" max="8456" width="14" bestFit="1" customWidth="1"/>
    <col min="8458" max="8458" width="12.7109375" bestFit="1" customWidth="1"/>
    <col min="8460" max="8460" width="11.7109375" bestFit="1" customWidth="1"/>
    <col min="8705" max="8705" width="41.28515625" customWidth="1"/>
    <col min="8706" max="8707" width="13.7109375" customWidth="1"/>
    <col min="8708" max="8709" width="14.5703125" customWidth="1"/>
    <col min="8710" max="8711" width="14.85546875" bestFit="1" customWidth="1"/>
    <col min="8712" max="8712" width="14" bestFit="1" customWidth="1"/>
    <col min="8714" max="8714" width="12.7109375" bestFit="1" customWidth="1"/>
    <col min="8716" max="8716" width="11.7109375" bestFit="1" customWidth="1"/>
    <col min="8961" max="8961" width="41.28515625" customWidth="1"/>
    <col min="8962" max="8963" width="13.7109375" customWidth="1"/>
    <col min="8964" max="8965" width="14.5703125" customWidth="1"/>
    <col min="8966" max="8967" width="14.85546875" bestFit="1" customWidth="1"/>
    <col min="8968" max="8968" width="14" bestFit="1" customWidth="1"/>
    <col min="8970" max="8970" width="12.7109375" bestFit="1" customWidth="1"/>
    <col min="8972" max="8972" width="11.7109375" bestFit="1" customWidth="1"/>
    <col min="9217" max="9217" width="41.28515625" customWidth="1"/>
    <col min="9218" max="9219" width="13.7109375" customWidth="1"/>
    <col min="9220" max="9221" width="14.5703125" customWidth="1"/>
    <col min="9222" max="9223" width="14.85546875" bestFit="1" customWidth="1"/>
    <col min="9224" max="9224" width="14" bestFit="1" customWidth="1"/>
    <col min="9226" max="9226" width="12.7109375" bestFit="1" customWidth="1"/>
    <col min="9228" max="9228" width="11.7109375" bestFit="1" customWidth="1"/>
    <col min="9473" max="9473" width="41.28515625" customWidth="1"/>
    <col min="9474" max="9475" width="13.7109375" customWidth="1"/>
    <col min="9476" max="9477" width="14.5703125" customWidth="1"/>
    <col min="9478" max="9479" width="14.85546875" bestFit="1" customWidth="1"/>
    <col min="9480" max="9480" width="14" bestFit="1" customWidth="1"/>
    <col min="9482" max="9482" width="12.7109375" bestFit="1" customWidth="1"/>
    <col min="9484" max="9484" width="11.7109375" bestFit="1" customWidth="1"/>
    <col min="9729" max="9729" width="41.28515625" customWidth="1"/>
    <col min="9730" max="9731" width="13.7109375" customWidth="1"/>
    <col min="9732" max="9733" width="14.5703125" customWidth="1"/>
    <col min="9734" max="9735" width="14.85546875" bestFit="1" customWidth="1"/>
    <col min="9736" max="9736" width="14" bestFit="1" customWidth="1"/>
    <col min="9738" max="9738" width="12.7109375" bestFit="1" customWidth="1"/>
    <col min="9740" max="9740" width="11.7109375" bestFit="1" customWidth="1"/>
    <col min="9985" max="9985" width="41.28515625" customWidth="1"/>
    <col min="9986" max="9987" width="13.7109375" customWidth="1"/>
    <col min="9988" max="9989" width="14.5703125" customWidth="1"/>
    <col min="9990" max="9991" width="14.85546875" bestFit="1" customWidth="1"/>
    <col min="9992" max="9992" width="14" bestFit="1" customWidth="1"/>
    <col min="9994" max="9994" width="12.7109375" bestFit="1" customWidth="1"/>
    <col min="9996" max="9996" width="11.7109375" bestFit="1" customWidth="1"/>
    <col min="10241" max="10241" width="41.28515625" customWidth="1"/>
    <col min="10242" max="10243" width="13.7109375" customWidth="1"/>
    <col min="10244" max="10245" width="14.5703125" customWidth="1"/>
    <col min="10246" max="10247" width="14.85546875" bestFit="1" customWidth="1"/>
    <col min="10248" max="10248" width="14" bestFit="1" customWidth="1"/>
    <col min="10250" max="10250" width="12.7109375" bestFit="1" customWidth="1"/>
    <col min="10252" max="10252" width="11.7109375" bestFit="1" customWidth="1"/>
    <col min="10497" max="10497" width="41.28515625" customWidth="1"/>
    <col min="10498" max="10499" width="13.7109375" customWidth="1"/>
    <col min="10500" max="10501" width="14.5703125" customWidth="1"/>
    <col min="10502" max="10503" width="14.85546875" bestFit="1" customWidth="1"/>
    <col min="10504" max="10504" width="14" bestFit="1" customWidth="1"/>
    <col min="10506" max="10506" width="12.7109375" bestFit="1" customWidth="1"/>
    <col min="10508" max="10508" width="11.7109375" bestFit="1" customWidth="1"/>
    <col min="10753" max="10753" width="41.28515625" customWidth="1"/>
    <col min="10754" max="10755" width="13.7109375" customWidth="1"/>
    <col min="10756" max="10757" width="14.5703125" customWidth="1"/>
    <col min="10758" max="10759" width="14.85546875" bestFit="1" customWidth="1"/>
    <col min="10760" max="10760" width="14" bestFit="1" customWidth="1"/>
    <col min="10762" max="10762" width="12.7109375" bestFit="1" customWidth="1"/>
    <col min="10764" max="10764" width="11.7109375" bestFit="1" customWidth="1"/>
    <col min="11009" max="11009" width="41.28515625" customWidth="1"/>
    <col min="11010" max="11011" width="13.7109375" customWidth="1"/>
    <col min="11012" max="11013" width="14.5703125" customWidth="1"/>
    <col min="11014" max="11015" width="14.85546875" bestFit="1" customWidth="1"/>
    <col min="11016" max="11016" width="14" bestFit="1" customWidth="1"/>
    <col min="11018" max="11018" width="12.7109375" bestFit="1" customWidth="1"/>
    <col min="11020" max="11020" width="11.7109375" bestFit="1" customWidth="1"/>
    <col min="11265" max="11265" width="41.28515625" customWidth="1"/>
    <col min="11266" max="11267" width="13.7109375" customWidth="1"/>
    <col min="11268" max="11269" width="14.5703125" customWidth="1"/>
    <col min="11270" max="11271" width="14.85546875" bestFit="1" customWidth="1"/>
    <col min="11272" max="11272" width="14" bestFit="1" customWidth="1"/>
    <col min="11274" max="11274" width="12.7109375" bestFit="1" customWidth="1"/>
    <col min="11276" max="11276" width="11.7109375" bestFit="1" customWidth="1"/>
    <col min="11521" max="11521" width="41.28515625" customWidth="1"/>
    <col min="11522" max="11523" width="13.7109375" customWidth="1"/>
    <col min="11524" max="11525" width="14.5703125" customWidth="1"/>
    <col min="11526" max="11527" width="14.85546875" bestFit="1" customWidth="1"/>
    <col min="11528" max="11528" width="14" bestFit="1" customWidth="1"/>
    <col min="11530" max="11530" width="12.7109375" bestFit="1" customWidth="1"/>
    <col min="11532" max="11532" width="11.7109375" bestFit="1" customWidth="1"/>
    <col min="11777" max="11777" width="41.28515625" customWidth="1"/>
    <col min="11778" max="11779" width="13.7109375" customWidth="1"/>
    <col min="11780" max="11781" width="14.5703125" customWidth="1"/>
    <col min="11782" max="11783" width="14.85546875" bestFit="1" customWidth="1"/>
    <col min="11784" max="11784" width="14" bestFit="1" customWidth="1"/>
    <col min="11786" max="11786" width="12.7109375" bestFit="1" customWidth="1"/>
    <col min="11788" max="11788" width="11.7109375" bestFit="1" customWidth="1"/>
    <col min="12033" max="12033" width="41.28515625" customWidth="1"/>
    <col min="12034" max="12035" width="13.7109375" customWidth="1"/>
    <col min="12036" max="12037" width="14.5703125" customWidth="1"/>
    <col min="12038" max="12039" width="14.85546875" bestFit="1" customWidth="1"/>
    <col min="12040" max="12040" width="14" bestFit="1" customWidth="1"/>
    <col min="12042" max="12042" width="12.7109375" bestFit="1" customWidth="1"/>
    <col min="12044" max="12044" width="11.7109375" bestFit="1" customWidth="1"/>
    <col min="12289" max="12289" width="41.28515625" customWidth="1"/>
    <col min="12290" max="12291" width="13.7109375" customWidth="1"/>
    <col min="12292" max="12293" width="14.5703125" customWidth="1"/>
    <col min="12294" max="12295" width="14.85546875" bestFit="1" customWidth="1"/>
    <col min="12296" max="12296" width="14" bestFit="1" customWidth="1"/>
    <col min="12298" max="12298" width="12.7109375" bestFit="1" customWidth="1"/>
    <col min="12300" max="12300" width="11.7109375" bestFit="1" customWidth="1"/>
    <col min="12545" max="12545" width="41.28515625" customWidth="1"/>
    <col min="12546" max="12547" width="13.7109375" customWidth="1"/>
    <col min="12548" max="12549" width="14.5703125" customWidth="1"/>
    <col min="12550" max="12551" width="14.85546875" bestFit="1" customWidth="1"/>
    <col min="12552" max="12552" width="14" bestFit="1" customWidth="1"/>
    <col min="12554" max="12554" width="12.7109375" bestFit="1" customWidth="1"/>
    <col min="12556" max="12556" width="11.7109375" bestFit="1" customWidth="1"/>
    <col min="12801" max="12801" width="41.28515625" customWidth="1"/>
    <col min="12802" max="12803" width="13.7109375" customWidth="1"/>
    <col min="12804" max="12805" width="14.5703125" customWidth="1"/>
    <col min="12806" max="12807" width="14.85546875" bestFit="1" customWidth="1"/>
    <col min="12808" max="12808" width="14" bestFit="1" customWidth="1"/>
    <col min="12810" max="12810" width="12.7109375" bestFit="1" customWidth="1"/>
    <col min="12812" max="12812" width="11.7109375" bestFit="1" customWidth="1"/>
    <col min="13057" max="13057" width="41.28515625" customWidth="1"/>
    <col min="13058" max="13059" width="13.7109375" customWidth="1"/>
    <col min="13060" max="13061" width="14.5703125" customWidth="1"/>
    <col min="13062" max="13063" width="14.85546875" bestFit="1" customWidth="1"/>
    <col min="13064" max="13064" width="14" bestFit="1" customWidth="1"/>
    <col min="13066" max="13066" width="12.7109375" bestFit="1" customWidth="1"/>
    <col min="13068" max="13068" width="11.7109375" bestFit="1" customWidth="1"/>
    <col min="13313" max="13313" width="41.28515625" customWidth="1"/>
    <col min="13314" max="13315" width="13.7109375" customWidth="1"/>
    <col min="13316" max="13317" width="14.5703125" customWidth="1"/>
    <col min="13318" max="13319" width="14.85546875" bestFit="1" customWidth="1"/>
    <col min="13320" max="13320" width="14" bestFit="1" customWidth="1"/>
    <col min="13322" max="13322" width="12.7109375" bestFit="1" customWidth="1"/>
    <col min="13324" max="13324" width="11.7109375" bestFit="1" customWidth="1"/>
    <col min="13569" max="13569" width="41.28515625" customWidth="1"/>
    <col min="13570" max="13571" width="13.7109375" customWidth="1"/>
    <col min="13572" max="13573" width="14.5703125" customWidth="1"/>
    <col min="13574" max="13575" width="14.85546875" bestFit="1" customWidth="1"/>
    <col min="13576" max="13576" width="14" bestFit="1" customWidth="1"/>
    <col min="13578" max="13578" width="12.7109375" bestFit="1" customWidth="1"/>
    <col min="13580" max="13580" width="11.7109375" bestFit="1" customWidth="1"/>
    <col min="13825" max="13825" width="41.28515625" customWidth="1"/>
    <col min="13826" max="13827" width="13.7109375" customWidth="1"/>
    <col min="13828" max="13829" width="14.5703125" customWidth="1"/>
    <col min="13830" max="13831" width="14.85546875" bestFit="1" customWidth="1"/>
    <col min="13832" max="13832" width="14" bestFit="1" customWidth="1"/>
    <col min="13834" max="13834" width="12.7109375" bestFit="1" customWidth="1"/>
    <col min="13836" max="13836" width="11.7109375" bestFit="1" customWidth="1"/>
    <col min="14081" max="14081" width="41.28515625" customWidth="1"/>
    <col min="14082" max="14083" width="13.7109375" customWidth="1"/>
    <col min="14084" max="14085" width="14.5703125" customWidth="1"/>
    <col min="14086" max="14087" width="14.85546875" bestFit="1" customWidth="1"/>
    <col min="14088" max="14088" width="14" bestFit="1" customWidth="1"/>
    <col min="14090" max="14090" width="12.7109375" bestFit="1" customWidth="1"/>
    <col min="14092" max="14092" width="11.7109375" bestFit="1" customWidth="1"/>
    <col min="14337" max="14337" width="41.28515625" customWidth="1"/>
    <col min="14338" max="14339" width="13.7109375" customWidth="1"/>
    <col min="14340" max="14341" width="14.5703125" customWidth="1"/>
    <col min="14342" max="14343" width="14.85546875" bestFit="1" customWidth="1"/>
    <col min="14344" max="14344" width="14" bestFit="1" customWidth="1"/>
    <col min="14346" max="14346" width="12.7109375" bestFit="1" customWidth="1"/>
    <col min="14348" max="14348" width="11.7109375" bestFit="1" customWidth="1"/>
    <col min="14593" max="14593" width="41.28515625" customWidth="1"/>
    <col min="14594" max="14595" width="13.7109375" customWidth="1"/>
    <col min="14596" max="14597" width="14.5703125" customWidth="1"/>
    <col min="14598" max="14599" width="14.85546875" bestFit="1" customWidth="1"/>
    <col min="14600" max="14600" width="14" bestFit="1" customWidth="1"/>
    <col min="14602" max="14602" width="12.7109375" bestFit="1" customWidth="1"/>
    <col min="14604" max="14604" width="11.7109375" bestFit="1" customWidth="1"/>
    <col min="14849" max="14849" width="41.28515625" customWidth="1"/>
    <col min="14850" max="14851" width="13.7109375" customWidth="1"/>
    <col min="14852" max="14853" width="14.5703125" customWidth="1"/>
    <col min="14854" max="14855" width="14.85546875" bestFit="1" customWidth="1"/>
    <col min="14856" max="14856" width="14" bestFit="1" customWidth="1"/>
    <col min="14858" max="14858" width="12.7109375" bestFit="1" customWidth="1"/>
    <col min="14860" max="14860" width="11.7109375" bestFit="1" customWidth="1"/>
    <col min="15105" max="15105" width="41.28515625" customWidth="1"/>
    <col min="15106" max="15107" width="13.7109375" customWidth="1"/>
    <col min="15108" max="15109" width="14.5703125" customWidth="1"/>
    <col min="15110" max="15111" width="14.85546875" bestFit="1" customWidth="1"/>
    <col min="15112" max="15112" width="14" bestFit="1" customWidth="1"/>
    <col min="15114" max="15114" width="12.7109375" bestFit="1" customWidth="1"/>
    <col min="15116" max="15116" width="11.7109375" bestFit="1" customWidth="1"/>
    <col min="15361" max="15361" width="41.28515625" customWidth="1"/>
    <col min="15362" max="15363" width="13.7109375" customWidth="1"/>
    <col min="15364" max="15365" width="14.5703125" customWidth="1"/>
    <col min="15366" max="15367" width="14.85546875" bestFit="1" customWidth="1"/>
    <col min="15368" max="15368" width="14" bestFit="1" customWidth="1"/>
    <col min="15370" max="15370" width="12.7109375" bestFit="1" customWidth="1"/>
    <col min="15372" max="15372" width="11.7109375" bestFit="1" customWidth="1"/>
    <col min="15617" max="15617" width="41.28515625" customWidth="1"/>
    <col min="15618" max="15619" width="13.7109375" customWidth="1"/>
    <col min="15620" max="15621" width="14.5703125" customWidth="1"/>
    <col min="15622" max="15623" width="14.85546875" bestFit="1" customWidth="1"/>
    <col min="15624" max="15624" width="14" bestFit="1" customWidth="1"/>
    <col min="15626" max="15626" width="12.7109375" bestFit="1" customWidth="1"/>
    <col min="15628" max="15628" width="11.7109375" bestFit="1" customWidth="1"/>
    <col min="15873" max="15873" width="41.28515625" customWidth="1"/>
    <col min="15874" max="15875" width="13.7109375" customWidth="1"/>
    <col min="15876" max="15877" width="14.5703125" customWidth="1"/>
    <col min="15878" max="15879" width="14.85546875" bestFit="1" customWidth="1"/>
    <col min="15880" max="15880" width="14" bestFit="1" customWidth="1"/>
    <col min="15882" max="15882" width="12.7109375" bestFit="1" customWidth="1"/>
    <col min="15884" max="15884" width="11.7109375" bestFit="1" customWidth="1"/>
    <col min="16129" max="16129" width="41.28515625" customWidth="1"/>
    <col min="16130" max="16131" width="13.7109375" customWidth="1"/>
    <col min="16132" max="16133" width="14.5703125" customWidth="1"/>
    <col min="16134" max="16135" width="14.85546875" bestFit="1" customWidth="1"/>
    <col min="16136" max="16136" width="14" bestFit="1" customWidth="1"/>
    <col min="16138" max="16138" width="12.7109375" bestFit="1" customWidth="1"/>
    <col min="16140" max="16140" width="11.7109375" bestFit="1" customWidth="1"/>
  </cols>
  <sheetData>
    <row r="1" spans="1:7" ht="18" x14ac:dyDescent="0.25">
      <c r="A1" s="998" t="s">
        <v>389</v>
      </c>
      <c r="B1" s="916"/>
      <c r="C1" s="916"/>
      <c r="D1" s="916"/>
      <c r="E1" s="916"/>
      <c r="F1" s="916"/>
      <c r="G1" s="916"/>
    </row>
    <row r="2" spans="1:7" ht="18" x14ac:dyDescent="0.25">
      <c r="A2" s="998" t="s">
        <v>390</v>
      </c>
      <c r="B2" s="916"/>
      <c r="C2" s="916"/>
      <c r="D2" s="916"/>
      <c r="E2" s="916"/>
      <c r="F2" s="916"/>
      <c r="G2" s="916"/>
    </row>
    <row r="3" spans="1:7" x14ac:dyDescent="0.25">
      <c r="A3" s="999" t="s">
        <v>391</v>
      </c>
      <c r="B3" s="916"/>
      <c r="C3" s="916"/>
      <c r="D3" s="916"/>
      <c r="E3" s="916"/>
      <c r="F3" s="916"/>
      <c r="G3" s="916"/>
    </row>
    <row r="5" spans="1:7" x14ac:dyDescent="0.25">
      <c r="A5" s="382"/>
      <c r="B5" s="1000" t="s">
        <v>392</v>
      </c>
      <c r="C5" s="1001"/>
      <c r="D5" s="1000" t="s">
        <v>393</v>
      </c>
      <c r="E5" s="1001"/>
      <c r="F5" s="1000" t="s">
        <v>174</v>
      </c>
      <c r="G5" s="1001"/>
    </row>
    <row r="6" spans="1:7" x14ac:dyDescent="0.25">
      <c r="A6" s="382"/>
      <c r="B6" s="383" t="s">
        <v>169</v>
      </c>
      <c r="C6" s="383" t="s">
        <v>170</v>
      </c>
      <c r="D6" s="383" t="s">
        <v>169</v>
      </c>
      <c r="E6" s="383" t="s">
        <v>170</v>
      </c>
      <c r="F6" s="383" t="s">
        <v>169</v>
      </c>
      <c r="G6" s="383" t="s">
        <v>170</v>
      </c>
    </row>
    <row r="7" spans="1:7" x14ac:dyDescent="0.25">
      <c r="A7" s="384" t="s">
        <v>394</v>
      </c>
      <c r="B7" s="385">
        <f>1107539.05</f>
        <v>1107539.05</v>
      </c>
      <c r="C7" s="386"/>
      <c r="D7" s="385">
        <f>41858898.28</f>
        <v>41858898.280000001</v>
      </c>
      <c r="E7" s="385">
        <f>38202459.29</f>
        <v>38202459.289999999</v>
      </c>
      <c r="F7" s="387">
        <f>4763978.04</f>
        <v>4763978.04</v>
      </c>
      <c r="G7" s="386"/>
    </row>
    <row r="8" spans="1:7" x14ac:dyDescent="0.25">
      <c r="A8" s="388" t="s">
        <v>395</v>
      </c>
      <c r="B8" s="385">
        <f>16822</f>
        <v>16822</v>
      </c>
      <c r="C8" s="386"/>
      <c r="D8" s="386"/>
      <c r="E8" s="385">
        <f>16822</f>
        <v>16822</v>
      </c>
      <c r="F8" s="386"/>
      <c r="G8" s="386"/>
    </row>
    <row r="9" spans="1:7" x14ac:dyDescent="0.25">
      <c r="A9" s="388" t="s">
        <v>396</v>
      </c>
      <c r="B9" s="385">
        <f>36635012.52</f>
        <v>36635012.520000003</v>
      </c>
      <c r="C9" s="385">
        <f>36635012.52</f>
        <v>36635012.520000003</v>
      </c>
      <c r="D9" s="385">
        <f>41236987.12</f>
        <v>41236987.119999997</v>
      </c>
      <c r="E9" s="385">
        <f>41236987.12</f>
        <v>41236987.119999997</v>
      </c>
      <c r="F9" s="386"/>
      <c r="G9" s="386"/>
    </row>
    <row r="10" spans="1:7" x14ac:dyDescent="0.25">
      <c r="A10" s="388" t="s">
        <v>397</v>
      </c>
      <c r="B10" s="385">
        <f>108562</f>
        <v>108562</v>
      </c>
      <c r="C10" s="386"/>
      <c r="D10" s="386"/>
      <c r="E10" s="385">
        <f>108562</f>
        <v>108562</v>
      </c>
      <c r="F10" s="386"/>
      <c r="G10" s="386"/>
    </row>
    <row r="11" spans="1:7" x14ac:dyDescent="0.25">
      <c r="A11" s="388" t="s">
        <v>398</v>
      </c>
      <c r="B11" s="385">
        <f>62975</f>
        <v>62975</v>
      </c>
      <c r="C11" s="386"/>
      <c r="D11" s="386"/>
      <c r="E11" s="385">
        <f>62975</f>
        <v>62975</v>
      </c>
      <c r="F11" s="386"/>
      <c r="G11" s="386"/>
    </row>
    <row r="12" spans="1:7" x14ac:dyDescent="0.25">
      <c r="A12" s="388" t="s">
        <v>399</v>
      </c>
      <c r="B12" s="385">
        <f>26391</f>
        <v>26391</v>
      </c>
      <c r="C12" s="386"/>
      <c r="D12" s="386"/>
      <c r="E12" s="385">
        <f>17146</f>
        <v>17146</v>
      </c>
      <c r="F12" s="385">
        <f>9245</f>
        <v>9245</v>
      </c>
      <c r="G12" s="386"/>
    </row>
    <row r="13" spans="1:7" x14ac:dyDescent="0.25">
      <c r="A13" s="388" t="s">
        <v>400</v>
      </c>
      <c r="B13" s="385">
        <f>29669</f>
        <v>29669</v>
      </c>
      <c r="C13" s="386"/>
      <c r="D13" s="386"/>
      <c r="E13" s="385">
        <f>18739</f>
        <v>18739</v>
      </c>
      <c r="F13" s="385">
        <f>10930</f>
        <v>10930</v>
      </c>
      <c r="G13" s="386"/>
    </row>
    <row r="14" spans="1:7" x14ac:dyDescent="0.25">
      <c r="A14" s="388" t="s">
        <v>401</v>
      </c>
      <c r="B14" s="385">
        <f>2190</f>
        <v>2190</v>
      </c>
      <c r="C14" s="386"/>
      <c r="D14" s="386"/>
      <c r="E14" s="385">
        <f>1383</f>
        <v>1383</v>
      </c>
      <c r="F14" s="385">
        <f>807</f>
        <v>807</v>
      </c>
      <c r="G14" s="386"/>
    </row>
    <row r="15" spans="1:7" x14ac:dyDescent="0.25">
      <c r="A15" s="388" t="s">
        <v>402</v>
      </c>
      <c r="B15" s="385">
        <f>87195</f>
        <v>87195</v>
      </c>
      <c r="C15" s="386"/>
      <c r="D15" s="386"/>
      <c r="E15" s="385">
        <f>55072</f>
        <v>55072</v>
      </c>
      <c r="F15" s="385">
        <f>32123</f>
        <v>32123</v>
      </c>
      <c r="G15" s="386"/>
    </row>
    <row r="16" spans="1:7" x14ac:dyDescent="0.25">
      <c r="A16" s="388" t="s">
        <v>403</v>
      </c>
      <c r="B16" s="385">
        <f>15573</f>
        <v>15573</v>
      </c>
      <c r="C16" s="386"/>
      <c r="D16" s="386"/>
      <c r="E16" s="385">
        <f>9836</f>
        <v>9836</v>
      </c>
      <c r="F16" s="385">
        <f>5737</f>
        <v>5737</v>
      </c>
      <c r="G16" s="386"/>
    </row>
    <row r="17" spans="1:7" x14ac:dyDescent="0.25">
      <c r="A17" s="384" t="s">
        <v>404</v>
      </c>
      <c r="B17" s="385">
        <f>675000</f>
        <v>675000</v>
      </c>
      <c r="C17" s="386"/>
      <c r="D17" s="386"/>
      <c r="E17" s="386"/>
      <c r="F17" s="387">
        <f>675000</f>
        <v>675000</v>
      </c>
      <c r="G17" s="386"/>
    </row>
    <row r="18" spans="1:7" ht="23.25" x14ac:dyDescent="0.25">
      <c r="A18" s="388" t="s">
        <v>405</v>
      </c>
      <c r="B18" s="386"/>
      <c r="C18" s="385">
        <f>6260</f>
        <v>6260</v>
      </c>
      <c r="D18" s="385">
        <f>6260</f>
        <v>6260</v>
      </c>
      <c r="E18" s="386"/>
      <c r="F18" s="386"/>
      <c r="G18" s="386"/>
    </row>
    <row r="19" spans="1:7" x14ac:dyDescent="0.25">
      <c r="A19" s="384" t="s">
        <v>406</v>
      </c>
      <c r="B19" s="386"/>
      <c r="C19" s="385">
        <f>198716</f>
        <v>198716</v>
      </c>
      <c r="D19" s="385">
        <f>2233346</f>
        <v>2233346</v>
      </c>
      <c r="E19" s="385">
        <f>2046096</f>
        <v>2046096</v>
      </c>
      <c r="F19" s="386"/>
      <c r="G19" s="387">
        <f>11466</f>
        <v>11466</v>
      </c>
    </row>
    <row r="20" spans="1:7" x14ac:dyDescent="0.25">
      <c r="A20" s="388" t="s">
        <v>407</v>
      </c>
      <c r="B20" s="385">
        <f>675153.5</f>
        <v>675153.5</v>
      </c>
      <c r="C20" s="386"/>
      <c r="D20" s="385">
        <f>118866.71</f>
        <v>118866.71</v>
      </c>
      <c r="E20" s="385">
        <f>349308</f>
        <v>349308</v>
      </c>
      <c r="F20" s="385">
        <f>444712.21</f>
        <v>444712.21</v>
      </c>
      <c r="G20" s="386"/>
    </row>
    <row r="21" spans="1:7" x14ac:dyDescent="0.25">
      <c r="A21" s="388" t="s">
        <v>408</v>
      </c>
      <c r="B21" s="385">
        <f>675152.19</f>
        <v>675152.19</v>
      </c>
      <c r="C21" s="385">
        <f>675152.19</f>
        <v>675152.19</v>
      </c>
      <c r="D21" s="386"/>
      <c r="E21" s="386"/>
      <c r="F21" s="386"/>
      <c r="G21" s="386"/>
    </row>
    <row r="22" spans="1:7" x14ac:dyDescent="0.25">
      <c r="A22" s="388" t="s">
        <v>409</v>
      </c>
      <c r="B22" s="385">
        <f>162161</f>
        <v>162161</v>
      </c>
      <c r="C22" s="386"/>
      <c r="D22" s="385">
        <f>32814.72</f>
        <v>32814.720000000001</v>
      </c>
      <c r="E22" s="385">
        <f>68012</f>
        <v>68012</v>
      </c>
      <c r="F22" s="385">
        <f>126963.72</f>
        <v>126963.72</v>
      </c>
      <c r="G22" s="386"/>
    </row>
    <row r="23" spans="1:7" x14ac:dyDescent="0.25">
      <c r="A23" s="388" t="s">
        <v>410</v>
      </c>
      <c r="B23" s="385">
        <f>162159.51</f>
        <v>162159.51</v>
      </c>
      <c r="C23" s="385">
        <f>162159.51</f>
        <v>162159.51</v>
      </c>
      <c r="D23" s="386"/>
      <c r="E23" s="386"/>
      <c r="F23" s="386"/>
      <c r="G23" s="386"/>
    </row>
    <row r="24" spans="1:7" x14ac:dyDescent="0.25">
      <c r="A24" s="388" t="s">
        <v>411</v>
      </c>
      <c r="B24" s="385">
        <f>675153.5</f>
        <v>675153.5</v>
      </c>
      <c r="C24" s="386"/>
      <c r="D24" s="385">
        <f>118866.71</f>
        <v>118866.71</v>
      </c>
      <c r="E24" s="385">
        <f>349308</f>
        <v>349308</v>
      </c>
      <c r="F24" s="385">
        <f>444712.21</f>
        <v>444712.21</v>
      </c>
      <c r="G24" s="386"/>
    </row>
    <row r="25" spans="1:7" x14ac:dyDescent="0.25">
      <c r="A25" s="388" t="s">
        <v>412</v>
      </c>
      <c r="B25" s="385">
        <f>675152.19</f>
        <v>675152.19</v>
      </c>
      <c r="C25" s="385">
        <f>675152.19</f>
        <v>675152.19</v>
      </c>
      <c r="D25" s="386"/>
      <c r="E25" s="386"/>
      <c r="F25" s="386"/>
      <c r="G25" s="386"/>
    </row>
    <row r="26" spans="1:7" x14ac:dyDescent="0.25">
      <c r="A26" s="384" t="s">
        <v>413</v>
      </c>
      <c r="B26" s="386"/>
      <c r="C26" s="385">
        <f>339011</f>
        <v>339011</v>
      </c>
      <c r="D26" s="385">
        <f>30611662</f>
        <v>30611662</v>
      </c>
      <c r="E26" s="385">
        <f>30386347</f>
        <v>30386347</v>
      </c>
      <c r="F26" s="386"/>
      <c r="G26" s="387">
        <f>113696</f>
        <v>113696</v>
      </c>
    </row>
    <row r="27" spans="1:7" x14ac:dyDescent="0.25">
      <c r="A27" s="384" t="s">
        <v>414</v>
      </c>
      <c r="B27" s="386"/>
      <c r="C27" s="385">
        <f>4800</f>
        <v>4800</v>
      </c>
      <c r="D27" s="385">
        <f>61600</f>
        <v>61600</v>
      </c>
      <c r="E27" s="385">
        <f>61200</f>
        <v>61200</v>
      </c>
      <c r="F27" s="386"/>
      <c r="G27" s="387">
        <f>4400</f>
        <v>4400</v>
      </c>
    </row>
    <row r="28" spans="1:7" x14ac:dyDescent="0.25">
      <c r="A28" s="388" t="s">
        <v>415</v>
      </c>
      <c r="B28" s="385">
        <f>1366041</f>
        <v>1366041</v>
      </c>
      <c r="C28" s="385">
        <f>1366041</f>
        <v>1366041</v>
      </c>
      <c r="D28" s="385">
        <f>1742336</f>
        <v>1742336</v>
      </c>
      <c r="E28" s="385">
        <f>1742336</f>
        <v>1742336</v>
      </c>
      <c r="F28" s="386"/>
      <c r="G28" s="386"/>
    </row>
    <row r="29" spans="1:7" x14ac:dyDescent="0.25">
      <c r="A29" s="384" t="s">
        <v>416</v>
      </c>
      <c r="B29" s="386"/>
      <c r="C29" s="386"/>
      <c r="D29" s="385">
        <f>4130681</f>
        <v>4130681</v>
      </c>
      <c r="E29" s="385">
        <f>4612576</f>
        <v>4612576</v>
      </c>
      <c r="F29" s="386"/>
      <c r="G29" s="387">
        <f>481895</f>
        <v>481895</v>
      </c>
    </row>
    <row r="30" spans="1:7" x14ac:dyDescent="0.25">
      <c r="A30" s="388" t="s">
        <v>417</v>
      </c>
      <c r="B30" s="386"/>
      <c r="C30" s="385">
        <f>248727</f>
        <v>248727</v>
      </c>
      <c r="D30" s="385">
        <f>248727</f>
        <v>248727</v>
      </c>
      <c r="E30" s="386"/>
      <c r="F30" s="386"/>
      <c r="G30" s="386"/>
    </row>
    <row r="31" spans="1:7" x14ac:dyDescent="0.25">
      <c r="A31" s="388" t="s">
        <v>418</v>
      </c>
      <c r="B31" s="385">
        <f>3512</f>
        <v>3512</v>
      </c>
      <c r="C31" s="385">
        <f>3512</f>
        <v>3512</v>
      </c>
      <c r="D31" s="386"/>
      <c r="E31" s="386"/>
      <c r="F31" s="386"/>
      <c r="G31" s="386"/>
    </row>
    <row r="32" spans="1:7" x14ac:dyDescent="0.25">
      <c r="A32" s="388" t="s">
        <v>419</v>
      </c>
      <c r="B32" s="386"/>
      <c r="C32" s="385">
        <f>12375</f>
        <v>12375</v>
      </c>
      <c r="D32" s="385">
        <f>12375</f>
        <v>12375</v>
      </c>
      <c r="E32" s="386"/>
      <c r="F32" s="386"/>
      <c r="G32" s="386"/>
    </row>
    <row r="33" spans="1:12" x14ac:dyDescent="0.25">
      <c r="A33" s="388" t="s">
        <v>420</v>
      </c>
      <c r="B33" s="386"/>
      <c r="C33" s="385">
        <f>6822</f>
        <v>6822</v>
      </c>
      <c r="D33" s="385">
        <f>6822</f>
        <v>6822</v>
      </c>
      <c r="E33" s="386"/>
      <c r="F33" s="386"/>
      <c r="G33" s="386"/>
    </row>
    <row r="34" spans="1:12" x14ac:dyDescent="0.25">
      <c r="A34" s="388" t="s">
        <v>421</v>
      </c>
      <c r="B34" s="386"/>
      <c r="C34" s="385">
        <f>4896405</f>
        <v>4896405</v>
      </c>
      <c r="D34" s="385">
        <f>750000</f>
        <v>750000</v>
      </c>
      <c r="E34" s="385">
        <f>1743086</f>
        <v>1743086</v>
      </c>
      <c r="F34" s="386"/>
      <c r="G34" s="385">
        <f>5889491</f>
        <v>5889491</v>
      </c>
    </row>
    <row r="35" spans="1:12" x14ac:dyDescent="0.25">
      <c r="A35" s="388" t="s">
        <v>175</v>
      </c>
      <c r="B35" s="386">
        <v>2068731.95</v>
      </c>
      <c r="C35" s="385"/>
      <c r="D35" s="385"/>
      <c r="E35" s="385"/>
      <c r="F35" s="386">
        <v>2068731.95</v>
      </c>
      <c r="G35" s="385"/>
      <c r="J35" s="389"/>
      <c r="L35" s="389"/>
    </row>
    <row r="36" spans="1:12" x14ac:dyDescent="0.25">
      <c r="A36" s="384" t="s">
        <v>422</v>
      </c>
      <c r="B36" s="386"/>
      <c r="C36" s="386"/>
      <c r="D36" s="386"/>
      <c r="E36" s="385">
        <f>41217822</f>
        <v>41217822</v>
      </c>
      <c r="F36" s="386"/>
      <c r="G36" s="387">
        <f>41217822</f>
        <v>41217822</v>
      </c>
    </row>
    <row r="37" spans="1:12" x14ac:dyDescent="0.25">
      <c r="A37" s="384" t="s">
        <v>423</v>
      </c>
      <c r="B37" s="386"/>
      <c r="C37" s="386"/>
      <c r="D37" s="385">
        <f>25137.29</f>
        <v>25137.29</v>
      </c>
      <c r="E37" s="385">
        <f>6110</f>
        <v>6110</v>
      </c>
      <c r="F37" s="387">
        <f>19027.29</f>
        <v>19027.29</v>
      </c>
      <c r="G37" s="386"/>
    </row>
    <row r="38" spans="1:12" x14ac:dyDescent="0.25">
      <c r="A38" s="384" t="s">
        <v>424</v>
      </c>
      <c r="B38" s="386"/>
      <c r="C38" s="386"/>
      <c r="D38" s="385">
        <f>102176</f>
        <v>102176</v>
      </c>
      <c r="E38" s="386"/>
      <c r="F38" s="387">
        <f>102176</f>
        <v>102176</v>
      </c>
      <c r="G38" s="386"/>
    </row>
    <row r="39" spans="1:12" x14ac:dyDescent="0.25">
      <c r="A39" s="384" t="s">
        <v>425</v>
      </c>
      <c r="B39" s="386"/>
      <c r="C39" s="386"/>
      <c r="D39" s="385">
        <f>246020.3</f>
        <v>246020.3</v>
      </c>
      <c r="E39" s="386"/>
      <c r="F39" s="387">
        <f>246020.3</f>
        <v>246020.3</v>
      </c>
      <c r="G39" s="386"/>
    </row>
    <row r="40" spans="1:12" x14ac:dyDescent="0.25">
      <c r="A40" s="384" t="s">
        <v>426</v>
      </c>
      <c r="B40" s="386"/>
      <c r="C40" s="386"/>
      <c r="D40" s="385">
        <f>469694</f>
        <v>469694</v>
      </c>
      <c r="E40" s="386"/>
      <c r="F40" s="387">
        <f>469694</f>
        <v>469694</v>
      </c>
      <c r="G40" s="386"/>
    </row>
    <row r="41" spans="1:12" x14ac:dyDescent="0.25">
      <c r="A41" s="384" t="s">
        <v>427</v>
      </c>
      <c r="B41" s="386"/>
      <c r="C41" s="386"/>
      <c r="D41" s="385">
        <f>180000</f>
        <v>180000</v>
      </c>
      <c r="E41" s="386"/>
      <c r="F41" s="387">
        <f>180000</f>
        <v>180000</v>
      </c>
      <c r="G41" s="386"/>
    </row>
    <row r="42" spans="1:12" x14ac:dyDescent="0.25">
      <c r="A42" s="384" t="s">
        <v>428</v>
      </c>
      <c r="B42" s="386"/>
      <c r="C42" s="386"/>
      <c r="D42" s="385">
        <f>214687.84</f>
        <v>214687.84</v>
      </c>
      <c r="E42" s="385">
        <f>19165.12</f>
        <v>19165.12</v>
      </c>
      <c r="F42" s="387">
        <f>195522.72</f>
        <v>195522.72</v>
      </c>
      <c r="G42" s="386"/>
    </row>
    <row r="43" spans="1:12" x14ac:dyDescent="0.25">
      <c r="A43" s="384" t="s">
        <v>429</v>
      </c>
      <c r="B43" s="386"/>
      <c r="C43" s="386"/>
      <c r="D43" s="385">
        <f>1320000</f>
        <v>1320000</v>
      </c>
      <c r="E43" s="385">
        <f>6260</f>
        <v>6260</v>
      </c>
      <c r="F43" s="387">
        <f>1313740</f>
        <v>1313740</v>
      </c>
      <c r="G43" s="386"/>
    </row>
    <row r="44" spans="1:12" x14ac:dyDescent="0.25">
      <c r="A44" s="384" t="s">
        <v>430</v>
      </c>
      <c r="B44" s="386"/>
      <c r="C44" s="386"/>
      <c r="D44" s="385">
        <f>36646556</f>
        <v>36646556</v>
      </c>
      <c r="E44" s="385">
        <f>47635</f>
        <v>47635</v>
      </c>
      <c r="F44" s="387">
        <f>36598921</f>
        <v>36598921</v>
      </c>
      <c r="G44" s="386"/>
    </row>
    <row r="45" spans="1:12" x14ac:dyDescent="0.25">
      <c r="A45" s="384" t="s">
        <v>431</v>
      </c>
      <c r="B45" s="386"/>
      <c r="C45" s="386"/>
      <c r="D45" s="385">
        <f>10257</f>
        <v>10257</v>
      </c>
      <c r="E45" s="386"/>
      <c r="F45" s="387">
        <f>10257</f>
        <v>10257</v>
      </c>
      <c r="G45" s="386"/>
    </row>
    <row r="46" spans="1:12" x14ac:dyDescent="0.25">
      <c r="A46" s="384" t="s">
        <v>432</v>
      </c>
      <c r="B46" s="386"/>
      <c r="C46" s="386"/>
      <c r="D46" s="385">
        <f>471</f>
        <v>471</v>
      </c>
      <c r="E46" s="386"/>
      <c r="F46" s="387">
        <f>471</f>
        <v>471</v>
      </c>
      <c r="G46" s="386"/>
    </row>
    <row r="47" spans="1:12" x14ac:dyDescent="0.25">
      <c r="A47" s="384" t="s">
        <v>433</v>
      </c>
      <c r="B47" s="386"/>
      <c r="C47" s="386"/>
      <c r="D47" s="385">
        <f>0.56</f>
        <v>0.56000000000000005</v>
      </c>
      <c r="E47" s="386"/>
      <c r="F47" s="387">
        <f>0.56</f>
        <v>0.56000000000000005</v>
      </c>
      <c r="G47" s="386"/>
    </row>
    <row r="48" spans="1:12" x14ac:dyDescent="0.25">
      <c r="A48" s="388" t="s">
        <v>158</v>
      </c>
      <c r="B48" s="390">
        <f t="shared" ref="B48:G48" si="0">SUM(B7:B47)</f>
        <v>45230145.409999996</v>
      </c>
      <c r="C48" s="390">
        <f t="shared" si="0"/>
        <v>45230145.409999996</v>
      </c>
      <c r="D48" s="390">
        <f t="shared" si="0"/>
        <v>162385242.53</v>
      </c>
      <c r="E48" s="390">
        <f t="shared" si="0"/>
        <v>162385242.53</v>
      </c>
      <c r="F48" s="390">
        <f t="shared" si="0"/>
        <v>47718770</v>
      </c>
      <c r="G48" s="390">
        <f t="shared" si="0"/>
        <v>47718770</v>
      </c>
      <c r="H48" s="391"/>
    </row>
    <row r="49" spans="1:8" x14ac:dyDescent="0.25">
      <c r="A49" s="388"/>
      <c r="B49" s="386"/>
      <c r="C49" s="386"/>
      <c r="D49" s="386"/>
      <c r="E49" s="386"/>
      <c r="F49" s="386"/>
      <c r="G49" s="386"/>
    </row>
    <row r="50" spans="1:8" x14ac:dyDescent="0.25">
      <c r="F50" s="392"/>
      <c r="G50" s="392"/>
      <c r="H50" s="389"/>
    </row>
    <row r="52" spans="1:8" x14ac:dyDescent="0.25">
      <c r="A52" s="997" t="s">
        <v>434</v>
      </c>
      <c r="B52" s="916"/>
      <c r="C52" s="916"/>
      <c r="D52" s="916"/>
      <c r="E52" s="916"/>
      <c r="F52" s="916"/>
      <c r="G52" s="916"/>
    </row>
  </sheetData>
  <mergeCells count="7">
    <mergeCell ref="A52:G52"/>
    <mergeCell ref="A1:G1"/>
    <mergeCell ref="A2:G2"/>
    <mergeCell ref="A3:G3"/>
    <mergeCell ref="B5:C5"/>
    <mergeCell ref="D5:E5"/>
    <mergeCell ref="F5:G5"/>
  </mergeCells>
  <printOptions horizontalCentered="1"/>
  <pageMargins left="0.70866141732283472" right="0.70866141732283472" top="0.74803149606299213" bottom="0.7480314960629921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17</vt:i4>
      </vt:variant>
    </vt:vector>
  </HeadingPairs>
  <TitlesOfParts>
    <vt:vector size="39" baseType="lpstr">
      <vt:lpstr>Annexure</vt:lpstr>
      <vt:lpstr>Computation FY-2024-25</vt:lpstr>
      <vt:lpstr>Schedules</vt:lpstr>
      <vt:lpstr>TB 23-24</vt:lpstr>
      <vt:lpstr>Trail Balance</vt:lpstr>
      <vt:lpstr>BS</vt:lpstr>
      <vt:lpstr>P&amp;L</vt:lpstr>
      <vt:lpstr>CFS</vt:lpstr>
      <vt:lpstr>Note 1</vt:lpstr>
      <vt:lpstr>Note 2 - 7</vt:lpstr>
      <vt:lpstr>Note 8</vt:lpstr>
      <vt:lpstr>Dep Final FY 24-25</vt:lpstr>
      <vt:lpstr>Note 9-13</vt:lpstr>
      <vt:lpstr>Note 13-19</vt:lpstr>
      <vt:lpstr>Note 20-26</vt:lpstr>
      <vt:lpstr>Dep Final 23-24</vt:lpstr>
      <vt:lpstr>Ratios &amp; Deferred Tax</vt:lpstr>
      <vt:lpstr>TB 22-23</vt:lpstr>
      <vt:lpstr>Sheet1</vt:lpstr>
      <vt:lpstr>IT Dep </vt:lpstr>
      <vt:lpstr>TB 21-22 Hyd</vt:lpstr>
      <vt:lpstr>TB 21-22 Blr</vt:lpstr>
      <vt:lpstr>BS!Print_Area</vt:lpstr>
      <vt:lpstr>CFS!Print_Area</vt:lpstr>
      <vt:lpstr>'Computation FY-2024-25'!Print_Area</vt:lpstr>
      <vt:lpstr>'Note 1'!Print_Area</vt:lpstr>
      <vt:lpstr>'Note 13-19'!Print_Area</vt:lpstr>
      <vt:lpstr>'Note 2 - 7'!Print_Area</vt:lpstr>
      <vt:lpstr>'Note 20-26'!Print_Area</vt:lpstr>
      <vt:lpstr>'Note 8'!Print_Area</vt:lpstr>
      <vt:lpstr>'Note 9-13'!Print_Area</vt:lpstr>
      <vt:lpstr>'P&amp;L'!Print_Area</vt:lpstr>
      <vt:lpstr>'Ratios &amp; Deferred Tax'!Print_Area</vt:lpstr>
      <vt:lpstr>Schedules!Print_Area</vt:lpstr>
      <vt:lpstr>'Note 1'!Print_Titles</vt:lpstr>
      <vt:lpstr>'Note 13-19'!Print_Titles</vt:lpstr>
      <vt:lpstr>'Note 2 - 7'!Print_Titles</vt:lpstr>
      <vt:lpstr>'Note 20-26'!Print_Titles</vt:lpstr>
      <vt:lpstr>'Note 9-13'!Print_Titles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Bhavana M</dc:creator>
  <cp:lastModifiedBy>Admin</cp:lastModifiedBy>
  <cp:lastPrinted>2024-09-29T09:28:54Z</cp:lastPrinted>
  <dcterms:created xsi:type="dcterms:W3CDTF">2022-09-30T10:19:45Z</dcterms:created>
  <dcterms:modified xsi:type="dcterms:W3CDTF">2025-07-11T05:27:15Z</dcterms:modified>
</cp:coreProperties>
</file>